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defaultThemeVersion="166925"/>
  <mc:AlternateContent xmlns:mc="http://schemas.openxmlformats.org/markup-compatibility/2006">
    <mc:Choice Requires="x15">
      <x15ac:absPath xmlns:x15ac="http://schemas.microsoft.com/office/spreadsheetml/2010/11/ac" url="https://usepa-my.sharepoint.com/personal/stanfield_kelley_epa_gov/Documents/Desktop/12DCP Docket Uploads/Failed/"/>
    </mc:Choice>
  </mc:AlternateContent>
  <xr:revisionPtr revIDLastSave="833" documentId="8_{C50AAA06-14A7-4C7E-834D-C99152964A90}" xr6:coauthVersionLast="47" xr6:coauthVersionMax="47" xr10:uidLastSave="{8B92BF39-A0F0-421C-A763-8C5757D895D8}"/>
  <bookViews>
    <workbookView xWindow="-28920" yWindow="-120" windowWidth="29040" windowHeight="15720" tabRatio="752" xr2:uid="{BA84E7D9-0608-431E-B4E2-009A650B4BE0}"/>
  </bookViews>
  <sheets>
    <sheet name="Cover Page" sheetId="110" r:id="rId1"/>
    <sheet name="Read Me" sheetId="17" r:id="rId2"/>
    <sheet name="Total Annual Releases" sheetId="68" r:id="rId3"/>
    <sheet name="TRI and DMR OES Summary" sheetId="107" r:id="rId4"/>
    <sheet name="Facility Discharge Summary" sheetId="48" r:id="rId5"/>
    <sheet name="Facility Summary_Water" sheetId="47" state="hidden" r:id="rId6"/>
    <sheet name="Processed Non-zero DMR Data" sheetId="44" r:id="rId7"/>
    <sheet name="Processed Non-zero TRI Data" sheetId="73" r:id="rId8"/>
    <sheet name="Raw TRI Data" sheetId="101" r:id="rId9"/>
    <sheet name="Raw Non-zero DMR Data" sheetId="100" r:id="rId10"/>
    <sheet name="Off-site Locations" sheetId="83" r:id="rId11"/>
    <sheet name="Facility Summary_All" sheetId="80" state="hidden" r:id="rId12"/>
    <sheet name="TRIFD-OES Crosswalk" sheetId="89" r:id="rId13"/>
    <sheet name="11DCA Mapping" sheetId="108" r:id="rId14"/>
    <sheet name="NAICS OES crosswalk" sheetId="104" r:id="rId15"/>
    <sheet name="2017 - 2022 NAICS" sheetId="16" r:id="rId16"/>
    <sheet name="2022 SIC to NAICS" sheetId="13" r:id="rId17"/>
    <sheet name="NAICS Code to IS CDR Code" sheetId="81" state="hidden" r:id="rId18"/>
    <sheet name="DMR POTW Flag" sheetId="109" state="hidden" r:id="rId19"/>
  </sheets>
  <definedNames>
    <definedName name="_2017NEI_Nonpoint_TSCA_Chem_List">#REF!</definedName>
    <definedName name="_2017NEI_tsca_chemicals_wSCCdetail_Query">#REF!</definedName>
    <definedName name="_AtRisk_SimSetting_AutomaticResultsDisplayMode" localSheetId="14" hidden="1">2</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localSheetId="14" hidden="1">10</definedName>
    <definedName name="_AtRisk_SimSetting_ConvergenceTestingPeriod" hidden="1">100</definedName>
    <definedName name="_AtRisk_SimSetting_ConvergenceTolerance" localSheetId="14" hidden="1">0.01</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localSheetId="14" hidden="1">1</definedName>
    <definedName name="_AtRisk_SimSetting_MacroRecalculationBehavior" hidden="1">0</definedName>
    <definedName name="_AtRisk_SimSetting_MaxAutoIterations" hidden="1">50000</definedName>
    <definedName name="_AtRisk_SimSetting_MultipleCPUCount" localSheetId="14" hidden="1">8</definedName>
    <definedName name="_AtRisk_SimSetting_MultipleCPUCount" hidden="1">-1</definedName>
    <definedName name="_AtRisk_SimSetting_MultipleCPUManualCount" hidden="1">8</definedName>
    <definedName name="_AtRisk_SimSetting_MultipleCPUMode" localSheetId="14" hidden="1">2</definedName>
    <definedName name="_AtRisk_SimSetting_MultipleCPUMode" hidden="1">1</definedName>
    <definedName name="_AtRisk_SimSetting_MultipleCPUModeV8" localSheetId="14" hidden="1">2</definedName>
    <definedName name="_AtRisk_SimSetting_MultipleCPUModeV8" hidden="1">1</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16" hidden="1">'2022 SIC to NAICS'!$A$2:$D$2</definedName>
    <definedName name="_xlnm._FilterDatabase" localSheetId="4" hidden="1">'Facility Discharge Summary'!$A$3:$AR$220</definedName>
    <definedName name="_xlnm._FilterDatabase" localSheetId="11" hidden="1">'Facility Summary_All'!$A$1:$N$47</definedName>
    <definedName name="_xlnm._FilterDatabase" localSheetId="5" hidden="1">'Facility Summary_Water'!$B$1:$U$218</definedName>
    <definedName name="_xlnm._FilterDatabase" localSheetId="14" hidden="1">'NAICS OES crosswalk'!$A$1:$D$25</definedName>
    <definedName name="_xlnm._FilterDatabase" localSheetId="10" hidden="1">'Off-site Locations'!$A$2:$P$2</definedName>
    <definedName name="_xlnm._FilterDatabase" localSheetId="6" hidden="1">'Processed Non-zero DMR Data'!$A$1:$AA$658</definedName>
    <definedName name="_xlnm._FilterDatabase" localSheetId="7" hidden="1">'Processed Non-zero TRI Data'!$A$1:$X$1593</definedName>
    <definedName name="_xlnm._FilterDatabase" localSheetId="9" hidden="1">'Raw Non-zero DMR Data'!$A$1:$Z$733</definedName>
    <definedName name="_xlnm._FilterDatabase" localSheetId="8" hidden="1">'Raw TRI Data'!$A$1:$Y$599</definedName>
    <definedName name="_xlnm._FilterDatabase" localSheetId="1" hidden="1">'Read Me'!$A$5:$B$23</definedName>
    <definedName name="_xlnm._FilterDatabase" localSheetId="2" hidden="1">'Total Annual Releases'!$A$3:$G$3</definedName>
    <definedName name="_xlnm._FilterDatabase" localSheetId="3" hidden="1">'TRI and DMR OES Summary'!$A$2:$J$2</definedName>
    <definedName name="AT">#REF!</definedName>
    <definedName name="AT_50th_non_cancer">#REF!</definedName>
    <definedName name="AT_50th_non_cancer_DC">#REF!</definedName>
    <definedName name="AT_95th_non_cancer">#REF!</definedName>
    <definedName name="AT_95th_non_cancer_DC">#REF!</definedName>
    <definedName name="AT_AC">#REF!</definedName>
    <definedName name="AT_AC_DC">#REF!</definedName>
    <definedName name="AT_ADC_high">#REF!</definedName>
    <definedName name="AT_ADC_mid">#REF!</definedName>
    <definedName name="AT_cancer">#REF!</definedName>
    <definedName name="AT_cancer_DC">#REF!</definedName>
    <definedName name="AT_LADC">#REF!</definedName>
    <definedName name="AWD">#REF!</definedName>
    <definedName name="AWD_DC_50th">#REF!</definedName>
    <definedName name="AWD_DC_95th">#REF!</definedName>
    <definedName name="CASRN">#REF!</definedName>
    <definedName name="ED">#REF!</definedName>
    <definedName name="ED_AC">#REF!</definedName>
    <definedName name="ED_AC_DC">#REF!</definedName>
    <definedName name="ED_chronic">#REF!</definedName>
    <definedName name="ED_chronic_DC">#REF!</definedName>
    <definedName name="EF">#REF!</definedName>
    <definedName name="EG">#REF!</definedName>
    <definedName name="Pal_Workbook_GUID" hidden="1">"SK39RLEDQA2L46YW8H5SUKN3"</definedName>
    <definedName name="RiskAfterRecalcMacro" localSheetId="14" hidden="1">"'PERC_Dry Cleaner Model_4.9.2019.xlsm'!RK4Solver.RK4Solver"</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localSheetId="14" hidden="1">FALSE</definedName>
    <definedName name="RiskMultipleCPUSupportEnabled" hidden="1">TRUE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localSheetId="14" hidden="1">FALSE</definedName>
    <definedName name="RiskUseMultipleCPUs" hidden="1">TRUE</definedName>
    <definedName name="what">#REF!</definedName>
    <definedName name="WY_50th">#REF!</definedName>
    <definedName name="WY_50th_DC">#REF!</definedName>
    <definedName name="WY_95th">#REF!</definedName>
    <definedName name="WY_95th_DC">#REF!</definedName>
    <definedName name="WY_high">#REF!</definedName>
    <definedName name="WY_m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83" l="1"/>
  <c r="H5" i="83"/>
  <c r="H6" i="83"/>
  <c r="H7" i="83"/>
  <c r="H3" i="83"/>
  <c r="I3" i="83" s="1"/>
  <c r="Y59" i="101"/>
  <c r="X11" i="73"/>
  <c r="V22" i="73"/>
  <c r="W5" i="48" a="1"/>
  <c r="W5" i="48" s="1"/>
  <c r="F21" i="107"/>
  <c r="E4" i="48"/>
  <c r="B3" i="107" a="1"/>
  <c r="B3" i="107" s="1"/>
  <c r="P5" i="48" l="1" a="1"/>
  <c r="P5" i="48" s="1"/>
  <c r="P6" i="48" a="1"/>
  <c r="P6" i="48" s="1"/>
  <c r="P7" i="48" a="1"/>
  <c r="P7" i="48" s="1"/>
  <c r="P8" i="48" a="1"/>
  <c r="P8" i="48" s="1"/>
  <c r="P9" i="48" a="1"/>
  <c r="P9" i="48" s="1"/>
  <c r="P10" i="48" a="1"/>
  <c r="P10" i="48" s="1"/>
  <c r="P11" i="48" a="1"/>
  <c r="P11" i="48" s="1"/>
  <c r="P12" i="48" a="1"/>
  <c r="P12" i="48" s="1"/>
  <c r="P13" i="48" a="1"/>
  <c r="P13" i="48" s="1"/>
  <c r="P14" i="48" a="1"/>
  <c r="P14" i="48" s="1"/>
  <c r="P15" i="48" a="1"/>
  <c r="P15" i="48" s="1"/>
  <c r="P16" i="48" a="1"/>
  <c r="P16" i="48" s="1"/>
  <c r="P17" i="48" a="1"/>
  <c r="P17" i="48" s="1"/>
  <c r="P18" i="48" a="1"/>
  <c r="P18" i="48" s="1"/>
  <c r="P19" i="48" a="1"/>
  <c r="P19" i="48" s="1"/>
  <c r="P20" i="48" a="1"/>
  <c r="P20" i="48" s="1"/>
  <c r="P21" i="48" a="1"/>
  <c r="P21" i="48" s="1"/>
  <c r="P22" i="48" a="1"/>
  <c r="P22" i="48" s="1"/>
  <c r="P23" i="48" a="1"/>
  <c r="P23" i="48" s="1"/>
  <c r="P24" i="48" a="1"/>
  <c r="P24" i="48" s="1"/>
  <c r="P25" i="48" a="1"/>
  <c r="P25" i="48" s="1"/>
  <c r="P26" i="48" a="1"/>
  <c r="P26" i="48" s="1"/>
  <c r="P27" i="48" a="1"/>
  <c r="P27" i="48" s="1"/>
  <c r="P28" i="48" a="1"/>
  <c r="P28" i="48" s="1"/>
  <c r="P29" i="48" a="1"/>
  <c r="P29" i="48" s="1"/>
  <c r="P30" i="48" a="1"/>
  <c r="P30" i="48" s="1"/>
  <c r="P31" i="48" a="1"/>
  <c r="P31" i="48" s="1"/>
  <c r="P32" i="48" a="1"/>
  <c r="P32" i="48" s="1"/>
  <c r="P33" i="48" a="1"/>
  <c r="P33" i="48" s="1"/>
  <c r="P34" i="48" a="1"/>
  <c r="P34" i="48" s="1"/>
  <c r="P35" i="48" a="1"/>
  <c r="P35" i="48" s="1"/>
  <c r="P36" i="48" a="1"/>
  <c r="P36" i="48" s="1"/>
  <c r="P37" i="48" a="1"/>
  <c r="P37" i="48" s="1"/>
  <c r="P38" i="48" a="1"/>
  <c r="P38" i="48" s="1"/>
  <c r="P39" i="48" a="1"/>
  <c r="P39" i="48" s="1"/>
  <c r="P40" i="48" a="1"/>
  <c r="P40" i="48" s="1"/>
  <c r="P41" i="48" a="1"/>
  <c r="P41" i="48" s="1"/>
  <c r="P42" i="48" a="1"/>
  <c r="P42" i="48" s="1"/>
  <c r="P43" i="48" a="1"/>
  <c r="P43" i="48" s="1"/>
  <c r="P44" i="48" a="1"/>
  <c r="P44" i="48" s="1"/>
  <c r="P45" i="48" a="1"/>
  <c r="P45" i="48" s="1"/>
  <c r="P46" i="48" a="1"/>
  <c r="P46" i="48" s="1"/>
  <c r="P47" i="48" a="1"/>
  <c r="P47" i="48" s="1"/>
  <c r="P48" i="48" a="1"/>
  <c r="P48" i="48" s="1"/>
  <c r="P49" i="48" a="1"/>
  <c r="P49" i="48" s="1"/>
  <c r="P50" i="48" a="1"/>
  <c r="P50" i="48" s="1"/>
  <c r="P51" i="48" a="1"/>
  <c r="P51" i="48" s="1"/>
  <c r="P52" i="48" a="1"/>
  <c r="P52" i="48" s="1"/>
  <c r="P53" i="48" a="1"/>
  <c r="P53" i="48" s="1"/>
  <c r="P54" i="48" a="1"/>
  <c r="P54" i="48" s="1"/>
  <c r="P55" i="48" a="1"/>
  <c r="P55" i="48" s="1"/>
  <c r="P56" i="48" a="1"/>
  <c r="P56" i="48" s="1"/>
  <c r="P57" i="48" a="1"/>
  <c r="P57" i="48" s="1"/>
  <c r="P58" i="48" a="1"/>
  <c r="P58" i="48" s="1"/>
  <c r="P59" i="48" a="1"/>
  <c r="P59" i="48" s="1"/>
  <c r="P60" i="48" a="1"/>
  <c r="P60" i="48" s="1"/>
  <c r="P61" i="48" a="1"/>
  <c r="P61" i="48" s="1"/>
  <c r="P62" i="48" a="1"/>
  <c r="P62" i="48" s="1"/>
  <c r="P63" i="48" a="1"/>
  <c r="P63" i="48" s="1"/>
  <c r="P64" i="48" a="1"/>
  <c r="P64" i="48" s="1"/>
  <c r="P65" i="48" a="1"/>
  <c r="P65" i="48" s="1"/>
  <c r="P66" i="48" a="1"/>
  <c r="P66" i="48" s="1"/>
  <c r="P67" i="48" a="1"/>
  <c r="P67" i="48" s="1"/>
  <c r="P68" i="48" a="1"/>
  <c r="P68" i="48" s="1"/>
  <c r="P69" i="48" a="1"/>
  <c r="P69" i="48" s="1"/>
  <c r="P70" i="48" a="1"/>
  <c r="P70" i="48" s="1"/>
  <c r="P71" i="48" a="1"/>
  <c r="P71" i="48" s="1"/>
  <c r="P72" i="48" a="1"/>
  <c r="P72" i="48" s="1"/>
  <c r="P73" i="48" a="1"/>
  <c r="P73" i="48" s="1"/>
  <c r="P74" i="48" a="1"/>
  <c r="P74" i="48" s="1"/>
  <c r="P75" i="48" a="1"/>
  <c r="P75" i="48" s="1"/>
  <c r="P76" i="48" a="1"/>
  <c r="P76" i="48" s="1"/>
  <c r="P77" i="48" a="1"/>
  <c r="P77" i="48" s="1"/>
  <c r="P78" i="48" a="1"/>
  <c r="P78" i="48" s="1"/>
  <c r="P79" i="48" a="1"/>
  <c r="P79" i="48" s="1"/>
  <c r="P80" i="48" a="1"/>
  <c r="P80" i="48" s="1"/>
  <c r="P81" i="48" a="1"/>
  <c r="P81" i="48" s="1"/>
  <c r="P82" i="48" a="1"/>
  <c r="P82" i="48" s="1"/>
  <c r="P83" i="48" a="1"/>
  <c r="P83" i="48" s="1"/>
  <c r="P84" i="48" a="1"/>
  <c r="P84" i="48" s="1"/>
  <c r="P85" i="48" a="1"/>
  <c r="P85" i="48" s="1"/>
  <c r="P86" i="48" a="1"/>
  <c r="P86" i="48" s="1"/>
  <c r="P87" i="48" a="1"/>
  <c r="P87" i="48" s="1"/>
  <c r="P88" i="48" a="1"/>
  <c r="P88" i="48" s="1"/>
  <c r="P89" i="48" a="1"/>
  <c r="P89" i="48" s="1"/>
  <c r="P90" i="48" a="1"/>
  <c r="P90" i="48" s="1"/>
  <c r="P91" i="48" a="1"/>
  <c r="P91" i="48" s="1"/>
  <c r="P92" i="48" a="1"/>
  <c r="P92" i="48" s="1"/>
  <c r="P93" i="48" a="1"/>
  <c r="P93" i="48" s="1"/>
  <c r="P94" i="48" a="1"/>
  <c r="P94" i="48" s="1"/>
  <c r="P95" i="48" a="1"/>
  <c r="P95" i="48" s="1"/>
  <c r="P96" i="48" a="1"/>
  <c r="P96" i="48" s="1"/>
  <c r="P97" i="48" a="1"/>
  <c r="P97" i="48" s="1"/>
  <c r="P98" i="48" a="1"/>
  <c r="P98" i="48" s="1"/>
  <c r="P99" i="48" a="1"/>
  <c r="P99" i="48" s="1"/>
  <c r="P100" i="48" a="1"/>
  <c r="P100" i="48" s="1"/>
  <c r="P101" i="48" a="1"/>
  <c r="P101" i="48" s="1"/>
  <c r="P102" i="48" a="1"/>
  <c r="P102" i="48" s="1"/>
  <c r="P103" i="48" a="1"/>
  <c r="P103" i="48" s="1"/>
  <c r="P104" i="48" a="1"/>
  <c r="P104" i="48" s="1"/>
  <c r="P105" i="48" a="1"/>
  <c r="P105" i="48" s="1"/>
  <c r="P106" i="48" a="1"/>
  <c r="P106" i="48" s="1"/>
  <c r="P107" i="48" a="1"/>
  <c r="P107" i="48" s="1"/>
  <c r="P108" i="48" a="1"/>
  <c r="P108" i="48" s="1"/>
  <c r="P109" i="48" a="1"/>
  <c r="P109" i="48" s="1"/>
  <c r="P110" i="48" a="1"/>
  <c r="P110" i="48" s="1"/>
  <c r="P111" i="48" a="1"/>
  <c r="P111" i="48" s="1"/>
  <c r="P112" i="48" a="1"/>
  <c r="P112" i="48" s="1"/>
  <c r="P113" i="48" a="1"/>
  <c r="P113" i="48" s="1"/>
  <c r="P114" i="48" a="1"/>
  <c r="P114" i="48" s="1"/>
  <c r="P115" i="48" a="1"/>
  <c r="P115" i="48" s="1"/>
  <c r="P116" i="48" a="1"/>
  <c r="P116" i="48" s="1"/>
  <c r="P117" i="48" a="1"/>
  <c r="P117" i="48" s="1"/>
  <c r="P118" i="48" a="1"/>
  <c r="P118" i="48" s="1"/>
  <c r="P119" i="48" a="1"/>
  <c r="P119" i="48" s="1"/>
  <c r="P120" i="48" a="1"/>
  <c r="P120" i="48" s="1"/>
  <c r="P121" i="48" a="1"/>
  <c r="P121" i="48" s="1"/>
  <c r="P122" i="48" a="1"/>
  <c r="P122" i="48" s="1"/>
  <c r="P123" i="48" a="1"/>
  <c r="P123" i="48" s="1"/>
  <c r="P124" i="48" a="1"/>
  <c r="P124" i="48" s="1"/>
  <c r="P125" i="48" a="1"/>
  <c r="P125" i="48" s="1"/>
  <c r="P126" i="48" a="1"/>
  <c r="P126" i="48" s="1"/>
  <c r="P127" i="48" a="1"/>
  <c r="P127" i="48" s="1"/>
  <c r="P128" i="48" a="1"/>
  <c r="P128" i="48" s="1"/>
  <c r="P129" i="48" a="1"/>
  <c r="P129" i="48" s="1"/>
  <c r="P130" i="48" a="1"/>
  <c r="P130" i="48" s="1"/>
  <c r="P131" i="48" a="1"/>
  <c r="P131" i="48" s="1"/>
  <c r="P132" i="48" a="1"/>
  <c r="P132" i="48" s="1"/>
  <c r="P133" i="48" a="1"/>
  <c r="P133" i="48" s="1"/>
  <c r="P134" i="48" a="1"/>
  <c r="P134" i="48" s="1"/>
  <c r="P135" i="48" a="1"/>
  <c r="P135" i="48" s="1"/>
  <c r="P136" i="48" a="1"/>
  <c r="P136" i="48" s="1"/>
  <c r="P137" i="48" a="1"/>
  <c r="P137" i="48" s="1"/>
  <c r="P138" i="48" a="1"/>
  <c r="P138" i="48" s="1"/>
  <c r="P139" i="48" a="1"/>
  <c r="P139" i="48" s="1"/>
  <c r="P140" i="48" a="1"/>
  <c r="P140" i="48" s="1"/>
  <c r="P141" i="48" a="1"/>
  <c r="P141" i="48" s="1"/>
  <c r="P142" i="48" a="1"/>
  <c r="P142" i="48" s="1"/>
  <c r="P143" i="48" a="1"/>
  <c r="P143" i="48" s="1"/>
  <c r="P144" i="48" a="1"/>
  <c r="P144" i="48" s="1"/>
  <c r="P145" i="48" a="1"/>
  <c r="P145" i="48" s="1"/>
  <c r="P146" i="48" a="1"/>
  <c r="P146" i="48" s="1"/>
  <c r="P147" i="48" a="1"/>
  <c r="P147" i="48" s="1"/>
  <c r="P148" i="48" a="1"/>
  <c r="P148" i="48" s="1"/>
  <c r="P149" i="48" a="1"/>
  <c r="P149" i="48" s="1"/>
  <c r="P150" i="48" a="1"/>
  <c r="P150" i="48" s="1"/>
  <c r="P151" i="48" a="1"/>
  <c r="P151" i="48" s="1"/>
  <c r="P152" i="48" a="1"/>
  <c r="P152" i="48" s="1"/>
  <c r="P153" i="48" a="1"/>
  <c r="P153" i="48" s="1"/>
  <c r="P154" i="48" a="1"/>
  <c r="P154" i="48" s="1"/>
  <c r="P155" i="48" a="1"/>
  <c r="P155" i="48" s="1"/>
  <c r="P156" i="48" a="1"/>
  <c r="P156" i="48" s="1"/>
  <c r="P157" i="48" a="1"/>
  <c r="P157" i="48" s="1"/>
  <c r="P158" i="48" a="1"/>
  <c r="P158" i="48" s="1"/>
  <c r="P159" i="48" a="1"/>
  <c r="P159" i="48" s="1"/>
  <c r="P160" i="48" a="1"/>
  <c r="P160" i="48" s="1"/>
  <c r="P161" i="48" a="1"/>
  <c r="P161" i="48" s="1"/>
  <c r="P162" i="48" a="1"/>
  <c r="P162" i="48" s="1"/>
  <c r="P163" i="48" a="1"/>
  <c r="P163" i="48" s="1"/>
  <c r="P164" i="48" a="1"/>
  <c r="P164" i="48" s="1"/>
  <c r="P165" i="48" a="1"/>
  <c r="P165" i="48" s="1"/>
  <c r="P166" i="48" a="1"/>
  <c r="P166" i="48" s="1"/>
  <c r="P167" i="48" a="1"/>
  <c r="P167" i="48" s="1"/>
  <c r="P168" i="48" a="1"/>
  <c r="P168" i="48" s="1"/>
  <c r="P169" i="48" a="1"/>
  <c r="P169" i="48" s="1"/>
  <c r="P170" i="48" a="1"/>
  <c r="P170" i="48" s="1"/>
  <c r="P171" i="48" a="1"/>
  <c r="P171" i="48" s="1"/>
  <c r="P172" i="48" a="1"/>
  <c r="P172" i="48" s="1"/>
  <c r="P173" i="48" a="1"/>
  <c r="P173" i="48" s="1"/>
  <c r="P174" i="48" a="1"/>
  <c r="P174" i="48" s="1"/>
  <c r="P175" i="48" a="1"/>
  <c r="P175" i="48" s="1"/>
  <c r="P176" i="48" a="1"/>
  <c r="P176" i="48" s="1"/>
  <c r="P177" i="48" a="1"/>
  <c r="P177" i="48" s="1"/>
  <c r="P178" i="48" a="1"/>
  <c r="P178" i="48" s="1"/>
  <c r="P179" i="48" a="1"/>
  <c r="P179" i="48" s="1"/>
  <c r="P180" i="48" a="1"/>
  <c r="P180" i="48" s="1"/>
  <c r="P181" i="48" a="1"/>
  <c r="P181" i="48" s="1"/>
  <c r="P182" i="48" a="1"/>
  <c r="P182" i="48" s="1"/>
  <c r="P183" i="48" a="1"/>
  <c r="P183" i="48" s="1"/>
  <c r="P184" i="48" a="1"/>
  <c r="P184" i="48" s="1"/>
  <c r="P185" i="48" a="1"/>
  <c r="P185" i="48" s="1"/>
  <c r="P186" i="48" a="1"/>
  <c r="P186" i="48" s="1"/>
  <c r="P187" i="48" a="1"/>
  <c r="P187" i="48" s="1"/>
  <c r="P188" i="48" a="1"/>
  <c r="P188" i="48" s="1"/>
  <c r="P189" i="48" a="1"/>
  <c r="P189" i="48" s="1"/>
  <c r="P190" i="48" a="1"/>
  <c r="P190" i="48" s="1"/>
  <c r="P191" i="48" a="1"/>
  <c r="P191" i="48" s="1"/>
  <c r="P192" i="48" a="1"/>
  <c r="P192" i="48" s="1"/>
  <c r="P193" i="48" a="1"/>
  <c r="P193" i="48" s="1"/>
  <c r="P194" i="48" a="1"/>
  <c r="P194" i="48" s="1"/>
  <c r="P195" i="48" a="1"/>
  <c r="P195" i="48" s="1"/>
  <c r="P196" i="48" a="1"/>
  <c r="P196" i="48" s="1"/>
  <c r="P197" i="48" a="1"/>
  <c r="P197" i="48" s="1"/>
  <c r="P198" i="48" a="1"/>
  <c r="P198" i="48" s="1"/>
  <c r="P199" i="48" a="1"/>
  <c r="P199" i="48" s="1"/>
  <c r="P200" i="48" a="1"/>
  <c r="P200" i="48" s="1"/>
  <c r="P201" i="48" a="1"/>
  <c r="P201" i="48" s="1"/>
  <c r="P202" i="48" a="1"/>
  <c r="P202" i="48" s="1"/>
  <c r="P203" i="48" a="1"/>
  <c r="P203" i="48" s="1"/>
  <c r="P204" i="48" a="1"/>
  <c r="P204" i="48" s="1"/>
  <c r="P205" i="48" a="1"/>
  <c r="P205" i="48" s="1"/>
  <c r="P206" i="48" a="1"/>
  <c r="P206" i="48" s="1"/>
  <c r="P207" i="48" a="1"/>
  <c r="P207" i="48" s="1"/>
  <c r="P208" i="48" a="1"/>
  <c r="P208" i="48" s="1"/>
  <c r="P209" i="48" a="1"/>
  <c r="P209" i="48" s="1"/>
  <c r="P210" i="48" a="1"/>
  <c r="P210" i="48" s="1"/>
  <c r="P211" i="48" a="1"/>
  <c r="P211" i="48" s="1"/>
  <c r="P212" i="48" a="1"/>
  <c r="P212" i="48" s="1"/>
  <c r="P213" i="48" a="1"/>
  <c r="P213" i="48" s="1"/>
  <c r="P214" i="48" a="1"/>
  <c r="P214" i="48" s="1"/>
  <c r="P215" i="48" a="1"/>
  <c r="P215" i="48" s="1"/>
  <c r="P216" i="48" a="1"/>
  <c r="P216" i="48" s="1"/>
  <c r="P217" i="48" a="1"/>
  <c r="P217" i="48" s="1"/>
  <c r="P218" i="48" a="1"/>
  <c r="P218" i="48" s="1"/>
  <c r="P219" i="48" a="1"/>
  <c r="P219" i="48" s="1"/>
  <c r="P220" i="48" a="1"/>
  <c r="P220" i="48" s="1"/>
  <c r="P4" i="48" a="1"/>
  <c r="P4" i="48" s="1"/>
  <c r="V3" i="44"/>
  <c r="V4" i="44"/>
  <c r="V5" i="44"/>
  <c r="V6" i="44"/>
  <c r="V7" i="44"/>
  <c r="V8" i="44"/>
  <c r="V9" i="44"/>
  <c r="V10" i="44"/>
  <c r="V11" i="44"/>
  <c r="V12" i="44"/>
  <c r="V13" i="44"/>
  <c r="V14" i="44"/>
  <c r="V15" i="44"/>
  <c r="V16" i="44"/>
  <c r="V17" i="44"/>
  <c r="V18" i="44"/>
  <c r="V19" i="44"/>
  <c r="V20" i="44"/>
  <c r="V21" i="44"/>
  <c r="V22" i="44"/>
  <c r="V23" i="44"/>
  <c r="V24" i="44"/>
  <c r="V25" i="44"/>
  <c r="V26" i="44"/>
  <c r="V27" i="44"/>
  <c r="V28" i="44"/>
  <c r="V29" i="44"/>
  <c r="V30" i="44"/>
  <c r="V31" i="44"/>
  <c r="V32" i="44"/>
  <c r="V33" i="44"/>
  <c r="V34" i="44"/>
  <c r="V35" i="44"/>
  <c r="V36" i="44"/>
  <c r="V37" i="44"/>
  <c r="V38" i="44"/>
  <c r="V39" i="44"/>
  <c r="V40" i="44"/>
  <c r="V41" i="44"/>
  <c r="V42" i="44"/>
  <c r="V43" i="44"/>
  <c r="V44" i="44"/>
  <c r="V45" i="44"/>
  <c r="V46" i="44"/>
  <c r="V47" i="44"/>
  <c r="V48" i="44"/>
  <c r="V49" i="44"/>
  <c r="V50" i="44"/>
  <c r="V51" i="44"/>
  <c r="V52" i="44"/>
  <c r="V53" i="44"/>
  <c r="V54" i="44"/>
  <c r="V55" i="44"/>
  <c r="V56" i="44"/>
  <c r="V57" i="44"/>
  <c r="V58" i="44"/>
  <c r="V59" i="44"/>
  <c r="V60" i="44"/>
  <c r="V61" i="44"/>
  <c r="V62" i="44"/>
  <c r="V63" i="44"/>
  <c r="V64" i="44"/>
  <c r="V65" i="44"/>
  <c r="V66" i="44"/>
  <c r="V67" i="44"/>
  <c r="V68" i="44"/>
  <c r="V69" i="44"/>
  <c r="V70" i="44"/>
  <c r="V71" i="44"/>
  <c r="V72" i="44"/>
  <c r="V73" i="44"/>
  <c r="V74" i="44"/>
  <c r="V75" i="44"/>
  <c r="V76" i="44"/>
  <c r="V77" i="44"/>
  <c r="V78" i="44"/>
  <c r="V79" i="44"/>
  <c r="V80" i="44"/>
  <c r="V81" i="44"/>
  <c r="V82" i="44"/>
  <c r="V83" i="44"/>
  <c r="V84" i="44"/>
  <c r="V85" i="44"/>
  <c r="V86" i="44"/>
  <c r="V87" i="44"/>
  <c r="V88" i="44"/>
  <c r="V89" i="44"/>
  <c r="V90" i="44"/>
  <c r="V91" i="44"/>
  <c r="V92" i="44"/>
  <c r="V93" i="44"/>
  <c r="V94" i="44"/>
  <c r="V95" i="44"/>
  <c r="V96" i="44"/>
  <c r="V97" i="44"/>
  <c r="V98" i="44"/>
  <c r="V99" i="44"/>
  <c r="V100" i="44"/>
  <c r="V101" i="44"/>
  <c r="V102" i="44"/>
  <c r="V103" i="44"/>
  <c r="V104" i="44"/>
  <c r="V105" i="44"/>
  <c r="V106" i="44"/>
  <c r="V107" i="44"/>
  <c r="V108" i="44"/>
  <c r="V109" i="44"/>
  <c r="V110" i="44"/>
  <c r="V111" i="44"/>
  <c r="V112" i="44"/>
  <c r="V113" i="44"/>
  <c r="V114" i="44"/>
  <c r="V115" i="44"/>
  <c r="V116" i="44"/>
  <c r="V117" i="44"/>
  <c r="V118" i="44"/>
  <c r="V119" i="44"/>
  <c r="V120" i="44"/>
  <c r="V121" i="44"/>
  <c r="V122" i="44"/>
  <c r="V123" i="44"/>
  <c r="V124" i="44"/>
  <c r="V125" i="44"/>
  <c r="V126" i="44"/>
  <c r="V127" i="44"/>
  <c r="V128" i="44"/>
  <c r="V129" i="44"/>
  <c r="V130" i="44"/>
  <c r="V131" i="44"/>
  <c r="V132" i="44"/>
  <c r="V133" i="44"/>
  <c r="V134" i="44"/>
  <c r="V135" i="44"/>
  <c r="V136" i="44"/>
  <c r="V137" i="44"/>
  <c r="V138" i="44"/>
  <c r="V139" i="44"/>
  <c r="V140" i="44"/>
  <c r="V141" i="44"/>
  <c r="V142" i="44"/>
  <c r="V143" i="44"/>
  <c r="V144" i="44"/>
  <c r="V145" i="44"/>
  <c r="V146" i="44"/>
  <c r="V147" i="44"/>
  <c r="V148" i="44"/>
  <c r="V149" i="44"/>
  <c r="V150" i="44"/>
  <c r="V151" i="44"/>
  <c r="V152" i="44"/>
  <c r="V153" i="44"/>
  <c r="V154" i="44"/>
  <c r="V155" i="44"/>
  <c r="V156" i="44"/>
  <c r="V157" i="44"/>
  <c r="V158" i="44"/>
  <c r="V159" i="44"/>
  <c r="V160" i="44"/>
  <c r="V161" i="44"/>
  <c r="V162" i="44"/>
  <c r="V163" i="44"/>
  <c r="V164" i="44"/>
  <c r="V165" i="44"/>
  <c r="V166" i="44"/>
  <c r="V167" i="44"/>
  <c r="V168" i="44"/>
  <c r="V169" i="44"/>
  <c r="V170" i="44"/>
  <c r="V171" i="44"/>
  <c r="V172" i="44"/>
  <c r="V173" i="44"/>
  <c r="V174" i="44"/>
  <c r="V175" i="44"/>
  <c r="V176" i="44"/>
  <c r="V177" i="44"/>
  <c r="V178" i="44"/>
  <c r="V179" i="44"/>
  <c r="V180" i="44"/>
  <c r="V181" i="44"/>
  <c r="V182" i="44"/>
  <c r="V183" i="44"/>
  <c r="V184" i="44"/>
  <c r="V185" i="44"/>
  <c r="V186" i="44"/>
  <c r="V187" i="44"/>
  <c r="V188" i="44"/>
  <c r="V189" i="44"/>
  <c r="V190" i="44"/>
  <c r="V191" i="44"/>
  <c r="V192" i="44"/>
  <c r="V193" i="44"/>
  <c r="V194" i="44"/>
  <c r="V195" i="44"/>
  <c r="V196" i="44"/>
  <c r="V197" i="44"/>
  <c r="V198" i="44"/>
  <c r="V199" i="44"/>
  <c r="V200" i="44"/>
  <c r="V201" i="44"/>
  <c r="V202" i="44"/>
  <c r="V203" i="44"/>
  <c r="V204" i="44"/>
  <c r="V205" i="44"/>
  <c r="V206" i="44"/>
  <c r="V207" i="44"/>
  <c r="V208" i="44"/>
  <c r="V209" i="44"/>
  <c r="V210" i="44"/>
  <c r="V211" i="44"/>
  <c r="V212" i="44"/>
  <c r="V213" i="44"/>
  <c r="V214" i="44"/>
  <c r="V215" i="44"/>
  <c r="V216" i="44"/>
  <c r="V217" i="44"/>
  <c r="V218" i="44"/>
  <c r="V219" i="44"/>
  <c r="V220" i="44"/>
  <c r="V221" i="44"/>
  <c r="V222" i="44"/>
  <c r="V223" i="44"/>
  <c r="V224" i="44"/>
  <c r="V225" i="44"/>
  <c r="V226" i="44"/>
  <c r="V227" i="44"/>
  <c r="V228" i="44"/>
  <c r="V229" i="44"/>
  <c r="V230" i="44"/>
  <c r="V231" i="44"/>
  <c r="V232" i="44"/>
  <c r="V233" i="44"/>
  <c r="V234" i="44"/>
  <c r="V235" i="44"/>
  <c r="V236" i="44"/>
  <c r="V237" i="44"/>
  <c r="V238" i="44"/>
  <c r="V239" i="44"/>
  <c r="V240" i="44"/>
  <c r="V241" i="44"/>
  <c r="V242" i="44"/>
  <c r="V243" i="44"/>
  <c r="V244" i="44"/>
  <c r="V245" i="44"/>
  <c r="V246" i="44"/>
  <c r="V247" i="44"/>
  <c r="V248" i="44"/>
  <c r="V249" i="44"/>
  <c r="V250" i="44"/>
  <c r="V251" i="44"/>
  <c r="V252" i="44"/>
  <c r="V253" i="44"/>
  <c r="V254" i="44"/>
  <c r="V255" i="44"/>
  <c r="V256" i="44"/>
  <c r="V257" i="44"/>
  <c r="V258" i="44"/>
  <c r="V259" i="44"/>
  <c r="V260" i="44"/>
  <c r="V261" i="44"/>
  <c r="V262" i="44"/>
  <c r="V263" i="44"/>
  <c r="V264" i="44"/>
  <c r="V265" i="44"/>
  <c r="V266" i="44"/>
  <c r="V267" i="44"/>
  <c r="V268" i="44"/>
  <c r="V269" i="44"/>
  <c r="V270" i="44"/>
  <c r="V271" i="44"/>
  <c r="V272" i="44"/>
  <c r="V273" i="44"/>
  <c r="V274" i="44"/>
  <c r="V275" i="44"/>
  <c r="V276" i="44"/>
  <c r="V277" i="44"/>
  <c r="V278" i="44"/>
  <c r="V279" i="44"/>
  <c r="V280" i="44"/>
  <c r="V281" i="44"/>
  <c r="V282" i="44"/>
  <c r="V283" i="44"/>
  <c r="V284" i="44"/>
  <c r="V285" i="44"/>
  <c r="V286" i="44"/>
  <c r="V287" i="44"/>
  <c r="V288" i="44"/>
  <c r="V289" i="44"/>
  <c r="V290" i="44"/>
  <c r="V291" i="44"/>
  <c r="V292" i="44"/>
  <c r="V293" i="44"/>
  <c r="V294" i="44"/>
  <c r="V295" i="44"/>
  <c r="V296" i="44"/>
  <c r="V297" i="44"/>
  <c r="V298" i="44"/>
  <c r="V299" i="44"/>
  <c r="V300" i="44"/>
  <c r="V301" i="44"/>
  <c r="V302" i="44"/>
  <c r="V303" i="44"/>
  <c r="V304" i="44"/>
  <c r="V305" i="44"/>
  <c r="V306" i="44"/>
  <c r="V307" i="44"/>
  <c r="V308" i="44"/>
  <c r="V309" i="44"/>
  <c r="V310" i="44"/>
  <c r="V311" i="44"/>
  <c r="V312" i="44"/>
  <c r="V313" i="44"/>
  <c r="V314" i="44"/>
  <c r="V315" i="44"/>
  <c r="V316" i="44"/>
  <c r="V317" i="44"/>
  <c r="V318" i="44"/>
  <c r="V319" i="44"/>
  <c r="V320" i="44"/>
  <c r="V321" i="44"/>
  <c r="V322" i="44"/>
  <c r="V323" i="44"/>
  <c r="V324" i="44"/>
  <c r="V325" i="44"/>
  <c r="V326" i="44"/>
  <c r="V327" i="44"/>
  <c r="V328" i="44"/>
  <c r="V329" i="44"/>
  <c r="V330" i="44"/>
  <c r="V331" i="44"/>
  <c r="V332" i="44"/>
  <c r="V333" i="44"/>
  <c r="V334" i="44"/>
  <c r="V335" i="44"/>
  <c r="V336" i="44"/>
  <c r="V337" i="44"/>
  <c r="V338" i="44"/>
  <c r="V339" i="44"/>
  <c r="V340" i="44"/>
  <c r="V341" i="44"/>
  <c r="V342" i="44"/>
  <c r="V343" i="44"/>
  <c r="V344" i="44"/>
  <c r="V345" i="44"/>
  <c r="V346" i="44"/>
  <c r="V347" i="44"/>
  <c r="V348" i="44"/>
  <c r="V349" i="44"/>
  <c r="V350" i="44"/>
  <c r="V351" i="44"/>
  <c r="V352" i="44"/>
  <c r="V353" i="44"/>
  <c r="V354" i="44"/>
  <c r="V355" i="44"/>
  <c r="V356" i="44"/>
  <c r="V357" i="44"/>
  <c r="V358" i="44"/>
  <c r="V359" i="44"/>
  <c r="V360" i="44"/>
  <c r="V361" i="44"/>
  <c r="V362" i="44"/>
  <c r="V363" i="44"/>
  <c r="V364" i="44"/>
  <c r="V365" i="44"/>
  <c r="V366" i="44"/>
  <c r="V367" i="44"/>
  <c r="V368" i="44"/>
  <c r="V369" i="44"/>
  <c r="V370" i="44"/>
  <c r="V371" i="44"/>
  <c r="V372" i="44"/>
  <c r="V373" i="44"/>
  <c r="V374" i="44"/>
  <c r="V375" i="44"/>
  <c r="V376" i="44"/>
  <c r="V377" i="44"/>
  <c r="V378" i="44"/>
  <c r="V379" i="44"/>
  <c r="V380" i="44"/>
  <c r="V381" i="44"/>
  <c r="V382" i="44"/>
  <c r="V383" i="44"/>
  <c r="V384" i="44"/>
  <c r="V385" i="44"/>
  <c r="V386" i="44"/>
  <c r="V387" i="44"/>
  <c r="V388" i="44"/>
  <c r="V389" i="44"/>
  <c r="V390" i="44"/>
  <c r="V391" i="44"/>
  <c r="V392" i="44"/>
  <c r="V393" i="44"/>
  <c r="V394" i="44"/>
  <c r="V395" i="44"/>
  <c r="V396" i="44"/>
  <c r="V397" i="44"/>
  <c r="V398" i="44"/>
  <c r="V399" i="44"/>
  <c r="V400" i="44"/>
  <c r="V401" i="44"/>
  <c r="V402" i="44"/>
  <c r="V403" i="44"/>
  <c r="V404" i="44"/>
  <c r="V405" i="44"/>
  <c r="V406" i="44"/>
  <c r="V407" i="44"/>
  <c r="V408" i="44"/>
  <c r="V409" i="44"/>
  <c r="V410" i="44"/>
  <c r="V411" i="44"/>
  <c r="V412" i="44"/>
  <c r="V413" i="44"/>
  <c r="V414" i="44"/>
  <c r="V415" i="44"/>
  <c r="V416" i="44"/>
  <c r="V417" i="44"/>
  <c r="V418" i="44"/>
  <c r="V419" i="44"/>
  <c r="V420" i="44"/>
  <c r="V421" i="44"/>
  <c r="V422" i="44"/>
  <c r="V423" i="44"/>
  <c r="V424" i="44"/>
  <c r="V425" i="44"/>
  <c r="V426" i="44"/>
  <c r="V427" i="44"/>
  <c r="V428" i="44"/>
  <c r="V429" i="44"/>
  <c r="V430" i="44"/>
  <c r="V431" i="44"/>
  <c r="V432" i="44"/>
  <c r="V433" i="44"/>
  <c r="V434" i="44"/>
  <c r="V435" i="44"/>
  <c r="V436" i="44"/>
  <c r="V437" i="44"/>
  <c r="V438" i="44"/>
  <c r="V439" i="44"/>
  <c r="V440" i="44"/>
  <c r="V441" i="44"/>
  <c r="V442" i="44"/>
  <c r="V443" i="44"/>
  <c r="V444" i="44"/>
  <c r="V445" i="44"/>
  <c r="V446" i="44"/>
  <c r="V447" i="44"/>
  <c r="V448" i="44"/>
  <c r="V449" i="44"/>
  <c r="V450" i="44"/>
  <c r="V451" i="44"/>
  <c r="V452" i="44"/>
  <c r="V453" i="44"/>
  <c r="V454" i="44"/>
  <c r="V455" i="44"/>
  <c r="V456" i="44"/>
  <c r="V457" i="44"/>
  <c r="V458" i="44"/>
  <c r="V459" i="44"/>
  <c r="V460" i="44"/>
  <c r="V461" i="44"/>
  <c r="V462" i="44"/>
  <c r="V463" i="44"/>
  <c r="V464" i="44"/>
  <c r="V465" i="44"/>
  <c r="V466" i="44"/>
  <c r="V467" i="44"/>
  <c r="V468" i="44"/>
  <c r="V469" i="44"/>
  <c r="V470" i="44"/>
  <c r="V471" i="44"/>
  <c r="V472" i="44"/>
  <c r="V473" i="44"/>
  <c r="V474" i="44"/>
  <c r="V475" i="44"/>
  <c r="V476" i="44"/>
  <c r="V477" i="44"/>
  <c r="V478" i="44"/>
  <c r="V479" i="44"/>
  <c r="V480" i="44"/>
  <c r="V481" i="44"/>
  <c r="V482" i="44"/>
  <c r="V483" i="44"/>
  <c r="V484" i="44"/>
  <c r="V485" i="44"/>
  <c r="V486" i="44"/>
  <c r="V487" i="44"/>
  <c r="V488" i="44"/>
  <c r="V489" i="44"/>
  <c r="V490" i="44"/>
  <c r="V491" i="44"/>
  <c r="V492" i="44"/>
  <c r="V493" i="44"/>
  <c r="V494" i="44"/>
  <c r="V495" i="44"/>
  <c r="V496" i="44"/>
  <c r="V497" i="44"/>
  <c r="V498" i="44"/>
  <c r="V499" i="44"/>
  <c r="V500" i="44"/>
  <c r="V501" i="44"/>
  <c r="V502" i="44"/>
  <c r="V503" i="44"/>
  <c r="V504" i="44"/>
  <c r="V505" i="44"/>
  <c r="V506" i="44"/>
  <c r="V507" i="44"/>
  <c r="V508" i="44"/>
  <c r="V509" i="44"/>
  <c r="V510" i="44"/>
  <c r="V511" i="44"/>
  <c r="V512" i="44"/>
  <c r="V513" i="44"/>
  <c r="V514" i="44"/>
  <c r="V515" i="44"/>
  <c r="V516" i="44"/>
  <c r="V517" i="44"/>
  <c r="V518" i="44"/>
  <c r="V519" i="44"/>
  <c r="V520" i="44"/>
  <c r="V521" i="44"/>
  <c r="V522" i="44"/>
  <c r="V523" i="44"/>
  <c r="V524" i="44"/>
  <c r="V525" i="44"/>
  <c r="V526" i="44"/>
  <c r="V527" i="44"/>
  <c r="V528" i="44"/>
  <c r="V529" i="44"/>
  <c r="V530" i="44"/>
  <c r="V531" i="44"/>
  <c r="V532" i="44"/>
  <c r="V533" i="44"/>
  <c r="V534" i="44"/>
  <c r="V535" i="44"/>
  <c r="V536" i="44"/>
  <c r="V537" i="44"/>
  <c r="V538" i="44"/>
  <c r="V539" i="44"/>
  <c r="V540" i="44"/>
  <c r="V541" i="44"/>
  <c r="V542" i="44"/>
  <c r="V543" i="44"/>
  <c r="V544" i="44"/>
  <c r="V545" i="44"/>
  <c r="V546" i="44"/>
  <c r="V547" i="44"/>
  <c r="V548" i="44"/>
  <c r="V549" i="44"/>
  <c r="V550" i="44"/>
  <c r="V551" i="44"/>
  <c r="V552" i="44"/>
  <c r="V553" i="44"/>
  <c r="V554" i="44"/>
  <c r="V555" i="44"/>
  <c r="V556" i="44"/>
  <c r="V557" i="44"/>
  <c r="V558" i="44"/>
  <c r="V559" i="44"/>
  <c r="V560" i="44"/>
  <c r="V561" i="44"/>
  <c r="V562" i="44"/>
  <c r="V563" i="44"/>
  <c r="V564" i="44"/>
  <c r="V565" i="44"/>
  <c r="V566" i="44"/>
  <c r="V567" i="44"/>
  <c r="V568" i="44"/>
  <c r="V569" i="44"/>
  <c r="V570" i="44"/>
  <c r="V571" i="44"/>
  <c r="V572" i="44"/>
  <c r="V573" i="44"/>
  <c r="V574" i="44"/>
  <c r="V575" i="44"/>
  <c r="V576" i="44"/>
  <c r="V577" i="44"/>
  <c r="V578" i="44"/>
  <c r="V579" i="44"/>
  <c r="V580" i="44"/>
  <c r="V581" i="44"/>
  <c r="V582" i="44"/>
  <c r="V583" i="44"/>
  <c r="V584" i="44"/>
  <c r="V585" i="44"/>
  <c r="V586" i="44"/>
  <c r="V587" i="44"/>
  <c r="V588" i="44"/>
  <c r="V589" i="44"/>
  <c r="V590" i="44"/>
  <c r="V591" i="44"/>
  <c r="V592" i="44"/>
  <c r="V593" i="44"/>
  <c r="V594" i="44"/>
  <c r="V595" i="44"/>
  <c r="V596" i="44"/>
  <c r="V597" i="44"/>
  <c r="V598" i="44"/>
  <c r="V599" i="44"/>
  <c r="V600" i="44"/>
  <c r="V601" i="44"/>
  <c r="V602" i="44"/>
  <c r="V603" i="44"/>
  <c r="V604" i="44"/>
  <c r="V605" i="44"/>
  <c r="V606" i="44"/>
  <c r="V607" i="44"/>
  <c r="V608" i="44"/>
  <c r="V609" i="44"/>
  <c r="V610" i="44"/>
  <c r="V611" i="44"/>
  <c r="V612" i="44"/>
  <c r="V613" i="44"/>
  <c r="V614" i="44"/>
  <c r="V615" i="44"/>
  <c r="V616" i="44"/>
  <c r="V617" i="44"/>
  <c r="V618" i="44"/>
  <c r="V619" i="44"/>
  <c r="V620" i="44"/>
  <c r="V621" i="44"/>
  <c r="V622" i="44"/>
  <c r="V623" i="44"/>
  <c r="V624" i="44"/>
  <c r="V625" i="44"/>
  <c r="V626" i="44"/>
  <c r="V627" i="44"/>
  <c r="V628" i="44"/>
  <c r="V629" i="44"/>
  <c r="V630" i="44"/>
  <c r="V631" i="44"/>
  <c r="V632" i="44"/>
  <c r="V633" i="44"/>
  <c r="V634" i="44"/>
  <c r="V635" i="44"/>
  <c r="V636" i="44"/>
  <c r="V637" i="44"/>
  <c r="V638" i="44"/>
  <c r="V639" i="44"/>
  <c r="V640" i="44"/>
  <c r="V641" i="44"/>
  <c r="V642" i="44"/>
  <c r="V643" i="44"/>
  <c r="V644" i="44"/>
  <c r="V645" i="44"/>
  <c r="V646" i="44"/>
  <c r="V647" i="44"/>
  <c r="V648" i="44"/>
  <c r="V649" i="44"/>
  <c r="V650" i="44"/>
  <c r="V651" i="44"/>
  <c r="V2" i="44"/>
  <c r="U3" i="44"/>
  <c r="U4" i="44"/>
  <c r="U5" i="44"/>
  <c r="U6" i="44"/>
  <c r="U7" i="44"/>
  <c r="U8" i="44"/>
  <c r="U9" i="44"/>
  <c r="U10" i="44"/>
  <c r="U11" i="44"/>
  <c r="U12" i="44"/>
  <c r="U13" i="44"/>
  <c r="U14" i="44"/>
  <c r="U15" i="44"/>
  <c r="U16" i="44"/>
  <c r="U17" i="44"/>
  <c r="U18" i="44"/>
  <c r="U19" i="44"/>
  <c r="U20" i="44"/>
  <c r="U21" i="44"/>
  <c r="U22" i="44"/>
  <c r="U23" i="44"/>
  <c r="U24" i="44"/>
  <c r="U25" i="44"/>
  <c r="U26" i="44"/>
  <c r="U27" i="44"/>
  <c r="U28" i="44"/>
  <c r="U29" i="44"/>
  <c r="U30" i="44"/>
  <c r="U31" i="44"/>
  <c r="U32" i="44"/>
  <c r="U33" i="44"/>
  <c r="U34" i="44"/>
  <c r="U35" i="44"/>
  <c r="U36" i="44"/>
  <c r="U37" i="44"/>
  <c r="U38" i="44"/>
  <c r="U39" i="44"/>
  <c r="U40" i="44"/>
  <c r="U41" i="44"/>
  <c r="U42" i="44"/>
  <c r="U43" i="44"/>
  <c r="U44" i="44"/>
  <c r="U45" i="44"/>
  <c r="U46" i="44"/>
  <c r="U47" i="44"/>
  <c r="U48" i="44"/>
  <c r="U49" i="44"/>
  <c r="U50" i="44"/>
  <c r="U51" i="44"/>
  <c r="U52" i="44"/>
  <c r="U53" i="44"/>
  <c r="U54" i="44"/>
  <c r="U55" i="44"/>
  <c r="U56" i="44"/>
  <c r="U57" i="44"/>
  <c r="U58" i="44"/>
  <c r="U59" i="44"/>
  <c r="U60" i="44"/>
  <c r="U61" i="44"/>
  <c r="U62" i="44"/>
  <c r="U63" i="44"/>
  <c r="U64" i="44"/>
  <c r="U65" i="44"/>
  <c r="U66" i="44"/>
  <c r="U67" i="44"/>
  <c r="U68" i="44"/>
  <c r="U69" i="44"/>
  <c r="U70" i="44"/>
  <c r="U71" i="44"/>
  <c r="U72" i="44"/>
  <c r="U73" i="44"/>
  <c r="U74" i="44"/>
  <c r="U75" i="44"/>
  <c r="U76" i="44"/>
  <c r="U77" i="44"/>
  <c r="U78" i="44"/>
  <c r="U79" i="44"/>
  <c r="U80" i="44"/>
  <c r="U81" i="44"/>
  <c r="U82" i="44"/>
  <c r="U83" i="44"/>
  <c r="U84" i="44"/>
  <c r="U85" i="44"/>
  <c r="U86" i="44"/>
  <c r="U87" i="44"/>
  <c r="U88" i="44"/>
  <c r="U89" i="44"/>
  <c r="U90" i="44"/>
  <c r="U91" i="44"/>
  <c r="U92" i="44"/>
  <c r="U93" i="44"/>
  <c r="U94" i="44"/>
  <c r="U95" i="44"/>
  <c r="U96" i="44"/>
  <c r="U97" i="44"/>
  <c r="U98" i="44"/>
  <c r="U99" i="44"/>
  <c r="U100" i="44"/>
  <c r="U101" i="44"/>
  <c r="U102" i="44"/>
  <c r="U103" i="44"/>
  <c r="U104" i="44"/>
  <c r="U105" i="44"/>
  <c r="U106" i="44"/>
  <c r="U107" i="44"/>
  <c r="U108" i="44"/>
  <c r="U109" i="44"/>
  <c r="U110" i="44"/>
  <c r="U111" i="44"/>
  <c r="U112" i="44"/>
  <c r="U113" i="44"/>
  <c r="U114" i="44"/>
  <c r="U115" i="44"/>
  <c r="U116" i="44"/>
  <c r="U117" i="44"/>
  <c r="U118" i="44"/>
  <c r="U119" i="44"/>
  <c r="U120" i="44"/>
  <c r="U121" i="44"/>
  <c r="U122" i="44"/>
  <c r="U123" i="44"/>
  <c r="U124" i="44"/>
  <c r="U125" i="44"/>
  <c r="U126" i="44"/>
  <c r="U127" i="44"/>
  <c r="U128" i="44"/>
  <c r="U129" i="44"/>
  <c r="U130" i="44"/>
  <c r="U131" i="44"/>
  <c r="U132" i="44"/>
  <c r="U133" i="44"/>
  <c r="U134" i="44"/>
  <c r="U135" i="44"/>
  <c r="U136" i="44"/>
  <c r="U137" i="44"/>
  <c r="U138" i="44"/>
  <c r="U139" i="44"/>
  <c r="U140" i="44"/>
  <c r="U141" i="44"/>
  <c r="U142" i="44"/>
  <c r="U143" i="44"/>
  <c r="U144" i="44"/>
  <c r="U145" i="44"/>
  <c r="U146" i="44"/>
  <c r="U147" i="44"/>
  <c r="U148" i="44"/>
  <c r="U149" i="44"/>
  <c r="U150" i="44"/>
  <c r="U151" i="44"/>
  <c r="U152" i="44"/>
  <c r="U153" i="44"/>
  <c r="U154" i="44"/>
  <c r="U155" i="44"/>
  <c r="U156" i="44"/>
  <c r="U157" i="44"/>
  <c r="U158" i="44"/>
  <c r="U159" i="44"/>
  <c r="U160" i="44"/>
  <c r="U161" i="44"/>
  <c r="U162" i="44"/>
  <c r="U163" i="44"/>
  <c r="U164" i="44"/>
  <c r="U165" i="44"/>
  <c r="U166" i="44"/>
  <c r="U167" i="44"/>
  <c r="U168" i="44"/>
  <c r="U169" i="44"/>
  <c r="U170" i="44"/>
  <c r="U171" i="44"/>
  <c r="U172" i="44"/>
  <c r="U173" i="44"/>
  <c r="U174" i="44"/>
  <c r="U175" i="44"/>
  <c r="U176" i="44"/>
  <c r="U177" i="44"/>
  <c r="U178" i="44"/>
  <c r="U179" i="44"/>
  <c r="U180" i="44"/>
  <c r="U181" i="44"/>
  <c r="U182" i="44"/>
  <c r="U183" i="44"/>
  <c r="U184" i="44"/>
  <c r="U185" i="44"/>
  <c r="U186" i="44"/>
  <c r="U187" i="44"/>
  <c r="U188" i="44"/>
  <c r="U189" i="44"/>
  <c r="U190" i="44"/>
  <c r="U191" i="44"/>
  <c r="U192" i="44"/>
  <c r="U193" i="44"/>
  <c r="U194" i="44"/>
  <c r="U195" i="44"/>
  <c r="U196" i="44"/>
  <c r="U197" i="44"/>
  <c r="U198" i="44"/>
  <c r="U199" i="44"/>
  <c r="U200" i="44"/>
  <c r="U201" i="44"/>
  <c r="U202" i="44"/>
  <c r="U203" i="44"/>
  <c r="U204" i="44"/>
  <c r="U205" i="44"/>
  <c r="U206" i="44"/>
  <c r="U207" i="44"/>
  <c r="U208" i="44"/>
  <c r="U209" i="44"/>
  <c r="U210" i="44"/>
  <c r="U211" i="44"/>
  <c r="U212" i="44"/>
  <c r="U213" i="44"/>
  <c r="U214" i="44"/>
  <c r="U215" i="44"/>
  <c r="U216" i="44"/>
  <c r="U217" i="44"/>
  <c r="U218" i="44"/>
  <c r="U219" i="44"/>
  <c r="U220" i="44"/>
  <c r="U221" i="44"/>
  <c r="U222" i="44"/>
  <c r="U223" i="44"/>
  <c r="U224" i="44"/>
  <c r="U225" i="44"/>
  <c r="U226" i="44"/>
  <c r="U227" i="44"/>
  <c r="U228" i="44"/>
  <c r="U229" i="44"/>
  <c r="U230" i="44"/>
  <c r="U231" i="44"/>
  <c r="U232" i="44"/>
  <c r="U233" i="44"/>
  <c r="U234" i="44"/>
  <c r="U235" i="44"/>
  <c r="U236" i="44"/>
  <c r="U237" i="44"/>
  <c r="U238" i="44"/>
  <c r="U239" i="44"/>
  <c r="U240" i="44"/>
  <c r="U241" i="44"/>
  <c r="U242" i="44"/>
  <c r="U243" i="44"/>
  <c r="U244" i="44"/>
  <c r="U245" i="44"/>
  <c r="U246" i="44"/>
  <c r="U247" i="44"/>
  <c r="U248" i="44"/>
  <c r="U249" i="44"/>
  <c r="U250" i="44"/>
  <c r="U251" i="44"/>
  <c r="U252" i="44"/>
  <c r="U253" i="44"/>
  <c r="U254" i="44"/>
  <c r="U255" i="44"/>
  <c r="U256" i="44"/>
  <c r="U257" i="44"/>
  <c r="U258" i="44"/>
  <c r="U259" i="44"/>
  <c r="U260" i="44"/>
  <c r="U261" i="44"/>
  <c r="U262" i="44"/>
  <c r="U263" i="44"/>
  <c r="U264" i="44"/>
  <c r="U265" i="44"/>
  <c r="U266" i="44"/>
  <c r="U267" i="44"/>
  <c r="U268" i="44"/>
  <c r="U269" i="44"/>
  <c r="U270" i="44"/>
  <c r="U271" i="44"/>
  <c r="U272" i="44"/>
  <c r="U273" i="44"/>
  <c r="U274" i="44"/>
  <c r="U275" i="44"/>
  <c r="U276" i="44"/>
  <c r="U277" i="44"/>
  <c r="U278" i="44"/>
  <c r="U279" i="44"/>
  <c r="U280" i="44"/>
  <c r="U281" i="44"/>
  <c r="U282" i="44"/>
  <c r="U283" i="44"/>
  <c r="U284" i="44"/>
  <c r="U285" i="44"/>
  <c r="U286" i="44"/>
  <c r="U287" i="44"/>
  <c r="U288" i="44"/>
  <c r="U289" i="44"/>
  <c r="U290" i="44"/>
  <c r="U291" i="44"/>
  <c r="U292" i="44"/>
  <c r="U293" i="44"/>
  <c r="U294" i="44"/>
  <c r="U295" i="44"/>
  <c r="U296" i="44"/>
  <c r="U297" i="44"/>
  <c r="U298" i="44"/>
  <c r="U299" i="44"/>
  <c r="U300" i="44"/>
  <c r="U301" i="44"/>
  <c r="U302" i="44"/>
  <c r="U303" i="44"/>
  <c r="U304" i="44"/>
  <c r="U305" i="44"/>
  <c r="U306" i="44"/>
  <c r="U307" i="44"/>
  <c r="U308" i="44"/>
  <c r="U309" i="44"/>
  <c r="U310" i="44"/>
  <c r="U311" i="44"/>
  <c r="U312" i="44"/>
  <c r="U313" i="44"/>
  <c r="U314" i="44"/>
  <c r="U315" i="44"/>
  <c r="U316" i="44"/>
  <c r="U317" i="44"/>
  <c r="U318" i="44"/>
  <c r="U319" i="44"/>
  <c r="U320" i="44"/>
  <c r="U321" i="44"/>
  <c r="U322" i="44"/>
  <c r="U323" i="44"/>
  <c r="U324" i="44"/>
  <c r="U325" i="44"/>
  <c r="U326" i="44"/>
  <c r="U327" i="44"/>
  <c r="U328" i="44"/>
  <c r="U329" i="44"/>
  <c r="U330" i="44"/>
  <c r="U331" i="44"/>
  <c r="U332" i="44"/>
  <c r="U333" i="44"/>
  <c r="U334" i="44"/>
  <c r="U335" i="44"/>
  <c r="U336" i="44"/>
  <c r="U337" i="44"/>
  <c r="U338" i="44"/>
  <c r="U339" i="44"/>
  <c r="U340" i="44"/>
  <c r="U341" i="44"/>
  <c r="U342" i="44"/>
  <c r="U343" i="44"/>
  <c r="U344" i="44"/>
  <c r="U345" i="44"/>
  <c r="U346" i="44"/>
  <c r="U347" i="44"/>
  <c r="U348" i="44"/>
  <c r="U349" i="44"/>
  <c r="U350" i="44"/>
  <c r="U351" i="44"/>
  <c r="U352" i="44"/>
  <c r="U353" i="44"/>
  <c r="U354" i="44"/>
  <c r="U355" i="44"/>
  <c r="U356" i="44"/>
  <c r="U357" i="44"/>
  <c r="U358" i="44"/>
  <c r="U359" i="44"/>
  <c r="U360" i="44"/>
  <c r="U361" i="44"/>
  <c r="U362" i="44"/>
  <c r="U363" i="44"/>
  <c r="U364" i="44"/>
  <c r="U365" i="44"/>
  <c r="U366" i="44"/>
  <c r="U367" i="44"/>
  <c r="U368" i="44"/>
  <c r="U369" i="44"/>
  <c r="U370" i="44"/>
  <c r="U371" i="44"/>
  <c r="U372" i="44"/>
  <c r="U373" i="44"/>
  <c r="U374" i="44"/>
  <c r="U375" i="44"/>
  <c r="U376" i="44"/>
  <c r="U377" i="44"/>
  <c r="U378" i="44"/>
  <c r="U379" i="44"/>
  <c r="U380" i="44"/>
  <c r="U381" i="44"/>
  <c r="U382" i="44"/>
  <c r="U383" i="44"/>
  <c r="U384" i="44"/>
  <c r="U385" i="44"/>
  <c r="U386" i="44"/>
  <c r="U387" i="44"/>
  <c r="U388" i="44"/>
  <c r="U389" i="44"/>
  <c r="U390" i="44"/>
  <c r="U391" i="44"/>
  <c r="U392" i="44"/>
  <c r="U393" i="44"/>
  <c r="U394" i="44"/>
  <c r="U395" i="44"/>
  <c r="U396" i="44"/>
  <c r="U397" i="44"/>
  <c r="U398" i="44"/>
  <c r="U399" i="44"/>
  <c r="U400" i="44"/>
  <c r="U401" i="44"/>
  <c r="U402" i="44"/>
  <c r="U403" i="44"/>
  <c r="U404" i="44"/>
  <c r="U405" i="44"/>
  <c r="U406" i="44"/>
  <c r="U407" i="44"/>
  <c r="U408" i="44"/>
  <c r="U409" i="44"/>
  <c r="U410" i="44"/>
  <c r="U411" i="44"/>
  <c r="U412" i="44"/>
  <c r="U413" i="44"/>
  <c r="U414" i="44"/>
  <c r="U415" i="44"/>
  <c r="U416" i="44"/>
  <c r="U417" i="44"/>
  <c r="U418" i="44"/>
  <c r="U419" i="44"/>
  <c r="U420" i="44"/>
  <c r="U421" i="44"/>
  <c r="U422" i="44"/>
  <c r="U423" i="44"/>
  <c r="U424" i="44"/>
  <c r="U425" i="44"/>
  <c r="U426" i="44"/>
  <c r="U427" i="44"/>
  <c r="U428" i="44"/>
  <c r="U429" i="44"/>
  <c r="U430" i="44"/>
  <c r="U431" i="44"/>
  <c r="U432" i="44"/>
  <c r="U433" i="44"/>
  <c r="U434" i="44"/>
  <c r="U435" i="44"/>
  <c r="U436" i="44"/>
  <c r="U437" i="44"/>
  <c r="U438" i="44"/>
  <c r="U439" i="44"/>
  <c r="U440" i="44"/>
  <c r="U441" i="44"/>
  <c r="U442" i="44"/>
  <c r="U443" i="44"/>
  <c r="U444" i="44"/>
  <c r="U445" i="44"/>
  <c r="U446" i="44"/>
  <c r="U447" i="44"/>
  <c r="U448" i="44"/>
  <c r="U449" i="44"/>
  <c r="U450" i="44"/>
  <c r="U451" i="44"/>
  <c r="U452" i="44"/>
  <c r="U453" i="44"/>
  <c r="U454" i="44"/>
  <c r="U455" i="44"/>
  <c r="U456" i="44"/>
  <c r="U457" i="44"/>
  <c r="U458" i="44"/>
  <c r="U459" i="44"/>
  <c r="U460" i="44"/>
  <c r="U461" i="44"/>
  <c r="U462" i="44"/>
  <c r="U463" i="44"/>
  <c r="U464" i="44"/>
  <c r="U465" i="44"/>
  <c r="U466" i="44"/>
  <c r="U467" i="44"/>
  <c r="U468" i="44"/>
  <c r="U469" i="44"/>
  <c r="U470" i="44"/>
  <c r="U471" i="44"/>
  <c r="U472" i="44"/>
  <c r="U473" i="44"/>
  <c r="U474" i="44"/>
  <c r="U475" i="44"/>
  <c r="U476" i="44"/>
  <c r="U477" i="44"/>
  <c r="U478" i="44"/>
  <c r="U479" i="44"/>
  <c r="U480" i="44"/>
  <c r="U481" i="44"/>
  <c r="U482" i="44"/>
  <c r="U483" i="44"/>
  <c r="U484" i="44"/>
  <c r="U485" i="44"/>
  <c r="U486" i="44"/>
  <c r="U487" i="44"/>
  <c r="U488" i="44"/>
  <c r="U489" i="44"/>
  <c r="U490" i="44"/>
  <c r="U491" i="44"/>
  <c r="U492" i="44"/>
  <c r="U493" i="44"/>
  <c r="U494" i="44"/>
  <c r="U495" i="44"/>
  <c r="U496" i="44"/>
  <c r="U497" i="44"/>
  <c r="U498" i="44"/>
  <c r="U499" i="44"/>
  <c r="U500" i="44"/>
  <c r="U501" i="44"/>
  <c r="U502" i="44"/>
  <c r="U503" i="44"/>
  <c r="U504" i="44"/>
  <c r="U505" i="44"/>
  <c r="U506" i="44"/>
  <c r="U507" i="44"/>
  <c r="U508" i="44"/>
  <c r="U509" i="44"/>
  <c r="U510" i="44"/>
  <c r="U511" i="44"/>
  <c r="U512" i="44"/>
  <c r="U513" i="44"/>
  <c r="U514" i="44"/>
  <c r="U515" i="44"/>
  <c r="U516" i="44"/>
  <c r="U517" i="44"/>
  <c r="U518" i="44"/>
  <c r="U519" i="44"/>
  <c r="U520" i="44"/>
  <c r="U521" i="44"/>
  <c r="U522" i="44"/>
  <c r="U523" i="44"/>
  <c r="U524" i="44"/>
  <c r="U525" i="44"/>
  <c r="U526" i="44"/>
  <c r="U527" i="44"/>
  <c r="U528" i="44"/>
  <c r="U529" i="44"/>
  <c r="U530" i="44"/>
  <c r="U531" i="44"/>
  <c r="U532" i="44"/>
  <c r="U533" i="44"/>
  <c r="U534" i="44"/>
  <c r="U535" i="44"/>
  <c r="U536" i="44"/>
  <c r="U537" i="44"/>
  <c r="U538" i="44"/>
  <c r="U539" i="44"/>
  <c r="U540" i="44"/>
  <c r="U541" i="44"/>
  <c r="U542" i="44"/>
  <c r="U543" i="44"/>
  <c r="U544" i="44"/>
  <c r="U545" i="44"/>
  <c r="U546" i="44"/>
  <c r="U547" i="44"/>
  <c r="U548" i="44"/>
  <c r="U549" i="44"/>
  <c r="U550" i="44"/>
  <c r="U551" i="44"/>
  <c r="U552" i="44"/>
  <c r="U553" i="44"/>
  <c r="U554" i="44"/>
  <c r="U555" i="44"/>
  <c r="U556" i="44"/>
  <c r="U557" i="44"/>
  <c r="U558" i="44"/>
  <c r="U559" i="44"/>
  <c r="U560" i="44"/>
  <c r="U561" i="44"/>
  <c r="U562" i="44"/>
  <c r="U563" i="44"/>
  <c r="U564" i="44"/>
  <c r="U565" i="44"/>
  <c r="U566" i="44"/>
  <c r="U567" i="44"/>
  <c r="U568" i="44"/>
  <c r="U569" i="44"/>
  <c r="U570" i="44"/>
  <c r="U571" i="44"/>
  <c r="U572" i="44"/>
  <c r="U573" i="44"/>
  <c r="U574" i="44"/>
  <c r="U575" i="44"/>
  <c r="U576" i="44"/>
  <c r="U577" i="44"/>
  <c r="U578" i="44"/>
  <c r="U579" i="44"/>
  <c r="U580" i="44"/>
  <c r="U581" i="44"/>
  <c r="U582" i="44"/>
  <c r="U583" i="44"/>
  <c r="U584" i="44"/>
  <c r="U585" i="44"/>
  <c r="U586" i="44"/>
  <c r="U587" i="44"/>
  <c r="U588" i="44"/>
  <c r="U589" i="44"/>
  <c r="U590" i="44"/>
  <c r="U591" i="44"/>
  <c r="U592" i="44"/>
  <c r="U593" i="44"/>
  <c r="U594" i="44"/>
  <c r="U595" i="44"/>
  <c r="U596" i="44"/>
  <c r="U597" i="44"/>
  <c r="U598" i="44"/>
  <c r="U599" i="44"/>
  <c r="U600" i="44"/>
  <c r="U601" i="44"/>
  <c r="U602" i="44"/>
  <c r="U603" i="44"/>
  <c r="U604" i="44"/>
  <c r="U605" i="44"/>
  <c r="U606" i="44"/>
  <c r="U607" i="44"/>
  <c r="U608" i="44"/>
  <c r="U609" i="44"/>
  <c r="U610" i="44"/>
  <c r="U611" i="44"/>
  <c r="U612" i="44"/>
  <c r="U613" i="44"/>
  <c r="U614" i="44"/>
  <c r="U615" i="44"/>
  <c r="U616" i="44"/>
  <c r="U617" i="44"/>
  <c r="U618" i="44"/>
  <c r="U619" i="44"/>
  <c r="U620" i="44"/>
  <c r="U621" i="44"/>
  <c r="U622" i="44"/>
  <c r="U623" i="44"/>
  <c r="U624" i="44"/>
  <c r="U625" i="44"/>
  <c r="U626" i="44"/>
  <c r="U627" i="44"/>
  <c r="U628" i="44"/>
  <c r="U629" i="44"/>
  <c r="U630" i="44"/>
  <c r="U631" i="44"/>
  <c r="U632" i="44"/>
  <c r="U633" i="44"/>
  <c r="U634" i="44"/>
  <c r="U635" i="44"/>
  <c r="U636" i="44"/>
  <c r="U637" i="44"/>
  <c r="U638" i="44"/>
  <c r="U639" i="44"/>
  <c r="U640" i="44"/>
  <c r="U641" i="44"/>
  <c r="U642" i="44"/>
  <c r="U643" i="44"/>
  <c r="U644" i="44"/>
  <c r="U645" i="44"/>
  <c r="U646" i="44"/>
  <c r="U647" i="44"/>
  <c r="U648" i="44"/>
  <c r="U649" i="44"/>
  <c r="U650" i="44"/>
  <c r="U651" i="44"/>
  <c r="U2" i="44"/>
  <c r="B6" i="107" l="1" a="1"/>
  <c r="B6" i="107" s="1"/>
  <c r="E6" i="107" s="1"/>
  <c r="F6" i="107" s="1"/>
  <c r="C6" i="107"/>
  <c r="G6" i="107" a="1"/>
  <c r="G6" i="107" s="1"/>
  <c r="I6" i="107" s="1"/>
  <c r="H6" i="107" a="1"/>
  <c r="H6" i="107" s="1"/>
  <c r="J6" i="107" s="1"/>
  <c r="B21" i="107" a="1"/>
  <c r="B21" i="107" s="1"/>
  <c r="B20" i="107" a="1"/>
  <c r="B20" i="107" s="1"/>
  <c r="R2" i="44"/>
  <c r="M3" i="44"/>
  <c r="M4" i="44"/>
  <c r="M5" i="44"/>
  <c r="M6" i="44"/>
  <c r="M7" i="44"/>
  <c r="M8" i="44"/>
  <c r="M9" i="44"/>
  <c r="M10" i="44"/>
  <c r="M11" i="44"/>
  <c r="M12" i="44"/>
  <c r="M13" i="44"/>
  <c r="M14" i="44"/>
  <c r="M15" i="44"/>
  <c r="M16" i="44"/>
  <c r="M17" i="44"/>
  <c r="M18" i="44"/>
  <c r="M19" i="44"/>
  <c r="M20" i="44"/>
  <c r="M21" i="44"/>
  <c r="M22" i="44"/>
  <c r="M23" i="44"/>
  <c r="M24" i="44"/>
  <c r="M25" i="44"/>
  <c r="M26" i="44"/>
  <c r="M27" i="44"/>
  <c r="M28" i="44"/>
  <c r="M29" i="44"/>
  <c r="M30" i="44"/>
  <c r="M31" i="44"/>
  <c r="M32" i="44"/>
  <c r="M33" i="44"/>
  <c r="M34" i="44"/>
  <c r="M35" i="44"/>
  <c r="M36" i="44"/>
  <c r="M37" i="44"/>
  <c r="M38" i="44"/>
  <c r="M39" i="44"/>
  <c r="M40" i="44"/>
  <c r="M41" i="44"/>
  <c r="M42" i="44"/>
  <c r="M43" i="44"/>
  <c r="M44" i="44"/>
  <c r="M45" i="44"/>
  <c r="M46" i="44"/>
  <c r="M47" i="44"/>
  <c r="M48" i="44"/>
  <c r="M49" i="44"/>
  <c r="M50" i="44"/>
  <c r="M51" i="44"/>
  <c r="M52" i="44"/>
  <c r="M53" i="44"/>
  <c r="M54" i="44"/>
  <c r="M55" i="44"/>
  <c r="M56" i="44"/>
  <c r="M57" i="44"/>
  <c r="M58" i="44"/>
  <c r="M59" i="44"/>
  <c r="M60" i="44"/>
  <c r="M61" i="44"/>
  <c r="M62" i="44"/>
  <c r="M63" i="44"/>
  <c r="M64" i="44"/>
  <c r="M65" i="44"/>
  <c r="M66" i="44"/>
  <c r="M67" i="44"/>
  <c r="M68" i="44"/>
  <c r="M69" i="44"/>
  <c r="M70" i="44"/>
  <c r="M71" i="44"/>
  <c r="M72" i="44"/>
  <c r="M73" i="44"/>
  <c r="M74" i="44"/>
  <c r="M75" i="44"/>
  <c r="M76" i="44"/>
  <c r="M77" i="44"/>
  <c r="M78" i="44"/>
  <c r="M79" i="44"/>
  <c r="M80" i="44"/>
  <c r="M81" i="44"/>
  <c r="M82" i="44"/>
  <c r="M83" i="44"/>
  <c r="M84" i="44"/>
  <c r="M85" i="44"/>
  <c r="M86" i="44"/>
  <c r="M87" i="44"/>
  <c r="M88" i="44"/>
  <c r="M89" i="44"/>
  <c r="M90" i="44"/>
  <c r="M91" i="44"/>
  <c r="M92" i="44"/>
  <c r="M93" i="44"/>
  <c r="M94" i="44"/>
  <c r="M95" i="44"/>
  <c r="M96" i="44"/>
  <c r="M97" i="44"/>
  <c r="M98" i="44"/>
  <c r="M99" i="44"/>
  <c r="M100" i="44"/>
  <c r="M101" i="44"/>
  <c r="M102" i="44"/>
  <c r="M103" i="44"/>
  <c r="M104" i="44"/>
  <c r="M105" i="44"/>
  <c r="M106" i="44"/>
  <c r="M107" i="44"/>
  <c r="M108" i="44"/>
  <c r="M109" i="44"/>
  <c r="M110" i="44"/>
  <c r="M111" i="44"/>
  <c r="M112" i="44"/>
  <c r="M113" i="44"/>
  <c r="M114" i="44"/>
  <c r="M115" i="44"/>
  <c r="M116" i="44"/>
  <c r="M117" i="44"/>
  <c r="M118" i="44"/>
  <c r="M119" i="44"/>
  <c r="M120" i="44"/>
  <c r="M121" i="44"/>
  <c r="M122" i="44"/>
  <c r="M123" i="44"/>
  <c r="M124" i="44"/>
  <c r="M125" i="44"/>
  <c r="M126" i="44"/>
  <c r="M127" i="44"/>
  <c r="M128" i="44"/>
  <c r="M129" i="44"/>
  <c r="M130" i="44"/>
  <c r="M131" i="44"/>
  <c r="M132" i="44"/>
  <c r="M133" i="44"/>
  <c r="M134" i="44"/>
  <c r="M135" i="44"/>
  <c r="M136" i="44"/>
  <c r="M137" i="44"/>
  <c r="M138" i="44"/>
  <c r="M139" i="44"/>
  <c r="M140" i="44"/>
  <c r="M141" i="44"/>
  <c r="M142" i="44"/>
  <c r="M143" i="44"/>
  <c r="M144" i="44"/>
  <c r="M145" i="44"/>
  <c r="M146" i="44"/>
  <c r="M147" i="44"/>
  <c r="M148" i="44"/>
  <c r="M149" i="44"/>
  <c r="M150" i="44"/>
  <c r="M151" i="44"/>
  <c r="M152" i="44"/>
  <c r="M153" i="44"/>
  <c r="M154" i="44"/>
  <c r="M155" i="44"/>
  <c r="M156" i="44"/>
  <c r="M157" i="44"/>
  <c r="M158" i="44"/>
  <c r="M159" i="44"/>
  <c r="M160" i="44"/>
  <c r="M161" i="44"/>
  <c r="M162" i="44"/>
  <c r="M163" i="44"/>
  <c r="M164" i="44"/>
  <c r="M165" i="44"/>
  <c r="M166" i="44"/>
  <c r="M167" i="44"/>
  <c r="M168" i="44"/>
  <c r="M169" i="44"/>
  <c r="M170" i="44"/>
  <c r="M171" i="44"/>
  <c r="M172" i="44"/>
  <c r="M173" i="44"/>
  <c r="M174" i="44"/>
  <c r="M175" i="44"/>
  <c r="M176" i="44"/>
  <c r="M177" i="44"/>
  <c r="M178" i="44"/>
  <c r="M179" i="44"/>
  <c r="M180" i="44"/>
  <c r="M181" i="44"/>
  <c r="M182" i="44"/>
  <c r="M183" i="44"/>
  <c r="M184" i="44"/>
  <c r="M185" i="44"/>
  <c r="M186" i="44"/>
  <c r="M187" i="44"/>
  <c r="M188" i="44"/>
  <c r="M189" i="44"/>
  <c r="M190" i="44"/>
  <c r="M191" i="44"/>
  <c r="M192" i="44"/>
  <c r="M193" i="44"/>
  <c r="M194" i="44"/>
  <c r="M195" i="44"/>
  <c r="M196" i="44"/>
  <c r="M197" i="44"/>
  <c r="M198" i="44"/>
  <c r="M199" i="44"/>
  <c r="M200" i="44"/>
  <c r="M201" i="44"/>
  <c r="M202" i="44"/>
  <c r="M203" i="44"/>
  <c r="M204" i="44"/>
  <c r="M205" i="44"/>
  <c r="M206" i="44"/>
  <c r="M207" i="44"/>
  <c r="M208" i="44"/>
  <c r="M209" i="44"/>
  <c r="M210" i="44"/>
  <c r="M211" i="44"/>
  <c r="M212" i="44"/>
  <c r="M213" i="44"/>
  <c r="M214" i="44"/>
  <c r="M215" i="44"/>
  <c r="M216" i="44"/>
  <c r="M217" i="44"/>
  <c r="M218" i="44"/>
  <c r="M219" i="44"/>
  <c r="M220" i="44"/>
  <c r="M221" i="44"/>
  <c r="M222" i="44"/>
  <c r="M223" i="44"/>
  <c r="M224" i="44"/>
  <c r="M225" i="44"/>
  <c r="M226" i="44"/>
  <c r="M227" i="44"/>
  <c r="M228" i="44"/>
  <c r="M229" i="44"/>
  <c r="M230" i="44"/>
  <c r="M231" i="44"/>
  <c r="M232" i="44"/>
  <c r="M233" i="44"/>
  <c r="M234" i="44"/>
  <c r="M235" i="44"/>
  <c r="M236" i="44"/>
  <c r="M237" i="44"/>
  <c r="M238" i="44"/>
  <c r="M239" i="44"/>
  <c r="M240" i="44"/>
  <c r="M241" i="44"/>
  <c r="M242" i="44"/>
  <c r="M243" i="44"/>
  <c r="M244" i="44"/>
  <c r="M245" i="44"/>
  <c r="M246" i="44"/>
  <c r="M247" i="44"/>
  <c r="M248" i="44"/>
  <c r="M249" i="44"/>
  <c r="M250" i="44"/>
  <c r="M251" i="44"/>
  <c r="M252" i="44"/>
  <c r="M253" i="44"/>
  <c r="M254" i="44"/>
  <c r="M255" i="44"/>
  <c r="M256" i="44"/>
  <c r="M257" i="44"/>
  <c r="M258" i="44"/>
  <c r="M259" i="44"/>
  <c r="M260" i="44"/>
  <c r="M261" i="44"/>
  <c r="M262" i="44"/>
  <c r="M263" i="44"/>
  <c r="M264" i="44"/>
  <c r="M265" i="44"/>
  <c r="M266" i="44"/>
  <c r="M267" i="44"/>
  <c r="M268" i="44"/>
  <c r="M269" i="44"/>
  <c r="M270" i="44"/>
  <c r="M271" i="44"/>
  <c r="M272" i="44"/>
  <c r="M273" i="44"/>
  <c r="M274" i="44"/>
  <c r="M275" i="44"/>
  <c r="M276" i="44"/>
  <c r="M277" i="44"/>
  <c r="M278" i="44"/>
  <c r="M279" i="44"/>
  <c r="M280" i="44"/>
  <c r="M281" i="44"/>
  <c r="M282" i="44"/>
  <c r="M283" i="44"/>
  <c r="M284" i="44"/>
  <c r="M285" i="44"/>
  <c r="M286" i="44"/>
  <c r="M287" i="44"/>
  <c r="M288" i="44"/>
  <c r="M289" i="44"/>
  <c r="M290" i="44"/>
  <c r="M291" i="44"/>
  <c r="M292" i="44"/>
  <c r="M293" i="44"/>
  <c r="M294" i="44"/>
  <c r="M295" i="44"/>
  <c r="M296" i="44"/>
  <c r="M297" i="44"/>
  <c r="M298" i="44"/>
  <c r="M299" i="44"/>
  <c r="M300" i="44"/>
  <c r="M301" i="44"/>
  <c r="M302" i="44"/>
  <c r="M303" i="44"/>
  <c r="M304" i="44"/>
  <c r="M305" i="44"/>
  <c r="M306" i="44"/>
  <c r="M307" i="44"/>
  <c r="M308" i="44"/>
  <c r="M309" i="44"/>
  <c r="M310" i="44"/>
  <c r="M311" i="44"/>
  <c r="M312" i="44"/>
  <c r="M313" i="44"/>
  <c r="M314" i="44"/>
  <c r="M315" i="44"/>
  <c r="M316" i="44"/>
  <c r="M317" i="44"/>
  <c r="M318" i="44"/>
  <c r="M319" i="44"/>
  <c r="M320" i="44"/>
  <c r="M321" i="44"/>
  <c r="M322" i="44"/>
  <c r="M323" i="44"/>
  <c r="M324" i="44"/>
  <c r="M325" i="44"/>
  <c r="M326" i="44"/>
  <c r="M327" i="44"/>
  <c r="M328" i="44"/>
  <c r="M329" i="44"/>
  <c r="M330" i="44"/>
  <c r="M331" i="44"/>
  <c r="M332" i="44"/>
  <c r="M333" i="44"/>
  <c r="M334" i="44"/>
  <c r="M335" i="44"/>
  <c r="M336" i="44"/>
  <c r="M337" i="44"/>
  <c r="M338" i="44"/>
  <c r="M339" i="44"/>
  <c r="M340" i="44"/>
  <c r="M341" i="44"/>
  <c r="M342" i="44"/>
  <c r="M343" i="44"/>
  <c r="M344" i="44"/>
  <c r="M345" i="44"/>
  <c r="M346" i="44"/>
  <c r="M347" i="44"/>
  <c r="M348" i="44"/>
  <c r="M349" i="44"/>
  <c r="M350" i="44"/>
  <c r="M351" i="44"/>
  <c r="M352" i="44"/>
  <c r="M353" i="44"/>
  <c r="M354" i="44"/>
  <c r="M355" i="44"/>
  <c r="M356" i="44"/>
  <c r="M357" i="44"/>
  <c r="M358" i="44"/>
  <c r="M359" i="44"/>
  <c r="M360" i="44"/>
  <c r="M361" i="44"/>
  <c r="M362" i="44"/>
  <c r="M363" i="44"/>
  <c r="M364" i="44"/>
  <c r="M365" i="44"/>
  <c r="M366" i="44"/>
  <c r="M367" i="44"/>
  <c r="M368" i="44"/>
  <c r="M369" i="44"/>
  <c r="M370" i="44"/>
  <c r="M371" i="44"/>
  <c r="M372" i="44"/>
  <c r="M373" i="44"/>
  <c r="M374" i="44"/>
  <c r="M375" i="44"/>
  <c r="M376" i="44"/>
  <c r="M377" i="44"/>
  <c r="M378" i="44"/>
  <c r="M379" i="44"/>
  <c r="M380" i="44"/>
  <c r="M381" i="44"/>
  <c r="M382" i="44"/>
  <c r="M383" i="44"/>
  <c r="M384" i="44"/>
  <c r="M385" i="44"/>
  <c r="M386" i="44"/>
  <c r="M387" i="44"/>
  <c r="M388" i="44"/>
  <c r="M389" i="44"/>
  <c r="M390" i="44"/>
  <c r="M391" i="44"/>
  <c r="M392" i="44"/>
  <c r="M393" i="44"/>
  <c r="M394" i="44"/>
  <c r="M395" i="44"/>
  <c r="M396" i="44"/>
  <c r="M397" i="44"/>
  <c r="M398" i="44"/>
  <c r="M399" i="44"/>
  <c r="M400" i="44"/>
  <c r="M401" i="44"/>
  <c r="M402" i="44"/>
  <c r="M403" i="44"/>
  <c r="M404" i="44"/>
  <c r="M405" i="44"/>
  <c r="M406" i="44"/>
  <c r="M407" i="44"/>
  <c r="M408" i="44"/>
  <c r="M409" i="44"/>
  <c r="M410" i="44"/>
  <c r="M411" i="44"/>
  <c r="M412" i="44"/>
  <c r="M413" i="44"/>
  <c r="M414" i="44"/>
  <c r="M415" i="44"/>
  <c r="M416" i="44"/>
  <c r="M417" i="44"/>
  <c r="M418" i="44"/>
  <c r="M419" i="44"/>
  <c r="M420" i="44"/>
  <c r="M421" i="44"/>
  <c r="M422" i="44"/>
  <c r="M423" i="44"/>
  <c r="M424" i="44"/>
  <c r="M425" i="44"/>
  <c r="M426" i="44"/>
  <c r="M427" i="44"/>
  <c r="M428" i="44"/>
  <c r="M429" i="44"/>
  <c r="M430" i="44"/>
  <c r="M431" i="44"/>
  <c r="M432" i="44"/>
  <c r="M433" i="44"/>
  <c r="M434" i="44"/>
  <c r="M435" i="44"/>
  <c r="M436" i="44"/>
  <c r="M437" i="44"/>
  <c r="M438" i="44"/>
  <c r="M439" i="44"/>
  <c r="M440" i="44"/>
  <c r="M441" i="44"/>
  <c r="M442" i="44"/>
  <c r="M443" i="44"/>
  <c r="M444" i="44"/>
  <c r="M445" i="44"/>
  <c r="M446" i="44"/>
  <c r="M447" i="44"/>
  <c r="M448" i="44"/>
  <c r="M449" i="44"/>
  <c r="M450" i="44"/>
  <c r="M451" i="44"/>
  <c r="M452" i="44"/>
  <c r="M453" i="44"/>
  <c r="M454" i="44"/>
  <c r="M455" i="44"/>
  <c r="M456" i="44"/>
  <c r="M457" i="44"/>
  <c r="M458" i="44"/>
  <c r="M459" i="44"/>
  <c r="M460" i="44"/>
  <c r="M461" i="44"/>
  <c r="M462" i="44"/>
  <c r="M463" i="44"/>
  <c r="M464" i="44"/>
  <c r="M465" i="44"/>
  <c r="M466" i="44"/>
  <c r="M467" i="44"/>
  <c r="M468" i="44"/>
  <c r="M469" i="44"/>
  <c r="M470" i="44"/>
  <c r="M471" i="44"/>
  <c r="M472" i="44"/>
  <c r="M473" i="44"/>
  <c r="M474" i="44"/>
  <c r="M475" i="44"/>
  <c r="M476" i="44"/>
  <c r="M477" i="44"/>
  <c r="M478" i="44"/>
  <c r="M479" i="44"/>
  <c r="M480" i="44"/>
  <c r="M481" i="44"/>
  <c r="M482" i="44"/>
  <c r="M483" i="44"/>
  <c r="M484" i="44"/>
  <c r="M485" i="44"/>
  <c r="M486" i="44"/>
  <c r="M487" i="44"/>
  <c r="M488" i="44"/>
  <c r="M489" i="44"/>
  <c r="M490" i="44"/>
  <c r="M491" i="44"/>
  <c r="M492" i="44"/>
  <c r="M493" i="44"/>
  <c r="M494" i="44"/>
  <c r="M495" i="44"/>
  <c r="M496" i="44"/>
  <c r="M497" i="44"/>
  <c r="M498" i="44"/>
  <c r="M499" i="44"/>
  <c r="M500" i="44"/>
  <c r="M501" i="44"/>
  <c r="M502" i="44"/>
  <c r="M503" i="44"/>
  <c r="M504" i="44"/>
  <c r="M505" i="44"/>
  <c r="M506" i="44"/>
  <c r="M507" i="44"/>
  <c r="M508" i="44"/>
  <c r="M509" i="44"/>
  <c r="M510" i="44"/>
  <c r="M511" i="44"/>
  <c r="M512" i="44"/>
  <c r="M513" i="44"/>
  <c r="M514" i="44"/>
  <c r="M515" i="44"/>
  <c r="M516" i="44"/>
  <c r="M517" i="44"/>
  <c r="M518" i="44"/>
  <c r="M519" i="44"/>
  <c r="M520" i="44"/>
  <c r="M521" i="44"/>
  <c r="M522" i="44"/>
  <c r="M523" i="44"/>
  <c r="M524" i="44"/>
  <c r="M525" i="44"/>
  <c r="M526" i="44"/>
  <c r="M527" i="44"/>
  <c r="M528" i="44"/>
  <c r="M529" i="44"/>
  <c r="M530" i="44"/>
  <c r="M531" i="44"/>
  <c r="M532" i="44"/>
  <c r="M533" i="44"/>
  <c r="M534" i="44"/>
  <c r="M535" i="44"/>
  <c r="M536" i="44"/>
  <c r="M537" i="44"/>
  <c r="M538" i="44"/>
  <c r="M539" i="44"/>
  <c r="M540" i="44"/>
  <c r="M541" i="44"/>
  <c r="M542" i="44"/>
  <c r="M543" i="44"/>
  <c r="M544" i="44"/>
  <c r="M545" i="44"/>
  <c r="M546" i="44"/>
  <c r="M547" i="44"/>
  <c r="M548" i="44"/>
  <c r="M549" i="44"/>
  <c r="M550" i="44"/>
  <c r="M551" i="44"/>
  <c r="M552" i="44"/>
  <c r="M553" i="44"/>
  <c r="M554" i="44"/>
  <c r="M555" i="44"/>
  <c r="M556" i="44"/>
  <c r="M557" i="44"/>
  <c r="M558" i="44"/>
  <c r="M559" i="44"/>
  <c r="M560" i="44"/>
  <c r="M561" i="44"/>
  <c r="M562" i="44"/>
  <c r="M563" i="44"/>
  <c r="M564" i="44"/>
  <c r="M565" i="44"/>
  <c r="M566" i="44"/>
  <c r="M567" i="44"/>
  <c r="M568" i="44"/>
  <c r="M569" i="44"/>
  <c r="M570" i="44"/>
  <c r="M571" i="44"/>
  <c r="M572" i="44"/>
  <c r="M573" i="44"/>
  <c r="M574" i="44"/>
  <c r="M575" i="44"/>
  <c r="M576" i="44"/>
  <c r="M577" i="44"/>
  <c r="M578" i="44"/>
  <c r="M579" i="44"/>
  <c r="M580" i="44"/>
  <c r="M581" i="44"/>
  <c r="M582" i="44"/>
  <c r="M583" i="44"/>
  <c r="M584" i="44"/>
  <c r="M585" i="44"/>
  <c r="M586" i="44"/>
  <c r="M587" i="44"/>
  <c r="M588" i="44"/>
  <c r="M589" i="44"/>
  <c r="M590" i="44"/>
  <c r="M591" i="44"/>
  <c r="M592" i="44"/>
  <c r="M593" i="44"/>
  <c r="M594" i="44"/>
  <c r="M595" i="44"/>
  <c r="M596" i="44"/>
  <c r="M597" i="44"/>
  <c r="M598" i="44"/>
  <c r="M599" i="44"/>
  <c r="M600" i="44"/>
  <c r="M601" i="44"/>
  <c r="M602" i="44"/>
  <c r="M603" i="44"/>
  <c r="M604" i="44"/>
  <c r="M605" i="44"/>
  <c r="M606" i="44"/>
  <c r="M607" i="44"/>
  <c r="M608" i="44"/>
  <c r="M609" i="44"/>
  <c r="M610" i="44"/>
  <c r="M611" i="44"/>
  <c r="M612" i="44"/>
  <c r="M613" i="44"/>
  <c r="M614" i="44"/>
  <c r="M615" i="44"/>
  <c r="M616" i="44"/>
  <c r="M617" i="44"/>
  <c r="M618" i="44"/>
  <c r="M619" i="44"/>
  <c r="M620" i="44"/>
  <c r="M621" i="44"/>
  <c r="M622" i="44"/>
  <c r="M623" i="44"/>
  <c r="M624" i="44"/>
  <c r="M625" i="44"/>
  <c r="M626" i="44"/>
  <c r="M627" i="44"/>
  <c r="M628" i="44"/>
  <c r="M629" i="44"/>
  <c r="M630" i="44"/>
  <c r="M631" i="44"/>
  <c r="M632" i="44"/>
  <c r="M633" i="44"/>
  <c r="M634" i="44"/>
  <c r="M635" i="44"/>
  <c r="M636" i="44"/>
  <c r="M637" i="44"/>
  <c r="M638" i="44"/>
  <c r="M639" i="44"/>
  <c r="M640" i="44"/>
  <c r="M641" i="44"/>
  <c r="M642" i="44"/>
  <c r="M643" i="44"/>
  <c r="M644" i="44"/>
  <c r="M645" i="44"/>
  <c r="M646" i="44"/>
  <c r="M647" i="44"/>
  <c r="M648" i="44"/>
  <c r="M649" i="44"/>
  <c r="M650" i="44"/>
  <c r="M651" i="44"/>
  <c r="M2" i="44"/>
  <c r="L3" i="44"/>
  <c r="L4" i="44"/>
  <c r="L5" i="44"/>
  <c r="L6" i="44"/>
  <c r="L7" i="44"/>
  <c r="L8" i="44"/>
  <c r="L9" i="44"/>
  <c r="L10" i="44"/>
  <c r="L11" i="44"/>
  <c r="L12" i="44"/>
  <c r="L13" i="44"/>
  <c r="L14" i="44"/>
  <c r="L15" i="44"/>
  <c r="L16" i="44"/>
  <c r="L17" i="44"/>
  <c r="L18" i="44"/>
  <c r="L19" i="44"/>
  <c r="L20" i="44"/>
  <c r="L21" i="44"/>
  <c r="L22" i="44"/>
  <c r="L23" i="44"/>
  <c r="L24" i="44"/>
  <c r="L25" i="44"/>
  <c r="L26" i="44"/>
  <c r="L27" i="44"/>
  <c r="L28" i="44"/>
  <c r="L29" i="44"/>
  <c r="L30" i="44"/>
  <c r="L31" i="44"/>
  <c r="L32" i="44"/>
  <c r="L33" i="44"/>
  <c r="O33" i="44" s="1"/>
  <c r="L34" i="44"/>
  <c r="O34" i="44" s="1"/>
  <c r="L35" i="44"/>
  <c r="O35" i="44" s="1"/>
  <c r="L36" i="44"/>
  <c r="O36" i="44" s="1"/>
  <c r="L37" i="44"/>
  <c r="O37" i="44" s="1"/>
  <c r="L38" i="44"/>
  <c r="O38" i="44" s="1"/>
  <c r="L39" i="44"/>
  <c r="O39" i="44" s="1"/>
  <c r="L40" i="44"/>
  <c r="O40" i="44" s="1"/>
  <c r="L41" i="44"/>
  <c r="O41" i="44" s="1"/>
  <c r="L42" i="44"/>
  <c r="O42" i="44" s="1"/>
  <c r="L43" i="44"/>
  <c r="O43" i="44" s="1"/>
  <c r="L44" i="44"/>
  <c r="O44" i="44" s="1"/>
  <c r="L45" i="44"/>
  <c r="O45" i="44" s="1"/>
  <c r="L46" i="44"/>
  <c r="O46" i="44" s="1"/>
  <c r="L47" i="44"/>
  <c r="O47" i="44" s="1"/>
  <c r="L48" i="44"/>
  <c r="O48" i="44" s="1"/>
  <c r="L49" i="44"/>
  <c r="O49" i="44" s="1"/>
  <c r="L50" i="44"/>
  <c r="O50" i="44" s="1"/>
  <c r="L51" i="44"/>
  <c r="O51" i="44" s="1"/>
  <c r="L52" i="44"/>
  <c r="O52" i="44" s="1"/>
  <c r="L53" i="44"/>
  <c r="O53" i="44" s="1"/>
  <c r="L54" i="44"/>
  <c r="O54" i="44" s="1"/>
  <c r="L55" i="44"/>
  <c r="O55" i="44" s="1"/>
  <c r="L56" i="44"/>
  <c r="O56" i="44" s="1"/>
  <c r="L57" i="44"/>
  <c r="O57" i="44" s="1"/>
  <c r="L58" i="44"/>
  <c r="O58" i="44" s="1"/>
  <c r="L59" i="44"/>
  <c r="O59" i="44" s="1"/>
  <c r="L60" i="44"/>
  <c r="O60" i="44" s="1"/>
  <c r="L61" i="44"/>
  <c r="O61" i="44" s="1"/>
  <c r="L62" i="44"/>
  <c r="O62" i="44" s="1"/>
  <c r="L63" i="44"/>
  <c r="O63" i="44" s="1"/>
  <c r="L64" i="44"/>
  <c r="O64" i="44" s="1"/>
  <c r="L65" i="44"/>
  <c r="O65" i="44" s="1"/>
  <c r="L66" i="44"/>
  <c r="O66" i="44" s="1"/>
  <c r="L67" i="44"/>
  <c r="O67" i="44" s="1"/>
  <c r="L68" i="44"/>
  <c r="O68" i="44" s="1"/>
  <c r="L69" i="44"/>
  <c r="O69" i="44" s="1"/>
  <c r="L70" i="44"/>
  <c r="O70" i="44" s="1"/>
  <c r="L71" i="44"/>
  <c r="O71" i="44" s="1"/>
  <c r="L72" i="44"/>
  <c r="O72" i="44" s="1"/>
  <c r="L73" i="44"/>
  <c r="O73" i="44" s="1"/>
  <c r="L74" i="44"/>
  <c r="O74" i="44" s="1"/>
  <c r="L75" i="44"/>
  <c r="O75" i="44" s="1"/>
  <c r="L76" i="44"/>
  <c r="O76" i="44" s="1"/>
  <c r="L77" i="44"/>
  <c r="O77" i="44" s="1"/>
  <c r="L78" i="44"/>
  <c r="O78" i="44" s="1"/>
  <c r="L79" i="44"/>
  <c r="O79" i="44" s="1"/>
  <c r="L80" i="44"/>
  <c r="O80" i="44" s="1"/>
  <c r="L81" i="44"/>
  <c r="O81" i="44" s="1"/>
  <c r="L82" i="44"/>
  <c r="O82" i="44" s="1"/>
  <c r="L83" i="44"/>
  <c r="O83" i="44" s="1"/>
  <c r="L84" i="44"/>
  <c r="O84" i="44" s="1"/>
  <c r="L85" i="44"/>
  <c r="O85" i="44" s="1"/>
  <c r="L86" i="44"/>
  <c r="O86" i="44" s="1"/>
  <c r="L87" i="44"/>
  <c r="O87" i="44" s="1"/>
  <c r="L88" i="44"/>
  <c r="O88" i="44" s="1"/>
  <c r="L89" i="44"/>
  <c r="O89" i="44" s="1"/>
  <c r="L90" i="44"/>
  <c r="O90" i="44" s="1"/>
  <c r="L91" i="44"/>
  <c r="O91" i="44" s="1"/>
  <c r="L92" i="44"/>
  <c r="O92" i="44" s="1"/>
  <c r="L93" i="44"/>
  <c r="O93" i="44" s="1"/>
  <c r="L94" i="44"/>
  <c r="O94" i="44" s="1"/>
  <c r="L95" i="44"/>
  <c r="O95" i="44" s="1"/>
  <c r="L96" i="44"/>
  <c r="O96" i="44" s="1"/>
  <c r="L97" i="44"/>
  <c r="O97" i="44" s="1"/>
  <c r="L98" i="44"/>
  <c r="O98" i="44" s="1"/>
  <c r="L99" i="44"/>
  <c r="O99" i="44" s="1"/>
  <c r="L100" i="44"/>
  <c r="O100" i="44" s="1"/>
  <c r="L101" i="44"/>
  <c r="O101" i="44" s="1"/>
  <c r="L102" i="44"/>
  <c r="O102" i="44" s="1"/>
  <c r="L103" i="44"/>
  <c r="O103" i="44" s="1"/>
  <c r="L104" i="44"/>
  <c r="O104" i="44" s="1"/>
  <c r="L105" i="44"/>
  <c r="O105" i="44" s="1"/>
  <c r="L106" i="44"/>
  <c r="O106" i="44" s="1"/>
  <c r="L107" i="44"/>
  <c r="O107" i="44" s="1"/>
  <c r="L108" i="44"/>
  <c r="O108" i="44" s="1"/>
  <c r="L109" i="44"/>
  <c r="O109" i="44" s="1"/>
  <c r="L110" i="44"/>
  <c r="O110" i="44" s="1"/>
  <c r="L111" i="44"/>
  <c r="O111" i="44" s="1"/>
  <c r="L112" i="44"/>
  <c r="O112" i="44" s="1"/>
  <c r="L113" i="44"/>
  <c r="O113" i="44" s="1"/>
  <c r="L114" i="44"/>
  <c r="O114" i="44" s="1"/>
  <c r="L115" i="44"/>
  <c r="O115" i="44" s="1"/>
  <c r="L116" i="44"/>
  <c r="O116" i="44" s="1"/>
  <c r="L117" i="44"/>
  <c r="O117" i="44" s="1"/>
  <c r="L118" i="44"/>
  <c r="O118" i="44" s="1"/>
  <c r="L119" i="44"/>
  <c r="O119" i="44" s="1"/>
  <c r="L120" i="44"/>
  <c r="O120" i="44" s="1"/>
  <c r="L121" i="44"/>
  <c r="O121" i="44" s="1"/>
  <c r="L122" i="44"/>
  <c r="O122" i="44" s="1"/>
  <c r="L123" i="44"/>
  <c r="O123" i="44" s="1"/>
  <c r="L124" i="44"/>
  <c r="O124" i="44" s="1"/>
  <c r="L125" i="44"/>
  <c r="O125" i="44" s="1"/>
  <c r="L126" i="44"/>
  <c r="O126" i="44" s="1"/>
  <c r="L127" i="44"/>
  <c r="O127" i="44" s="1"/>
  <c r="L128" i="44"/>
  <c r="O128" i="44" s="1"/>
  <c r="L129" i="44"/>
  <c r="O129" i="44" s="1"/>
  <c r="L130" i="44"/>
  <c r="O130" i="44" s="1"/>
  <c r="L131" i="44"/>
  <c r="O131" i="44" s="1"/>
  <c r="L132" i="44"/>
  <c r="O132" i="44" s="1"/>
  <c r="L133" i="44"/>
  <c r="O133" i="44" s="1"/>
  <c r="L134" i="44"/>
  <c r="O134" i="44" s="1"/>
  <c r="L135" i="44"/>
  <c r="O135" i="44" s="1"/>
  <c r="L136" i="44"/>
  <c r="O136" i="44" s="1"/>
  <c r="L137" i="44"/>
  <c r="O137" i="44" s="1"/>
  <c r="L138" i="44"/>
  <c r="O138" i="44" s="1"/>
  <c r="L139" i="44"/>
  <c r="O139" i="44" s="1"/>
  <c r="L140" i="44"/>
  <c r="O140" i="44" s="1"/>
  <c r="L141" i="44"/>
  <c r="O141" i="44" s="1"/>
  <c r="L142" i="44"/>
  <c r="O142" i="44" s="1"/>
  <c r="L143" i="44"/>
  <c r="O143" i="44" s="1"/>
  <c r="L144" i="44"/>
  <c r="O144" i="44" s="1"/>
  <c r="L145" i="44"/>
  <c r="O145" i="44" s="1"/>
  <c r="L146" i="44"/>
  <c r="O146" i="44" s="1"/>
  <c r="L147" i="44"/>
  <c r="O147" i="44" s="1"/>
  <c r="L148" i="44"/>
  <c r="O148" i="44" s="1"/>
  <c r="L149" i="44"/>
  <c r="O149" i="44" s="1"/>
  <c r="L150" i="44"/>
  <c r="O150" i="44" s="1"/>
  <c r="L151" i="44"/>
  <c r="O151" i="44" s="1"/>
  <c r="L152" i="44"/>
  <c r="O152" i="44" s="1"/>
  <c r="L153" i="44"/>
  <c r="O153" i="44" s="1"/>
  <c r="L154" i="44"/>
  <c r="O154" i="44" s="1"/>
  <c r="L155" i="44"/>
  <c r="O155" i="44" s="1"/>
  <c r="L156" i="44"/>
  <c r="O156" i="44" s="1"/>
  <c r="L157" i="44"/>
  <c r="O157" i="44" s="1"/>
  <c r="L158" i="44"/>
  <c r="O158" i="44" s="1"/>
  <c r="L159" i="44"/>
  <c r="O159" i="44" s="1"/>
  <c r="L160" i="44"/>
  <c r="O160" i="44" s="1"/>
  <c r="L161" i="44"/>
  <c r="O161" i="44" s="1"/>
  <c r="L162" i="44"/>
  <c r="O162" i="44" s="1"/>
  <c r="L163" i="44"/>
  <c r="O163" i="44" s="1"/>
  <c r="L164" i="44"/>
  <c r="O164" i="44" s="1"/>
  <c r="L165" i="44"/>
  <c r="O165" i="44" s="1"/>
  <c r="L166" i="44"/>
  <c r="O166" i="44" s="1"/>
  <c r="L167" i="44"/>
  <c r="O167" i="44" s="1"/>
  <c r="L168" i="44"/>
  <c r="O168" i="44" s="1"/>
  <c r="L169" i="44"/>
  <c r="O169" i="44" s="1"/>
  <c r="L170" i="44"/>
  <c r="O170" i="44" s="1"/>
  <c r="L171" i="44"/>
  <c r="O171" i="44" s="1"/>
  <c r="L172" i="44"/>
  <c r="O172" i="44" s="1"/>
  <c r="L173" i="44"/>
  <c r="O173" i="44" s="1"/>
  <c r="L174" i="44"/>
  <c r="O174" i="44" s="1"/>
  <c r="L175" i="44"/>
  <c r="O175" i="44" s="1"/>
  <c r="L176" i="44"/>
  <c r="O176" i="44" s="1"/>
  <c r="L177" i="44"/>
  <c r="O177" i="44" s="1"/>
  <c r="L178" i="44"/>
  <c r="O178" i="44" s="1"/>
  <c r="L179" i="44"/>
  <c r="O179" i="44" s="1"/>
  <c r="L180" i="44"/>
  <c r="O180" i="44" s="1"/>
  <c r="L181" i="44"/>
  <c r="O181" i="44" s="1"/>
  <c r="L182" i="44"/>
  <c r="O182" i="44" s="1"/>
  <c r="L183" i="44"/>
  <c r="O183" i="44" s="1"/>
  <c r="L184" i="44"/>
  <c r="O184" i="44" s="1"/>
  <c r="L185" i="44"/>
  <c r="O185" i="44" s="1"/>
  <c r="L186" i="44"/>
  <c r="O186" i="44" s="1"/>
  <c r="L187" i="44"/>
  <c r="O187" i="44" s="1"/>
  <c r="L188" i="44"/>
  <c r="O188" i="44" s="1"/>
  <c r="L189" i="44"/>
  <c r="O189" i="44" s="1"/>
  <c r="L190" i="44"/>
  <c r="O190" i="44" s="1"/>
  <c r="L191" i="44"/>
  <c r="O191" i="44" s="1"/>
  <c r="L192" i="44"/>
  <c r="O192" i="44" s="1"/>
  <c r="L193" i="44"/>
  <c r="O193" i="44" s="1"/>
  <c r="L194" i="44"/>
  <c r="O194" i="44" s="1"/>
  <c r="L195" i="44"/>
  <c r="O195" i="44" s="1"/>
  <c r="L196" i="44"/>
  <c r="O196" i="44" s="1"/>
  <c r="L197" i="44"/>
  <c r="O197" i="44" s="1"/>
  <c r="L198" i="44"/>
  <c r="O198" i="44" s="1"/>
  <c r="L199" i="44"/>
  <c r="O199" i="44" s="1"/>
  <c r="L200" i="44"/>
  <c r="O200" i="44" s="1"/>
  <c r="L201" i="44"/>
  <c r="O201" i="44" s="1"/>
  <c r="L202" i="44"/>
  <c r="O202" i="44" s="1"/>
  <c r="L203" i="44"/>
  <c r="O203" i="44" s="1"/>
  <c r="L204" i="44"/>
  <c r="O204" i="44" s="1"/>
  <c r="L205" i="44"/>
  <c r="O205" i="44" s="1"/>
  <c r="L206" i="44"/>
  <c r="O206" i="44" s="1"/>
  <c r="L207" i="44"/>
  <c r="O207" i="44" s="1"/>
  <c r="L208" i="44"/>
  <c r="O208" i="44" s="1"/>
  <c r="L209" i="44"/>
  <c r="O209" i="44" s="1"/>
  <c r="L210" i="44"/>
  <c r="O210" i="44" s="1"/>
  <c r="L211" i="44"/>
  <c r="O211" i="44" s="1"/>
  <c r="L212" i="44"/>
  <c r="O212" i="44" s="1"/>
  <c r="L213" i="44"/>
  <c r="O213" i="44" s="1"/>
  <c r="L214" i="44"/>
  <c r="O214" i="44" s="1"/>
  <c r="L215" i="44"/>
  <c r="O215" i="44" s="1"/>
  <c r="L216" i="44"/>
  <c r="O216" i="44" s="1"/>
  <c r="L217" i="44"/>
  <c r="O217" i="44" s="1"/>
  <c r="L218" i="44"/>
  <c r="O218" i="44" s="1"/>
  <c r="L219" i="44"/>
  <c r="O219" i="44" s="1"/>
  <c r="L220" i="44"/>
  <c r="O220" i="44" s="1"/>
  <c r="L221" i="44"/>
  <c r="O221" i="44" s="1"/>
  <c r="L222" i="44"/>
  <c r="O222" i="44" s="1"/>
  <c r="L223" i="44"/>
  <c r="O223" i="44" s="1"/>
  <c r="L224" i="44"/>
  <c r="O224" i="44" s="1"/>
  <c r="L225" i="44"/>
  <c r="O225" i="44" s="1"/>
  <c r="L226" i="44"/>
  <c r="O226" i="44" s="1"/>
  <c r="L227" i="44"/>
  <c r="O227" i="44" s="1"/>
  <c r="L228" i="44"/>
  <c r="O228" i="44" s="1"/>
  <c r="L229" i="44"/>
  <c r="O229" i="44" s="1"/>
  <c r="L230" i="44"/>
  <c r="O230" i="44" s="1"/>
  <c r="L231" i="44"/>
  <c r="O231" i="44" s="1"/>
  <c r="L232" i="44"/>
  <c r="O232" i="44" s="1"/>
  <c r="L233" i="44"/>
  <c r="O233" i="44" s="1"/>
  <c r="L234" i="44"/>
  <c r="O234" i="44" s="1"/>
  <c r="L235" i="44"/>
  <c r="O235" i="44" s="1"/>
  <c r="L236" i="44"/>
  <c r="O236" i="44" s="1"/>
  <c r="L237" i="44"/>
  <c r="O237" i="44" s="1"/>
  <c r="L238" i="44"/>
  <c r="O238" i="44" s="1"/>
  <c r="L239" i="44"/>
  <c r="O239" i="44" s="1"/>
  <c r="L240" i="44"/>
  <c r="O240" i="44" s="1"/>
  <c r="L241" i="44"/>
  <c r="O241" i="44" s="1"/>
  <c r="L242" i="44"/>
  <c r="O242" i="44" s="1"/>
  <c r="L243" i="44"/>
  <c r="O243" i="44" s="1"/>
  <c r="L244" i="44"/>
  <c r="O244" i="44" s="1"/>
  <c r="L245" i="44"/>
  <c r="O245" i="44" s="1"/>
  <c r="L246" i="44"/>
  <c r="O246" i="44" s="1"/>
  <c r="L247" i="44"/>
  <c r="O247" i="44" s="1"/>
  <c r="L248" i="44"/>
  <c r="O248" i="44" s="1"/>
  <c r="L249" i="44"/>
  <c r="O249" i="44" s="1"/>
  <c r="L250" i="44"/>
  <c r="O250" i="44" s="1"/>
  <c r="L251" i="44"/>
  <c r="O251" i="44" s="1"/>
  <c r="L252" i="44"/>
  <c r="O252" i="44" s="1"/>
  <c r="L253" i="44"/>
  <c r="O253" i="44" s="1"/>
  <c r="L254" i="44"/>
  <c r="O254" i="44" s="1"/>
  <c r="L255" i="44"/>
  <c r="O255" i="44" s="1"/>
  <c r="L256" i="44"/>
  <c r="O256" i="44" s="1"/>
  <c r="L257" i="44"/>
  <c r="O257" i="44" s="1"/>
  <c r="L258" i="44"/>
  <c r="O258" i="44" s="1"/>
  <c r="L259" i="44"/>
  <c r="O259" i="44" s="1"/>
  <c r="L260" i="44"/>
  <c r="O260" i="44" s="1"/>
  <c r="L261" i="44"/>
  <c r="O261" i="44" s="1"/>
  <c r="L262" i="44"/>
  <c r="O262" i="44" s="1"/>
  <c r="L263" i="44"/>
  <c r="O263" i="44" s="1"/>
  <c r="L264" i="44"/>
  <c r="O264" i="44" s="1"/>
  <c r="L265" i="44"/>
  <c r="O265" i="44" s="1"/>
  <c r="L266" i="44"/>
  <c r="O266" i="44" s="1"/>
  <c r="L267" i="44"/>
  <c r="O267" i="44" s="1"/>
  <c r="L268" i="44"/>
  <c r="O268" i="44" s="1"/>
  <c r="L269" i="44"/>
  <c r="O269" i="44" s="1"/>
  <c r="L270" i="44"/>
  <c r="O270" i="44" s="1"/>
  <c r="L271" i="44"/>
  <c r="O271" i="44" s="1"/>
  <c r="L272" i="44"/>
  <c r="O272" i="44" s="1"/>
  <c r="L273" i="44"/>
  <c r="O273" i="44" s="1"/>
  <c r="L274" i="44"/>
  <c r="O274" i="44" s="1"/>
  <c r="L275" i="44"/>
  <c r="O275" i="44" s="1"/>
  <c r="L276" i="44"/>
  <c r="O276" i="44" s="1"/>
  <c r="L277" i="44"/>
  <c r="O277" i="44" s="1"/>
  <c r="L278" i="44"/>
  <c r="O278" i="44" s="1"/>
  <c r="L279" i="44"/>
  <c r="O279" i="44" s="1"/>
  <c r="L280" i="44"/>
  <c r="O280" i="44" s="1"/>
  <c r="L281" i="44"/>
  <c r="O281" i="44" s="1"/>
  <c r="L282" i="44"/>
  <c r="O282" i="44" s="1"/>
  <c r="L283" i="44"/>
  <c r="O283" i="44" s="1"/>
  <c r="L284" i="44"/>
  <c r="O284" i="44" s="1"/>
  <c r="L285" i="44"/>
  <c r="O285" i="44" s="1"/>
  <c r="L286" i="44"/>
  <c r="O286" i="44" s="1"/>
  <c r="L287" i="44"/>
  <c r="O287" i="44" s="1"/>
  <c r="L288" i="44"/>
  <c r="O288" i="44" s="1"/>
  <c r="L289" i="44"/>
  <c r="O289" i="44" s="1"/>
  <c r="L290" i="44"/>
  <c r="O290" i="44" s="1"/>
  <c r="L291" i="44"/>
  <c r="O291" i="44" s="1"/>
  <c r="L292" i="44"/>
  <c r="O292" i="44" s="1"/>
  <c r="L293" i="44"/>
  <c r="O293" i="44" s="1"/>
  <c r="L294" i="44"/>
  <c r="O294" i="44" s="1"/>
  <c r="L295" i="44"/>
  <c r="O295" i="44" s="1"/>
  <c r="L296" i="44"/>
  <c r="O296" i="44" s="1"/>
  <c r="L297" i="44"/>
  <c r="O297" i="44" s="1"/>
  <c r="L298" i="44"/>
  <c r="O298" i="44" s="1"/>
  <c r="L299" i="44"/>
  <c r="O299" i="44" s="1"/>
  <c r="L300" i="44"/>
  <c r="O300" i="44" s="1"/>
  <c r="L301" i="44"/>
  <c r="O301" i="44" s="1"/>
  <c r="L302" i="44"/>
  <c r="O302" i="44" s="1"/>
  <c r="L303" i="44"/>
  <c r="O303" i="44" s="1"/>
  <c r="L304" i="44"/>
  <c r="O304" i="44" s="1"/>
  <c r="L305" i="44"/>
  <c r="O305" i="44" s="1"/>
  <c r="L306" i="44"/>
  <c r="O306" i="44" s="1"/>
  <c r="L307" i="44"/>
  <c r="O307" i="44" s="1"/>
  <c r="L308" i="44"/>
  <c r="O308" i="44" s="1"/>
  <c r="L309" i="44"/>
  <c r="O309" i="44" s="1"/>
  <c r="L310" i="44"/>
  <c r="O310" i="44" s="1"/>
  <c r="L311" i="44"/>
  <c r="O311" i="44" s="1"/>
  <c r="L312" i="44"/>
  <c r="O312" i="44" s="1"/>
  <c r="L313" i="44"/>
  <c r="O313" i="44" s="1"/>
  <c r="L314" i="44"/>
  <c r="O314" i="44" s="1"/>
  <c r="L315" i="44"/>
  <c r="O315" i="44" s="1"/>
  <c r="L316" i="44"/>
  <c r="O316" i="44" s="1"/>
  <c r="L317" i="44"/>
  <c r="O317" i="44" s="1"/>
  <c r="L318" i="44"/>
  <c r="O318" i="44" s="1"/>
  <c r="L319" i="44"/>
  <c r="O319" i="44" s="1"/>
  <c r="L320" i="44"/>
  <c r="O320" i="44" s="1"/>
  <c r="L321" i="44"/>
  <c r="O321" i="44" s="1"/>
  <c r="L322" i="44"/>
  <c r="O322" i="44" s="1"/>
  <c r="L323" i="44"/>
  <c r="O323" i="44" s="1"/>
  <c r="L324" i="44"/>
  <c r="O324" i="44" s="1"/>
  <c r="L325" i="44"/>
  <c r="O325" i="44" s="1"/>
  <c r="L326" i="44"/>
  <c r="O326" i="44" s="1"/>
  <c r="L327" i="44"/>
  <c r="O327" i="44" s="1"/>
  <c r="L328" i="44"/>
  <c r="O328" i="44" s="1"/>
  <c r="L329" i="44"/>
  <c r="O329" i="44" s="1"/>
  <c r="L330" i="44"/>
  <c r="O330" i="44" s="1"/>
  <c r="L331" i="44"/>
  <c r="O331" i="44" s="1"/>
  <c r="L332" i="44"/>
  <c r="O332" i="44" s="1"/>
  <c r="L333" i="44"/>
  <c r="O333" i="44" s="1"/>
  <c r="L334" i="44"/>
  <c r="O334" i="44" s="1"/>
  <c r="L335" i="44"/>
  <c r="O335" i="44" s="1"/>
  <c r="L336" i="44"/>
  <c r="O336" i="44" s="1"/>
  <c r="L337" i="44"/>
  <c r="O337" i="44" s="1"/>
  <c r="L338" i="44"/>
  <c r="O338" i="44" s="1"/>
  <c r="L339" i="44"/>
  <c r="O339" i="44" s="1"/>
  <c r="L340" i="44"/>
  <c r="O340" i="44" s="1"/>
  <c r="L341" i="44"/>
  <c r="O341" i="44" s="1"/>
  <c r="L342" i="44"/>
  <c r="O342" i="44" s="1"/>
  <c r="L343" i="44"/>
  <c r="O343" i="44" s="1"/>
  <c r="L344" i="44"/>
  <c r="O344" i="44" s="1"/>
  <c r="L345" i="44"/>
  <c r="O345" i="44" s="1"/>
  <c r="L346" i="44"/>
  <c r="O346" i="44" s="1"/>
  <c r="L347" i="44"/>
  <c r="O347" i="44" s="1"/>
  <c r="L348" i="44"/>
  <c r="O348" i="44" s="1"/>
  <c r="L349" i="44"/>
  <c r="O349" i="44" s="1"/>
  <c r="L350" i="44"/>
  <c r="O350" i="44" s="1"/>
  <c r="L351" i="44"/>
  <c r="O351" i="44" s="1"/>
  <c r="L352" i="44"/>
  <c r="O352" i="44" s="1"/>
  <c r="L353" i="44"/>
  <c r="O353" i="44" s="1"/>
  <c r="L354" i="44"/>
  <c r="O354" i="44" s="1"/>
  <c r="L355" i="44"/>
  <c r="O355" i="44" s="1"/>
  <c r="L356" i="44"/>
  <c r="O356" i="44" s="1"/>
  <c r="L357" i="44"/>
  <c r="O357" i="44" s="1"/>
  <c r="L358" i="44"/>
  <c r="O358" i="44" s="1"/>
  <c r="L359" i="44"/>
  <c r="O359" i="44" s="1"/>
  <c r="L360" i="44"/>
  <c r="O360" i="44" s="1"/>
  <c r="L361" i="44"/>
  <c r="O361" i="44" s="1"/>
  <c r="L362" i="44"/>
  <c r="O362" i="44" s="1"/>
  <c r="L363" i="44"/>
  <c r="O363" i="44" s="1"/>
  <c r="L364" i="44"/>
  <c r="O364" i="44" s="1"/>
  <c r="L365" i="44"/>
  <c r="O365" i="44" s="1"/>
  <c r="L366" i="44"/>
  <c r="O366" i="44" s="1"/>
  <c r="L367" i="44"/>
  <c r="O367" i="44" s="1"/>
  <c r="L368" i="44"/>
  <c r="O368" i="44" s="1"/>
  <c r="L369" i="44"/>
  <c r="O369" i="44" s="1"/>
  <c r="L370" i="44"/>
  <c r="O370" i="44" s="1"/>
  <c r="L371" i="44"/>
  <c r="O371" i="44" s="1"/>
  <c r="L372" i="44"/>
  <c r="O372" i="44" s="1"/>
  <c r="L373" i="44"/>
  <c r="O373" i="44" s="1"/>
  <c r="L374" i="44"/>
  <c r="O374" i="44" s="1"/>
  <c r="L375" i="44"/>
  <c r="O375" i="44" s="1"/>
  <c r="L376" i="44"/>
  <c r="O376" i="44" s="1"/>
  <c r="L377" i="44"/>
  <c r="O377" i="44" s="1"/>
  <c r="L378" i="44"/>
  <c r="O378" i="44" s="1"/>
  <c r="L379" i="44"/>
  <c r="O379" i="44" s="1"/>
  <c r="L380" i="44"/>
  <c r="O380" i="44" s="1"/>
  <c r="L381" i="44"/>
  <c r="O381" i="44" s="1"/>
  <c r="L382" i="44"/>
  <c r="O382" i="44" s="1"/>
  <c r="L383" i="44"/>
  <c r="O383" i="44" s="1"/>
  <c r="L384" i="44"/>
  <c r="O384" i="44" s="1"/>
  <c r="L385" i="44"/>
  <c r="O385" i="44" s="1"/>
  <c r="L386" i="44"/>
  <c r="O386" i="44" s="1"/>
  <c r="L387" i="44"/>
  <c r="O387" i="44" s="1"/>
  <c r="L388" i="44"/>
  <c r="O388" i="44" s="1"/>
  <c r="L389" i="44"/>
  <c r="O389" i="44" s="1"/>
  <c r="L390" i="44"/>
  <c r="O390" i="44" s="1"/>
  <c r="L391" i="44"/>
  <c r="O391" i="44" s="1"/>
  <c r="L392" i="44"/>
  <c r="O392" i="44" s="1"/>
  <c r="L393" i="44"/>
  <c r="O393" i="44" s="1"/>
  <c r="L394" i="44"/>
  <c r="O394" i="44" s="1"/>
  <c r="L395" i="44"/>
  <c r="O395" i="44" s="1"/>
  <c r="L396" i="44"/>
  <c r="O396" i="44" s="1"/>
  <c r="L397" i="44"/>
  <c r="O397" i="44" s="1"/>
  <c r="L398" i="44"/>
  <c r="O398" i="44" s="1"/>
  <c r="L399" i="44"/>
  <c r="O399" i="44" s="1"/>
  <c r="L400" i="44"/>
  <c r="O400" i="44" s="1"/>
  <c r="L401" i="44"/>
  <c r="O401" i="44" s="1"/>
  <c r="L402" i="44"/>
  <c r="O402" i="44" s="1"/>
  <c r="L403" i="44"/>
  <c r="O403" i="44" s="1"/>
  <c r="L404" i="44"/>
  <c r="O404" i="44" s="1"/>
  <c r="L405" i="44"/>
  <c r="O405" i="44" s="1"/>
  <c r="L406" i="44"/>
  <c r="O406" i="44" s="1"/>
  <c r="L407" i="44"/>
  <c r="O407" i="44" s="1"/>
  <c r="L408" i="44"/>
  <c r="O408" i="44" s="1"/>
  <c r="L409" i="44"/>
  <c r="O409" i="44" s="1"/>
  <c r="L410" i="44"/>
  <c r="O410" i="44" s="1"/>
  <c r="L411" i="44"/>
  <c r="O411" i="44" s="1"/>
  <c r="L412" i="44"/>
  <c r="O412" i="44" s="1"/>
  <c r="L413" i="44"/>
  <c r="O413" i="44" s="1"/>
  <c r="L414" i="44"/>
  <c r="O414" i="44" s="1"/>
  <c r="L415" i="44"/>
  <c r="O415" i="44" s="1"/>
  <c r="L416" i="44"/>
  <c r="O416" i="44" s="1"/>
  <c r="L417" i="44"/>
  <c r="O417" i="44" s="1"/>
  <c r="L418" i="44"/>
  <c r="O418" i="44" s="1"/>
  <c r="L419" i="44"/>
  <c r="O419" i="44" s="1"/>
  <c r="L420" i="44"/>
  <c r="O420" i="44" s="1"/>
  <c r="L421" i="44"/>
  <c r="O421" i="44" s="1"/>
  <c r="L422" i="44"/>
  <c r="O422" i="44" s="1"/>
  <c r="L423" i="44"/>
  <c r="O423" i="44" s="1"/>
  <c r="L424" i="44"/>
  <c r="O424" i="44" s="1"/>
  <c r="L425" i="44"/>
  <c r="O425" i="44" s="1"/>
  <c r="L426" i="44"/>
  <c r="O426" i="44" s="1"/>
  <c r="L427" i="44"/>
  <c r="O427" i="44" s="1"/>
  <c r="L428" i="44"/>
  <c r="O428" i="44" s="1"/>
  <c r="L429" i="44"/>
  <c r="O429" i="44" s="1"/>
  <c r="L430" i="44"/>
  <c r="O430" i="44" s="1"/>
  <c r="L431" i="44"/>
  <c r="O431" i="44" s="1"/>
  <c r="L432" i="44"/>
  <c r="O432" i="44" s="1"/>
  <c r="L433" i="44"/>
  <c r="O433" i="44" s="1"/>
  <c r="L434" i="44"/>
  <c r="O434" i="44" s="1"/>
  <c r="L435" i="44"/>
  <c r="O435" i="44" s="1"/>
  <c r="L436" i="44"/>
  <c r="O436" i="44" s="1"/>
  <c r="L437" i="44"/>
  <c r="O437" i="44" s="1"/>
  <c r="L438" i="44"/>
  <c r="O438" i="44" s="1"/>
  <c r="L439" i="44"/>
  <c r="O439" i="44" s="1"/>
  <c r="L440" i="44"/>
  <c r="O440" i="44" s="1"/>
  <c r="L441" i="44"/>
  <c r="O441" i="44" s="1"/>
  <c r="L442" i="44"/>
  <c r="O442" i="44" s="1"/>
  <c r="L443" i="44"/>
  <c r="O443" i="44" s="1"/>
  <c r="L444" i="44"/>
  <c r="O444" i="44" s="1"/>
  <c r="L445" i="44"/>
  <c r="O445" i="44" s="1"/>
  <c r="L446" i="44"/>
  <c r="O446" i="44" s="1"/>
  <c r="L447" i="44"/>
  <c r="O447" i="44" s="1"/>
  <c r="L448" i="44"/>
  <c r="O448" i="44" s="1"/>
  <c r="L449" i="44"/>
  <c r="O449" i="44" s="1"/>
  <c r="L450" i="44"/>
  <c r="O450" i="44" s="1"/>
  <c r="L451" i="44"/>
  <c r="O451" i="44" s="1"/>
  <c r="L452" i="44"/>
  <c r="O452" i="44" s="1"/>
  <c r="L453" i="44"/>
  <c r="O453" i="44" s="1"/>
  <c r="L454" i="44"/>
  <c r="O454" i="44" s="1"/>
  <c r="L455" i="44"/>
  <c r="O455" i="44" s="1"/>
  <c r="L456" i="44"/>
  <c r="O456" i="44" s="1"/>
  <c r="L457" i="44"/>
  <c r="O457" i="44" s="1"/>
  <c r="L458" i="44"/>
  <c r="O458" i="44" s="1"/>
  <c r="L459" i="44"/>
  <c r="O459" i="44" s="1"/>
  <c r="L460" i="44"/>
  <c r="O460" i="44" s="1"/>
  <c r="L461" i="44"/>
  <c r="O461" i="44" s="1"/>
  <c r="L462" i="44"/>
  <c r="O462" i="44" s="1"/>
  <c r="L463" i="44"/>
  <c r="O463" i="44" s="1"/>
  <c r="L464" i="44"/>
  <c r="O464" i="44" s="1"/>
  <c r="L465" i="44"/>
  <c r="O465" i="44" s="1"/>
  <c r="L466" i="44"/>
  <c r="O466" i="44" s="1"/>
  <c r="L467" i="44"/>
  <c r="O467" i="44" s="1"/>
  <c r="L468" i="44"/>
  <c r="O468" i="44" s="1"/>
  <c r="L469" i="44"/>
  <c r="O469" i="44" s="1"/>
  <c r="L470" i="44"/>
  <c r="O470" i="44" s="1"/>
  <c r="L471" i="44"/>
  <c r="O471" i="44" s="1"/>
  <c r="L472" i="44"/>
  <c r="O472" i="44" s="1"/>
  <c r="L473" i="44"/>
  <c r="O473" i="44" s="1"/>
  <c r="L474" i="44"/>
  <c r="O474" i="44" s="1"/>
  <c r="L475" i="44"/>
  <c r="O475" i="44" s="1"/>
  <c r="L476" i="44"/>
  <c r="O476" i="44" s="1"/>
  <c r="L477" i="44"/>
  <c r="O477" i="44" s="1"/>
  <c r="L478" i="44"/>
  <c r="O478" i="44" s="1"/>
  <c r="L479" i="44"/>
  <c r="O479" i="44" s="1"/>
  <c r="L480" i="44"/>
  <c r="O480" i="44" s="1"/>
  <c r="L481" i="44"/>
  <c r="O481" i="44" s="1"/>
  <c r="L482" i="44"/>
  <c r="O482" i="44" s="1"/>
  <c r="L483" i="44"/>
  <c r="O483" i="44" s="1"/>
  <c r="L484" i="44"/>
  <c r="O484" i="44" s="1"/>
  <c r="L485" i="44"/>
  <c r="O485" i="44" s="1"/>
  <c r="L486" i="44"/>
  <c r="O486" i="44" s="1"/>
  <c r="L487" i="44"/>
  <c r="O487" i="44" s="1"/>
  <c r="L488" i="44"/>
  <c r="O488" i="44" s="1"/>
  <c r="L489" i="44"/>
  <c r="O489" i="44" s="1"/>
  <c r="L490" i="44"/>
  <c r="O490" i="44" s="1"/>
  <c r="L491" i="44"/>
  <c r="O491" i="44" s="1"/>
  <c r="L492" i="44"/>
  <c r="O492" i="44" s="1"/>
  <c r="L493" i="44"/>
  <c r="O493" i="44" s="1"/>
  <c r="L494" i="44"/>
  <c r="O494" i="44" s="1"/>
  <c r="L495" i="44"/>
  <c r="O495" i="44" s="1"/>
  <c r="L496" i="44"/>
  <c r="O496" i="44" s="1"/>
  <c r="L497" i="44"/>
  <c r="O497" i="44" s="1"/>
  <c r="L498" i="44"/>
  <c r="O498" i="44" s="1"/>
  <c r="L499" i="44"/>
  <c r="O499" i="44" s="1"/>
  <c r="L500" i="44"/>
  <c r="O500" i="44" s="1"/>
  <c r="L501" i="44"/>
  <c r="O501" i="44" s="1"/>
  <c r="L502" i="44"/>
  <c r="O502" i="44" s="1"/>
  <c r="L503" i="44"/>
  <c r="O503" i="44" s="1"/>
  <c r="L504" i="44"/>
  <c r="O504" i="44" s="1"/>
  <c r="L505" i="44"/>
  <c r="O505" i="44" s="1"/>
  <c r="L506" i="44"/>
  <c r="O506" i="44" s="1"/>
  <c r="L507" i="44"/>
  <c r="O507" i="44" s="1"/>
  <c r="L508" i="44"/>
  <c r="O508" i="44" s="1"/>
  <c r="L509" i="44"/>
  <c r="O509" i="44" s="1"/>
  <c r="L510" i="44"/>
  <c r="O510" i="44" s="1"/>
  <c r="L511" i="44"/>
  <c r="O511" i="44" s="1"/>
  <c r="L512" i="44"/>
  <c r="O512" i="44" s="1"/>
  <c r="L513" i="44"/>
  <c r="O513" i="44" s="1"/>
  <c r="L514" i="44"/>
  <c r="O514" i="44" s="1"/>
  <c r="L515" i="44"/>
  <c r="O515" i="44" s="1"/>
  <c r="L516" i="44"/>
  <c r="O516" i="44" s="1"/>
  <c r="L517" i="44"/>
  <c r="O517" i="44" s="1"/>
  <c r="L518" i="44"/>
  <c r="O518" i="44" s="1"/>
  <c r="L519" i="44"/>
  <c r="O519" i="44" s="1"/>
  <c r="L520" i="44"/>
  <c r="O520" i="44" s="1"/>
  <c r="L521" i="44"/>
  <c r="O521" i="44" s="1"/>
  <c r="L522" i="44"/>
  <c r="O522" i="44" s="1"/>
  <c r="L523" i="44"/>
  <c r="O523" i="44" s="1"/>
  <c r="L524" i="44"/>
  <c r="O524" i="44" s="1"/>
  <c r="L525" i="44"/>
  <c r="O525" i="44" s="1"/>
  <c r="L526" i="44"/>
  <c r="O526" i="44" s="1"/>
  <c r="L527" i="44"/>
  <c r="O527" i="44" s="1"/>
  <c r="L528" i="44"/>
  <c r="O528" i="44" s="1"/>
  <c r="L529" i="44"/>
  <c r="O529" i="44" s="1"/>
  <c r="L530" i="44"/>
  <c r="O530" i="44" s="1"/>
  <c r="L531" i="44"/>
  <c r="O531" i="44" s="1"/>
  <c r="L532" i="44"/>
  <c r="O532" i="44" s="1"/>
  <c r="L533" i="44"/>
  <c r="O533" i="44" s="1"/>
  <c r="L534" i="44"/>
  <c r="O534" i="44" s="1"/>
  <c r="L535" i="44"/>
  <c r="O535" i="44" s="1"/>
  <c r="L536" i="44"/>
  <c r="O536" i="44" s="1"/>
  <c r="L537" i="44"/>
  <c r="O537" i="44" s="1"/>
  <c r="L538" i="44"/>
  <c r="O538" i="44" s="1"/>
  <c r="L539" i="44"/>
  <c r="O539" i="44" s="1"/>
  <c r="L540" i="44"/>
  <c r="O540" i="44" s="1"/>
  <c r="L541" i="44"/>
  <c r="O541" i="44" s="1"/>
  <c r="L542" i="44"/>
  <c r="O542" i="44" s="1"/>
  <c r="L543" i="44"/>
  <c r="O543" i="44" s="1"/>
  <c r="L544" i="44"/>
  <c r="O544" i="44" s="1"/>
  <c r="L545" i="44"/>
  <c r="O545" i="44" s="1"/>
  <c r="L546" i="44"/>
  <c r="O546" i="44" s="1"/>
  <c r="L547" i="44"/>
  <c r="O547" i="44" s="1"/>
  <c r="L548" i="44"/>
  <c r="O548" i="44" s="1"/>
  <c r="L549" i="44"/>
  <c r="O549" i="44" s="1"/>
  <c r="L550" i="44"/>
  <c r="O550" i="44" s="1"/>
  <c r="L551" i="44"/>
  <c r="O551" i="44" s="1"/>
  <c r="L552" i="44"/>
  <c r="O552" i="44" s="1"/>
  <c r="L553" i="44"/>
  <c r="O553" i="44" s="1"/>
  <c r="L554" i="44"/>
  <c r="O554" i="44" s="1"/>
  <c r="L555" i="44"/>
  <c r="O555" i="44" s="1"/>
  <c r="L556" i="44"/>
  <c r="O556" i="44" s="1"/>
  <c r="L557" i="44"/>
  <c r="O557" i="44" s="1"/>
  <c r="L558" i="44"/>
  <c r="O558" i="44" s="1"/>
  <c r="L559" i="44"/>
  <c r="O559" i="44" s="1"/>
  <c r="L560" i="44"/>
  <c r="O560" i="44" s="1"/>
  <c r="L561" i="44"/>
  <c r="O561" i="44" s="1"/>
  <c r="L562" i="44"/>
  <c r="O562" i="44" s="1"/>
  <c r="L563" i="44"/>
  <c r="O563" i="44" s="1"/>
  <c r="L564" i="44"/>
  <c r="O564" i="44" s="1"/>
  <c r="L565" i="44"/>
  <c r="O565" i="44" s="1"/>
  <c r="L566" i="44"/>
  <c r="O566" i="44" s="1"/>
  <c r="L567" i="44"/>
  <c r="O567" i="44" s="1"/>
  <c r="L568" i="44"/>
  <c r="O568" i="44" s="1"/>
  <c r="L569" i="44"/>
  <c r="O569" i="44" s="1"/>
  <c r="L570" i="44"/>
  <c r="O570" i="44" s="1"/>
  <c r="L571" i="44"/>
  <c r="O571" i="44" s="1"/>
  <c r="L572" i="44"/>
  <c r="O572" i="44" s="1"/>
  <c r="L573" i="44"/>
  <c r="O573" i="44" s="1"/>
  <c r="L574" i="44"/>
  <c r="O574" i="44" s="1"/>
  <c r="L575" i="44"/>
  <c r="O575" i="44" s="1"/>
  <c r="L576" i="44"/>
  <c r="O576" i="44" s="1"/>
  <c r="L577" i="44"/>
  <c r="O577" i="44" s="1"/>
  <c r="L578" i="44"/>
  <c r="O578" i="44" s="1"/>
  <c r="L579" i="44"/>
  <c r="O579" i="44" s="1"/>
  <c r="L580" i="44"/>
  <c r="O580" i="44" s="1"/>
  <c r="L581" i="44"/>
  <c r="O581" i="44" s="1"/>
  <c r="L582" i="44"/>
  <c r="O582" i="44" s="1"/>
  <c r="L583" i="44"/>
  <c r="O583" i="44" s="1"/>
  <c r="L584" i="44"/>
  <c r="O584" i="44" s="1"/>
  <c r="L585" i="44"/>
  <c r="O585" i="44" s="1"/>
  <c r="L586" i="44"/>
  <c r="O586" i="44" s="1"/>
  <c r="L587" i="44"/>
  <c r="O587" i="44" s="1"/>
  <c r="L588" i="44"/>
  <c r="O588" i="44" s="1"/>
  <c r="L589" i="44"/>
  <c r="O589" i="44" s="1"/>
  <c r="L590" i="44"/>
  <c r="O590" i="44" s="1"/>
  <c r="L591" i="44"/>
  <c r="O591" i="44" s="1"/>
  <c r="L592" i="44"/>
  <c r="O592" i="44" s="1"/>
  <c r="L593" i="44"/>
  <c r="O593" i="44" s="1"/>
  <c r="L594" i="44"/>
  <c r="O594" i="44" s="1"/>
  <c r="L595" i="44"/>
  <c r="O595" i="44" s="1"/>
  <c r="L596" i="44"/>
  <c r="O596" i="44" s="1"/>
  <c r="L597" i="44"/>
  <c r="O597" i="44" s="1"/>
  <c r="L598" i="44"/>
  <c r="O598" i="44" s="1"/>
  <c r="L599" i="44"/>
  <c r="O599" i="44" s="1"/>
  <c r="L600" i="44"/>
  <c r="O600" i="44" s="1"/>
  <c r="L601" i="44"/>
  <c r="O601" i="44" s="1"/>
  <c r="L602" i="44"/>
  <c r="O602" i="44" s="1"/>
  <c r="L603" i="44"/>
  <c r="O603" i="44" s="1"/>
  <c r="L604" i="44"/>
  <c r="O604" i="44" s="1"/>
  <c r="L605" i="44"/>
  <c r="O605" i="44" s="1"/>
  <c r="L606" i="44"/>
  <c r="O606" i="44" s="1"/>
  <c r="L607" i="44"/>
  <c r="O607" i="44" s="1"/>
  <c r="L608" i="44"/>
  <c r="O608" i="44" s="1"/>
  <c r="L609" i="44"/>
  <c r="O609" i="44" s="1"/>
  <c r="L610" i="44"/>
  <c r="O610" i="44" s="1"/>
  <c r="L611" i="44"/>
  <c r="O611" i="44" s="1"/>
  <c r="L612" i="44"/>
  <c r="O612" i="44" s="1"/>
  <c r="L613" i="44"/>
  <c r="O613" i="44" s="1"/>
  <c r="L614" i="44"/>
  <c r="O614" i="44" s="1"/>
  <c r="L615" i="44"/>
  <c r="O615" i="44" s="1"/>
  <c r="L616" i="44"/>
  <c r="O616" i="44" s="1"/>
  <c r="L617" i="44"/>
  <c r="O617" i="44" s="1"/>
  <c r="L618" i="44"/>
  <c r="O618" i="44" s="1"/>
  <c r="L619" i="44"/>
  <c r="O619" i="44" s="1"/>
  <c r="L620" i="44"/>
  <c r="O620" i="44" s="1"/>
  <c r="L621" i="44"/>
  <c r="O621" i="44" s="1"/>
  <c r="L622" i="44"/>
  <c r="O622" i="44" s="1"/>
  <c r="L623" i="44"/>
  <c r="O623" i="44" s="1"/>
  <c r="L624" i="44"/>
  <c r="O624" i="44" s="1"/>
  <c r="L625" i="44"/>
  <c r="O625" i="44" s="1"/>
  <c r="L626" i="44"/>
  <c r="O626" i="44" s="1"/>
  <c r="L627" i="44"/>
  <c r="O627" i="44" s="1"/>
  <c r="L628" i="44"/>
  <c r="O628" i="44" s="1"/>
  <c r="L629" i="44"/>
  <c r="O629" i="44" s="1"/>
  <c r="L630" i="44"/>
  <c r="O630" i="44" s="1"/>
  <c r="L631" i="44"/>
  <c r="O631" i="44" s="1"/>
  <c r="L632" i="44"/>
  <c r="O632" i="44" s="1"/>
  <c r="L633" i="44"/>
  <c r="O633" i="44" s="1"/>
  <c r="L634" i="44"/>
  <c r="O634" i="44" s="1"/>
  <c r="L635" i="44"/>
  <c r="O635" i="44" s="1"/>
  <c r="L636" i="44"/>
  <c r="O636" i="44" s="1"/>
  <c r="L637" i="44"/>
  <c r="O637" i="44" s="1"/>
  <c r="L638" i="44"/>
  <c r="O638" i="44" s="1"/>
  <c r="L639" i="44"/>
  <c r="O639" i="44" s="1"/>
  <c r="L640" i="44"/>
  <c r="O640" i="44" s="1"/>
  <c r="L641" i="44"/>
  <c r="O641" i="44" s="1"/>
  <c r="L642" i="44"/>
  <c r="O642" i="44" s="1"/>
  <c r="L643" i="44"/>
  <c r="O643" i="44" s="1"/>
  <c r="L644" i="44"/>
  <c r="O644" i="44" s="1"/>
  <c r="L645" i="44"/>
  <c r="O645" i="44" s="1"/>
  <c r="L646" i="44"/>
  <c r="O646" i="44" s="1"/>
  <c r="L647" i="44"/>
  <c r="O647" i="44" s="1"/>
  <c r="L648" i="44"/>
  <c r="O648" i="44" s="1"/>
  <c r="L649" i="44"/>
  <c r="O649" i="44" s="1"/>
  <c r="L650" i="44"/>
  <c r="O650" i="44" s="1"/>
  <c r="L651" i="44"/>
  <c r="O651" i="44" s="1"/>
  <c r="L2" i="44"/>
  <c r="O2" i="44" s="1"/>
  <c r="K3" i="44"/>
  <c r="K4" i="44"/>
  <c r="K5" i="44"/>
  <c r="K6" i="44"/>
  <c r="K7" i="44"/>
  <c r="K8" i="44"/>
  <c r="K9" i="44"/>
  <c r="K10" i="44"/>
  <c r="K11" i="44"/>
  <c r="K12" i="44"/>
  <c r="K13" i="44"/>
  <c r="K14" i="44"/>
  <c r="K15" i="44"/>
  <c r="K16" i="44"/>
  <c r="K17" i="44"/>
  <c r="K18" i="44"/>
  <c r="K19" i="44"/>
  <c r="K20" i="44"/>
  <c r="K21" i="44"/>
  <c r="K22" i="44"/>
  <c r="K23" i="44"/>
  <c r="K24" i="44"/>
  <c r="K25" i="44"/>
  <c r="K26" i="44"/>
  <c r="K27" i="44"/>
  <c r="K28" i="44"/>
  <c r="K29" i="44"/>
  <c r="K30" i="44"/>
  <c r="K31" i="44"/>
  <c r="K32" i="44"/>
  <c r="K33" i="44"/>
  <c r="K34" i="44"/>
  <c r="K35" i="44"/>
  <c r="K36" i="44"/>
  <c r="K37" i="44"/>
  <c r="K38" i="44"/>
  <c r="K39" i="44"/>
  <c r="K40" i="44"/>
  <c r="K41" i="44"/>
  <c r="K42" i="44"/>
  <c r="K43" i="44"/>
  <c r="K44" i="44"/>
  <c r="K45" i="44"/>
  <c r="K46" i="44"/>
  <c r="K47" i="44"/>
  <c r="K48" i="44"/>
  <c r="K49" i="44"/>
  <c r="K50" i="44"/>
  <c r="K51" i="44"/>
  <c r="K52" i="44"/>
  <c r="K53" i="44"/>
  <c r="K54" i="44"/>
  <c r="K55" i="44"/>
  <c r="K56" i="44"/>
  <c r="K57" i="44"/>
  <c r="K58" i="44"/>
  <c r="K59" i="44"/>
  <c r="K60" i="44"/>
  <c r="K61" i="44"/>
  <c r="K62" i="44"/>
  <c r="K63" i="44"/>
  <c r="K64" i="44"/>
  <c r="K65" i="44"/>
  <c r="K66" i="44"/>
  <c r="K67" i="44"/>
  <c r="K68" i="44"/>
  <c r="K69" i="44"/>
  <c r="K70" i="44"/>
  <c r="K71" i="44"/>
  <c r="K72" i="44"/>
  <c r="K73" i="44"/>
  <c r="K74" i="44"/>
  <c r="K75" i="44"/>
  <c r="K76" i="44"/>
  <c r="K77" i="44"/>
  <c r="K78" i="44"/>
  <c r="K79" i="44"/>
  <c r="K80" i="44"/>
  <c r="K81" i="44"/>
  <c r="K82" i="44"/>
  <c r="K83" i="44"/>
  <c r="K84" i="44"/>
  <c r="K85" i="44"/>
  <c r="K86" i="44"/>
  <c r="K87" i="44"/>
  <c r="K88" i="44"/>
  <c r="K89" i="44"/>
  <c r="K90" i="44"/>
  <c r="K91" i="44"/>
  <c r="K92" i="44"/>
  <c r="K93" i="44"/>
  <c r="K94" i="44"/>
  <c r="K95" i="44"/>
  <c r="K96" i="44"/>
  <c r="K97" i="44"/>
  <c r="K98" i="44"/>
  <c r="K99" i="44"/>
  <c r="K100" i="44"/>
  <c r="K101" i="44"/>
  <c r="K102" i="44"/>
  <c r="K103" i="44"/>
  <c r="K104" i="44"/>
  <c r="K105" i="44"/>
  <c r="K106" i="44"/>
  <c r="K107" i="44"/>
  <c r="K108" i="44"/>
  <c r="K109" i="44"/>
  <c r="K110" i="44"/>
  <c r="K111" i="44"/>
  <c r="K112" i="44"/>
  <c r="K113" i="44"/>
  <c r="K114" i="44"/>
  <c r="K115" i="44"/>
  <c r="K116" i="44"/>
  <c r="K117" i="44"/>
  <c r="K118" i="44"/>
  <c r="K119" i="44"/>
  <c r="K120" i="44"/>
  <c r="K121" i="44"/>
  <c r="K122" i="44"/>
  <c r="K123" i="44"/>
  <c r="K124" i="44"/>
  <c r="K125" i="44"/>
  <c r="K126" i="44"/>
  <c r="K127" i="44"/>
  <c r="K128" i="44"/>
  <c r="K129" i="44"/>
  <c r="K130" i="44"/>
  <c r="K131" i="44"/>
  <c r="K132" i="44"/>
  <c r="K133" i="44"/>
  <c r="K134" i="44"/>
  <c r="K135" i="44"/>
  <c r="K136" i="44"/>
  <c r="K137" i="44"/>
  <c r="K138" i="44"/>
  <c r="K139" i="44"/>
  <c r="K140" i="44"/>
  <c r="K141" i="44"/>
  <c r="K142" i="44"/>
  <c r="K143" i="44"/>
  <c r="K144" i="44"/>
  <c r="K145" i="44"/>
  <c r="K146" i="44"/>
  <c r="K147" i="44"/>
  <c r="K148" i="44"/>
  <c r="K149" i="44"/>
  <c r="K150" i="44"/>
  <c r="K151" i="44"/>
  <c r="K152" i="44"/>
  <c r="K153" i="44"/>
  <c r="K154" i="44"/>
  <c r="K155" i="44"/>
  <c r="K156" i="44"/>
  <c r="K157" i="44"/>
  <c r="K158" i="44"/>
  <c r="K159" i="44"/>
  <c r="K160" i="44"/>
  <c r="K161" i="44"/>
  <c r="K162" i="44"/>
  <c r="K163" i="44"/>
  <c r="K164" i="44"/>
  <c r="K165" i="44"/>
  <c r="K166" i="44"/>
  <c r="K167" i="44"/>
  <c r="K168" i="44"/>
  <c r="K169" i="44"/>
  <c r="K170" i="44"/>
  <c r="K171" i="44"/>
  <c r="K172" i="44"/>
  <c r="K173" i="44"/>
  <c r="K174" i="44"/>
  <c r="K175" i="44"/>
  <c r="K176" i="44"/>
  <c r="K177" i="44"/>
  <c r="K178" i="44"/>
  <c r="K179" i="44"/>
  <c r="K180" i="44"/>
  <c r="K181" i="44"/>
  <c r="K182" i="44"/>
  <c r="K183" i="44"/>
  <c r="K184" i="44"/>
  <c r="K185" i="44"/>
  <c r="K186" i="44"/>
  <c r="K187" i="44"/>
  <c r="K188" i="44"/>
  <c r="K189" i="44"/>
  <c r="K190" i="44"/>
  <c r="K191" i="44"/>
  <c r="K192" i="44"/>
  <c r="K193" i="44"/>
  <c r="K194" i="44"/>
  <c r="K195" i="44"/>
  <c r="K196" i="44"/>
  <c r="K197" i="44"/>
  <c r="K198" i="44"/>
  <c r="K199" i="44"/>
  <c r="K200" i="44"/>
  <c r="K201" i="44"/>
  <c r="K202" i="44"/>
  <c r="K203" i="44"/>
  <c r="K204" i="44"/>
  <c r="K205" i="44"/>
  <c r="K206" i="44"/>
  <c r="K207" i="44"/>
  <c r="K208" i="44"/>
  <c r="K209" i="44"/>
  <c r="K210" i="44"/>
  <c r="K211" i="44"/>
  <c r="K212" i="44"/>
  <c r="K213" i="44"/>
  <c r="K214" i="44"/>
  <c r="K215" i="44"/>
  <c r="K216" i="44"/>
  <c r="K217" i="44"/>
  <c r="K218" i="44"/>
  <c r="K219" i="44"/>
  <c r="K220" i="44"/>
  <c r="K221" i="44"/>
  <c r="K222" i="44"/>
  <c r="K223" i="44"/>
  <c r="K224" i="44"/>
  <c r="K225" i="44"/>
  <c r="K226" i="44"/>
  <c r="K227" i="44"/>
  <c r="K228" i="44"/>
  <c r="K229" i="44"/>
  <c r="K230" i="44"/>
  <c r="K231" i="44"/>
  <c r="K232" i="44"/>
  <c r="K233" i="44"/>
  <c r="K234" i="44"/>
  <c r="K235" i="44"/>
  <c r="K236" i="44"/>
  <c r="K237" i="44"/>
  <c r="K238" i="44"/>
  <c r="K239" i="44"/>
  <c r="K240" i="44"/>
  <c r="K241" i="44"/>
  <c r="K242" i="44"/>
  <c r="K243" i="44"/>
  <c r="K244" i="44"/>
  <c r="K245" i="44"/>
  <c r="K246" i="44"/>
  <c r="K247" i="44"/>
  <c r="K248" i="44"/>
  <c r="K249" i="44"/>
  <c r="K250" i="44"/>
  <c r="K251" i="44"/>
  <c r="K252" i="44"/>
  <c r="K253" i="44"/>
  <c r="K254" i="44"/>
  <c r="K255" i="44"/>
  <c r="K256" i="44"/>
  <c r="K257" i="44"/>
  <c r="K258" i="44"/>
  <c r="K259" i="44"/>
  <c r="K260" i="44"/>
  <c r="K261" i="44"/>
  <c r="K262" i="44"/>
  <c r="K263" i="44"/>
  <c r="K264" i="44"/>
  <c r="K265" i="44"/>
  <c r="K266" i="44"/>
  <c r="K267" i="44"/>
  <c r="K268" i="44"/>
  <c r="K269" i="44"/>
  <c r="K270" i="44"/>
  <c r="K271" i="44"/>
  <c r="K272" i="44"/>
  <c r="K273" i="44"/>
  <c r="K274" i="44"/>
  <c r="K275" i="44"/>
  <c r="K276" i="44"/>
  <c r="K277" i="44"/>
  <c r="K278" i="44"/>
  <c r="K279" i="44"/>
  <c r="K280" i="44"/>
  <c r="K281" i="44"/>
  <c r="K282" i="44"/>
  <c r="K283" i="44"/>
  <c r="K284" i="44"/>
  <c r="K285" i="44"/>
  <c r="K286" i="44"/>
  <c r="K287" i="44"/>
  <c r="K288" i="44"/>
  <c r="K289" i="44"/>
  <c r="K290" i="44"/>
  <c r="K291" i="44"/>
  <c r="K292" i="44"/>
  <c r="K293" i="44"/>
  <c r="K294" i="44"/>
  <c r="K295" i="44"/>
  <c r="K296" i="44"/>
  <c r="K297" i="44"/>
  <c r="K298" i="44"/>
  <c r="K299" i="44"/>
  <c r="K300" i="44"/>
  <c r="K301" i="44"/>
  <c r="K302" i="44"/>
  <c r="K303" i="44"/>
  <c r="K304" i="44"/>
  <c r="K305" i="44"/>
  <c r="K306" i="44"/>
  <c r="K307" i="44"/>
  <c r="K308" i="44"/>
  <c r="K309" i="44"/>
  <c r="K310" i="44"/>
  <c r="K311" i="44"/>
  <c r="K312" i="44"/>
  <c r="K313" i="44"/>
  <c r="K314" i="44"/>
  <c r="K315" i="44"/>
  <c r="K316" i="44"/>
  <c r="K317" i="44"/>
  <c r="K318" i="44"/>
  <c r="K319" i="44"/>
  <c r="K320" i="44"/>
  <c r="K321" i="44"/>
  <c r="K322" i="44"/>
  <c r="K323" i="44"/>
  <c r="K324" i="44"/>
  <c r="K325" i="44"/>
  <c r="K326" i="44"/>
  <c r="K327" i="44"/>
  <c r="K328" i="44"/>
  <c r="K329" i="44"/>
  <c r="K330" i="44"/>
  <c r="K331" i="44"/>
  <c r="K332" i="44"/>
  <c r="K333" i="44"/>
  <c r="K334" i="44"/>
  <c r="K335" i="44"/>
  <c r="K336" i="44"/>
  <c r="K337" i="44"/>
  <c r="K338" i="44"/>
  <c r="K339" i="44"/>
  <c r="K340" i="44"/>
  <c r="K341" i="44"/>
  <c r="K342" i="44"/>
  <c r="K343" i="44"/>
  <c r="K344" i="44"/>
  <c r="K345" i="44"/>
  <c r="K346" i="44"/>
  <c r="K347" i="44"/>
  <c r="K348" i="44"/>
  <c r="K349" i="44"/>
  <c r="K350" i="44"/>
  <c r="K351" i="44"/>
  <c r="K352" i="44"/>
  <c r="K353" i="44"/>
  <c r="K354" i="44"/>
  <c r="K355" i="44"/>
  <c r="K356" i="44"/>
  <c r="K357" i="44"/>
  <c r="K358" i="44"/>
  <c r="K359" i="44"/>
  <c r="K360" i="44"/>
  <c r="K361" i="44"/>
  <c r="K362" i="44"/>
  <c r="K363" i="44"/>
  <c r="K364" i="44"/>
  <c r="K365" i="44"/>
  <c r="K366" i="44"/>
  <c r="K367" i="44"/>
  <c r="K368" i="44"/>
  <c r="K369" i="44"/>
  <c r="K370" i="44"/>
  <c r="K371" i="44"/>
  <c r="K372" i="44"/>
  <c r="K373" i="44"/>
  <c r="K374" i="44"/>
  <c r="K375" i="44"/>
  <c r="K376" i="44"/>
  <c r="K377" i="44"/>
  <c r="K378" i="44"/>
  <c r="K379" i="44"/>
  <c r="K380" i="44"/>
  <c r="K381" i="44"/>
  <c r="K382" i="44"/>
  <c r="K383" i="44"/>
  <c r="K384" i="44"/>
  <c r="K385" i="44"/>
  <c r="K386" i="44"/>
  <c r="K387" i="44"/>
  <c r="K388" i="44"/>
  <c r="K389" i="44"/>
  <c r="K390" i="44"/>
  <c r="K391" i="44"/>
  <c r="K392" i="44"/>
  <c r="K393" i="44"/>
  <c r="K394" i="44"/>
  <c r="K395" i="44"/>
  <c r="K396" i="44"/>
  <c r="K397" i="44"/>
  <c r="K398" i="44"/>
  <c r="K399" i="44"/>
  <c r="K400" i="44"/>
  <c r="K401" i="44"/>
  <c r="K402" i="44"/>
  <c r="K403" i="44"/>
  <c r="K404" i="44"/>
  <c r="K405" i="44"/>
  <c r="K406" i="44"/>
  <c r="K407" i="44"/>
  <c r="K408" i="44"/>
  <c r="K409" i="44"/>
  <c r="K410" i="44"/>
  <c r="K411" i="44"/>
  <c r="K412" i="44"/>
  <c r="K413" i="44"/>
  <c r="K414" i="44"/>
  <c r="K415" i="44"/>
  <c r="K416" i="44"/>
  <c r="K417" i="44"/>
  <c r="K418" i="44"/>
  <c r="K419" i="44"/>
  <c r="K420" i="44"/>
  <c r="K421" i="44"/>
  <c r="K422" i="44"/>
  <c r="K423" i="44"/>
  <c r="K424" i="44"/>
  <c r="K425" i="44"/>
  <c r="K426" i="44"/>
  <c r="K427" i="44"/>
  <c r="K428" i="44"/>
  <c r="K429" i="44"/>
  <c r="K430" i="44"/>
  <c r="K431" i="44"/>
  <c r="K432" i="44"/>
  <c r="K433" i="44"/>
  <c r="K434" i="44"/>
  <c r="K435" i="44"/>
  <c r="K436" i="44"/>
  <c r="K437" i="44"/>
  <c r="K438" i="44"/>
  <c r="K439" i="44"/>
  <c r="K440" i="44"/>
  <c r="K441" i="44"/>
  <c r="K442" i="44"/>
  <c r="K443" i="44"/>
  <c r="K444" i="44"/>
  <c r="K445" i="44"/>
  <c r="K446" i="44"/>
  <c r="K447" i="44"/>
  <c r="K448" i="44"/>
  <c r="K449" i="44"/>
  <c r="K450" i="44"/>
  <c r="K451" i="44"/>
  <c r="K452" i="44"/>
  <c r="K453" i="44"/>
  <c r="K454" i="44"/>
  <c r="K455" i="44"/>
  <c r="K456" i="44"/>
  <c r="K457" i="44"/>
  <c r="K458" i="44"/>
  <c r="K459" i="44"/>
  <c r="K460" i="44"/>
  <c r="K461" i="44"/>
  <c r="K462" i="44"/>
  <c r="K463" i="44"/>
  <c r="K464" i="44"/>
  <c r="K465" i="44"/>
  <c r="K466" i="44"/>
  <c r="K467" i="44"/>
  <c r="K468" i="44"/>
  <c r="K469" i="44"/>
  <c r="K470" i="44"/>
  <c r="K471" i="44"/>
  <c r="K472" i="44"/>
  <c r="K473" i="44"/>
  <c r="K474" i="44"/>
  <c r="K475" i="44"/>
  <c r="K476" i="44"/>
  <c r="K477" i="44"/>
  <c r="K478" i="44"/>
  <c r="K479" i="44"/>
  <c r="K480" i="44"/>
  <c r="K481" i="44"/>
  <c r="K482" i="44"/>
  <c r="K483" i="44"/>
  <c r="K484" i="44"/>
  <c r="K485" i="44"/>
  <c r="K486" i="44"/>
  <c r="K487" i="44"/>
  <c r="K488" i="44"/>
  <c r="K489" i="44"/>
  <c r="K490" i="44"/>
  <c r="K491" i="44"/>
  <c r="K492" i="44"/>
  <c r="K493" i="44"/>
  <c r="K494" i="44"/>
  <c r="K495" i="44"/>
  <c r="K496" i="44"/>
  <c r="K497" i="44"/>
  <c r="K498" i="44"/>
  <c r="K499" i="44"/>
  <c r="K500" i="44"/>
  <c r="K501" i="44"/>
  <c r="K502" i="44"/>
  <c r="K503" i="44"/>
  <c r="K504" i="44"/>
  <c r="K505" i="44"/>
  <c r="K506" i="44"/>
  <c r="K507" i="44"/>
  <c r="K508" i="44"/>
  <c r="K509" i="44"/>
  <c r="K510" i="44"/>
  <c r="K511" i="44"/>
  <c r="K512" i="44"/>
  <c r="K513" i="44"/>
  <c r="K514" i="44"/>
  <c r="K515" i="44"/>
  <c r="K516" i="44"/>
  <c r="K517" i="44"/>
  <c r="K518" i="44"/>
  <c r="K519" i="44"/>
  <c r="K520" i="44"/>
  <c r="K521" i="44"/>
  <c r="K522" i="44"/>
  <c r="K523" i="44"/>
  <c r="K524" i="44"/>
  <c r="K525" i="44"/>
  <c r="K526" i="44"/>
  <c r="K527" i="44"/>
  <c r="K528" i="44"/>
  <c r="K529" i="44"/>
  <c r="K530" i="44"/>
  <c r="K531" i="44"/>
  <c r="K532" i="44"/>
  <c r="K533" i="44"/>
  <c r="K534" i="44"/>
  <c r="K535" i="44"/>
  <c r="K536" i="44"/>
  <c r="K537" i="44"/>
  <c r="K538" i="44"/>
  <c r="K539" i="44"/>
  <c r="K540" i="44"/>
  <c r="K541" i="44"/>
  <c r="K542" i="44"/>
  <c r="K543" i="44"/>
  <c r="K544" i="44"/>
  <c r="K545" i="44"/>
  <c r="K546" i="44"/>
  <c r="K547" i="44"/>
  <c r="K548" i="44"/>
  <c r="K549" i="44"/>
  <c r="K550" i="44"/>
  <c r="K551" i="44"/>
  <c r="K552" i="44"/>
  <c r="K553" i="44"/>
  <c r="K554" i="44"/>
  <c r="K555" i="44"/>
  <c r="K556" i="44"/>
  <c r="K557" i="44"/>
  <c r="K558" i="44"/>
  <c r="K559" i="44"/>
  <c r="K560" i="44"/>
  <c r="K561" i="44"/>
  <c r="K562" i="44"/>
  <c r="K563" i="44"/>
  <c r="K564" i="44"/>
  <c r="K565" i="44"/>
  <c r="K566" i="44"/>
  <c r="K567" i="44"/>
  <c r="K568" i="44"/>
  <c r="K569" i="44"/>
  <c r="K570" i="44"/>
  <c r="K571" i="44"/>
  <c r="K572" i="44"/>
  <c r="K573" i="44"/>
  <c r="K574" i="44"/>
  <c r="K575" i="44"/>
  <c r="K576" i="44"/>
  <c r="K577" i="44"/>
  <c r="K578" i="44"/>
  <c r="K579" i="44"/>
  <c r="K580" i="44"/>
  <c r="K581" i="44"/>
  <c r="K582" i="44"/>
  <c r="K583" i="44"/>
  <c r="K584" i="44"/>
  <c r="K585" i="44"/>
  <c r="K586" i="44"/>
  <c r="K587" i="44"/>
  <c r="K588" i="44"/>
  <c r="K589" i="44"/>
  <c r="K590" i="44"/>
  <c r="K591" i="44"/>
  <c r="K592" i="44"/>
  <c r="K593" i="44"/>
  <c r="K594" i="44"/>
  <c r="K595" i="44"/>
  <c r="K596" i="44"/>
  <c r="K597" i="44"/>
  <c r="K598" i="44"/>
  <c r="K599" i="44"/>
  <c r="K600" i="44"/>
  <c r="K601" i="44"/>
  <c r="K602" i="44"/>
  <c r="K603" i="44"/>
  <c r="K604" i="44"/>
  <c r="K605" i="44"/>
  <c r="K606" i="44"/>
  <c r="K607" i="44"/>
  <c r="K608" i="44"/>
  <c r="K609" i="44"/>
  <c r="K610" i="44"/>
  <c r="K611" i="44"/>
  <c r="K612" i="44"/>
  <c r="K613" i="44"/>
  <c r="K614" i="44"/>
  <c r="K615" i="44"/>
  <c r="K616" i="44"/>
  <c r="K617" i="44"/>
  <c r="K618" i="44"/>
  <c r="K619" i="44"/>
  <c r="K620" i="44"/>
  <c r="K621" i="44"/>
  <c r="K622" i="44"/>
  <c r="K623" i="44"/>
  <c r="K624" i="44"/>
  <c r="K625" i="44"/>
  <c r="K626" i="44"/>
  <c r="K627" i="44"/>
  <c r="K628" i="44"/>
  <c r="K629" i="44"/>
  <c r="K630" i="44"/>
  <c r="K631" i="44"/>
  <c r="K632" i="44"/>
  <c r="K633" i="44"/>
  <c r="K634" i="44"/>
  <c r="K635" i="44"/>
  <c r="K636" i="44"/>
  <c r="K637" i="44"/>
  <c r="K638" i="44"/>
  <c r="K639" i="44"/>
  <c r="K640" i="44"/>
  <c r="K641" i="44"/>
  <c r="K642" i="44"/>
  <c r="K643" i="44"/>
  <c r="K644" i="44"/>
  <c r="K645" i="44"/>
  <c r="K646" i="44"/>
  <c r="K647" i="44"/>
  <c r="K648" i="44"/>
  <c r="K649" i="44"/>
  <c r="K650" i="44"/>
  <c r="K651" i="44"/>
  <c r="K2" i="44"/>
  <c r="E7" i="48"/>
  <c r="E8" i="48"/>
  <c r="E10" i="48"/>
  <c r="E11" i="48"/>
  <c r="E12" i="48"/>
  <c r="E13" i="48"/>
  <c r="E14" i="48"/>
  <c r="E15" i="48"/>
  <c r="E16" i="48"/>
  <c r="E17" i="48"/>
  <c r="E18" i="48"/>
  <c r="E19" i="48"/>
  <c r="E20" i="48"/>
  <c r="E21" i="48"/>
  <c r="E22" i="48"/>
  <c r="E23" i="48"/>
  <c r="E24" i="48"/>
  <c r="E25" i="48"/>
  <c r="E26" i="48"/>
  <c r="E27" i="48"/>
  <c r="E28" i="48"/>
  <c r="E29" i="48"/>
  <c r="E30" i="48"/>
  <c r="E31" i="48"/>
  <c r="E32" i="48"/>
  <c r="E33" i="48"/>
  <c r="E34" i="48"/>
  <c r="E35" i="48"/>
  <c r="E36" i="48"/>
  <c r="E37" i="48"/>
  <c r="E38" i="48"/>
  <c r="E39" i="48"/>
  <c r="E40" i="48"/>
  <c r="E41" i="48"/>
  <c r="E42" i="48"/>
  <c r="E43" i="48"/>
  <c r="E44" i="48"/>
  <c r="E45" i="48"/>
  <c r="E46" i="48"/>
  <c r="E47" i="48"/>
  <c r="E48" i="48"/>
  <c r="E49" i="48"/>
  <c r="E50" i="48"/>
  <c r="E51" i="48"/>
  <c r="E52" i="48"/>
  <c r="E53" i="48"/>
  <c r="E54" i="48"/>
  <c r="E55" i="48"/>
  <c r="E56" i="48"/>
  <c r="E57" i="48"/>
  <c r="E58" i="48"/>
  <c r="E59" i="48"/>
  <c r="E60" i="48"/>
  <c r="E61" i="48"/>
  <c r="E62" i="48"/>
  <c r="E63" i="48"/>
  <c r="E64" i="48"/>
  <c r="E65" i="48"/>
  <c r="E66" i="48"/>
  <c r="E67" i="48"/>
  <c r="E68" i="48"/>
  <c r="E69" i="48"/>
  <c r="E70" i="48"/>
  <c r="E71" i="48"/>
  <c r="E72" i="48"/>
  <c r="E73" i="48"/>
  <c r="E74" i="48"/>
  <c r="E75" i="48"/>
  <c r="E76" i="48"/>
  <c r="E77" i="48"/>
  <c r="E78" i="48"/>
  <c r="E79" i="48"/>
  <c r="E80" i="48"/>
  <c r="E81" i="48"/>
  <c r="E82" i="48"/>
  <c r="E83" i="48"/>
  <c r="E84" i="48"/>
  <c r="E85" i="48"/>
  <c r="E86" i="48"/>
  <c r="E87" i="48"/>
  <c r="E88" i="48"/>
  <c r="E89" i="48"/>
  <c r="E90" i="48"/>
  <c r="E91" i="48"/>
  <c r="E92" i="48"/>
  <c r="E93" i="48"/>
  <c r="E94" i="48"/>
  <c r="E95" i="48"/>
  <c r="E96" i="48"/>
  <c r="E97" i="48"/>
  <c r="E98" i="48"/>
  <c r="E99" i="48"/>
  <c r="E100" i="48"/>
  <c r="E101" i="48"/>
  <c r="E102" i="48"/>
  <c r="E103" i="48"/>
  <c r="E104" i="48"/>
  <c r="E105" i="48"/>
  <c r="E106" i="48"/>
  <c r="E107" i="48"/>
  <c r="E108" i="48"/>
  <c r="E109" i="48"/>
  <c r="E110" i="48"/>
  <c r="E111" i="48"/>
  <c r="E112" i="48"/>
  <c r="E113" i="48"/>
  <c r="E114" i="48"/>
  <c r="E115" i="48"/>
  <c r="E116" i="48"/>
  <c r="E117" i="48"/>
  <c r="E118" i="48"/>
  <c r="E119" i="48"/>
  <c r="E120" i="48"/>
  <c r="E121" i="48"/>
  <c r="E122" i="48"/>
  <c r="E123" i="48"/>
  <c r="E124" i="48"/>
  <c r="E125" i="48"/>
  <c r="E126" i="48"/>
  <c r="E127" i="48"/>
  <c r="E128" i="48"/>
  <c r="E129" i="48"/>
  <c r="E130" i="48"/>
  <c r="E131" i="48"/>
  <c r="E132" i="48"/>
  <c r="E133" i="48"/>
  <c r="E134" i="48"/>
  <c r="E135" i="48"/>
  <c r="E136" i="48"/>
  <c r="E137" i="48"/>
  <c r="E138" i="48"/>
  <c r="E139" i="48"/>
  <c r="E140" i="48"/>
  <c r="E141" i="48"/>
  <c r="E142" i="48"/>
  <c r="E143" i="48"/>
  <c r="E144" i="48"/>
  <c r="E145" i="48"/>
  <c r="E146" i="48"/>
  <c r="E147" i="48"/>
  <c r="E148" i="48"/>
  <c r="E149" i="48"/>
  <c r="E150" i="48"/>
  <c r="E151" i="48"/>
  <c r="E152" i="48"/>
  <c r="E153" i="48"/>
  <c r="E154" i="48"/>
  <c r="E155" i="48"/>
  <c r="E156" i="48"/>
  <c r="E157" i="48"/>
  <c r="E158" i="48"/>
  <c r="E159" i="48"/>
  <c r="E160" i="48"/>
  <c r="E161" i="48"/>
  <c r="E162" i="48"/>
  <c r="E163" i="48"/>
  <c r="E164" i="48"/>
  <c r="E165" i="48"/>
  <c r="E166" i="48"/>
  <c r="E167" i="48"/>
  <c r="E168" i="48"/>
  <c r="E169" i="48"/>
  <c r="E170" i="48"/>
  <c r="E171" i="48"/>
  <c r="E172" i="48"/>
  <c r="E173" i="48"/>
  <c r="E174" i="48"/>
  <c r="E175" i="48"/>
  <c r="E176" i="48"/>
  <c r="E177" i="48"/>
  <c r="E178" i="48"/>
  <c r="E179" i="48"/>
  <c r="E180" i="48"/>
  <c r="E181" i="48"/>
  <c r="E182" i="48"/>
  <c r="E183" i="48"/>
  <c r="E184" i="48"/>
  <c r="E185" i="48"/>
  <c r="E186" i="48"/>
  <c r="E187" i="48"/>
  <c r="E188" i="48"/>
  <c r="E189" i="48"/>
  <c r="E190" i="48"/>
  <c r="E191" i="48"/>
  <c r="E192" i="48"/>
  <c r="E193" i="48"/>
  <c r="E194" i="48"/>
  <c r="E195" i="48"/>
  <c r="E196" i="48"/>
  <c r="E197" i="48"/>
  <c r="E198" i="48"/>
  <c r="E199" i="48"/>
  <c r="E200" i="48"/>
  <c r="E201" i="48"/>
  <c r="E202" i="48"/>
  <c r="E203" i="48"/>
  <c r="E204" i="48"/>
  <c r="E205" i="48"/>
  <c r="E206" i="48"/>
  <c r="E207" i="48"/>
  <c r="E208" i="48"/>
  <c r="E209" i="48"/>
  <c r="E210" i="48"/>
  <c r="E211" i="48"/>
  <c r="E212" i="48"/>
  <c r="E213" i="48"/>
  <c r="E214" i="48"/>
  <c r="E215" i="48"/>
  <c r="E216" i="48"/>
  <c r="E217" i="48"/>
  <c r="E218" i="48"/>
  <c r="E219" i="48"/>
  <c r="E220" i="48"/>
  <c r="E9" i="48"/>
  <c r="P16" i="73"/>
  <c r="E6" i="48" s="1"/>
  <c r="P17" i="73"/>
  <c r="P18" i="73"/>
  <c r="P19" i="73"/>
  <c r="P20" i="73"/>
  <c r="P21" i="73"/>
  <c r="E5" i="48"/>
  <c r="C3" i="107"/>
  <c r="C4" i="107"/>
  <c r="C5" i="107"/>
  <c r="C7" i="107"/>
  <c r="C8" i="107"/>
  <c r="C9" i="107"/>
  <c r="C10" i="107"/>
  <c r="C11" i="107"/>
  <c r="C12" i="107"/>
  <c r="C13" i="107"/>
  <c r="C14" i="107"/>
  <c r="C15" i="107"/>
  <c r="N53" i="80"/>
  <c r="N54" i="80"/>
  <c r="N55" i="80"/>
  <c r="N56" i="80"/>
  <c r="N57" i="80"/>
  <c r="N58" i="80"/>
  <c r="N59" i="80"/>
  <c r="N60" i="80"/>
  <c r="N61" i="80"/>
  <c r="N62" i="80"/>
  <c r="N63" i="80"/>
  <c r="N64" i="80"/>
  <c r="N65" i="80"/>
  <c r="N66" i="80"/>
  <c r="N67" i="80"/>
  <c r="N68" i="80"/>
  <c r="N69" i="80"/>
  <c r="N70" i="80"/>
  <c r="N71" i="80"/>
  <c r="N72" i="80"/>
  <c r="N73" i="80"/>
  <c r="N74" i="80"/>
  <c r="N75" i="80"/>
  <c r="N76" i="80"/>
  <c r="N77" i="80"/>
  <c r="N78" i="80"/>
  <c r="N79" i="80"/>
  <c r="N80" i="80"/>
  <c r="N81" i="80"/>
  <c r="N82" i="80"/>
  <c r="N83" i="80"/>
  <c r="N84" i="80"/>
  <c r="N85" i="80"/>
  <c r="N86" i="80"/>
  <c r="N87" i="80"/>
  <c r="N88" i="80"/>
  <c r="N89" i="80"/>
  <c r="N90" i="80"/>
  <c r="N91" i="80"/>
  <c r="N92" i="80"/>
  <c r="N93" i="80"/>
  <c r="N94" i="80"/>
  <c r="N95" i="80"/>
  <c r="N96" i="80"/>
  <c r="N97" i="80"/>
  <c r="N98" i="80"/>
  <c r="N99" i="80"/>
  <c r="N100" i="80"/>
  <c r="N101" i="80"/>
  <c r="N102" i="80"/>
  <c r="N103" i="80"/>
  <c r="N104" i="80"/>
  <c r="N105" i="80"/>
  <c r="N106" i="80"/>
  <c r="N107" i="80"/>
  <c r="N108" i="80"/>
  <c r="N109" i="80"/>
  <c r="N110" i="80"/>
  <c r="N111" i="80"/>
  <c r="N112" i="80"/>
  <c r="N113" i="80"/>
  <c r="N114" i="80"/>
  <c r="N115" i="80"/>
  <c r="N116" i="80"/>
  <c r="N117" i="80"/>
  <c r="N118" i="80"/>
  <c r="N119" i="80"/>
  <c r="N120" i="80"/>
  <c r="N121" i="80"/>
  <c r="N122" i="80"/>
  <c r="N123" i="80"/>
  <c r="N124" i="80"/>
  <c r="N125" i="80"/>
  <c r="N126" i="80"/>
  <c r="N127" i="80"/>
  <c r="N128" i="80"/>
  <c r="N129" i="80"/>
  <c r="N130" i="80"/>
  <c r="N131" i="80"/>
  <c r="N132" i="80"/>
  <c r="N133" i="80"/>
  <c r="N134" i="80"/>
  <c r="N135" i="80"/>
  <c r="N136" i="80"/>
  <c r="N137" i="80"/>
  <c r="N138" i="80"/>
  <c r="N139" i="80"/>
  <c r="N140" i="80"/>
  <c r="N141" i="80"/>
  <c r="N142" i="80"/>
  <c r="N143" i="80"/>
  <c r="N144" i="80"/>
  <c r="N145" i="80"/>
  <c r="N146" i="80"/>
  <c r="N147" i="80"/>
  <c r="N148" i="80"/>
  <c r="N149" i="80"/>
  <c r="N150" i="80"/>
  <c r="N151" i="80"/>
  <c r="N152" i="80"/>
  <c r="N153" i="80"/>
  <c r="N154" i="80"/>
  <c r="N155" i="80"/>
  <c r="N156" i="80"/>
  <c r="N157" i="80"/>
  <c r="N158" i="80"/>
  <c r="N159" i="80"/>
  <c r="N160" i="80"/>
  <c r="N161" i="80"/>
  <c r="N162" i="80"/>
  <c r="N163" i="80"/>
  <c r="N164" i="80"/>
  <c r="N165" i="80"/>
  <c r="N166" i="80"/>
  <c r="N167" i="80"/>
  <c r="N168" i="80"/>
  <c r="N169" i="80"/>
  <c r="N170" i="80"/>
  <c r="N171" i="80"/>
  <c r="N172" i="80"/>
  <c r="N173" i="80"/>
  <c r="N174" i="80"/>
  <c r="N175" i="80"/>
  <c r="N176" i="80"/>
  <c r="N177" i="80"/>
  <c r="N178" i="80"/>
  <c r="N179" i="80"/>
  <c r="N180" i="80"/>
  <c r="N181" i="80"/>
  <c r="N182" i="80"/>
  <c r="N183" i="80"/>
  <c r="N184" i="80"/>
  <c r="N185" i="80"/>
  <c r="N186" i="80"/>
  <c r="N187" i="80"/>
  <c r="N188" i="80"/>
  <c r="N189" i="80"/>
  <c r="N190" i="80"/>
  <c r="N191" i="80"/>
  <c r="N192" i="80"/>
  <c r="N193" i="80"/>
  <c r="N194" i="80"/>
  <c r="N195" i="80"/>
  <c r="N196" i="80"/>
  <c r="N197" i="80"/>
  <c r="N198" i="80"/>
  <c r="N199" i="80"/>
  <c r="N200" i="80"/>
  <c r="N201" i="80"/>
  <c r="N202" i="80"/>
  <c r="N203" i="80"/>
  <c r="N204" i="80"/>
  <c r="N205" i="80"/>
  <c r="N206" i="80"/>
  <c r="N207" i="80"/>
  <c r="N208" i="80"/>
  <c r="N209" i="80"/>
  <c r="N210" i="80"/>
  <c r="N211" i="80"/>
  <c r="N212" i="80"/>
  <c r="N213" i="80"/>
  <c r="N214" i="80"/>
  <c r="N215" i="80"/>
  <c r="N216" i="80"/>
  <c r="N217" i="80"/>
  <c r="N218" i="80"/>
  <c r="S3" i="47"/>
  <c r="S4" i="47"/>
  <c r="S5" i="47"/>
  <c r="S6" i="47"/>
  <c r="S7" i="47"/>
  <c r="S2" i="47"/>
  <c r="D9" i="48"/>
  <c r="O21" i="73"/>
  <c r="D8" i="48" s="1"/>
  <c r="R6" i="47" s="1"/>
  <c r="U6" i="47" s="1"/>
  <c r="D5" i="48"/>
  <c r="D7" i="48"/>
  <c r="S8" i="47"/>
  <c r="S9" i="47"/>
  <c r="S10" i="47"/>
  <c r="S11" i="47"/>
  <c r="S12" i="47"/>
  <c r="S13" i="47"/>
  <c r="S14" i="47"/>
  <c r="S15" i="47"/>
  <c r="S16" i="47"/>
  <c r="S17" i="47"/>
  <c r="S18" i="47"/>
  <c r="S19" i="47"/>
  <c r="S20" i="47"/>
  <c r="S21" i="47"/>
  <c r="S22" i="47"/>
  <c r="S23" i="47"/>
  <c r="S24" i="47"/>
  <c r="S25" i="47"/>
  <c r="S26" i="47"/>
  <c r="S27" i="47"/>
  <c r="S28" i="47"/>
  <c r="S29" i="47"/>
  <c r="S30" i="47"/>
  <c r="S31" i="47"/>
  <c r="S32" i="47"/>
  <c r="S33" i="47"/>
  <c r="S34" i="47"/>
  <c r="S35" i="47"/>
  <c r="S36" i="47"/>
  <c r="S37" i="47"/>
  <c r="S38" i="47"/>
  <c r="S39" i="47"/>
  <c r="S40" i="47"/>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2" i="47"/>
  <c r="S73" i="47"/>
  <c r="S74" i="47"/>
  <c r="S75" i="47"/>
  <c r="S76" i="47"/>
  <c r="S77" i="47"/>
  <c r="S78" i="47"/>
  <c r="S79" i="47"/>
  <c r="S80" i="47"/>
  <c r="S81" i="47"/>
  <c r="S82" i="47"/>
  <c r="S83" i="47"/>
  <c r="S84" i="47"/>
  <c r="S85" i="47"/>
  <c r="S86" i="47"/>
  <c r="S87" i="47"/>
  <c r="S88" i="47"/>
  <c r="S89" i="47"/>
  <c r="S90" i="47"/>
  <c r="S91" i="47"/>
  <c r="S92" i="47"/>
  <c r="S93" i="47"/>
  <c r="S94" i="47"/>
  <c r="S95" i="47"/>
  <c r="S96" i="47"/>
  <c r="S97" i="47"/>
  <c r="S98" i="47"/>
  <c r="S99" i="47"/>
  <c r="S100" i="47"/>
  <c r="S101" i="47"/>
  <c r="S102" i="47"/>
  <c r="S103" i="47"/>
  <c r="S104" i="47"/>
  <c r="S105" i="47"/>
  <c r="S106" i="47"/>
  <c r="S107" i="47"/>
  <c r="S108" i="47"/>
  <c r="S109" i="47"/>
  <c r="S110" i="47"/>
  <c r="S111" i="47"/>
  <c r="S112" i="47"/>
  <c r="S113" i="47"/>
  <c r="S114" i="47"/>
  <c r="S115" i="47"/>
  <c r="S116" i="47"/>
  <c r="S117" i="47"/>
  <c r="S118" i="47"/>
  <c r="S119" i="47"/>
  <c r="S120" i="47"/>
  <c r="S121" i="47"/>
  <c r="S122" i="47"/>
  <c r="S123" i="47"/>
  <c r="S124" i="47"/>
  <c r="S125" i="47"/>
  <c r="S126" i="47"/>
  <c r="S127" i="47"/>
  <c r="S128" i="47"/>
  <c r="S129" i="47"/>
  <c r="S130" i="47"/>
  <c r="S131" i="47"/>
  <c r="S132" i="47"/>
  <c r="S133" i="47"/>
  <c r="S134" i="47"/>
  <c r="S135" i="47"/>
  <c r="S136" i="47"/>
  <c r="S137" i="47"/>
  <c r="S138" i="47"/>
  <c r="S139" i="47"/>
  <c r="S140" i="47"/>
  <c r="S141" i="47"/>
  <c r="S142" i="47"/>
  <c r="S143" i="47"/>
  <c r="S144" i="47"/>
  <c r="S145" i="47"/>
  <c r="S146" i="47"/>
  <c r="S147" i="47"/>
  <c r="S148" i="47"/>
  <c r="S149" i="47"/>
  <c r="S150" i="47"/>
  <c r="S151" i="47"/>
  <c r="S152" i="47"/>
  <c r="S153" i="47"/>
  <c r="S154" i="47"/>
  <c r="S155" i="47"/>
  <c r="S156" i="47"/>
  <c r="S157" i="47"/>
  <c r="S158" i="47"/>
  <c r="S159" i="47"/>
  <c r="S160" i="47"/>
  <c r="S161" i="47"/>
  <c r="S162" i="47"/>
  <c r="S163" i="47"/>
  <c r="S164" i="47"/>
  <c r="S165" i="47"/>
  <c r="S166" i="47"/>
  <c r="S167" i="47"/>
  <c r="S168" i="47"/>
  <c r="S169" i="47"/>
  <c r="S170" i="47"/>
  <c r="S171" i="47"/>
  <c r="S172" i="47"/>
  <c r="S173" i="47"/>
  <c r="S174" i="47"/>
  <c r="S175" i="47"/>
  <c r="S176" i="47"/>
  <c r="S177" i="47"/>
  <c r="S178" i="47"/>
  <c r="S179" i="47"/>
  <c r="S180" i="47"/>
  <c r="S181" i="47"/>
  <c r="S182" i="47"/>
  <c r="S183" i="47"/>
  <c r="S184" i="47"/>
  <c r="S185" i="47"/>
  <c r="S186" i="47"/>
  <c r="S187" i="47"/>
  <c r="S188" i="47"/>
  <c r="S189" i="47"/>
  <c r="S190" i="47"/>
  <c r="S191" i="47"/>
  <c r="S192" i="47"/>
  <c r="S193" i="47"/>
  <c r="S194" i="47"/>
  <c r="S195" i="47"/>
  <c r="S196" i="47"/>
  <c r="S197" i="47"/>
  <c r="S198" i="47"/>
  <c r="S199" i="47"/>
  <c r="S200" i="47"/>
  <c r="S201" i="47"/>
  <c r="S202" i="47"/>
  <c r="S203" i="47"/>
  <c r="S204" i="47"/>
  <c r="S205" i="47"/>
  <c r="S206" i="47"/>
  <c r="S207" i="47"/>
  <c r="S208" i="47"/>
  <c r="S209" i="47"/>
  <c r="S210" i="47"/>
  <c r="S211" i="47"/>
  <c r="S212" i="47"/>
  <c r="S213" i="47"/>
  <c r="S214" i="47"/>
  <c r="S215" i="47"/>
  <c r="S216" i="47"/>
  <c r="S217" i="47"/>
  <c r="S218" i="47"/>
  <c r="C3" i="47"/>
  <c r="C4" i="47"/>
  <c r="C5" i="47"/>
  <c r="C6" i="47"/>
  <c r="C7" i="47"/>
  <c r="C8" i="47"/>
  <c r="C9" i="47"/>
  <c r="C10" i="47"/>
  <c r="C11" i="47"/>
  <c r="C12" i="47"/>
  <c r="C13" i="47"/>
  <c r="C14" i="47"/>
  <c r="C15" i="47"/>
  <c r="C16" i="47"/>
  <c r="C17" i="47"/>
  <c r="C18" i="47"/>
  <c r="C19" i="47"/>
  <c r="C20" i="47"/>
  <c r="C21" i="47"/>
  <c r="C22" i="47"/>
  <c r="C23" i="47"/>
  <c r="C24" i="47"/>
  <c r="C25" i="47"/>
  <c r="C26" i="47"/>
  <c r="C27" i="47"/>
  <c r="C28" i="47"/>
  <c r="C29" i="47"/>
  <c r="C30" i="47"/>
  <c r="C31" i="47"/>
  <c r="C32" i="47"/>
  <c r="C33" i="47"/>
  <c r="C34" i="47"/>
  <c r="C35" i="47"/>
  <c r="C36" i="47"/>
  <c r="C37" i="47"/>
  <c r="C38" i="47"/>
  <c r="C39" i="47"/>
  <c r="C40" i="47"/>
  <c r="C41" i="47"/>
  <c r="C42" i="47"/>
  <c r="C43" i="47"/>
  <c r="C44" i="47"/>
  <c r="C45" i="47"/>
  <c r="C46" i="47"/>
  <c r="C47" i="47"/>
  <c r="C48" i="47"/>
  <c r="C49" i="47"/>
  <c r="C50" i="47"/>
  <c r="C51" i="47"/>
  <c r="C52" i="47"/>
  <c r="C53" i="47"/>
  <c r="C54" i="47"/>
  <c r="C55" i="47"/>
  <c r="C56" i="47"/>
  <c r="C57" i="47"/>
  <c r="C58" i="47"/>
  <c r="C59" i="47"/>
  <c r="C60" i="47"/>
  <c r="C61" i="47"/>
  <c r="C62" i="47"/>
  <c r="C63" i="47"/>
  <c r="C64" i="47"/>
  <c r="C65" i="47"/>
  <c r="C66" i="47"/>
  <c r="C67" i="47"/>
  <c r="C68" i="47"/>
  <c r="C69" i="47"/>
  <c r="C70" i="47"/>
  <c r="C71" i="47"/>
  <c r="C72" i="47"/>
  <c r="C73" i="47"/>
  <c r="C74" i="47"/>
  <c r="C75" i="47"/>
  <c r="C76" i="47"/>
  <c r="C77" i="47"/>
  <c r="C78" i="47"/>
  <c r="C79" i="47"/>
  <c r="C80" i="47"/>
  <c r="C81" i="47"/>
  <c r="C82" i="47"/>
  <c r="C83" i="47"/>
  <c r="C84" i="47"/>
  <c r="C85" i="47"/>
  <c r="C86" i="47"/>
  <c r="C87" i="47"/>
  <c r="C88" i="47"/>
  <c r="C89" i="47"/>
  <c r="C90" i="47"/>
  <c r="C91" i="47"/>
  <c r="C92" i="47"/>
  <c r="C93" i="47"/>
  <c r="C94" i="47"/>
  <c r="C95" i="47"/>
  <c r="C96" i="47"/>
  <c r="C97" i="47"/>
  <c r="C98" i="47"/>
  <c r="C99" i="47"/>
  <c r="C100" i="47"/>
  <c r="C101" i="47"/>
  <c r="C102" i="47"/>
  <c r="C103" i="47"/>
  <c r="C104" i="47"/>
  <c r="C105" i="47"/>
  <c r="C106" i="47"/>
  <c r="C107" i="47"/>
  <c r="C108" i="47"/>
  <c r="C109" i="47"/>
  <c r="C110" i="47"/>
  <c r="C111" i="47"/>
  <c r="C112" i="47"/>
  <c r="C113" i="47"/>
  <c r="C114" i="47"/>
  <c r="C115" i="47"/>
  <c r="C116" i="47"/>
  <c r="C117" i="47"/>
  <c r="C118" i="47"/>
  <c r="C119" i="47"/>
  <c r="C120" i="47"/>
  <c r="C121" i="47"/>
  <c r="C122" i="47"/>
  <c r="C123" i="47"/>
  <c r="C124" i="47"/>
  <c r="C125" i="47"/>
  <c r="C126" i="47"/>
  <c r="C127" i="47"/>
  <c r="C128" i="47"/>
  <c r="C129" i="47"/>
  <c r="C130" i="47"/>
  <c r="C131" i="47"/>
  <c r="C132" i="47"/>
  <c r="C133" i="47"/>
  <c r="C134" i="47"/>
  <c r="C135" i="47"/>
  <c r="C136" i="47"/>
  <c r="C137" i="47"/>
  <c r="C138" i="47"/>
  <c r="C139" i="47"/>
  <c r="C140" i="47"/>
  <c r="C141" i="47"/>
  <c r="C142" i="47"/>
  <c r="C143" i="47"/>
  <c r="C144" i="47"/>
  <c r="C145" i="47"/>
  <c r="C146" i="47"/>
  <c r="C147" i="47"/>
  <c r="C148" i="47"/>
  <c r="C149" i="47"/>
  <c r="C150" i="47"/>
  <c r="C151" i="47"/>
  <c r="C152" i="47"/>
  <c r="C153" i="47"/>
  <c r="C154" i="47"/>
  <c r="C155" i="47"/>
  <c r="C156" i="47"/>
  <c r="C157" i="47"/>
  <c r="C158" i="47"/>
  <c r="C159" i="47"/>
  <c r="C160" i="47"/>
  <c r="C161" i="47"/>
  <c r="C162" i="47"/>
  <c r="C163" i="47"/>
  <c r="C164" i="47"/>
  <c r="C165" i="47"/>
  <c r="C166" i="47"/>
  <c r="C167" i="47"/>
  <c r="C168" i="47"/>
  <c r="C169" i="47"/>
  <c r="C170" i="47"/>
  <c r="C171" i="47"/>
  <c r="C172" i="47"/>
  <c r="C173" i="47"/>
  <c r="C174" i="47"/>
  <c r="C175" i="47"/>
  <c r="C176" i="47"/>
  <c r="C177" i="47"/>
  <c r="C178" i="47"/>
  <c r="C179" i="47"/>
  <c r="C180" i="47"/>
  <c r="C181" i="47"/>
  <c r="C182" i="47"/>
  <c r="C183" i="47"/>
  <c r="C184" i="47"/>
  <c r="C185" i="47"/>
  <c r="C186" i="47"/>
  <c r="C187" i="47"/>
  <c r="C188" i="47"/>
  <c r="C189" i="47"/>
  <c r="C190" i="47"/>
  <c r="C191" i="47"/>
  <c r="C192" i="47"/>
  <c r="C193" i="47"/>
  <c r="C194" i="47"/>
  <c r="C195" i="47"/>
  <c r="C196" i="47"/>
  <c r="C197" i="47"/>
  <c r="C198" i="47"/>
  <c r="C199" i="47"/>
  <c r="C200" i="47"/>
  <c r="C201" i="47"/>
  <c r="C202" i="47"/>
  <c r="C203" i="47"/>
  <c r="C204" i="47"/>
  <c r="C205" i="47"/>
  <c r="C206" i="47"/>
  <c r="C207" i="47"/>
  <c r="C208" i="47"/>
  <c r="C209" i="47"/>
  <c r="C210" i="47"/>
  <c r="C211" i="47"/>
  <c r="C212" i="47"/>
  <c r="C213" i="47"/>
  <c r="C214" i="47"/>
  <c r="C215" i="47"/>
  <c r="C216" i="47"/>
  <c r="C217" i="47"/>
  <c r="C218" i="47"/>
  <c r="C2" i="47"/>
  <c r="B3" i="47"/>
  <c r="B4" i="47"/>
  <c r="B5" i="47"/>
  <c r="B6" i="47"/>
  <c r="B7" i="47"/>
  <c r="B8" i="47"/>
  <c r="B9" i="47"/>
  <c r="B10" i="47"/>
  <c r="B11" i="47"/>
  <c r="B12" i="47"/>
  <c r="B13" i="47"/>
  <c r="B14" i="47"/>
  <c r="B15" i="47"/>
  <c r="B16" i="47"/>
  <c r="B17" i="47"/>
  <c r="B18" i="47"/>
  <c r="B19" i="47"/>
  <c r="B20" i="47"/>
  <c r="B21" i="47"/>
  <c r="B22" i="47"/>
  <c r="B23" i="47"/>
  <c r="B24" i="47"/>
  <c r="B25" i="47"/>
  <c r="B26" i="47"/>
  <c r="B27" i="47"/>
  <c r="B28" i="47"/>
  <c r="B29" i="47"/>
  <c r="B30" i="47"/>
  <c r="B31" i="47"/>
  <c r="B32" i="47"/>
  <c r="B33" i="47"/>
  <c r="B34" i="47"/>
  <c r="B35" i="47"/>
  <c r="B36" i="47"/>
  <c r="B37" i="47"/>
  <c r="B38" i="47"/>
  <c r="B39" i="47"/>
  <c r="B40" i="47"/>
  <c r="B41" i="47"/>
  <c r="B42" i="47"/>
  <c r="B43" i="47"/>
  <c r="B44" i="47"/>
  <c r="B45" i="47"/>
  <c r="B46" i="47"/>
  <c r="B47" i="47"/>
  <c r="B48" i="47"/>
  <c r="B49" i="47"/>
  <c r="B50" i="47"/>
  <c r="B51" i="47"/>
  <c r="B52" i="47"/>
  <c r="B53" i="47"/>
  <c r="B54" i="47"/>
  <c r="B55" i="47"/>
  <c r="B56" i="47"/>
  <c r="B57" i="47"/>
  <c r="B58" i="47"/>
  <c r="B59" i="47"/>
  <c r="B60" i="47"/>
  <c r="B61" i="47"/>
  <c r="B62" i="47"/>
  <c r="B63" i="47"/>
  <c r="B64" i="47"/>
  <c r="B65" i="47"/>
  <c r="B66" i="47"/>
  <c r="B67" i="47"/>
  <c r="B68" i="47"/>
  <c r="B69" i="47"/>
  <c r="B70" i="47"/>
  <c r="B71" i="47"/>
  <c r="B72" i="47"/>
  <c r="B73" i="47"/>
  <c r="B74" i="47"/>
  <c r="B75" i="47"/>
  <c r="B76" i="47"/>
  <c r="B77" i="47"/>
  <c r="B78" i="47"/>
  <c r="B79" i="47"/>
  <c r="B80" i="47"/>
  <c r="B81" i="47"/>
  <c r="B82" i="47"/>
  <c r="B83" i="47"/>
  <c r="B84" i="47"/>
  <c r="B85" i="47"/>
  <c r="B86" i="47"/>
  <c r="B87" i="47"/>
  <c r="B88" i="47"/>
  <c r="B89" i="47"/>
  <c r="B90" i="47"/>
  <c r="B91" i="47"/>
  <c r="B92" i="47"/>
  <c r="B93" i="47"/>
  <c r="B94" i="47"/>
  <c r="B95" i="47"/>
  <c r="B96" i="47"/>
  <c r="B97" i="47"/>
  <c r="B98" i="47"/>
  <c r="B99" i="47"/>
  <c r="B100" i="47"/>
  <c r="B101" i="47"/>
  <c r="B102" i="47"/>
  <c r="B103" i="47"/>
  <c r="B104" i="47"/>
  <c r="B105" i="47"/>
  <c r="B106" i="47"/>
  <c r="B107" i="47"/>
  <c r="B108" i="47"/>
  <c r="B109" i="47"/>
  <c r="B110" i="47"/>
  <c r="B111" i="47"/>
  <c r="B112" i="47"/>
  <c r="B113" i="47"/>
  <c r="B114" i="47"/>
  <c r="B115" i="47"/>
  <c r="B116" i="47"/>
  <c r="B117" i="47"/>
  <c r="B118" i="47"/>
  <c r="B119" i="47"/>
  <c r="B120" i="47"/>
  <c r="B121" i="47"/>
  <c r="B122" i="47"/>
  <c r="B123" i="47"/>
  <c r="B124" i="47"/>
  <c r="B125" i="47"/>
  <c r="B126" i="47"/>
  <c r="B127" i="47"/>
  <c r="B128" i="47"/>
  <c r="B129" i="47"/>
  <c r="B130" i="47"/>
  <c r="B131" i="47"/>
  <c r="B132" i="47"/>
  <c r="B133" i="47"/>
  <c r="B134" i="47"/>
  <c r="B135" i="47"/>
  <c r="B136" i="47"/>
  <c r="B137" i="47"/>
  <c r="B138" i="47"/>
  <c r="B139" i="47"/>
  <c r="B140" i="47"/>
  <c r="B141" i="47"/>
  <c r="B142" i="47"/>
  <c r="B143" i="47"/>
  <c r="B144" i="47"/>
  <c r="B145" i="47"/>
  <c r="B146" i="47"/>
  <c r="B147" i="47"/>
  <c r="B148" i="47"/>
  <c r="B149" i="47"/>
  <c r="B150" i="47"/>
  <c r="B151" i="47"/>
  <c r="B152" i="47"/>
  <c r="B153" i="47"/>
  <c r="B154" i="47"/>
  <c r="B155" i="47"/>
  <c r="B156" i="47"/>
  <c r="B157" i="47"/>
  <c r="B158" i="47"/>
  <c r="B159" i="47"/>
  <c r="B160" i="47"/>
  <c r="B161" i="47"/>
  <c r="B162" i="47"/>
  <c r="B163" i="47"/>
  <c r="B164" i="47"/>
  <c r="B165" i="47"/>
  <c r="B166" i="47"/>
  <c r="B167" i="47"/>
  <c r="B168" i="47"/>
  <c r="B169" i="47"/>
  <c r="B170" i="47"/>
  <c r="B171" i="47"/>
  <c r="B172" i="47"/>
  <c r="B173" i="47"/>
  <c r="B174" i="47"/>
  <c r="B175" i="47"/>
  <c r="B176" i="47"/>
  <c r="B177" i="47"/>
  <c r="B178" i="47"/>
  <c r="B179" i="47"/>
  <c r="B180" i="47"/>
  <c r="B181" i="47"/>
  <c r="B182" i="47"/>
  <c r="B183" i="47"/>
  <c r="B184" i="47"/>
  <c r="B185" i="47"/>
  <c r="B186" i="47"/>
  <c r="B187" i="47"/>
  <c r="B188" i="47"/>
  <c r="B189" i="47"/>
  <c r="B190" i="47"/>
  <c r="B191" i="47"/>
  <c r="B192" i="47"/>
  <c r="B193" i="47"/>
  <c r="B194" i="47"/>
  <c r="B195" i="47"/>
  <c r="B196" i="47"/>
  <c r="B197" i="47"/>
  <c r="B198" i="47"/>
  <c r="B199" i="47"/>
  <c r="B200" i="47"/>
  <c r="B201" i="47"/>
  <c r="B202" i="47"/>
  <c r="B203" i="47"/>
  <c r="B204" i="47"/>
  <c r="B205" i="47"/>
  <c r="B206" i="47"/>
  <c r="B207" i="47"/>
  <c r="B208" i="47"/>
  <c r="B209" i="47"/>
  <c r="B210" i="47"/>
  <c r="B211" i="47"/>
  <c r="B212" i="47"/>
  <c r="B213" i="47"/>
  <c r="B214" i="47"/>
  <c r="B215" i="47"/>
  <c r="B216" i="47"/>
  <c r="B217" i="47"/>
  <c r="B218" i="47"/>
  <c r="B2" i="47"/>
  <c r="N3" i="47"/>
  <c r="O3" i="47" s="1"/>
  <c r="N4" i="47"/>
  <c r="O4" i="47" s="1"/>
  <c r="N5" i="47"/>
  <c r="O5" i="47" s="1"/>
  <c r="N6" i="47"/>
  <c r="O6" i="47" s="1"/>
  <c r="N7" i="47"/>
  <c r="O7" i="47" s="1"/>
  <c r="N2" i="47"/>
  <c r="O2" i="47" s="1"/>
  <c r="N5" i="48"/>
  <c r="N6" i="48"/>
  <c r="N7" i="48"/>
  <c r="N8" i="48"/>
  <c r="N9" i="48"/>
  <c r="N10" i="48"/>
  <c r="N11" i="48"/>
  <c r="N12" i="48"/>
  <c r="N13" i="48"/>
  <c r="N14" i="48"/>
  <c r="N15" i="48"/>
  <c r="N16" i="48"/>
  <c r="N17" i="48"/>
  <c r="N18" i="48"/>
  <c r="N19" i="48"/>
  <c r="N20" i="48"/>
  <c r="N21" i="48"/>
  <c r="N22" i="48"/>
  <c r="N23" i="48"/>
  <c r="N24" i="48"/>
  <c r="N25" i="48"/>
  <c r="N26" i="48"/>
  <c r="N27" i="48"/>
  <c r="N28" i="48"/>
  <c r="N29" i="48"/>
  <c r="N30" i="48"/>
  <c r="N31" i="48"/>
  <c r="N32" i="48"/>
  <c r="N33" i="48"/>
  <c r="N34" i="48"/>
  <c r="N35" i="48"/>
  <c r="N36" i="48"/>
  <c r="N37" i="48"/>
  <c r="N38" i="48"/>
  <c r="N39" i="48"/>
  <c r="N40" i="48"/>
  <c r="N41" i="48"/>
  <c r="N42" i="48"/>
  <c r="N43" i="48"/>
  <c r="N44" i="48"/>
  <c r="N45" i="48"/>
  <c r="N46" i="48"/>
  <c r="N47" i="48"/>
  <c r="N48" i="48"/>
  <c r="N49" i="48"/>
  <c r="N50" i="48"/>
  <c r="N51" i="48"/>
  <c r="N52" i="48"/>
  <c r="N53" i="48"/>
  <c r="N54" i="48"/>
  <c r="N55" i="48"/>
  <c r="N56" i="48"/>
  <c r="N57" i="48"/>
  <c r="N58" i="48"/>
  <c r="N59" i="48"/>
  <c r="N60" i="48"/>
  <c r="N61" i="48"/>
  <c r="N62" i="48"/>
  <c r="N63" i="48"/>
  <c r="N64" i="48"/>
  <c r="N65" i="48"/>
  <c r="N66" i="48"/>
  <c r="N67" i="48"/>
  <c r="N68" i="48"/>
  <c r="N69" i="48"/>
  <c r="N70" i="48"/>
  <c r="N71" i="48"/>
  <c r="N72" i="48"/>
  <c r="N73" i="48"/>
  <c r="N74" i="48"/>
  <c r="N75" i="48"/>
  <c r="N76" i="48"/>
  <c r="N77" i="48"/>
  <c r="N78" i="48"/>
  <c r="N79" i="48"/>
  <c r="N80" i="48"/>
  <c r="N81" i="48"/>
  <c r="N82" i="48"/>
  <c r="N83" i="48"/>
  <c r="N84" i="48"/>
  <c r="N85" i="48"/>
  <c r="N86" i="48"/>
  <c r="N87" i="48"/>
  <c r="N88" i="48"/>
  <c r="N89" i="48"/>
  <c r="N90" i="48"/>
  <c r="N91" i="48"/>
  <c r="N92" i="48"/>
  <c r="N93" i="48"/>
  <c r="N94" i="48"/>
  <c r="N95" i="48"/>
  <c r="N96" i="48"/>
  <c r="N97" i="48"/>
  <c r="N98" i="48"/>
  <c r="N99" i="48"/>
  <c r="N100" i="48"/>
  <c r="N101" i="48"/>
  <c r="N102" i="48"/>
  <c r="N103" i="48"/>
  <c r="N104" i="48"/>
  <c r="N105" i="48"/>
  <c r="N106" i="48"/>
  <c r="N107" i="48"/>
  <c r="N108" i="48"/>
  <c r="N109" i="48"/>
  <c r="N110" i="48"/>
  <c r="N111" i="48"/>
  <c r="N112" i="48"/>
  <c r="N113" i="48"/>
  <c r="N114" i="48"/>
  <c r="N115" i="48"/>
  <c r="N116" i="48"/>
  <c r="N117" i="48"/>
  <c r="N118" i="48"/>
  <c r="N119" i="48"/>
  <c r="N120" i="48"/>
  <c r="N121" i="48"/>
  <c r="N122" i="48"/>
  <c r="N123" i="48"/>
  <c r="N124" i="48"/>
  <c r="N125" i="48"/>
  <c r="N126" i="48"/>
  <c r="N127" i="48"/>
  <c r="N128" i="48"/>
  <c r="N129" i="48"/>
  <c r="N130" i="48"/>
  <c r="N131" i="48"/>
  <c r="N132" i="48"/>
  <c r="N133" i="48"/>
  <c r="N134" i="48"/>
  <c r="N135" i="48"/>
  <c r="N136" i="48"/>
  <c r="N137" i="48"/>
  <c r="N138" i="48"/>
  <c r="N139" i="48"/>
  <c r="N140" i="48"/>
  <c r="N141" i="48"/>
  <c r="N142" i="48"/>
  <c r="N143" i="48"/>
  <c r="N144" i="48"/>
  <c r="N145" i="48"/>
  <c r="N146" i="48"/>
  <c r="N147" i="48"/>
  <c r="N148" i="48"/>
  <c r="N149" i="48"/>
  <c r="N150" i="48"/>
  <c r="N151" i="48"/>
  <c r="N152" i="48"/>
  <c r="N153" i="48"/>
  <c r="N154" i="48"/>
  <c r="N155" i="48"/>
  <c r="N156" i="48"/>
  <c r="N157" i="48"/>
  <c r="N158" i="48"/>
  <c r="N159" i="48"/>
  <c r="N160" i="48"/>
  <c r="N161" i="48"/>
  <c r="N162" i="48"/>
  <c r="N163" i="48"/>
  <c r="N164" i="48"/>
  <c r="N165" i="48"/>
  <c r="N166" i="48"/>
  <c r="N167" i="48"/>
  <c r="N168" i="48"/>
  <c r="N169" i="48"/>
  <c r="N170" i="48"/>
  <c r="N171" i="48"/>
  <c r="N172" i="48"/>
  <c r="N173" i="48"/>
  <c r="N174" i="48"/>
  <c r="N175" i="48"/>
  <c r="N176" i="48"/>
  <c r="N177" i="48"/>
  <c r="N178" i="48"/>
  <c r="N179" i="48"/>
  <c r="N180" i="48"/>
  <c r="N181" i="48"/>
  <c r="N182" i="48"/>
  <c r="N183" i="48"/>
  <c r="N184" i="48"/>
  <c r="N185" i="48"/>
  <c r="N186" i="48"/>
  <c r="N187" i="48"/>
  <c r="N188" i="48"/>
  <c r="N189" i="48"/>
  <c r="N190" i="48"/>
  <c r="N191" i="48"/>
  <c r="N192" i="48"/>
  <c r="N193" i="48"/>
  <c r="N194" i="48"/>
  <c r="N195" i="48"/>
  <c r="N196" i="48"/>
  <c r="N197" i="48"/>
  <c r="N198" i="48"/>
  <c r="N199" i="48"/>
  <c r="N200" i="48"/>
  <c r="N201" i="48"/>
  <c r="N202" i="48"/>
  <c r="N203" i="48"/>
  <c r="N204" i="48"/>
  <c r="N205" i="48"/>
  <c r="N206" i="48"/>
  <c r="N207" i="48"/>
  <c r="N208" i="48"/>
  <c r="N209" i="48"/>
  <c r="N210" i="48"/>
  <c r="N211" i="48"/>
  <c r="N212" i="48"/>
  <c r="N213" i="48"/>
  <c r="N214" i="48"/>
  <c r="N215" i="48"/>
  <c r="N216" i="48"/>
  <c r="N217" i="48"/>
  <c r="N218" i="48"/>
  <c r="N219" i="48"/>
  <c r="N220" i="48"/>
  <c r="N4" i="48"/>
  <c r="M5" i="48"/>
  <c r="M6" i="48"/>
  <c r="M7" i="48"/>
  <c r="M8" i="48"/>
  <c r="M9" i="48"/>
  <c r="M10" i="48"/>
  <c r="M11" i="48"/>
  <c r="M12" i="48"/>
  <c r="M13" i="48"/>
  <c r="M14" i="48"/>
  <c r="M15" i="48"/>
  <c r="M16" i="48"/>
  <c r="M17" i="48"/>
  <c r="M18" i="48"/>
  <c r="M19" i="48"/>
  <c r="M20" i="48"/>
  <c r="M21" i="48"/>
  <c r="M22" i="48"/>
  <c r="M23" i="48"/>
  <c r="M24" i="48"/>
  <c r="M25" i="48"/>
  <c r="M26" i="48"/>
  <c r="M27" i="48"/>
  <c r="M28" i="48"/>
  <c r="M29" i="48"/>
  <c r="M30" i="48"/>
  <c r="M31" i="48"/>
  <c r="M32" i="48"/>
  <c r="M33" i="48"/>
  <c r="M34" i="48"/>
  <c r="M35" i="48"/>
  <c r="M36" i="48"/>
  <c r="M37" i="48"/>
  <c r="M38" i="48"/>
  <c r="M39" i="48"/>
  <c r="M40" i="48"/>
  <c r="M41" i="48"/>
  <c r="M42" i="48"/>
  <c r="M43" i="48"/>
  <c r="M44" i="48"/>
  <c r="M45" i="48"/>
  <c r="M46" i="48"/>
  <c r="M47" i="48"/>
  <c r="M48" i="48"/>
  <c r="M49" i="48"/>
  <c r="M50" i="48"/>
  <c r="M51" i="48"/>
  <c r="M52" i="48"/>
  <c r="M53" i="48"/>
  <c r="M54" i="48"/>
  <c r="M55" i="48"/>
  <c r="M56" i="48"/>
  <c r="M57" i="48"/>
  <c r="M58" i="48"/>
  <c r="M59" i="48"/>
  <c r="M60" i="48"/>
  <c r="M61" i="48"/>
  <c r="M62" i="48"/>
  <c r="M63" i="48"/>
  <c r="M64" i="48"/>
  <c r="M65" i="48"/>
  <c r="M66" i="48"/>
  <c r="M67" i="48"/>
  <c r="M68" i="48"/>
  <c r="M69" i="48"/>
  <c r="M70" i="48"/>
  <c r="M71" i="48"/>
  <c r="M72" i="48"/>
  <c r="M73" i="48"/>
  <c r="M74" i="48"/>
  <c r="M75" i="48"/>
  <c r="M76" i="48"/>
  <c r="M77" i="48"/>
  <c r="M78" i="48"/>
  <c r="M79" i="48"/>
  <c r="M80" i="48"/>
  <c r="M81" i="48"/>
  <c r="M82" i="48"/>
  <c r="M83" i="48"/>
  <c r="M84" i="48"/>
  <c r="M85" i="48"/>
  <c r="M86" i="48"/>
  <c r="M87" i="48"/>
  <c r="M88" i="48"/>
  <c r="M89" i="48"/>
  <c r="M90" i="48"/>
  <c r="M91" i="48"/>
  <c r="M92" i="48"/>
  <c r="M93" i="48"/>
  <c r="M94" i="48"/>
  <c r="M95" i="48"/>
  <c r="M96" i="48"/>
  <c r="M97" i="48"/>
  <c r="M98" i="48"/>
  <c r="M99" i="48"/>
  <c r="M100" i="48"/>
  <c r="M101" i="48"/>
  <c r="M102" i="48"/>
  <c r="M103" i="48"/>
  <c r="M104" i="48"/>
  <c r="M105" i="48"/>
  <c r="M106" i="48"/>
  <c r="M107" i="48"/>
  <c r="M108" i="48"/>
  <c r="M109" i="48"/>
  <c r="M110" i="48"/>
  <c r="M111" i="48"/>
  <c r="M112" i="48"/>
  <c r="M113" i="48"/>
  <c r="M114" i="48"/>
  <c r="M115" i="48"/>
  <c r="M116" i="48"/>
  <c r="M117" i="48"/>
  <c r="M118" i="48"/>
  <c r="M119" i="48"/>
  <c r="M120" i="48"/>
  <c r="M121" i="48"/>
  <c r="M122" i="48"/>
  <c r="M123" i="48"/>
  <c r="M124" i="48"/>
  <c r="M125" i="48"/>
  <c r="M126" i="48"/>
  <c r="M127" i="48"/>
  <c r="M128" i="48"/>
  <c r="M129" i="48"/>
  <c r="M130" i="48"/>
  <c r="M131" i="48"/>
  <c r="M132" i="48"/>
  <c r="M133" i="48"/>
  <c r="M134" i="48"/>
  <c r="M135" i="48"/>
  <c r="M136" i="48"/>
  <c r="M137" i="48"/>
  <c r="M138" i="48"/>
  <c r="M139" i="48"/>
  <c r="M140" i="48"/>
  <c r="M141" i="48"/>
  <c r="M142" i="48"/>
  <c r="M143" i="48"/>
  <c r="M144" i="48"/>
  <c r="M145" i="48"/>
  <c r="M146" i="48"/>
  <c r="M147" i="48"/>
  <c r="M148" i="48"/>
  <c r="M149" i="48"/>
  <c r="M150" i="48"/>
  <c r="M151" i="48"/>
  <c r="M152" i="48"/>
  <c r="M153" i="48"/>
  <c r="M154" i="48"/>
  <c r="M155" i="48"/>
  <c r="M156" i="48"/>
  <c r="M157" i="48"/>
  <c r="M158" i="48"/>
  <c r="M159" i="48"/>
  <c r="M160" i="48"/>
  <c r="M161" i="48"/>
  <c r="M162" i="48"/>
  <c r="M163" i="48"/>
  <c r="M164" i="48"/>
  <c r="M165" i="48"/>
  <c r="M166" i="48"/>
  <c r="M167" i="48"/>
  <c r="M168" i="48"/>
  <c r="M169" i="48"/>
  <c r="M170" i="48"/>
  <c r="M171" i="48"/>
  <c r="M172" i="48"/>
  <c r="M173" i="48"/>
  <c r="M174" i="48"/>
  <c r="M175" i="48"/>
  <c r="M176" i="48"/>
  <c r="M177" i="48"/>
  <c r="M178" i="48"/>
  <c r="M179" i="48"/>
  <c r="M180" i="48"/>
  <c r="M181" i="48"/>
  <c r="M182" i="48"/>
  <c r="M183" i="48"/>
  <c r="M184" i="48"/>
  <c r="M185" i="48"/>
  <c r="M186" i="48"/>
  <c r="M187" i="48"/>
  <c r="M188" i="48"/>
  <c r="M189" i="48"/>
  <c r="M190" i="48"/>
  <c r="M191" i="48"/>
  <c r="M192" i="48"/>
  <c r="M193" i="48"/>
  <c r="M194" i="48"/>
  <c r="M195" i="48"/>
  <c r="M196" i="48"/>
  <c r="M197" i="48"/>
  <c r="M198" i="48"/>
  <c r="M199" i="48"/>
  <c r="M200" i="48"/>
  <c r="M201" i="48"/>
  <c r="M202" i="48"/>
  <c r="M203" i="48"/>
  <c r="M204" i="48"/>
  <c r="M205" i="48"/>
  <c r="M206" i="48"/>
  <c r="M207" i="48"/>
  <c r="M208" i="48"/>
  <c r="M209" i="48"/>
  <c r="M210" i="48"/>
  <c r="M211" i="48"/>
  <c r="M212" i="48"/>
  <c r="M213" i="48"/>
  <c r="M214" i="48"/>
  <c r="M215" i="48"/>
  <c r="M216" i="48"/>
  <c r="M217" i="48"/>
  <c r="M218" i="48"/>
  <c r="M219" i="48"/>
  <c r="M220" i="48"/>
  <c r="M4" i="48"/>
  <c r="L5" i="48"/>
  <c r="L6" i="48"/>
  <c r="L7" i="48"/>
  <c r="L8" i="48"/>
  <c r="L9" i="48"/>
  <c r="L10" i="48"/>
  <c r="L11" i="48"/>
  <c r="L12" i="48"/>
  <c r="L13" i="48"/>
  <c r="L14" i="48"/>
  <c r="L15" i="48"/>
  <c r="L16" i="48"/>
  <c r="L17" i="48"/>
  <c r="L18" i="48"/>
  <c r="L19" i="48"/>
  <c r="L20" i="48"/>
  <c r="L21" i="48"/>
  <c r="L22" i="48"/>
  <c r="L23" i="48"/>
  <c r="L24" i="48"/>
  <c r="L25" i="48"/>
  <c r="L26" i="48"/>
  <c r="L27" i="48"/>
  <c r="L28" i="48"/>
  <c r="L29" i="48"/>
  <c r="L30" i="48"/>
  <c r="L31" i="48"/>
  <c r="L32" i="48"/>
  <c r="L33" i="48"/>
  <c r="L34" i="48"/>
  <c r="L35" i="48"/>
  <c r="L36" i="48"/>
  <c r="L37" i="48"/>
  <c r="L38" i="48"/>
  <c r="L39" i="48"/>
  <c r="L40" i="48"/>
  <c r="L41" i="48"/>
  <c r="L42" i="48"/>
  <c r="L43" i="48"/>
  <c r="L44" i="48"/>
  <c r="L45" i="48"/>
  <c r="L46" i="48"/>
  <c r="L47" i="48"/>
  <c r="L48" i="48"/>
  <c r="L49" i="48"/>
  <c r="L50" i="48"/>
  <c r="L51" i="48"/>
  <c r="L52" i="48"/>
  <c r="L53" i="48"/>
  <c r="L54" i="48"/>
  <c r="L55" i="48"/>
  <c r="L56" i="48"/>
  <c r="L57" i="48"/>
  <c r="L58" i="48"/>
  <c r="L59" i="48"/>
  <c r="L60" i="48"/>
  <c r="L61" i="48"/>
  <c r="L62" i="48"/>
  <c r="L63" i="48"/>
  <c r="L64" i="48"/>
  <c r="L65" i="48"/>
  <c r="L66" i="48"/>
  <c r="L67" i="48"/>
  <c r="L68" i="48"/>
  <c r="L69" i="48"/>
  <c r="L70" i="48"/>
  <c r="L71" i="48"/>
  <c r="L72" i="48"/>
  <c r="L73" i="48"/>
  <c r="L74" i="48"/>
  <c r="L75" i="48"/>
  <c r="L76" i="48"/>
  <c r="L77" i="48"/>
  <c r="L78" i="48"/>
  <c r="L79" i="48"/>
  <c r="L80" i="48"/>
  <c r="L81" i="48"/>
  <c r="L82" i="48"/>
  <c r="L83" i="48"/>
  <c r="L84" i="48"/>
  <c r="L85" i="48"/>
  <c r="L86" i="48"/>
  <c r="L87" i="48"/>
  <c r="L88" i="48"/>
  <c r="L89" i="48"/>
  <c r="L90" i="48"/>
  <c r="L91" i="48"/>
  <c r="L92" i="48"/>
  <c r="L93" i="48"/>
  <c r="L94" i="48"/>
  <c r="L95" i="48"/>
  <c r="L96" i="48"/>
  <c r="L97" i="48"/>
  <c r="L98" i="48"/>
  <c r="L99" i="48"/>
  <c r="L100" i="48"/>
  <c r="L101" i="48"/>
  <c r="L102" i="48"/>
  <c r="L103" i="48"/>
  <c r="L104" i="48"/>
  <c r="L105" i="48"/>
  <c r="L106" i="48"/>
  <c r="L107" i="48"/>
  <c r="L108" i="48"/>
  <c r="L109" i="48"/>
  <c r="L110" i="48"/>
  <c r="L111" i="48"/>
  <c r="L112" i="48"/>
  <c r="L113" i="48"/>
  <c r="L114" i="48"/>
  <c r="L115" i="48"/>
  <c r="L116" i="48"/>
  <c r="L117" i="48"/>
  <c r="L118" i="48"/>
  <c r="L119" i="48"/>
  <c r="L120" i="48"/>
  <c r="L121" i="48"/>
  <c r="L122" i="48"/>
  <c r="L123" i="48"/>
  <c r="L124" i="48"/>
  <c r="L125" i="48"/>
  <c r="L126" i="48"/>
  <c r="L127" i="48"/>
  <c r="L128" i="48"/>
  <c r="L129" i="48"/>
  <c r="L130" i="48"/>
  <c r="L131" i="48"/>
  <c r="L132" i="48"/>
  <c r="L133" i="48"/>
  <c r="L134" i="48"/>
  <c r="L135" i="48"/>
  <c r="L136" i="48"/>
  <c r="L137" i="48"/>
  <c r="L138" i="48"/>
  <c r="L139" i="48"/>
  <c r="L140" i="48"/>
  <c r="L141" i="48"/>
  <c r="L142" i="48"/>
  <c r="L143" i="48"/>
  <c r="L144" i="48"/>
  <c r="L145" i="48"/>
  <c r="L146" i="48"/>
  <c r="L147" i="48"/>
  <c r="L148" i="48"/>
  <c r="L149" i="48"/>
  <c r="L150" i="48"/>
  <c r="L151" i="48"/>
  <c r="L152" i="48"/>
  <c r="L153" i="48"/>
  <c r="L154" i="48"/>
  <c r="L155" i="48"/>
  <c r="L156" i="48"/>
  <c r="L157" i="48"/>
  <c r="L158" i="48"/>
  <c r="L159" i="48"/>
  <c r="L160" i="48"/>
  <c r="L161" i="48"/>
  <c r="L162" i="48"/>
  <c r="L163" i="48"/>
  <c r="L164" i="48"/>
  <c r="L165" i="48"/>
  <c r="L166" i="48"/>
  <c r="L167" i="48"/>
  <c r="L168" i="48"/>
  <c r="L169" i="48"/>
  <c r="L170" i="48"/>
  <c r="L171" i="48"/>
  <c r="L172" i="48"/>
  <c r="L173" i="48"/>
  <c r="L174" i="48"/>
  <c r="L175" i="48"/>
  <c r="L176" i="48"/>
  <c r="L177" i="48"/>
  <c r="L178" i="48"/>
  <c r="L179" i="48"/>
  <c r="L180" i="48"/>
  <c r="L181" i="48"/>
  <c r="L182" i="48"/>
  <c r="L183" i="48"/>
  <c r="L184" i="48"/>
  <c r="L185" i="48"/>
  <c r="L186" i="48"/>
  <c r="L187" i="48"/>
  <c r="L188" i="48"/>
  <c r="L189" i="48"/>
  <c r="L190" i="48"/>
  <c r="L191" i="48"/>
  <c r="L192" i="48"/>
  <c r="L193" i="48"/>
  <c r="L194" i="48"/>
  <c r="L195" i="48"/>
  <c r="L196" i="48"/>
  <c r="L197" i="48"/>
  <c r="L198" i="48"/>
  <c r="L199" i="48"/>
  <c r="L200" i="48"/>
  <c r="L201" i="48"/>
  <c r="L202" i="48"/>
  <c r="L203" i="48"/>
  <c r="L204" i="48"/>
  <c r="L205" i="48"/>
  <c r="L206" i="48"/>
  <c r="L207" i="48"/>
  <c r="L208" i="48"/>
  <c r="L209" i="48"/>
  <c r="L210" i="48"/>
  <c r="L211" i="48"/>
  <c r="L212" i="48"/>
  <c r="L213" i="48"/>
  <c r="L214" i="48"/>
  <c r="L215" i="48"/>
  <c r="L216" i="48"/>
  <c r="L217" i="48"/>
  <c r="L218" i="48"/>
  <c r="L219" i="48"/>
  <c r="L220" i="48"/>
  <c r="L4" i="48"/>
  <c r="K4" i="48"/>
  <c r="K5" i="48"/>
  <c r="K6" i="48"/>
  <c r="K7" i="48"/>
  <c r="K8" i="48"/>
  <c r="K9" i="48"/>
  <c r="K10" i="48"/>
  <c r="K11" i="48"/>
  <c r="K12" i="48"/>
  <c r="K13" i="48"/>
  <c r="K14" i="48"/>
  <c r="K15" i="48"/>
  <c r="K16" i="48"/>
  <c r="K17" i="48"/>
  <c r="K18" i="48"/>
  <c r="K19" i="48"/>
  <c r="K20" i="48"/>
  <c r="K21" i="48"/>
  <c r="K22" i="48"/>
  <c r="K23" i="48"/>
  <c r="K24" i="48"/>
  <c r="K25" i="48"/>
  <c r="K26" i="48"/>
  <c r="K27" i="48"/>
  <c r="K28" i="48"/>
  <c r="K29" i="48"/>
  <c r="K30" i="48"/>
  <c r="K31" i="48"/>
  <c r="K32" i="48"/>
  <c r="K33" i="48"/>
  <c r="K34" i="48"/>
  <c r="K35" i="48"/>
  <c r="K36" i="48"/>
  <c r="K37" i="48"/>
  <c r="K38" i="48"/>
  <c r="K39" i="48"/>
  <c r="K40" i="48"/>
  <c r="K41" i="48"/>
  <c r="K42" i="48"/>
  <c r="K43" i="48"/>
  <c r="K44" i="48"/>
  <c r="K45" i="48"/>
  <c r="K46" i="48"/>
  <c r="K47" i="48"/>
  <c r="K48" i="48"/>
  <c r="K49" i="48"/>
  <c r="K50" i="48"/>
  <c r="K51" i="48"/>
  <c r="K52" i="48"/>
  <c r="K53" i="48"/>
  <c r="K54" i="48"/>
  <c r="K55" i="48"/>
  <c r="K56" i="48"/>
  <c r="K57" i="48"/>
  <c r="K58" i="48"/>
  <c r="K59" i="48"/>
  <c r="K60" i="48"/>
  <c r="K61" i="48"/>
  <c r="K62" i="48"/>
  <c r="K63" i="48"/>
  <c r="K64" i="48"/>
  <c r="K65" i="48"/>
  <c r="K66" i="48"/>
  <c r="K67" i="48"/>
  <c r="K68" i="48"/>
  <c r="K69" i="48"/>
  <c r="K70" i="48"/>
  <c r="K71" i="48"/>
  <c r="K72" i="48"/>
  <c r="K73" i="48"/>
  <c r="K74" i="48"/>
  <c r="K75" i="48"/>
  <c r="K76" i="48"/>
  <c r="K77" i="48"/>
  <c r="K78" i="48"/>
  <c r="K79" i="48"/>
  <c r="K80" i="48"/>
  <c r="K81" i="48"/>
  <c r="K82" i="48"/>
  <c r="K83" i="48"/>
  <c r="K84" i="48"/>
  <c r="K85" i="48"/>
  <c r="K86" i="48"/>
  <c r="K87" i="48"/>
  <c r="K88" i="48"/>
  <c r="K89" i="48"/>
  <c r="K90" i="48"/>
  <c r="K91" i="48"/>
  <c r="K92" i="48"/>
  <c r="K93" i="48"/>
  <c r="K94" i="48"/>
  <c r="K95" i="48"/>
  <c r="K96" i="48"/>
  <c r="K97" i="48"/>
  <c r="K98" i="48"/>
  <c r="K99" i="48"/>
  <c r="K100" i="48"/>
  <c r="K101" i="48"/>
  <c r="K102" i="48"/>
  <c r="K103" i="48"/>
  <c r="K104" i="48"/>
  <c r="K105" i="48"/>
  <c r="K106" i="48"/>
  <c r="K107" i="48"/>
  <c r="K108" i="48"/>
  <c r="K109" i="48"/>
  <c r="K110" i="48"/>
  <c r="K111" i="48"/>
  <c r="K112" i="48"/>
  <c r="K113" i="48"/>
  <c r="K114" i="48"/>
  <c r="K115" i="48"/>
  <c r="K116" i="48"/>
  <c r="K117" i="48"/>
  <c r="K118" i="48"/>
  <c r="K119" i="48"/>
  <c r="K120" i="48"/>
  <c r="K121" i="48"/>
  <c r="K122" i="48"/>
  <c r="K123" i="48"/>
  <c r="K124" i="48"/>
  <c r="K125" i="48"/>
  <c r="K126" i="48"/>
  <c r="K127" i="48"/>
  <c r="K128" i="48"/>
  <c r="K129" i="48"/>
  <c r="K130" i="48"/>
  <c r="K131" i="48"/>
  <c r="K132" i="48"/>
  <c r="K133" i="48"/>
  <c r="K134" i="48"/>
  <c r="K135" i="48"/>
  <c r="K136" i="48"/>
  <c r="K137" i="48"/>
  <c r="K138" i="48"/>
  <c r="K139" i="48"/>
  <c r="K140" i="48"/>
  <c r="K141" i="48"/>
  <c r="K142" i="48"/>
  <c r="K143" i="48"/>
  <c r="K144" i="48"/>
  <c r="K145" i="48"/>
  <c r="K146" i="48"/>
  <c r="K147" i="48"/>
  <c r="K148" i="48"/>
  <c r="K149" i="48"/>
  <c r="K150" i="48"/>
  <c r="K151" i="48"/>
  <c r="K152" i="48"/>
  <c r="K153" i="48"/>
  <c r="K154" i="48"/>
  <c r="K155" i="48"/>
  <c r="K156" i="48"/>
  <c r="K157" i="48"/>
  <c r="K158" i="48"/>
  <c r="K159" i="48"/>
  <c r="K160" i="48"/>
  <c r="K161" i="48"/>
  <c r="K162" i="48"/>
  <c r="K163" i="48"/>
  <c r="K164" i="48"/>
  <c r="K165" i="48"/>
  <c r="K166" i="48"/>
  <c r="K167" i="48"/>
  <c r="K168" i="48"/>
  <c r="K169" i="48"/>
  <c r="K170" i="48"/>
  <c r="K171" i="48"/>
  <c r="K172" i="48"/>
  <c r="K173" i="48"/>
  <c r="K174" i="48"/>
  <c r="K175" i="48"/>
  <c r="K176" i="48"/>
  <c r="K177" i="48"/>
  <c r="K178" i="48"/>
  <c r="K179" i="48"/>
  <c r="K180" i="48"/>
  <c r="K181" i="48"/>
  <c r="K182" i="48"/>
  <c r="K183" i="48"/>
  <c r="K184" i="48"/>
  <c r="K185" i="48"/>
  <c r="K186" i="48"/>
  <c r="K187" i="48"/>
  <c r="K188" i="48"/>
  <c r="K189" i="48"/>
  <c r="K190" i="48"/>
  <c r="K191" i="48"/>
  <c r="K192" i="48"/>
  <c r="K193" i="48"/>
  <c r="K194" i="48"/>
  <c r="K195" i="48"/>
  <c r="K196" i="48"/>
  <c r="K197" i="48"/>
  <c r="K198" i="48"/>
  <c r="K199" i="48"/>
  <c r="K200" i="48"/>
  <c r="K201" i="48"/>
  <c r="K202" i="48"/>
  <c r="K203" i="48"/>
  <c r="K204" i="48"/>
  <c r="K205" i="48"/>
  <c r="K206" i="48"/>
  <c r="K207" i="48"/>
  <c r="K208" i="48"/>
  <c r="K209" i="48"/>
  <c r="K210" i="48"/>
  <c r="K211" i="48"/>
  <c r="K212" i="48"/>
  <c r="K213" i="48"/>
  <c r="K214" i="48"/>
  <c r="K215" i="48"/>
  <c r="K216" i="48"/>
  <c r="K217" i="48"/>
  <c r="K218" i="48"/>
  <c r="K219" i="48"/>
  <c r="K220" i="48"/>
  <c r="D6" i="48"/>
  <c r="D10" i="48"/>
  <c r="D11" i="48"/>
  <c r="D12" i="48"/>
  <c r="D13" i="48"/>
  <c r="D14" i="48"/>
  <c r="D15" i="48"/>
  <c r="D17" i="48"/>
  <c r="R15" i="47" s="1"/>
  <c r="U15" i="47" s="1"/>
  <c r="D18" i="48"/>
  <c r="D19" i="48"/>
  <c r="D20" i="48"/>
  <c r="D22" i="48"/>
  <c r="D23" i="48"/>
  <c r="D24" i="48"/>
  <c r="D25" i="48"/>
  <c r="D26" i="48"/>
  <c r="R24" i="47" s="1"/>
  <c r="U24" i="47" s="1"/>
  <c r="D27" i="48"/>
  <c r="D28" i="48"/>
  <c r="D29" i="48"/>
  <c r="D30" i="48"/>
  <c r="D31" i="48"/>
  <c r="D32" i="48"/>
  <c r="D34" i="48"/>
  <c r="D35" i="48"/>
  <c r="R33" i="47" s="1"/>
  <c r="U33" i="47" s="1"/>
  <c r="D37" i="48"/>
  <c r="D39" i="48"/>
  <c r="D42" i="48"/>
  <c r="D43" i="48"/>
  <c r="D44" i="48"/>
  <c r="D45" i="48"/>
  <c r="D46" i="48"/>
  <c r="D48" i="48"/>
  <c r="R46" i="47" s="1"/>
  <c r="U46" i="47" s="1"/>
  <c r="D49" i="48"/>
  <c r="D50" i="48"/>
  <c r="D51" i="48"/>
  <c r="D52" i="48"/>
  <c r="D53" i="48"/>
  <c r="D54" i="48"/>
  <c r="D55" i="48"/>
  <c r="D57" i="48"/>
  <c r="R55" i="47" s="1"/>
  <c r="U55" i="47" s="1"/>
  <c r="D58" i="48"/>
  <c r="D59" i="48"/>
  <c r="D60" i="48"/>
  <c r="D61" i="48"/>
  <c r="D62" i="48"/>
  <c r="D63" i="48"/>
  <c r="D64" i="48"/>
  <c r="D65" i="48"/>
  <c r="R63" i="47" s="1"/>
  <c r="U63" i="47" s="1"/>
  <c r="D66" i="48"/>
  <c r="D68" i="48"/>
  <c r="D69" i="48"/>
  <c r="D70" i="48"/>
  <c r="D71" i="48"/>
  <c r="D72" i="48"/>
  <c r="D73" i="48"/>
  <c r="D74" i="48"/>
  <c r="R72" i="47" s="1"/>
  <c r="U72" i="47" s="1"/>
  <c r="D75" i="48"/>
  <c r="D76" i="48"/>
  <c r="D78" i="48"/>
  <c r="D80" i="48"/>
  <c r="D82" i="48"/>
  <c r="D83" i="48"/>
  <c r="D84" i="48"/>
  <c r="D85" i="48"/>
  <c r="R83" i="47" s="1"/>
  <c r="U83" i="47" s="1"/>
  <c r="D86" i="48"/>
  <c r="D87" i="48"/>
  <c r="D88" i="48"/>
  <c r="D89" i="48"/>
  <c r="D90" i="48"/>
  <c r="D91" i="48"/>
  <c r="D93" i="48"/>
  <c r="D94" i="48"/>
  <c r="R92" i="47" s="1"/>
  <c r="U92" i="47" s="1"/>
  <c r="D96" i="48"/>
  <c r="D97" i="48"/>
  <c r="D98" i="48"/>
  <c r="D99" i="48"/>
  <c r="D100" i="48"/>
  <c r="D101" i="48"/>
  <c r="D102" i="48"/>
  <c r="D103" i="48"/>
  <c r="R101" i="47" s="1"/>
  <c r="U101" i="47" s="1"/>
  <c r="D104" i="48"/>
  <c r="D105" i="48"/>
  <c r="D108" i="48"/>
  <c r="D109" i="48"/>
  <c r="D110" i="48"/>
  <c r="D111" i="48"/>
  <c r="D112" i="48"/>
  <c r="D114" i="48"/>
  <c r="R112" i="47" s="1"/>
  <c r="U112" i="47" s="1"/>
  <c r="D115" i="48"/>
  <c r="D116" i="48"/>
  <c r="D117" i="48"/>
  <c r="D119" i="48"/>
  <c r="D121" i="48"/>
  <c r="D122" i="48"/>
  <c r="D123" i="48"/>
  <c r="D124" i="48"/>
  <c r="R122" i="47" s="1"/>
  <c r="U122" i="47" s="1"/>
  <c r="D125" i="48"/>
  <c r="D127" i="48"/>
  <c r="D128" i="48"/>
  <c r="D129" i="48"/>
  <c r="D130" i="48"/>
  <c r="D132" i="48"/>
  <c r="D133" i="48"/>
  <c r="D134" i="48"/>
  <c r="R132" i="47" s="1"/>
  <c r="U132" i="47" s="1"/>
  <c r="D135" i="48"/>
  <c r="D136" i="48"/>
  <c r="D137" i="48"/>
  <c r="D138" i="48"/>
  <c r="D139" i="48"/>
  <c r="D140" i="48"/>
  <c r="D141" i="48"/>
  <c r="D142" i="48"/>
  <c r="R140" i="47" s="1"/>
  <c r="U140" i="47" s="1"/>
  <c r="D143" i="48"/>
  <c r="D145" i="48"/>
  <c r="D146" i="48"/>
  <c r="D147" i="48"/>
  <c r="D148" i="48"/>
  <c r="D149" i="48"/>
  <c r="D150" i="48"/>
  <c r="D151" i="48"/>
  <c r="R149" i="47" s="1"/>
  <c r="U149" i="47" s="1"/>
  <c r="D152" i="48"/>
  <c r="D154" i="48"/>
  <c r="D155" i="48"/>
  <c r="D156" i="48"/>
  <c r="D157" i="48"/>
  <c r="D158" i="48"/>
  <c r="D159" i="48"/>
  <c r="D160" i="48"/>
  <c r="R158" i="47" s="1"/>
  <c r="U158" i="47" s="1"/>
  <c r="D161" i="48"/>
  <c r="D162" i="48"/>
  <c r="D163" i="48"/>
  <c r="D164" i="48"/>
  <c r="D165" i="48"/>
  <c r="D166" i="48"/>
  <c r="D167" i="48"/>
  <c r="D168" i="48"/>
  <c r="R166" i="47" s="1"/>
  <c r="U166" i="47" s="1"/>
  <c r="D169" i="48"/>
  <c r="D170" i="48"/>
  <c r="D171" i="48"/>
  <c r="D172" i="48"/>
  <c r="D173" i="48"/>
  <c r="D175" i="48"/>
  <c r="D176" i="48"/>
  <c r="D177" i="48"/>
  <c r="R175" i="47" s="1"/>
  <c r="U175" i="47" s="1"/>
  <c r="D178" i="48"/>
  <c r="D179" i="48"/>
  <c r="D180" i="48"/>
  <c r="D181" i="48"/>
  <c r="D182" i="48"/>
  <c r="D183" i="48"/>
  <c r="D184" i="48"/>
  <c r="D185" i="48"/>
  <c r="R183" i="47" s="1"/>
  <c r="U183" i="47" s="1"/>
  <c r="D186" i="48"/>
  <c r="D187" i="48"/>
  <c r="D188" i="48"/>
  <c r="D189" i="48"/>
  <c r="D190" i="48"/>
  <c r="D191" i="48"/>
  <c r="D192" i="48"/>
  <c r="D193" i="48"/>
  <c r="R191" i="47" s="1"/>
  <c r="U191" i="47" s="1"/>
  <c r="D194" i="48"/>
  <c r="D195" i="48"/>
  <c r="D197" i="48"/>
  <c r="D199" i="48"/>
  <c r="D200" i="48"/>
  <c r="D201" i="48"/>
  <c r="D203" i="48"/>
  <c r="D204" i="48"/>
  <c r="R202" i="47" s="1"/>
  <c r="U202" i="47" s="1"/>
  <c r="D205" i="48"/>
  <c r="D206" i="48"/>
  <c r="D208" i="48"/>
  <c r="D209" i="48"/>
  <c r="D210" i="48"/>
  <c r="D211" i="48"/>
  <c r="D212" i="48"/>
  <c r="D213" i="48"/>
  <c r="R211" i="47" s="1"/>
  <c r="U211" i="47" s="1"/>
  <c r="D214" i="48"/>
  <c r="D215" i="48"/>
  <c r="D216" i="48"/>
  <c r="D217" i="48"/>
  <c r="D218" i="48"/>
  <c r="D219" i="48"/>
  <c r="D220" i="48"/>
  <c r="D4" i="48"/>
  <c r="R2" i="47" s="1"/>
  <c r="U2" i="47" s="1"/>
  <c r="Q651" i="44"/>
  <c r="Q650" i="44"/>
  <c r="Q649" i="44"/>
  <c r="Q648" i="44"/>
  <c r="Q647" i="44"/>
  <c r="Q646" i="44"/>
  <c r="Q645" i="44"/>
  <c r="Q644" i="44"/>
  <c r="Q643" i="44"/>
  <c r="Q642" i="44"/>
  <c r="Q641" i="44"/>
  <c r="Q640" i="44"/>
  <c r="Q639" i="44"/>
  <c r="Q638" i="44"/>
  <c r="Q637" i="44"/>
  <c r="Q636" i="44"/>
  <c r="Q635" i="44"/>
  <c r="Q634" i="44"/>
  <c r="Q633" i="44"/>
  <c r="Q632" i="44"/>
  <c r="Q631" i="44"/>
  <c r="Q630" i="44"/>
  <c r="Q371" i="44"/>
  <c r="Q177" i="44"/>
  <c r="Q627" i="44"/>
  <c r="Q626" i="44"/>
  <c r="Q625" i="44"/>
  <c r="Q624" i="44"/>
  <c r="Q623" i="44"/>
  <c r="Q622" i="44"/>
  <c r="Q621" i="44"/>
  <c r="Q620" i="44"/>
  <c r="Q619" i="44"/>
  <c r="Q618" i="44"/>
  <c r="Q617" i="44"/>
  <c r="Q616" i="44"/>
  <c r="Q615" i="44"/>
  <c r="Q614" i="44"/>
  <c r="Q613" i="44"/>
  <c r="Q612" i="44"/>
  <c r="Q611" i="44"/>
  <c r="Q610" i="44"/>
  <c r="Q609" i="44"/>
  <c r="Q608" i="44"/>
  <c r="Q607" i="44"/>
  <c r="Q606" i="44"/>
  <c r="Q605" i="44"/>
  <c r="Q604" i="44"/>
  <c r="Q603" i="44"/>
  <c r="Q602" i="44"/>
  <c r="Q601" i="44"/>
  <c r="Q600" i="44"/>
  <c r="Q599" i="44"/>
  <c r="Q598" i="44"/>
  <c r="Q597" i="44"/>
  <c r="Q596" i="44"/>
  <c r="Q595" i="44"/>
  <c r="Q594" i="44"/>
  <c r="Q593" i="44"/>
  <c r="Q592" i="44"/>
  <c r="Q629" i="44"/>
  <c r="Q454" i="44"/>
  <c r="Q352" i="44"/>
  <c r="Q176" i="44"/>
  <c r="Q76" i="44"/>
  <c r="Q586" i="44"/>
  <c r="Q585" i="44"/>
  <c r="Q584" i="44"/>
  <c r="Q583" i="44"/>
  <c r="Q582" i="44"/>
  <c r="Q581" i="44"/>
  <c r="Q580" i="44"/>
  <c r="Q579" i="44"/>
  <c r="Q628" i="44"/>
  <c r="Q351" i="44"/>
  <c r="Q576" i="44"/>
  <c r="Q575" i="44"/>
  <c r="Q574" i="44"/>
  <c r="Q573" i="44"/>
  <c r="Q572" i="44"/>
  <c r="Q571" i="44"/>
  <c r="Q570" i="44"/>
  <c r="Q569" i="44"/>
  <c r="Q568" i="44"/>
  <c r="Q567" i="44"/>
  <c r="Q566" i="44"/>
  <c r="Q565" i="44"/>
  <c r="Q564" i="44"/>
  <c r="Q563" i="44"/>
  <c r="Q562" i="44"/>
  <c r="Q561" i="44"/>
  <c r="Q560" i="44"/>
  <c r="Q559" i="44"/>
  <c r="Q558" i="44"/>
  <c r="Q557" i="44"/>
  <c r="Q556" i="44"/>
  <c r="Q555" i="44"/>
  <c r="Q554" i="44"/>
  <c r="Q553" i="44"/>
  <c r="Q552" i="44"/>
  <c r="Q551" i="44"/>
  <c r="Q550" i="44"/>
  <c r="Q549" i="44"/>
  <c r="Q548" i="44"/>
  <c r="Q547" i="44"/>
  <c r="Q546" i="44"/>
  <c r="Q545" i="44"/>
  <c r="Q544" i="44"/>
  <c r="Q543" i="44"/>
  <c r="Q542" i="44"/>
  <c r="Q541" i="44"/>
  <c r="Q540" i="44"/>
  <c r="Q539" i="44"/>
  <c r="Q538" i="44"/>
  <c r="Q537" i="44"/>
  <c r="Q536" i="44"/>
  <c r="Q535" i="44"/>
  <c r="Q534" i="44"/>
  <c r="Q533" i="44"/>
  <c r="Q532" i="44"/>
  <c r="Q531" i="44"/>
  <c r="Q530" i="44"/>
  <c r="Q529" i="44"/>
  <c r="Q528" i="44"/>
  <c r="Q527" i="44"/>
  <c r="Q526" i="44"/>
  <c r="Q525" i="44"/>
  <c r="Q524" i="44"/>
  <c r="Q523" i="44"/>
  <c r="Q522" i="44"/>
  <c r="Q521" i="44"/>
  <c r="Q520" i="44"/>
  <c r="Q519" i="44"/>
  <c r="Q518" i="44"/>
  <c r="Q517" i="44"/>
  <c r="Q516" i="44"/>
  <c r="Q515" i="44"/>
  <c r="Q514" i="44"/>
  <c r="Q513" i="44"/>
  <c r="Q512" i="44"/>
  <c r="Q511" i="44"/>
  <c r="Q510" i="44"/>
  <c r="Q509" i="44"/>
  <c r="Q508" i="44"/>
  <c r="Q507" i="44"/>
  <c r="Q506" i="44"/>
  <c r="Q505" i="44"/>
  <c r="Q504" i="44"/>
  <c r="Q503" i="44"/>
  <c r="Q502" i="44"/>
  <c r="Q501" i="44"/>
  <c r="Q500" i="44"/>
  <c r="Q499" i="44"/>
  <c r="Q498" i="44"/>
  <c r="Q497" i="44"/>
  <c r="Q496" i="44"/>
  <c r="Q495" i="44"/>
  <c r="Q494" i="44"/>
  <c r="Q493" i="44"/>
  <c r="Q492" i="44"/>
  <c r="Q491" i="44"/>
  <c r="Q490" i="44"/>
  <c r="Q489" i="44"/>
  <c r="Q488" i="44"/>
  <c r="Q487" i="44"/>
  <c r="Q486" i="44"/>
  <c r="Q485" i="44"/>
  <c r="Q484" i="44"/>
  <c r="Q483" i="44"/>
  <c r="Q482" i="44"/>
  <c r="Q591" i="44"/>
  <c r="Q453" i="44"/>
  <c r="Q338" i="44"/>
  <c r="Q175" i="44"/>
  <c r="Q75" i="44"/>
  <c r="Q476" i="44"/>
  <c r="Q475" i="44"/>
  <c r="Q474" i="44"/>
  <c r="Q473" i="44"/>
  <c r="Q326" i="44"/>
  <c r="Q148" i="44"/>
  <c r="Q74" i="44"/>
  <c r="Q590" i="44"/>
  <c r="Q325" i="44"/>
  <c r="Q141" i="44"/>
  <c r="Q73" i="44"/>
  <c r="Q465" i="44"/>
  <c r="Q464" i="44"/>
  <c r="Q463" i="44"/>
  <c r="Q462" i="44"/>
  <c r="Q461" i="44"/>
  <c r="Q460" i="44"/>
  <c r="Q459" i="44"/>
  <c r="Q458" i="44"/>
  <c r="Q457" i="44"/>
  <c r="Q589" i="44"/>
  <c r="Q452" i="44"/>
  <c r="Q324" i="44"/>
  <c r="Q140" i="44"/>
  <c r="Q72" i="44"/>
  <c r="Q451" i="44"/>
  <c r="Q450" i="44"/>
  <c r="Q449" i="44"/>
  <c r="Q448" i="44"/>
  <c r="Q447" i="44"/>
  <c r="Q446" i="44"/>
  <c r="Q445" i="44"/>
  <c r="Q444" i="44"/>
  <c r="Q443" i="44"/>
  <c r="Q442" i="44"/>
  <c r="Q441" i="44"/>
  <c r="Q440" i="44"/>
  <c r="Q439" i="44"/>
  <c r="Q438" i="44"/>
  <c r="Q437" i="44"/>
  <c r="Q436" i="44"/>
  <c r="Q435" i="44"/>
  <c r="Q434" i="44"/>
  <c r="Q433" i="44"/>
  <c r="Q432" i="44"/>
  <c r="Q431" i="44"/>
  <c r="Q430" i="44"/>
  <c r="Q429" i="44"/>
  <c r="Q428" i="44"/>
  <c r="Q427" i="44"/>
  <c r="Q426" i="44"/>
  <c r="Q425" i="44"/>
  <c r="Q424" i="44"/>
  <c r="Q423" i="44"/>
  <c r="Q422" i="44"/>
  <c r="Q421" i="44"/>
  <c r="Q420" i="44"/>
  <c r="Q419" i="44"/>
  <c r="Q418" i="44"/>
  <c r="Q417" i="44"/>
  <c r="Q416" i="44"/>
  <c r="Q415" i="44"/>
  <c r="Q414" i="44"/>
  <c r="Q323" i="44"/>
  <c r="Q412" i="44"/>
  <c r="Q411" i="44"/>
  <c r="Q410" i="44"/>
  <c r="Q409" i="44"/>
  <c r="Q408" i="44"/>
  <c r="Q407" i="44"/>
  <c r="Q406" i="44"/>
  <c r="Q405" i="44"/>
  <c r="Q404" i="44"/>
  <c r="Q403" i="44"/>
  <c r="Q402" i="44"/>
  <c r="Q401" i="44"/>
  <c r="Q400" i="44"/>
  <c r="Q399" i="44"/>
  <c r="Q398" i="44"/>
  <c r="Q397" i="44"/>
  <c r="Q396" i="44"/>
  <c r="Q395" i="44"/>
  <c r="Q394" i="44"/>
  <c r="Q393" i="44"/>
  <c r="Q392" i="44"/>
  <c r="Q391" i="44"/>
  <c r="Q390" i="44"/>
  <c r="Q389" i="44"/>
  <c r="Q388" i="44"/>
  <c r="Q387" i="44"/>
  <c r="Q386" i="44"/>
  <c r="Q385" i="44"/>
  <c r="Q384" i="44"/>
  <c r="Q383" i="44"/>
  <c r="Q588" i="44"/>
  <c r="Q587" i="44"/>
  <c r="Q413" i="44"/>
  <c r="Q322" i="44"/>
  <c r="Q139" i="44"/>
  <c r="Q138" i="44"/>
  <c r="Q13" i="44"/>
  <c r="Q9" i="44"/>
  <c r="Q374" i="44"/>
  <c r="Q578" i="44"/>
  <c r="Q321" i="44"/>
  <c r="Q8" i="44"/>
  <c r="Q370" i="44"/>
  <c r="Q369" i="44"/>
  <c r="Q368" i="44"/>
  <c r="Q367" i="44"/>
  <c r="Q366" i="44"/>
  <c r="Q365" i="44"/>
  <c r="Q364" i="44"/>
  <c r="Q363" i="44"/>
  <c r="Q362" i="44"/>
  <c r="Q361" i="44"/>
  <c r="Q360" i="44"/>
  <c r="Q359" i="44"/>
  <c r="Q358" i="44"/>
  <c r="Q357" i="44"/>
  <c r="Q356" i="44"/>
  <c r="Q355" i="44"/>
  <c r="Q354" i="44"/>
  <c r="Q353" i="44"/>
  <c r="Q134" i="44"/>
  <c r="Q577" i="44"/>
  <c r="Q350" i="44"/>
  <c r="Q349" i="44"/>
  <c r="Q348" i="44"/>
  <c r="Q347" i="44"/>
  <c r="Q346" i="44"/>
  <c r="Q345" i="44"/>
  <c r="Q344" i="44"/>
  <c r="Q343" i="44"/>
  <c r="Q342" i="44"/>
  <c r="Q341" i="44"/>
  <c r="Q340" i="44"/>
  <c r="Q339" i="44"/>
  <c r="Q285" i="44"/>
  <c r="Q337" i="44"/>
  <c r="Q336" i="44"/>
  <c r="Q335" i="44"/>
  <c r="Q334" i="44"/>
  <c r="Q333" i="44"/>
  <c r="Q332" i="44"/>
  <c r="Q331" i="44"/>
  <c r="Q330" i="44"/>
  <c r="Q329" i="44"/>
  <c r="Q328" i="44"/>
  <c r="Q327" i="44"/>
  <c r="Q481" i="44"/>
  <c r="Q480" i="44"/>
  <c r="Q382" i="44"/>
  <c r="Q381" i="44"/>
  <c r="Q284" i="44"/>
  <c r="Q253" i="44"/>
  <c r="Q320" i="44"/>
  <c r="Q319" i="44"/>
  <c r="Q318" i="44"/>
  <c r="Q317" i="44"/>
  <c r="Q316" i="44"/>
  <c r="Q315" i="44"/>
  <c r="Q314" i="44"/>
  <c r="Q313" i="44"/>
  <c r="Q312" i="44"/>
  <c r="Q311" i="44"/>
  <c r="Q310" i="44"/>
  <c r="Q309" i="44"/>
  <c r="Q308" i="44"/>
  <c r="Q307" i="44"/>
  <c r="Q306" i="44"/>
  <c r="Q305" i="44"/>
  <c r="Q304" i="44"/>
  <c r="Q303" i="44"/>
  <c r="Q302" i="44"/>
  <c r="Q301" i="44"/>
  <c r="Q300" i="44"/>
  <c r="Q299" i="44"/>
  <c r="Q298" i="44"/>
  <c r="Q297" i="44"/>
  <c r="Q296" i="44"/>
  <c r="Q295" i="44"/>
  <c r="Q294" i="44"/>
  <c r="Q293" i="44"/>
  <c r="Q292" i="44"/>
  <c r="Q291" i="44"/>
  <c r="Q290" i="44"/>
  <c r="Q289" i="44"/>
  <c r="Q288" i="44"/>
  <c r="Q287" i="44"/>
  <c r="Q286" i="44"/>
  <c r="Q233" i="44"/>
  <c r="Q133" i="44"/>
  <c r="Q283" i="44"/>
  <c r="Q282" i="44"/>
  <c r="Q281" i="44"/>
  <c r="Q280" i="44"/>
  <c r="Q279" i="44"/>
  <c r="Q278" i="44"/>
  <c r="Q277" i="44"/>
  <c r="Q276" i="44"/>
  <c r="Q275" i="44"/>
  <c r="Q274" i="44"/>
  <c r="Q273" i="44"/>
  <c r="Q272" i="44"/>
  <c r="Q271" i="44"/>
  <c r="Q270" i="44"/>
  <c r="Q269" i="44"/>
  <c r="Q268" i="44"/>
  <c r="Q267" i="44"/>
  <c r="Q266" i="44"/>
  <c r="Q265" i="44"/>
  <c r="Q264" i="44"/>
  <c r="Q263" i="44"/>
  <c r="Q262" i="44"/>
  <c r="Q261" i="44"/>
  <c r="Q260" i="44"/>
  <c r="Q259" i="44"/>
  <c r="Q258" i="44"/>
  <c r="Q257" i="44"/>
  <c r="Q256" i="44"/>
  <c r="Q255" i="44"/>
  <c r="Q254" i="44"/>
  <c r="Q479" i="44"/>
  <c r="Q252" i="44"/>
  <c r="Q251" i="44"/>
  <c r="Q250" i="44"/>
  <c r="Q249" i="44"/>
  <c r="Q248" i="44"/>
  <c r="Q247" i="44"/>
  <c r="Q246" i="44"/>
  <c r="Q245" i="44"/>
  <c r="Q244" i="44"/>
  <c r="Q243" i="44"/>
  <c r="Q242" i="44"/>
  <c r="Q241" i="44"/>
  <c r="Q240" i="44"/>
  <c r="Q239" i="44"/>
  <c r="Q238" i="44"/>
  <c r="Q237" i="44"/>
  <c r="Q236" i="44"/>
  <c r="Q235" i="44"/>
  <c r="Q234" i="44"/>
  <c r="Q478" i="44"/>
  <c r="Q380" i="44"/>
  <c r="Q232" i="44"/>
  <c r="Q128" i="44"/>
  <c r="Q7" i="44"/>
  <c r="Q228" i="44"/>
  <c r="Q227" i="44"/>
  <c r="Q226" i="44"/>
  <c r="Q225" i="44"/>
  <c r="Q224" i="44"/>
  <c r="Q223" i="44"/>
  <c r="Q222" i="44"/>
  <c r="Q221" i="44"/>
  <c r="Q220" i="44"/>
  <c r="Q219" i="44"/>
  <c r="Q218" i="44"/>
  <c r="Q217" i="44"/>
  <c r="Q216" i="44"/>
  <c r="Q215" i="44"/>
  <c r="Q214" i="44"/>
  <c r="Q213" i="44"/>
  <c r="Q212" i="44"/>
  <c r="Q211" i="44"/>
  <c r="Q210" i="44"/>
  <c r="Q209" i="44"/>
  <c r="Q208" i="44"/>
  <c r="Q207" i="44"/>
  <c r="Q206" i="44"/>
  <c r="Q205" i="44"/>
  <c r="Q204" i="44"/>
  <c r="Q203" i="44"/>
  <c r="Q202" i="44"/>
  <c r="Q201" i="44"/>
  <c r="Q200" i="44"/>
  <c r="Q199" i="44"/>
  <c r="Q198" i="44"/>
  <c r="Q197" i="44"/>
  <c r="Q196" i="44"/>
  <c r="Q195" i="44"/>
  <c r="Q194" i="44"/>
  <c r="Q193" i="44"/>
  <c r="Q192" i="44"/>
  <c r="Q191" i="44"/>
  <c r="Q190" i="44"/>
  <c r="Q189" i="44"/>
  <c r="Q188" i="44"/>
  <c r="Q187" i="44"/>
  <c r="Q186" i="44"/>
  <c r="Q185" i="44"/>
  <c r="Q184" i="44"/>
  <c r="Q183" i="44"/>
  <c r="Q182" i="44"/>
  <c r="Q379" i="44"/>
  <c r="Q378" i="44"/>
  <c r="Q231" i="44"/>
  <c r="Q230" i="44"/>
  <c r="Q81" i="44"/>
  <c r="Q80" i="44"/>
  <c r="Q6" i="44"/>
  <c r="Q174" i="44"/>
  <c r="Q173" i="44"/>
  <c r="Q172" i="44"/>
  <c r="Q171" i="44"/>
  <c r="Q170" i="44"/>
  <c r="Q169" i="44"/>
  <c r="Q168" i="44"/>
  <c r="Q167" i="44"/>
  <c r="Q166" i="44"/>
  <c r="Q165" i="44"/>
  <c r="Q164" i="44"/>
  <c r="Q163" i="44"/>
  <c r="Q162" i="44"/>
  <c r="Q161" i="44"/>
  <c r="Q160" i="44"/>
  <c r="Q159" i="44"/>
  <c r="Q158" i="44"/>
  <c r="Q157" i="44"/>
  <c r="Q156" i="44"/>
  <c r="Q155" i="44"/>
  <c r="Q154" i="44"/>
  <c r="Q153" i="44"/>
  <c r="Q152" i="44"/>
  <c r="Q151" i="44"/>
  <c r="Q150" i="44"/>
  <c r="Q149" i="44"/>
  <c r="Q477" i="44"/>
  <c r="Q147" i="44"/>
  <c r="Q146" i="44"/>
  <c r="Q145" i="44"/>
  <c r="Q144" i="44"/>
  <c r="Q143" i="44"/>
  <c r="Q142" i="44"/>
  <c r="Q79" i="44"/>
  <c r="Q5" i="44"/>
  <c r="Q472" i="44"/>
  <c r="Q471" i="44"/>
  <c r="Q137" i="44"/>
  <c r="Q136" i="44"/>
  <c r="Q135" i="44"/>
  <c r="Q470" i="44"/>
  <c r="Q377" i="44"/>
  <c r="Q132" i="44"/>
  <c r="Q131" i="44"/>
  <c r="Q130" i="44"/>
  <c r="Q129" i="44"/>
  <c r="Q4" i="44"/>
  <c r="Q127" i="44"/>
  <c r="Q126" i="44"/>
  <c r="Q125" i="44"/>
  <c r="Q124" i="44"/>
  <c r="Q123" i="44"/>
  <c r="Q122" i="44"/>
  <c r="Q121" i="44"/>
  <c r="Q120" i="44"/>
  <c r="Q119" i="44"/>
  <c r="Q118" i="44"/>
  <c r="Q117" i="44"/>
  <c r="Q116" i="44"/>
  <c r="Q115" i="44"/>
  <c r="Q114" i="44"/>
  <c r="Q113" i="44"/>
  <c r="Q112" i="44"/>
  <c r="Q111" i="44"/>
  <c r="Q110" i="44"/>
  <c r="Q109" i="44"/>
  <c r="Q108" i="44"/>
  <c r="Q107" i="44"/>
  <c r="Q106" i="44"/>
  <c r="Q105" i="44"/>
  <c r="Q104" i="44"/>
  <c r="Q103" i="44"/>
  <c r="Q102" i="44"/>
  <c r="Q101" i="44"/>
  <c r="Q100" i="44"/>
  <c r="Q99" i="44"/>
  <c r="Q98" i="44"/>
  <c r="Q97" i="44"/>
  <c r="Q96" i="44"/>
  <c r="Q95" i="44"/>
  <c r="Q94" i="44"/>
  <c r="Q93" i="44"/>
  <c r="Q92" i="44"/>
  <c r="Q91" i="44"/>
  <c r="Q90" i="44"/>
  <c r="Q89" i="44"/>
  <c r="Q88" i="44"/>
  <c r="Q87" i="44"/>
  <c r="Q86" i="44"/>
  <c r="Q85" i="44"/>
  <c r="Q84" i="44"/>
  <c r="Q83" i="44"/>
  <c r="Q82" i="44"/>
  <c r="Q469" i="44"/>
  <c r="Q468" i="44"/>
  <c r="Q376" i="44"/>
  <c r="Q375" i="44"/>
  <c r="Q229" i="44"/>
  <c r="Q181" i="44"/>
  <c r="Q78" i="44"/>
  <c r="Q77" i="44"/>
  <c r="Q3" i="44"/>
  <c r="Q2" i="44"/>
  <c r="Q71" i="44"/>
  <c r="Q70" i="44"/>
  <c r="Q69" i="44"/>
  <c r="Q68" i="44"/>
  <c r="Q67" i="44"/>
  <c r="Q66" i="44"/>
  <c r="Q65" i="44"/>
  <c r="Q64" i="44"/>
  <c r="Q63" i="44"/>
  <c r="Q62" i="44"/>
  <c r="Q61" i="44"/>
  <c r="Q60" i="44"/>
  <c r="Q59" i="44"/>
  <c r="Q58" i="44"/>
  <c r="Q57" i="44"/>
  <c r="Q56" i="44"/>
  <c r="Q55" i="44"/>
  <c r="Q54" i="44"/>
  <c r="Q53" i="44"/>
  <c r="Q52" i="44"/>
  <c r="Q51" i="44"/>
  <c r="Q50" i="44"/>
  <c r="Q49" i="44"/>
  <c r="Q48" i="44"/>
  <c r="Q47" i="44"/>
  <c r="Q46" i="44"/>
  <c r="Q45" i="44"/>
  <c r="Q44" i="44"/>
  <c r="Q43" i="44"/>
  <c r="Q42" i="44"/>
  <c r="Q41" i="44"/>
  <c r="Q40" i="44"/>
  <c r="Q39" i="44"/>
  <c r="Q38" i="44"/>
  <c r="Q37" i="44"/>
  <c r="Q36" i="44"/>
  <c r="Q35" i="44"/>
  <c r="Q34" i="44"/>
  <c r="Q33" i="44"/>
  <c r="Q32" i="44"/>
  <c r="Q31" i="44"/>
  <c r="Q30" i="44"/>
  <c r="Q29" i="44"/>
  <c r="Q28" i="44"/>
  <c r="Q27" i="44"/>
  <c r="Q26" i="44"/>
  <c r="Q25" i="44"/>
  <c r="Q24" i="44"/>
  <c r="Q23" i="44"/>
  <c r="Q22" i="44"/>
  <c r="Q21" i="44"/>
  <c r="Q20" i="44"/>
  <c r="Q19" i="44"/>
  <c r="Q18" i="44"/>
  <c r="Q17" i="44"/>
  <c r="Q16" i="44"/>
  <c r="Q15" i="44"/>
  <c r="Q14" i="44"/>
  <c r="Q180" i="44"/>
  <c r="Q12" i="44"/>
  <c r="Q11" i="44"/>
  <c r="Q10" i="44"/>
  <c r="Q467" i="44"/>
  <c r="Q373" i="44"/>
  <c r="Q179" i="44"/>
  <c r="Q466" i="44"/>
  <c r="Q372" i="44"/>
  <c r="Q178" i="44"/>
  <c r="Q456" i="44"/>
  <c r="Q455" i="44"/>
  <c r="P456" i="44"/>
  <c r="P178" i="44"/>
  <c r="P372" i="44"/>
  <c r="P466" i="44"/>
  <c r="P179" i="44"/>
  <c r="P373" i="44"/>
  <c r="P467" i="44"/>
  <c r="P10" i="44"/>
  <c r="P11" i="44"/>
  <c r="P12" i="44"/>
  <c r="P180" i="44"/>
  <c r="P14" i="44"/>
  <c r="P15" i="44"/>
  <c r="P16" i="44"/>
  <c r="P17" i="44"/>
  <c r="P18" i="44"/>
  <c r="P19" i="44"/>
  <c r="P20" i="44"/>
  <c r="P21" i="44"/>
  <c r="P22" i="44"/>
  <c r="P23" i="44"/>
  <c r="P24" i="44"/>
  <c r="P25" i="44"/>
  <c r="P26" i="44"/>
  <c r="P27" i="44"/>
  <c r="P28" i="44"/>
  <c r="P29" i="44"/>
  <c r="P30" i="44"/>
  <c r="P31" i="44"/>
  <c r="P32" i="44"/>
  <c r="P33" i="44"/>
  <c r="P34" i="44"/>
  <c r="P35" i="44"/>
  <c r="P36" i="44"/>
  <c r="P37" i="44"/>
  <c r="P38" i="44"/>
  <c r="P39" i="44"/>
  <c r="P40" i="44"/>
  <c r="P41" i="44"/>
  <c r="P42" i="44"/>
  <c r="P43" i="44"/>
  <c r="P44" i="44"/>
  <c r="P45" i="44"/>
  <c r="P46" i="44"/>
  <c r="P47" i="44"/>
  <c r="P48" i="44"/>
  <c r="P49" i="44"/>
  <c r="P50" i="44"/>
  <c r="P51" i="44"/>
  <c r="P52" i="44"/>
  <c r="P53" i="44"/>
  <c r="P54" i="44"/>
  <c r="P55" i="44"/>
  <c r="P56" i="44"/>
  <c r="P57" i="44"/>
  <c r="P58" i="44"/>
  <c r="P59" i="44"/>
  <c r="P60" i="44"/>
  <c r="P61" i="44"/>
  <c r="P62" i="44"/>
  <c r="P63" i="44"/>
  <c r="P64" i="44"/>
  <c r="P65" i="44"/>
  <c r="P66" i="44"/>
  <c r="P67" i="44"/>
  <c r="P68" i="44"/>
  <c r="P69" i="44"/>
  <c r="P70" i="44"/>
  <c r="P71" i="44"/>
  <c r="P2" i="44"/>
  <c r="P3" i="44"/>
  <c r="P77" i="44"/>
  <c r="P78" i="44"/>
  <c r="P181" i="44"/>
  <c r="P229" i="44"/>
  <c r="P375" i="44"/>
  <c r="P376" i="44"/>
  <c r="P468" i="44"/>
  <c r="P469" i="44"/>
  <c r="P82" i="44"/>
  <c r="P83" i="44"/>
  <c r="P84" i="44"/>
  <c r="P85" i="44"/>
  <c r="P86" i="44"/>
  <c r="P87" i="44"/>
  <c r="P88" i="44"/>
  <c r="P89" i="44"/>
  <c r="P90" i="44"/>
  <c r="P91" i="44"/>
  <c r="P92" i="44"/>
  <c r="P93" i="44"/>
  <c r="P94" i="44"/>
  <c r="P95" i="44"/>
  <c r="P96" i="44"/>
  <c r="P97" i="44"/>
  <c r="P98" i="44"/>
  <c r="P99" i="44"/>
  <c r="P100" i="44"/>
  <c r="P101" i="44"/>
  <c r="P102" i="44"/>
  <c r="P103" i="44"/>
  <c r="P104" i="44"/>
  <c r="P105" i="44"/>
  <c r="P106" i="44"/>
  <c r="P107" i="44"/>
  <c r="P108" i="44"/>
  <c r="P109" i="44"/>
  <c r="P110" i="44"/>
  <c r="P111" i="44"/>
  <c r="P112" i="44"/>
  <c r="P113" i="44"/>
  <c r="P114" i="44"/>
  <c r="P115" i="44"/>
  <c r="P116" i="44"/>
  <c r="P117" i="44"/>
  <c r="P118" i="44"/>
  <c r="P119" i="44"/>
  <c r="P120" i="44"/>
  <c r="P121" i="44"/>
  <c r="P122" i="44"/>
  <c r="P123" i="44"/>
  <c r="P124" i="44"/>
  <c r="P125" i="44"/>
  <c r="P126" i="44"/>
  <c r="P127" i="44"/>
  <c r="P4" i="44"/>
  <c r="P129" i="44"/>
  <c r="P130" i="44"/>
  <c r="P131" i="44"/>
  <c r="P132" i="44"/>
  <c r="P377" i="44"/>
  <c r="P470" i="44"/>
  <c r="P135" i="44"/>
  <c r="P136" i="44"/>
  <c r="P137" i="44"/>
  <c r="P471" i="44"/>
  <c r="P472" i="44"/>
  <c r="P5" i="44"/>
  <c r="P79" i="44"/>
  <c r="P142" i="44"/>
  <c r="P143" i="44"/>
  <c r="P144" i="44"/>
  <c r="P145" i="44"/>
  <c r="P146" i="44"/>
  <c r="P147" i="44"/>
  <c r="P477" i="44"/>
  <c r="P149" i="44"/>
  <c r="P150" i="44"/>
  <c r="P151" i="44"/>
  <c r="P152" i="44"/>
  <c r="P153" i="44"/>
  <c r="P154" i="44"/>
  <c r="P155" i="44"/>
  <c r="P156" i="44"/>
  <c r="P157" i="44"/>
  <c r="P158" i="44"/>
  <c r="P159" i="44"/>
  <c r="P160" i="44"/>
  <c r="P161" i="44"/>
  <c r="P162" i="44"/>
  <c r="P163" i="44"/>
  <c r="P164" i="44"/>
  <c r="P165" i="44"/>
  <c r="P166" i="44"/>
  <c r="P167" i="44"/>
  <c r="P168" i="44"/>
  <c r="P169" i="44"/>
  <c r="P170" i="44"/>
  <c r="P171" i="44"/>
  <c r="P172" i="44"/>
  <c r="P173" i="44"/>
  <c r="P174" i="44"/>
  <c r="P6" i="44"/>
  <c r="P80" i="44"/>
  <c r="P81" i="44"/>
  <c r="P230" i="44"/>
  <c r="P231" i="44"/>
  <c r="P378" i="44"/>
  <c r="P379" i="44"/>
  <c r="P182" i="44"/>
  <c r="P183" i="44"/>
  <c r="P184" i="44"/>
  <c r="P185" i="44"/>
  <c r="P186" i="44"/>
  <c r="P187" i="44"/>
  <c r="P188" i="44"/>
  <c r="P189" i="44"/>
  <c r="P190" i="44"/>
  <c r="P191" i="44"/>
  <c r="P192" i="44"/>
  <c r="P193" i="44"/>
  <c r="P194" i="44"/>
  <c r="P195" i="44"/>
  <c r="P196" i="44"/>
  <c r="P197" i="44"/>
  <c r="P198" i="44"/>
  <c r="P199" i="44"/>
  <c r="P200" i="44"/>
  <c r="P201" i="44"/>
  <c r="P202" i="44"/>
  <c r="P203" i="44"/>
  <c r="P204" i="44"/>
  <c r="P205" i="44"/>
  <c r="P206" i="44"/>
  <c r="P207" i="44"/>
  <c r="P208" i="44"/>
  <c r="P209" i="44"/>
  <c r="P210" i="44"/>
  <c r="P211" i="44"/>
  <c r="P212" i="44"/>
  <c r="P213" i="44"/>
  <c r="P214" i="44"/>
  <c r="P215" i="44"/>
  <c r="P216" i="44"/>
  <c r="P217" i="44"/>
  <c r="P218" i="44"/>
  <c r="P219" i="44"/>
  <c r="P220" i="44"/>
  <c r="P221" i="44"/>
  <c r="P222" i="44"/>
  <c r="P223" i="44"/>
  <c r="P224" i="44"/>
  <c r="P225" i="44"/>
  <c r="P226" i="44"/>
  <c r="P227" i="44"/>
  <c r="P228" i="44"/>
  <c r="P7" i="44"/>
  <c r="P128" i="44"/>
  <c r="P232" i="44"/>
  <c r="P380" i="44"/>
  <c r="P478" i="44"/>
  <c r="P234" i="44"/>
  <c r="P235" i="44"/>
  <c r="P236" i="44"/>
  <c r="P237" i="44"/>
  <c r="P238" i="44"/>
  <c r="P239" i="44"/>
  <c r="P240" i="44"/>
  <c r="P241" i="44"/>
  <c r="P242" i="44"/>
  <c r="P243" i="44"/>
  <c r="P244" i="44"/>
  <c r="P245" i="44"/>
  <c r="P246" i="44"/>
  <c r="P247" i="44"/>
  <c r="P248" i="44"/>
  <c r="P249" i="44"/>
  <c r="P250" i="44"/>
  <c r="P251" i="44"/>
  <c r="P252" i="44"/>
  <c r="P479" i="44"/>
  <c r="P254" i="44"/>
  <c r="P255" i="44"/>
  <c r="P256" i="44"/>
  <c r="P257" i="44"/>
  <c r="P258" i="44"/>
  <c r="P259" i="44"/>
  <c r="P260" i="44"/>
  <c r="P261" i="44"/>
  <c r="P262" i="44"/>
  <c r="P263" i="44"/>
  <c r="P264" i="44"/>
  <c r="P265" i="44"/>
  <c r="P266" i="44"/>
  <c r="P267" i="44"/>
  <c r="P268" i="44"/>
  <c r="P269" i="44"/>
  <c r="P270" i="44"/>
  <c r="P271" i="44"/>
  <c r="P272" i="44"/>
  <c r="P273" i="44"/>
  <c r="P274" i="44"/>
  <c r="P275" i="44"/>
  <c r="P276" i="44"/>
  <c r="P277" i="44"/>
  <c r="P278" i="44"/>
  <c r="P279" i="44"/>
  <c r="P280" i="44"/>
  <c r="P281" i="44"/>
  <c r="P282" i="44"/>
  <c r="P283" i="44"/>
  <c r="P133" i="44"/>
  <c r="P233" i="44"/>
  <c r="P286" i="44"/>
  <c r="P287" i="44"/>
  <c r="P288" i="44"/>
  <c r="P289" i="44"/>
  <c r="P290" i="44"/>
  <c r="P291" i="44"/>
  <c r="P292" i="44"/>
  <c r="P293" i="44"/>
  <c r="P294" i="44"/>
  <c r="P295" i="44"/>
  <c r="P296" i="44"/>
  <c r="P297" i="44"/>
  <c r="P298" i="44"/>
  <c r="P299" i="44"/>
  <c r="P300" i="44"/>
  <c r="P301" i="44"/>
  <c r="P302" i="44"/>
  <c r="P303" i="44"/>
  <c r="P304" i="44"/>
  <c r="P305" i="44"/>
  <c r="P306" i="44"/>
  <c r="P307" i="44"/>
  <c r="P308" i="44"/>
  <c r="P309" i="44"/>
  <c r="P310" i="44"/>
  <c r="P311" i="44"/>
  <c r="P312" i="44"/>
  <c r="P313" i="44"/>
  <c r="P314" i="44"/>
  <c r="P315" i="44"/>
  <c r="P316" i="44"/>
  <c r="P317" i="44"/>
  <c r="P318" i="44"/>
  <c r="P319" i="44"/>
  <c r="P320" i="44"/>
  <c r="P253" i="44"/>
  <c r="P284" i="44"/>
  <c r="P381" i="44"/>
  <c r="P382" i="44"/>
  <c r="P480" i="44"/>
  <c r="P481" i="44"/>
  <c r="P327" i="44"/>
  <c r="P328" i="44"/>
  <c r="P329" i="44"/>
  <c r="P330" i="44"/>
  <c r="P331" i="44"/>
  <c r="P332" i="44"/>
  <c r="P333" i="44"/>
  <c r="P334" i="44"/>
  <c r="P335" i="44"/>
  <c r="P336" i="44"/>
  <c r="P337" i="44"/>
  <c r="P285" i="44"/>
  <c r="P339" i="44"/>
  <c r="P340" i="44"/>
  <c r="P341" i="44"/>
  <c r="P342" i="44"/>
  <c r="P343" i="44"/>
  <c r="P344" i="44"/>
  <c r="P345" i="44"/>
  <c r="P346" i="44"/>
  <c r="P347" i="44"/>
  <c r="P348" i="44"/>
  <c r="P349" i="44"/>
  <c r="P350" i="44"/>
  <c r="P577" i="44"/>
  <c r="P134" i="44"/>
  <c r="P353" i="44"/>
  <c r="P354" i="44"/>
  <c r="P355" i="44"/>
  <c r="P356" i="44"/>
  <c r="P357" i="44"/>
  <c r="P358" i="44"/>
  <c r="P359" i="44"/>
  <c r="P360" i="44"/>
  <c r="P361" i="44"/>
  <c r="P362" i="44"/>
  <c r="P363" i="44"/>
  <c r="P364" i="44"/>
  <c r="P365" i="44"/>
  <c r="P366" i="44"/>
  <c r="P367" i="44"/>
  <c r="P368" i="44"/>
  <c r="P369" i="44"/>
  <c r="P370" i="44"/>
  <c r="P8" i="44"/>
  <c r="P321" i="44"/>
  <c r="P578" i="44"/>
  <c r="P374" i="44"/>
  <c r="P9" i="44"/>
  <c r="P13" i="44"/>
  <c r="P138" i="44"/>
  <c r="P139" i="44"/>
  <c r="P322" i="44"/>
  <c r="P413" i="44"/>
  <c r="P587" i="44"/>
  <c r="P588" i="44"/>
  <c r="P383" i="44"/>
  <c r="P384" i="44"/>
  <c r="P385" i="44"/>
  <c r="P386" i="44"/>
  <c r="P387" i="44"/>
  <c r="P388" i="44"/>
  <c r="P389" i="44"/>
  <c r="P390" i="44"/>
  <c r="P391" i="44"/>
  <c r="P392" i="44"/>
  <c r="P393" i="44"/>
  <c r="P394" i="44"/>
  <c r="P395" i="44"/>
  <c r="P396" i="44"/>
  <c r="P397" i="44"/>
  <c r="P398" i="44"/>
  <c r="P399" i="44"/>
  <c r="P400" i="44"/>
  <c r="P401" i="44"/>
  <c r="P402" i="44"/>
  <c r="P403" i="44"/>
  <c r="P404" i="44"/>
  <c r="P405" i="44"/>
  <c r="P406" i="44"/>
  <c r="P407" i="44"/>
  <c r="P408" i="44"/>
  <c r="P409" i="44"/>
  <c r="P410" i="44"/>
  <c r="P411" i="44"/>
  <c r="P412" i="44"/>
  <c r="P323" i="44"/>
  <c r="P414" i="44"/>
  <c r="P415" i="44"/>
  <c r="P416" i="44"/>
  <c r="P417" i="44"/>
  <c r="P418" i="44"/>
  <c r="P419" i="44"/>
  <c r="P420" i="44"/>
  <c r="P421" i="44"/>
  <c r="P422" i="44"/>
  <c r="P423" i="44"/>
  <c r="P424" i="44"/>
  <c r="P425" i="44"/>
  <c r="P426" i="44"/>
  <c r="P427" i="44"/>
  <c r="P428" i="44"/>
  <c r="P429" i="44"/>
  <c r="P430" i="44"/>
  <c r="P431" i="44"/>
  <c r="P432" i="44"/>
  <c r="P433" i="44"/>
  <c r="P434" i="44"/>
  <c r="P435" i="44"/>
  <c r="P436" i="44"/>
  <c r="P437" i="44"/>
  <c r="P438" i="44"/>
  <c r="P439" i="44"/>
  <c r="P440" i="44"/>
  <c r="P441" i="44"/>
  <c r="P442" i="44"/>
  <c r="P443" i="44"/>
  <c r="P444" i="44"/>
  <c r="P445" i="44"/>
  <c r="P446" i="44"/>
  <c r="P447" i="44"/>
  <c r="P448" i="44"/>
  <c r="P449" i="44"/>
  <c r="P450" i="44"/>
  <c r="P451" i="44"/>
  <c r="P72" i="44"/>
  <c r="P140" i="44"/>
  <c r="P324" i="44"/>
  <c r="P452" i="44"/>
  <c r="P589" i="44"/>
  <c r="P457" i="44"/>
  <c r="P458" i="44"/>
  <c r="P459" i="44"/>
  <c r="P460" i="44"/>
  <c r="P461" i="44"/>
  <c r="P462" i="44"/>
  <c r="P463" i="44"/>
  <c r="P464" i="44"/>
  <c r="P465" i="44"/>
  <c r="P73" i="44"/>
  <c r="P141" i="44"/>
  <c r="P325" i="44"/>
  <c r="P590" i="44"/>
  <c r="P74" i="44"/>
  <c r="P148" i="44"/>
  <c r="P326" i="44"/>
  <c r="P473" i="44"/>
  <c r="P474" i="44"/>
  <c r="P475" i="44"/>
  <c r="P476" i="44"/>
  <c r="P75" i="44"/>
  <c r="P175" i="44"/>
  <c r="P338" i="44"/>
  <c r="P453" i="44"/>
  <c r="P591" i="44"/>
  <c r="P482" i="44"/>
  <c r="P483" i="44"/>
  <c r="P484" i="44"/>
  <c r="P485" i="44"/>
  <c r="P486" i="44"/>
  <c r="P487" i="44"/>
  <c r="P488" i="44"/>
  <c r="P489" i="44"/>
  <c r="P490" i="44"/>
  <c r="P491" i="44"/>
  <c r="P492" i="44"/>
  <c r="P493" i="44"/>
  <c r="P494" i="44"/>
  <c r="P495" i="44"/>
  <c r="P496" i="44"/>
  <c r="P497" i="44"/>
  <c r="P498" i="44"/>
  <c r="P499" i="44"/>
  <c r="P500" i="44"/>
  <c r="P501" i="44"/>
  <c r="P502" i="44"/>
  <c r="P503" i="44"/>
  <c r="P504" i="44"/>
  <c r="P505" i="44"/>
  <c r="P506" i="44"/>
  <c r="P507" i="44"/>
  <c r="P508" i="44"/>
  <c r="P509" i="44"/>
  <c r="P510" i="44"/>
  <c r="P511" i="44"/>
  <c r="P512" i="44"/>
  <c r="P513" i="44"/>
  <c r="P514" i="44"/>
  <c r="P515" i="44"/>
  <c r="P516" i="44"/>
  <c r="P517" i="44"/>
  <c r="P518" i="44"/>
  <c r="P519" i="44"/>
  <c r="P520" i="44"/>
  <c r="P521" i="44"/>
  <c r="P522" i="44"/>
  <c r="P523" i="44"/>
  <c r="P524" i="44"/>
  <c r="P525" i="44"/>
  <c r="P526" i="44"/>
  <c r="P527" i="44"/>
  <c r="P528" i="44"/>
  <c r="P529" i="44"/>
  <c r="P530" i="44"/>
  <c r="P531" i="44"/>
  <c r="P532" i="44"/>
  <c r="P533" i="44"/>
  <c r="P534" i="44"/>
  <c r="P535" i="44"/>
  <c r="P536" i="44"/>
  <c r="P537" i="44"/>
  <c r="P538" i="44"/>
  <c r="P539" i="44"/>
  <c r="P540" i="44"/>
  <c r="P541" i="44"/>
  <c r="P542" i="44"/>
  <c r="P543" i="44"/>
  <c r="P544" i="44"/>
  <c r="P545" i="44"/>
  <c r="P546" i="44"/>
  <c r="P547" i="44"/>
  <c r="P548" i="44"/>
  <c r="P549" i="44"/>
  <c r="P550" i="44"/>
  <c r="P551" i="44"/>
  <c r="P552" i="44"/>
  <c r="P553" i="44"/>
  <c r="P554" i="44"/>
  <c r="P555" i="44"/>
  <c r="P556" i="44"/>
  <c r="P557" i="44"/>
  <c r="P558" i="44"/>
  <c r="P559" i="44"/>
  <c r="P560" i="44"/>
  <c r="P561" i="44"/>
  <c r="P562" i="44"/>
  <c r="P563" i="44"/>
  <c r="P564" i="44"/>
  <c r="P565" i="44"/>
  <c r="P566" i="44"/>
  <c r="P567" i="44"/>
  <c r="P568" i="44"/>
  <c r="P569" i="44"/>
  <c r="P570" i="44"/>
  <c r="P571" i="44"/>
  <c r="P572" i="44"/>
  <c r="P573" i="44"/>
  <c r="P574" i="44"/>
  <c r="P575" i="44"/>
  <c r="P576" i="44"/>
  <c r="P351" i="44"/>
  <c r="P628" i="44"/>
  <c r="P579" i="44"/>
  <c r="P580" i="44"/>
  <c r="P581" i="44"/>
  <c r="P582" i="44"/>
  <c r="P583" i="44"/>
  <c r="P584" i="44"/>
  <c r="P585" i="44"/>
  <c r="P586" i="44"/>
  <c r="P76" i="44"/>
  <c r="P176" i="44"/>
  <c r="P352" i="44"/>
  <c r="P454" i="44"/>
  <c r="P629" i="44"/>
  <c r="P592" i="44"/>
  <c r="P593" i="44"/>
  <c r="P594" i="44"/>
  <c r="P595" i="44"/>
  <c r="P596" i="44"/>
  <c r="P597" i="44"/>
  <c r="P598" i="44"/>
  <c r="P599" i="44"/>
  <c r="P600" i="44"/>
  <c r="P601" i="44"/>
  <c r="P602" i="44"/>
  <c r="P603" i="44"/>
  <c r="P604" i="44"/>
  <c r="P605" i="44"/>
  <c r="P606" i="44"/>
  <c r="P607" i="44"/>
  <c r="P608" i="44"/>
  <c r="P609" i="44"/>
  <c r="P610" i="44"/>
  <c r="P611" i="44"/>
  <c r="P612" i="44"/>
  <c r="P613" i="44"/>
  <c r="P614" i="44"/>
  <c r="P615" i="44"/>
  <c r="P616" i="44"/>
  <c r="P617" i="44"/>
  <c r="P618" i="44"/>
  <c r="P619" i="44"/>
  <c r="P620" i="44"/>
  <c r="P621" i="44"/>
  <c r="P622" i="44"/>
  <c r="P623" i="44"/>
  <c r="P624" i="44"/>
  <c r="P625" i="44"/>
  <c r="P626" i="44"/>
  <c r="P627" i="44"/>
  <c r="P177" i="44"/>
  <c r="P371" i="44"/>
  <c r="P630" i="44"/>
  <c r="P631" i="44"/>
  <c r="P632" i="44"/>
  <c r="P633" i="44"/>
  <c r="P634" i="44"/>
  <c r="P635" i="44"/>
  <c r="P636" i="44"/>
  <c r="P637" i="44"/>
  <c r="P638" i="44"/>
  <c r="P639" i="44"/>
  <c r="P640" i="44"/>
  <c r="P641" i="44"/>
  <c r="P642" i="44"/>
  <c r="P643" i="44"/>
  <c r="P644" i="44"/>
  <c r="P645" i="44"/>
  <c r="P646" i="44"/>
  <c r="P647" i="44"/>
  <c r="P648" i="44"/>
  <c r="P649" i="44"/>
  <c r="P650" i="44"/>
  <c r="P651" i="44"/>
  <c r="P455" i="44"/>
  <c r="C21" i="107" l="1"/>
  <c r="C20" i="107"/>
  <c r="O27" i="44"/>
  <c r="N27" i="44"/>
  <c r="O19" i="44"/>
  <c r="N19" i="44"/>
  <c r="O11" i="44"/>
  <c r="N11" i="44"/>
  <c r="O3" i="44"/>
  <c r="N3" i="44"/>
  <c r="N647" i="44"/>
  <c r="N639" i="44"/>
  <c r="N631" i="44"/>
  <c r="N623" i="44"/>
  <c r="N615" i="44"/>
  <c r="N607" i="44"/>
  <c r="N599" i="44"/>
  <c r="N591" i="44"/>
  <c r="N583" i="44"/>
  <c r="N575" i="44"/>
  <c r="N567" i="44"/>
  <c r="N559" i="44"/>
  <c r="N551" i="44"/>
  <c r="N543" i="44"/>
  <c r="N535" i="44"/>
  <c r="N527" i="44"/>
  <c r="N519" i="44"/>
  <c r="N511" i="44"/>
  <c r="N503" i="44"/>
  <c r="N495" i="44"/>
  <c r="N487" i="44"/>
  <c r="N479" i="44"/>
  <c r="N471" i="44"/>
  <c r="N463" i="44"/>
  <c r="N455" i="44"/>
  <c r="N447" i="44"/>
  <c r="N439" i="44"/>
  <c r="N431" i="44"/>
  <c r="N423" i="44"/>
  <c r="N415" i="44"/>
  <c r="N407" i="44"/>
  <c r="N399" i="44"/>
  <c r="N391" i="44"/>
  <c r="N383" i="44"/>
  <c r="N375" i="44"/>
  <c r="N367" i="44"/>
  <c r="N359" i="44"/>
  <c r="N351" i="44"/>
  <c r="N343" i="44"/>
  <c r="N335" i="44"/>
  <c r="N327" i="44"/>
  <c r="N319" i="44"/>
  <c r="N311" i="44"/>
  <c r="N303" i="44"/>
  <c r="N295" i="44"/>
  <c r="N287" i="44"/>
  <c r="N279" i="44"/>
  <c r="N271" i="44"/>
  <c r="N263" i="44"/>
  <c r="N255" i="44"/>
  <c r="N247" i="44"/>
  <c r="N239" i="44"/>
  <c r="N231" i="44"/>
  <c r="N223" i="44"/>
  <c r="N215" i="44"/>
  <c r="N207" i="44"/>
  <c r="N199" i="44"/>
  <c r="N191" i="44"/>
  <c r="N183" i="44"/>
  <c r="N175" i="44"/>
  <c r="N167" i="44"/>
  <c r="N159" i="44"/>
  <c r="N151" i="44"/>
  <c r="N143" i="44"/>
  <c r="N135" i="44"/>
  <c r="N127" i="44"/>
  <c r="N119" i="44"/>
  <c r="N111" i="44"/>
  <c r="N103" i="44"/>
  <c r="N95" i="44"/>
  <c r="N87" i="44"/>
  <c r="N79" i="44"/>
  <c r="N71" i="44"/>
  <c r="N63" i="44"/>
  <c r="N55" i="44"/>
  <c r="N47" i="44"/>
  <c r="N39" i="44"/>
  <c r="O26" i="44"/>
  <c r="N26" i="44"/>
  <c r="O18" i="44"/>
  <c r="N18" i="44"/>
  <c r="O10" i="44"/>
  <c r="N10" i="44"/>
  <c r="N646" i="44"/>
  <c r="N638" i="44"/>
  <c r="N630" i="44"/>
  <c r="N622" i="44"/>
  <c r="N614" i="44"/>
  <c r="N606" i="44"/>
  <c r="N598" i="44"/>
  <c r="N590" i="44"/>
  <c r="N582" i="44"/>
  <c r="N574" i="44"/>
  <c r="N566" i="44"/>
  <c r="N558" i="44"/>
  <c r="N550" i="44"/>
  <c r="N542" i="44"/>
  <c r="N534" i="44"/>
  <c r="N526" i="44"/>
  <c r="N518" i="44"/>
  <c r="N510" i="44"/>
  <c r="N502" i="44"/>
  <c r="N494" i="44"/>
  <c r="N486" i="44"/>
  <c r="N478" i="44"/>
  <c r="N470" i="44"/>
  <c r="N462" i="44"/>
  <c r="N454" i="44"/>
  <c r="N446" i="44"/>
  <c r="N438" i="44"/>
  <c r="N430" i="44"/>
  <c r="N422" i="44"/>
  <c r="N414" i="44"/>
  <c r="N406" i="44"/>
  <c r="N398" i="44"/>
  <c r="N390" i="44"/>
  <c r="N382" i="44"/>
  <c r="N374" i="44"/>
  <c r="N366" i="44"/>
  <c r="N358" i="44"/>
  <c r="N350" i="44"/>
  <c r="N342" i="44"/>
  <c r="N334" i="44"/>
  <c r="N326" i="44"/>
  <c r="N318" i="44"/>
  <c r="N310" i="44"/>
  <c r="N302" i="44"/>
  <c r="N294" i="44"/>
  <c r="N286" i="44"/>
  <c r="N278" i="44"/>
  <c r="N270" i="44"/>
  <c r="N262" i="44"/>
  <c r="N254" i="44"/>
  <c r="N246" i="44"/>
  <c r="N238" i="44"/>
  <c r="N230" i="44"/>
  <c r="N222" i="44"/>
  <c r="N214" i="44"/>
  <c r="N206" i="44"/>
  <c r="N198" i="44"/>
  <c r="N190" i="44"/>
  <c r="N182" i="44"/>
  <c r="N174" i="44"/>
  <c r="N166" i="44"/>
  <c r="N158" i="44"/>
  <c r="N150" i="44"/>
  <c r="N142" i="44"/>
  <c r="N134" i="44"/>
  <c r="N126" i="44"/>
  <c r="N118" i="44"/>
  <c r="N110" i="44"/>
  <c r="N102" i="44"/>
  <c r="N94" i="44"/>
  <c r="N86" i="44"/>
  <c r="N78" i="44"/>
  <c r="N70" i="44"/>
  <c r="N62" i="44"/>
  <c r="N54" i="44"/>
  <c r="N46" i="44"/>
  <c r="N38" i="44"/>
  <c r="N25" i="44"/>
  <c r="O25" i="44"/>
  <c r="N17" i="44"/>
  <c r="O17" i="44"/>
  <c r="N9" i="44"/>
  <c r="O9" i="44"/>
  <c r="N645" i="44"/>
  <c r="N637" i="44"/>
  <c r="N629" i="44"/>
  <c r="N621" i="44"/>
  <c r="N613" i="44"/>
  <c r="N605" i="44"/>
  <c r="N597" i="44"/>
  <c r="N589" i="44"/>
  <c r="N581" i="44"/>
  <c r="N573" i="44"/>
  <c r="N565" i="44"/>
  <c r="N557" i="44"/>
  <c r="N549" i="44"/>
  <c r="N541" i="44"/>
  <c r="N533" i="44"/>
  <c r="N525" i="44"/>
  <c r="N517" i="44"/>
  <c r="N509" i="44"/>
  <c r="N501" i="44"/>
  <c r="N493" i="44"/>
  <c r="N485" i="44"/>
  <c r="N477" i="44"/>
  <c r="N469" i="44"/>
  <c r="N461" i="44"/>
  <c r="N453" i="44"/>
  <c r="N445" i="44"/>
  <c r="N437" i="44"/>
  <c r="N429" i="44"/>
  <c r="N421" i="44"/>
  <c r="N413" i="44"/>
  <c r="N405" i="44"/>
  <c r="N397" i="44"/>
  <c r="N389" i="44"/>
  <c r="N381" i="44"/>
  <c r="N373" i="44"/>
  <c r="N365" i="44"/>
  <c r="N357" i="44"/>
  <c r="N349" i="44"/>
  <c r="N341" i="44"/>
  <c r="N333" i="44"/>
  <c r="N325" i="44"/>
  <c r="N317" i="44"/>
  <c r="N309" i="44"/>
  <c r="N301" i="44"/>
  <c r="N293" i="44"/>
  <c r="N285" i="44"/>
  <c r="N277" i="44"/>
  <c r="N269" i="44"/>
  <c r="N261" i="44"/>
  <c r="N253" i="44"/>
  <c r="N245" i="44"/>
  <c r="N237" i="44"/>
  <c r="N229" i="44"/>
  <c r="N221" i="44"/>
  <c r="N213" i="44"/>
  <c r="N205" i="44"/>
  <c r="N197" i="44"/>
  <c r="N189" i="44"/>
  <c r="N181" i="44"/>
  <c r="N173" i="44"/>
  <c r="N165" i="44"/>
  <c r="N157" i="44"/>
  <c r="N149" i="44"/>
  <c r="N141" i="44"/>
  <c r="N133" i="44"/>
  <c r="N125" i="44"/>
  <c r="N117" i="44"/>
  <c r="N109" i="44"/>
  <c r="N101" i="44"/>
  <c r="N93" i="44"/>
  <c r="N85" i="44"/>
  <c r="N77" i="44"/>
  <c r="N69" i="44"/>
  <c r="N61" i="44"/>
  <c r="N53" i="44"/>
  <c r="N45" i="44"/>
  <c r="N37" i="44"/>
  <c r="N32" i="44"/>
  <c r="O32" i="44"/>
  <c r="N24" i="44"/>
  <c r="O24" i="44"/>
  <c r="N16" i="44"/>
  <c r="O16" i="44"/>
  <c r="N8" i="44"/>
  <c r="O8" i="44"/>
  <c r="N2" i="44"/>
  <c r="N644" i="44"/>
  <c r="N636" i="44"/>
  <c r="N628" i="44"/>
  <c r="N620" i="44"/>
  <c r="N612" i="44"/>
  <c r="N604" i="44"/>
  <c r="N596" i="44"/>
  <c r="N588" i="44"/>
  <c r="N580" i="44"/>
  <c r="N572" i="44"/>
  <c r="N564" i="44"/>
  <c r="N556" i="44"/>
  <c r="N548" i="44"/>
  <c r="N540" i="44"/>
  <c r="N532" i="44"/>
  <c r="N524" i="44"/>
  <c r="N516" i="44"/>
  <c r="N508" i="44"/>
  <c r="N500" i="44"/>
  <c r="N492" i="44"/>
  <c r="N484" i="44"/>
  <c r="N476" i="44"/>
  <c r="N468" i="44"/>
  <c r="N460" i="44"/>
  <c r="N452" i="44"/>
  <c r="N444" i="44"/>
  <c r="N436" i="44"/>
  <c r="N428" i="44"/>
  <c r="N420" i="44"/>
  <c r="N412" i="44"/>
  <c r="N404" i="44"/>
  <c r="N396" i="44"/>
  <c r="N388" i="44"/>
  <c r="N380" i="44"/>
  <c r="N372" i="44"/>
  <c r="N364" i="44"/>
  <c r="N356" i="44"/>
  <c r="N348" i="44"/>
  <c r="N340" i="44"/>
  <c r="N332" i="44"/>
  <c r="N324" i="44"/>
  <c r="N316" i="44"/>
  <c r="N308" i="44"/>
  <c r="N300" i="44"/>
  <c r="N292" i="44"/>
  <c r="N284" i="44"/>
  <c r="N276" i="44"/>
  <c r="N268" i="44"/>
  <c r="N260" i="44"/>
  <c r="N252" i="44"/>
  <c r="N244" i="44"/>
  <c r="N236" i="44"/>
  <c r="N228" i="44"/>
  <c r="N220" i="44"/>
  <c r="N212" i="44"/>
  <c r="N204" i="44"/>
  <c r="N196" i="44"/>
  <c r="N188" i="44"/>
  <c r="N180" i="44"/>
  <c r="N172" i="44"/>
  <c r="N164" i="44"/>
  <c r="N156" i="44"/>
  <c r="N148" i="44"/>
  <c r="N140" i="44"/>
  <c r="N132" i="44"/>
  <c r="N124" i="44"/>
  <c r="N116" i="44"/>
  <c r="N108" i="44"/>
  <c r="N100" i="44"/>
  <c r="N92" i="44"/>
  <c r="N84" i="44"/>
  <c r="N76" i="44"/>
  <c r="N68" i="44"/>
  <c r="N60" i="44"/>
  <c r="N52" i="44"/>
  <c r="N44" i="44"/>
  <c r="N36" i="44"/>
  <c r="O31" i="44"/>
  <c r="N31" i="44"/>
  <c r="O23" i="44"/>
  <c r="N23" i="44"/>
  <c r="O15" i="44"/>
  <c r="N15" i="44"/>
  <c r="O7" i="44"/>
  <c r="N7" i="44"/>
  <c r="N651" i="44"/>
  <c r="N643" i="44"/>
  <c r="N635" i="44"/>
  <c r="N627" i="44"/>
  <c r="N619" i="44"/>
  <c r="N611" i="44"/>
  <c r="N603" i="44"/>
  <c r="N595" i="44"/>
  <c r="N587" i="44"/>
  <c r="N579" i="44"/>
  <c r="N571" i="44"/>
  <c r="N563" i="44"/>
  <c r="N555" i="44"/>
  <c r="N547" i="44"/>
  <c r="N539" i="44"/>
  <c r="N531" i="44"/>
  <c r="N523" i="44"/>
  <c r="N515" i="44"/>
  <c r="N507" i="44"/>
  <c r="N499" i="44"/>
  <c r="N491" i="44"/>
  <c r="N483" i="44"/>
  <c r="N475" i="44"/>
  <c r="N467" i="44"/>
  <c r="N459" i="44"/>
  <c r="N451" i="44"/>
  <c r="N443" i="44"/>
  <c r="N435" i="44"/>
  <c r="N427" i="44"/>
  <c r="N419" i="44"/>
  <c r="N411" i="44"/>
  <c r="N403" i="44"/>
  <c r="N395" i="44"/>
  <c r="N387" i="44"/>
  <c r="N379" i="44"/>
  <c r="N371" i="44"/>
  <c r="N363" i="44"/>
  <c r="N355" i="44"/>
  <c r="N347" i="44"/>
  <c r="N339" i="44"/>
  <c r="N331" i="44"/>
  <c r="N323" i="44"/>
  <c r="N315" i="44"/>
  <c r="N307" i="44"/>
  <c r="N299" i="44"/>
  <c r="N291" i="44"/>
  <c r="N283" i="44"/>
  <c r="N275" i="44"/>
  <c r="N267" i="44"/>
  <c r="N259" i="44"/>
  <c r="N251" i="44"/>
  <c r="N243" i="44"/>
  <c r="N235" i="44"/>
  <c r="N227" i="44"/>
  <c r="N219" i="44"/>
  <c r="N211" i="44"/>
  <c r="N203" i="44"/>
  <c r="N195" i="44"/>
  <c r="N187" i="44"/>
  <c r="N179" i="44"/>
  <c r="N171" i="44"/>
  <c r="N163" i="44"/>
  <c r="N155" i="44"/>
  <c r="N147" i="44"/>
  <c r="N139" i="44"/>
  <c r="N131" i="44"/>
  <c r="N123" i="44"/>
  <c r="N115" i="44"/>
  <c r="N107" i="44"/>
  <c r="N99" i="44"/>
  <c r="N91" i="44"/>
  <c r="N83" i="44"/>
  <c r="N75" i="44"/>
  <c r="N67" i="44"/>
  <c r="N59" i="44"/>
  <c r="N51" i="44"/>
  <c r="N43" i="44"/>
  <c r="N35" i="44"/>
  <c r="O30" i="44"/>
  <c r="N30" i="44"/>
  <c r="O22" i="44"/>
  <c r="N22" i="44"/>
  <c r="O14" i="44"/>
  <c r="N14" i="44"/>
  <c r="O6" i="44"/>
  <c r="N6" i="44"/>
  <c r="N650" i="44"/>
  <c r="N642" i="44"/>
  <c r="N634" i="44"/>
  <c r="N626" i="44"/>
  <c r="N618" i="44"/>
  <c r="N610" i="44"/>
  <c r="N602" i="44"/>
  <c r="N594" i="44"/>
  <c r="N586" i="44"/>
  <c r="N578" i="44"/>
  <c r="N570" i="44"/>
  <c r="N562" i="44"/>
  <c r="N554" i="44"/>
  <c r="N546" i="44"/>
  <c r="N538" i="44"/>
  <c r="N530" i="44"/>
  <c r="N522" i="44"/>
  <c r="N514" i="44"/>
  <c r="N506" i="44"/>
  <c r="N498" i="44"/>
  <c r="N490" i="44"/>
  <c r="N482" i="44"/>
  <c r="N474" i="44"/>
  <c r="N466" i="44"/>
  <c r="N458" i="44"/>
  <c r="N450" i="44"/>
  <c r="N442" i="44"/>
  <c r="N434" i="44"/>
  <c r="N426" i="44"/>
  <c r="N418" i="44"/>
  <c r="N410" i="44"/>
  <c r="N402" i="44"/>
  <c r="N394" i="44"/>
  <c r="N386" i="44"/>
  <c r="N378" i="44"/>
  <c r="N370" i="44"/>
  <c r="N362" i="44"/>
  <c r="N354" i="44"/>
  <c r="N346" i="44"/>
  <c r="N338" i="44"/>
  <c r="N330" i="44"/>
  <c r="N322" i="44"/>
  <c r="N314" i="44"/>
  <c r="N306" i="44"/>
  <c r="N298" i="44"/>
  <c r="N290" i="44"/>
  <c r="N282" i="44"/>
  <c r="N274" i="44"/>
  <c r="N266" i="44"/>
  <c r="N258" i="44"/>
  <c r="N250" i="44"/>
  <c r="N242" i="44"/>
  <c r="N234" i="44"/>
  <c r="N226" i="44"/>
  <c r="N218" i="44"/>
  <c r="N210" i="44"/>
  <c r="N202" i="44"/>
  <c r="N194" i="44"/>
  <c r="N186" i="44"/>
  <c r="N178" i="44"/>
  <c r="N170" i="44"/>
  <c r="N162" i="44"/>
  <c r="N154" i="44"/>
  <c r="N146" i="44"/>
  <c r="N138" i="44"/>
  <c r="N130" i="44"/>
  <c r="N122" i="44"/>
  <c r="N114" i="44"/>
  <c r="N106" i="44"/>
  <c r="N98" i="44"/>
  <c r="N90" i="44"/>
  <c r="N82" i="44"/>
  <c r="N74" i="44"/>
  <c r="N66" i="44"/>
  <c r="N58" i="44"/>
  <c r="N50" i="44"/>
  <c r="N42" i="44"/>
  <c r="N34" i="44"/>
  <c r="O29" i="44"/>
  <c r="N29" i="44"/>
  <c r="O21" i="44"/>
  <c r="N21" i="44"/>
  <c r="O13" i="44"/>
  <c r="N13" i="44"/>
  <c r="O5" i="44"/>
  <c r="N5" i="44"/>
  <c r="N649" i="44"/>
  <c r="N641" i="44"/>
  <c r="N633" i="44"/>
  <c r="N625" i="44"/>
  <c r="N617" i="44"/>
  <c r="N609" i="44"/>
  <c r="N601" i="44"/>
  <c r="N593" i="44"/>
  <c r="N585" i="44"/>
  <c r="N577" i="44"/>
  <c r="N569" i="44"/>
  <c r="N561" i="44"/>
  <c r="N553" i="44"/>
  <c r="N545" i="44"/>
  <c r="N537" i="44"/>
  <c r="N529" i="44"/>
  <c r="N521" i="44"/>
  <c r="N513" i="44"/>
  <c r="N505" i="44"/>
  <c r="N497" i="44"/>
  <c r="N489" i="44"/>
  <c r="N481" i="44"/>
  <c r="N473" i="44"/>
  <c r="N465" i="44"/>
  <c r="N457" i="44"/>
  <c r="N449" i="44"/>
  <c r="N441" i="44"/>
  <c r="N433" i="44"/>
  <c r="N425" i="44"/>
  <c r="N417" i="44"/>
  <c r="N409" i="44"/>
  <c r="N401" i="44"/>
  <c r="N393" i="44"/>
  <c r="N385" i="44"/>
  <c r="N377" i="44"/>
  <c r="N369" i="44"/>
  <c r="N361" i="44"/>
  <c r="N353" i="44"/>
  <c r="N345" i="44"/>
  <c r="N337" i="44"/>
  <c r="N329" i="44"/>
  <c r="N321" i="44"/>
  <c r="N313" i="44"/>
  <c r="N305" i="44"/>
  <c r="N297" i="44"/>
  <c r="N289" i="44"/>
  <c r="N281" i="44"/>
  <c r="N273" i="44"/>
  <c r="N265" i="44"/>
  <c r="N257" i="44"/>
  <c r="N249" i="44"/>
  <c r="N241" i="44"/>
  <c r="N233" i="44"/>
  <c r="N225" i="44"/>
  <c r="N217" i="44"/>
  <c r="N209" i="44"/>
  <c r="N201" i="44"/>
  <c r="N193" i="44"/>
  <c r="N185" i="44"/>
  <c r="N177" i="44"/>
  <c r="N169" i="44"/>
  <c r="N161" i="44"/>
  <c r="N153" i="44"/>
  <c r="N145" i="44"/>
  <c r="N137" i="44"/>
  <c r="N129" i="44"/>
  <c r="N121" i="44"/>
  <c r="N113" i="44"/>
  <c r="N105" i="44"/>
  <c r="N97" i="44"/>
  <c r="N89" i="44"/>
  <c r="N81" i="44"/>
  <c r="N73" i="44"/>
  <c r="N65" i="44"/>
  <c r="N57" i="44"/>
  <c r="N49" i="44"/>
  <c r="N41" i="44"/>
  <c r="N33" i="44"/>
  <c r="O28" i="44"/>
  <c r="N28" i="44"/>
  <c r="O20" i="44"/>
  <c r="N20" i="44"/>
  <c r="O12" i="44"/>
  <c r="N12" i="44"/>
  <c r="O4" i="44"/>
  <c r="N4" i="44"/>
  <c r="N648" i="44"/>
  <c r="N640" i="44"/>
  <c r="N632" i="44"/>
  <c r="N624" i="44"/>
  <c r="N616" i="44"/>
  <c r="N608" i="44"/>
  <c r="N600" i="44"/>
  <c r="N592" i="44"/>
  <c r="N584" i="44"/>
  <c r="N576" i="44"/>
  <c r="N568" i="44"/>
  <c r="N560" i="44"/>
  <c r="N552" i="44"/>
  <c r="N544" i="44"/>
  <c r="N536" i="44"/>
  <c r="N528" i="44"/>
  <c r="N520" i="44"/>
  <c r="N512" i="44"/>
  <c r="N504" i="44"/>
  <c r="N496" i="44"/>
  <c r="N488" i="44"/>
  <c r="N480" i="44"/>
  <c r="N472" i="44"/>
  <c r="N464" i="44"/>
  <c r="N456" i="44"/>
  <c r="N448" i="44"/>
  <c r="N440" i="44"/>
  <c r="N432" i="44"/>
  <c r="N424" i="44"/>
  <c r="N416" i="44"/>
  <c r="N408" i="44"/>
  <c r="N400" i="44"/>
  <c r="N392" i="44"/>
  <c r="N384" i="44"/>
  <c r="N376" i="44"/>
  <c r="N368" i="44"/>
  <c r="N360" i="44"/>
  <c r="N352" i="44"/>
  <c r="N344" i="44"/>
  <c r="N336" i="44"/>
  <c r="N328" i="44"/>
  <c r="N320" i="44"/>
  <c r="N312" i="44"/>
  <c r="N304" i="44"/>
  <c r="N296" i="44"/>
  <c r="N288" i="44"/>
  <c r="N280" i="44"/>
  <c r="N272" i="44"/>
  <c r="N264" i="44"/>
  <c r="N256" i="44"/>
  <c r="N248" i="44"/>
  <c r="N240" i="44"/>
  <c r="N232" i="44"/>
  <c r="N224" i="44"/>
  <c r="N216" i="44"/>
  <c r="N208" i="44"/>
  <c r="N200" i="44"/>
  <c r="N192" i="44"/>
  <c r="N184" i="44"/>
  <c r="N176" i="44"/>
  <c r="N168" i="44"/>
  <c r="N160" i="44"/>
  <c r="N152" i="44"/>
  <c r="N144" i="44"/>
  <c r="N136" i="44"/>
  <c r="N128" i="44"/>
  <c r="N120" i="44"/>
  <c r="N112" i="44"/>
  <c r="N104" i="44"/>
  <c r="N96" i="44"/>
  <c r="N88" i="44"/>
  <c r="N80" i="44"/>
  <c r="N72" i="44"/>
  <c r="N64" i="44"/>
  <c r="N56" i="44"/>
  <c r="N48" i="44"/>
  <c r="N40" i="44"/>
  <c r="R216" i="47"/>
  <c r="U216" i="47" s="1"/>
  <c r="O218" i="48"/>
  <c r="R208" i="47"/>
  <c r="U208" i="47" s="1"/>
  <c r="O210" i="48"/>
  <c r="R198" i="47"/>
  <c r="U198" i="47" s="1"/>
  <c r="O200" i="48"/>
  <c r="R188" i="47"/>
  <c r="U188" i="47" s="1"/>
  <c r="O190" i="48"/>
  <c r="R180" i="47"/>
  <c r="U180" i="47" s="1"/>
  <c r="O182" i="48"/>
  <c r="R171" i="47"/>
  <c r="U171" i="47" s="1"/>
  <c r="O173" i="48"/>
  <c r="R163" i="47"/>
  <c r="U163" i="47" s="1"/>
  <c r="O165" i="48"/>
  <c r="R155" i="47"/>
  <c r="U155" i="47" s="1"/>
  <c r="O157" i="48"/>
  <c r="R146" i="47"/>
  <c r="U146" i="47" s="1"/>
  <c r="O148" i="48"/>
  <c r="R137" i="47"/>
  <c r="U137" i="47" s="1"/>
  <c r="O139" i="48"/>
  <c r="R128" i="47"/>
  <c r="U128" i="47" s="1"/>
  <c r="O130" i="48"/>
  <c r="R119" i="47"/>
  <c r="U119" i="47" s="1"/>
  <c r="O121" i="48"/>
  <c r="R108" i="47"/>
  <c r="U108" i="47" s="1"/>
  <c r="O110" i="48"/>
  <c r="R98" i="47"/>
  <c r="U98" i="47" s="1"/>
  <c r="O100" i="48"/>
  <c r="R88" i="47"/>
  <c r="U88" i="47" s="1"/>
  <c r="O90" i="48"/>
  <c r="R80" i="47"/>
  <c r="U80" i="47" s="1"/>
  <c r="O82" i="48"/>
  <c r="R69" i="47"/>
  <c r="U69" i="47" s="1"/>
  <c r="O71" i="48"/>
  <c r="R60" i="47"/>
  <c r="U60" i="47" s="1"/>
  <c r="O62" i="48"/>
  <c r="R51" i="47"/>
  <c r="U51" i="47" s="1"/>
  <c r="O53" i="48"/>
  <c r="R42" i="47"/>
  <c r="U42" i="47" s="1"/>
  <c r="O44" i="48"/>
  <c r="R29" i="47"/>
  <c r="U29" i="47" s="1"/>
  <c r="O31" i="48"/>
  <c r="R21" i="47"/>
  <c r="U21" i="47" s="1"/>
  <c r="O23" i="48"/>
  <c r="R11" i="47"/>
  <c r="U11" i="47" s="1"/>
  <c r="O13" i="48"/>
  <c r="R3" i="47"/>
  <c r="U3" i="47" s="1"/>
  <c r="O5" i="48"/>
  <c r="R213" i="47"/>
  <c r="U213" i="47" s="1"/>
  <c r="O215" i="48"/>
  <c r="R204" i="47"/>
  <c r="U204" i="47" s="1"/>
  <c r="O206" i="48"/>
  <c r="R193" i="47"/>
  <c r="U193" i="47" s="1"/>
  <c r="O195" i="48"/>
  <c r="R185" i="47"/>
  <c r="U185" i="47" s="1"/>
  <c r="O187" i="48"/>
  <c r="R177" i="47"/>
  <c r="U177" i="47" s="1"/>
  <c r="O179" i="48"/>
  <c r="R168" i="47"/>
  <c r="U168" i="47" s="1"/>
  <c r="O170" i="48"/>
  <c r="R160" i="47"/>
  <c r="U160" i="47" s="1"/>
  <c r="O162" i="48"/>
  <c r="R152" i="47"/>
  <c r="U152" i="47" s="1"/>
  <c r="O154" i="48"/>
  <c r="R143" i="47"/>
  <c r="U143" i="47" s="1"/>
  <c r="O145" i="48"/>
  <c r="R134" i="47"/>
  <c r="U134" i="47" s="1"/>
  <c r="O136" i="48"/>
  <c r="R125" i="47"/>
  <c r="U125" i="47" s="1"/>
  <c r="O127" i="48"/>
  <c r="R114" i="47"/>
  <c r="U114" i="47" s="1"/>
  <c r="O116" i="48"/>
  <c r="R103" i="47"/>
  <c r="U103" i="47" s="1"/>
  <c r="O105" i="48"/>
  <c r="R95" i="47"/>
  <c r="U95" i="47" s="1"/>
  <c r="O97" i="48"/>
  <c r="R85" i="47"/>
  <c r="U85" i="47" s="1"/>
  <c r="O87" i="48"/>
  <c r="R74" i="47"/>
  <c r="U74" i="47" s="1"/>
  <c r="O76" i="48"/>
  <c r="R66" i="47"/>
  <c r="U66" i="47" s="1"/>
  <c r="O68" i="48"/>
  <c r="R57" i="47"/>
  <c r="U57" i="47" s="1"/>
  <c r="O59" i="48"/>
  <c r="R48" i="47"/>
  <c r="U48" i="47" s="1"/>
  <c r="O50" i="48"/>
  <c r="R37" i="47"/>
  <c r="U37" i="47" s="1"/>
  <c r="O39" i="48"/>
  <c r="R26" i="47"/>
  <c r="U26" i="47" s="1"/>
  <c r="O28" i="48"/>
  <c r="R17" i="47"/>
  <c r="U17" i="47" s="1"/>
  <c r="O19" i="48"/>
  <c r="R8" i="47"/>
  <c r="U8" i="47" s="1"/>
  <c r="O10" i="48"/>
  <c r="R212" i="47"/>
  <c r="U212" i="47" s="1"/>
  <c r="O214" i="48"/>
  <c r="R203" i="47"/>
  <c r="U203" i="47" s="1"/>
  <c r="O205" i="48"/>
  <c r="R192" i="47"/>
  <c r="U192" i="47" s="1"/>
  <c r="O194" i="48"/>
  <c r="R184" i="47"/>
  <c r="U184" i="47" s="1"/>
  <c r="O186" i="48"/>
  <c r="R176" i="47"/>
  <c r="U176" i="47" s="1"/>
  <c r="O178" i="48"/>
  <c r="R167" i="47"/>
  <c r="U167" i="47" s="1"/>
  <c r="O169" i="48"/>
  <c r="R159" i="47"/>
  <c r="U159" i="47" s="1"/>
  <c r="O161" i="48"/>
  <c r="R150" i="47"/>
  <c r="U150" i="47" s="1"/>
  <c r="O152" i="48"/>
  <c r="R141" i="47"/>
  <c r="U141" i="47" s="1"/>
  <c r="O143" i="48"/>
  <c r="R133" i="47"/>
  <c r="U133" i="47" s="1"/>
  <c r="O135" i="48"/>
  <c r="R123" i="47"/>
  <c r="U123" i="47" s="1"/>
  <c r="O125" i="48"/>
  <c r="R113" i="47"/>
  <c r="U113" i="47" s="1"/>
  <c r="O115" i="48"/>
  <c r="R102" i="47"/>
  <c r="U102" i="47" s="1"/>
  <c r="O104" i="48"/>
  <c r="R94" i="47"/>
  <c r="U94" i="47" s="1"/>
  <c r="O96" i="48"/>
  <c r="R84" i="47"/>
  <c r="U84" i="47" s="1"/>
  <c r="O86" i="48"/>
  <c r="R73" i="47"/>
  <c r="U73" i="47" s="1"/>
  <c r="O75" i="48"/>
  <c r="R64" i="47"/>
  <c r="U64" i="47" s="1"/>
  <c r="O66" i="48"/>
  <c r="R56" i="47"/>
  <c r="U56" i="47" s="1"/>
  <c r="O58" i="48"/>
  <c r="R47" i="47"/>
  <c r="U47" i="47" s="1"/>
  <c r="O49" i="48"/>
  <c r="R35" i="47"/>
  <c r="U35" i="47" s="1"/>
  <c r="O37" i="48"/>
  <c r="R25" i="47"/>
  <c r="U25" i="47" s="1"/>
  <c r="O27" i="48"/>
  <c r="R16" i="47"/>
  <c r="U16" i="47" s="1"/>
  <c r="O18" i="48"/>
  <c r="R7" i="47"/>
  <c r="U7" i="47" s="1"/>
  <c r="O9" i="48"/>
  <c r="R218" i="47"/>
  <c r="U218" i="47" s="1"/>
  <c r="O220" i="48"/>
  <c r="R210" i="47"/>
  <c r="U210" i="47" s="1"/>
  <c r="O212" i="48"/>
  <c r="R201" i="47"/>
  <c r="U201" i="47" s="1"/>
  <c r="O203" i="48"/>
  <c r="R190" i="47"/>
  <c r="U190" i="47" s="1"/>
  <c r="O192" i="48"/>
  <c r="R182" i="47"/>
  <c r="U182" i="47" s="1"/>
  <c r="O184" i="48"/>
  <c r="R174" i="47"/>
  <c r="U174" i="47" s="1"/>
  <c r="O176" i="48"/>
  <c r="R165" i="47"/>
  <c r="U165" i="47" s="1"/>
  <c r="O167" i="48"/>
  <c r="R157" i="47"/>
  <c r="U157" i="47" s="1"/>
  <c r="O159" i="48"/>
  <c r="R148" i="47"/>
  <c r="U148" i="47" s="1"/>
  <c r="O150" i="48"/>
  <c r="R139" i="47"/>
  <c r="U139" i="47" s="1"/>
  <c r="O141" i="48"/>
  <c r="R131" i="47"/>
  <c r="U131" i="47" s="1"/>
  <c r="O133" i="48"/>
  <c r="R121" i="47"/>
  <c r="U121" i="47" s="1"/>
  <c r="O123" i="48"/>
  <c r="R110" i="47"/>
  <c r="U110" i="47" s="1"/>
  <c r="O112" i="48"/>
  <c r="R100" i="47"/>
  <c r="U100" i="47" s="1"/>
  <c r="O102" i="48"/>
  <c r="R91" i="47"/>
  <c r="U91" i="47" s="1"/>
  <c r="O93" i="48"/>
  <c r="R82" i="47"/>
  <c r="U82" i="47" s="1"/>
  <c r="O84" i="48"/>
  <c r="R71" i="47"/>
  <c r="U71" i="47" s="1"/>
  <c r="O73" i="48"/>
  <c r="R62" i="47"/>
  <c r="U62" i="47" s="1"/>
  <c r="O64" i="48"/>
  <c r="R53" i="47"/>
  <c r="U53" i="47" s="1"/>
  <c r="O55" i="48"/>
  <c r="R44" i="47"/>
  <c r="U44" i="47" s="1"/>
  <c r="O46" i="48"/>
  <c r="R32" i="47"/>
  <c r="U32" i="47" s="1"/>
  <c r="O34" i="48"/>
  <c r="R23" i="47"/>
  <c r="U23" i="47" s="1"/>
  <c r="O25" i="48"/>
  <c r="R13" i="47"/>
  <c r="U13" i="47" s="1"/>
  <c r="O15" i="48"/>
  <c r="R4" i="47"/>
  <c r="U4" i="47" s="1"/>
  <c r="O6" i="48"/>
  <c r="R5" i="47"/>
  <c r="U5" i="47" s="1"/>
  <c r="O7" i="48"/>
  <c r="R217" i="47"/>
  <c r="U217" i="47" s="1"/>
  <c r="O219" i="48"/>
  <c r="R209" i="47"/>
  <c r="U209" i="47" s="1"/>
  <c r="O211" i="48"/>
  <c r="R199" i="47"/>
  <c r="U199" i="47" s="1"/>
  <c r="O201" i="48"/>
  <c r="R189" i="47"/>
  <c r="U189" i="47" s="1"/>
  <c r="O191" i="48"/>
  <c r="R181" i="47"/>
  <c r="U181" i="47" s="1"/>
  <c r="O183" i="48"/>
  <c r="R173" i="47"/>
  <c r="U173" i="47" s="1"/>
  <c r="O175" i="48"/>
  <c r="R164" i="47"/>
  <c r="U164" i="47" s="1"/>
  <c r="O166" i="48"/>
  <c r="R156" i="47"/>
  <c r="U156" i="47" s="1"/>
  <c r="O158" i="48"/>
  <c r="R147" i="47"/>
  <c r="U147" i="47" s="1"/>
  <c r="O149" i="48"/>
  <c r="R138" i="47"/>
  <c r="U138" i="47" s="1"/>
  <c r="O140" i="48"/>
  <c r="R130" i="47"/>
  <c r="U130" i="47" s="1"/>
  <c r="O132" i="48"/>
  <c r="R120" i="47"/>
  <c r="U120" i="47" s="1"/>
  <c r="O122" i="48"/>
  <c r="R109" i="47"/>
  <c r="U109" i="47" s="1"/>
  <c r="O111" i="48"/>
  <c r="R99" i="47"/>
  <c r="U99" i="47" s="1"/>
  <c r="O101" i="48"/>
  <c r="R89" i="47"/>
  <c r="U89" i="47" s="1"/>
  <c r="O91" i="48"/>
  <c r="R81" i="47"/>
  <c r="U81" i="47" s="1"/>
  <c r="O83" i="48"/>
  <c r="R70" i="47"/>
  <c r="U70" i="47" s="1"/>
  <c r="O72" i="48"/>
  <c r="R61" i="47"/>
  <c r="U61" i="47" s="1"/>
  <c r="O63" i="48"/>
  <c r="R52" i="47"/>
  <c r="U52" i="47" s="1"/>
  <c r="O54" i="48"/>
  <c r="R43" i="47"/>
  <c r="U43" i="47" s="1"/>
  <c r="O45" i="48"/>
  <c r="R30" i="47"/>
  <c r="U30" i="47" s="1"/>
  <c r="O32" i="48"/>
  <c r="R22" i="47"/>
  <c r="U22" i="47" s="1"/>
  <c r="O24" i="48"/>
  <c r="R12" i="47"/>
  <c r="U12" i="47" s="1"/>
  <c r="O14" i="48"/>
  <c r="R215" i="47"/>
  <c r="U215" i="47" s="1"/>
  <c r="O217" i="48"/>
  <c r="R207" i="47"/>
  <c r="U207" i="47" s="1"/>
  <c r="O209" i="48"/>
  <c r="R197" i="47"/>
  <c r="U197" i="47" s="1"/>
  <c r="O199" i="48"/>
  <c r="R187" i="47"/>
  <c r="U187" i="47" s="1"/>
  <c r="O189" i="48"/>
  <c r="R179" i="47"/>
  <c r="U179" i="47" s="1"/>
  <c r="O181" i="48"/>
  <c r="R170" i="47"/>
  <c r="U170" i="47" s="1"/>
  <c r="O172" i="48"/>
  <c r="R162" i="47"/>
  <c r="U162" i="47" s="1"/>
  <c r="O164" i="48"/>
  <c r="R154" i="47"/>
  <c r="U154" i="47" s="1"/>
  <c r="O156" i="48"/>
  <c r="R145" i="47"/>
  <c r="U145" i="47" s="1"/>
  <c r="O147" i="48"/>
  <c r="R136" i="47"/>
  <c r="U136" i="47" s="1"/>
  <c r="O138" i="48"/>
  <c r="R127" i="47"/>
  <c r="U127" i="47" s="1"/>
  <c r="O129" i="48"/>
  <c r="R117" i="47"/>
  <c r="U117" i="47" s="1"/>
  <c r="O119" i="48"/>
  <c r="R107" i="47"/>
  <c r="U107" i="47" s="1"/>
  <c r="O109" i="48"/>
  <c r="R97" i="47"/>
  <c r="U97" i="47" s="1"/>
  <c r="O99" i="48"/>
  <c r="R87" i="47"/>
  <c r="U87" i="47" s="1"/>
  <c r="O89" i="48"/>
  <c r="R78" i="47"/>
  <c r="U78" i="47" s="1"/>
  <c r="O80" i="48"/>
  <c r="R68" i="47"/>
  <c r="U68" i="47" s="1"/>
  <c r="O70" i="48"/>
  <c r="R59" i="47"/>
  <c r="U59" i="47" s="1"/>
  <c r="O61" i="48"/>
  <c r="R50" i="47"/>
  <c r="U50" i="47" s="1"/>
  <c r="O52" i="48"/>
  <c r="R41" i="47"/>
  <c r="U41" i="47" s="1"/>
  <c r="O43" i="48"/>
  <c r="R28" i="47"/>
  <c r="U28" i="47" s="1"/>
  <c r="O30" i="48"/>
  <c r="R20" i="47"/>
  <c r="U20" i="47" s="1"/>
  <c r="O22" i="48"/>
  <c r="R10" i="47"/>
  <c r="U10" i="47" s="1"/>
  <c r="O12" i="48"/>
  <c r="R214" i="47"/>
  <c r="U214" i="47" s="1"/>
  <c r="O216" i="48"/>
  <c r="R206" i="47"/>
  <c r="U206" i="47" s="1"/>
  <c r="O208" i="48"/>
  <c r="R195" i="47"/>
  <c r="U195" i="47" s="1"/>
  <c r="O197" i="48"/>
  <c r="R186" i="47"/>
  <c r="U186" i="47" s="1"/>
  <c r="O188" i="48"/>
  <c r="R178" i="47"/>
  <c r="U178" i="47" s="1"/>
  <c r="O180" i="48"/>
  <c r="R169" i="47"/>
  <c r="U169" i="47" s="1"/>
  <c r="O171" i="48"/>
  <c r="R161" i="47"/>
  <c r="U161" i="47" s="1"/>
  <c r="O163" i="48"/>
  <c r="R153" i="47"/>
  <c r="U153" i="47" s="1"/>
  <c r="O155" i="48"/>
  <c r="R144" i="47"/>
  <c r="U144" i="47" s="1"/>
  <c r="O146" i="48"/>
  <c r="R135" i="47"/>
  <c r="U135" i="47" s="1"/>
  <c r="O137" i="48"/>
  <c r="R126" i="47"/>
  <c r="U126" i="47" s="1"/>
  <c r="O128" i="48"/>
  <c r="R115" i="47"/>
  <c r="U115" i="47" s="1"/>
  <c r="O117" i="48"/>
  <c r="R106" i="47"/>
  <c r="U106" i="47" s="1"/>
  <c r="O108" i="48"/>
  <c r="R96" i="47"/>
  <c r="U96" i="47" s="1"/>
  <c r="O98" i="48"/>
  <c r="R86" i="47"/>
  <c r="U86" i="47" s="1"/>
  <c r="O88" i="48"/>
  <c r="R76" i="47"/>
  <c r="U76" i="47" s="1"/>
  <c r="O78" i="48"/>
  <c r="R67" i="47"/>
  <c r="U67" i="47" s="1"/>
  <c r="O69" i="48"/>
  <c r="R58" i="47"/>
  <c r="U58" i="47" s="1"/>
  <c r="O60" i="48"/>
  <c r="R49" i="47"/>
  <c r="U49" i="47" s="1"/>
  <c r="O51" i="48"/>
  <c r="R40" i="47"/>
  <c r="U40" i="47" s="1"/>
  <c r="O42" i="48"/>
  <c r="R27" i="47"/>
  <c r="U27" i="47" s="1"/>
  <c r="O29" i="48"/>
  <c r="R18" i="47"/>
  <c r="U18" i="47" s="1"/>
  <c r="O20" i="48"/>
  <c r="R9" i="47"/>
  <c r="U9" i="47" s="1"/>
  <c r="O11" i="48"/>
  <c r="O204" i="48"/>
  <c r="O124" i="48"/>
  <c r="O35" i="48"/>
  <c r="O114" i="48"/>
  <c r="O74" i="48"/>
  <c r="O26" i="48"/>
  <c r="O193" i="48"/>
  <c r="O185" i="48"/>
  <c r="O177" i="48"/>
  <c r="O65" i="48"/>
  <c r="O57" i="48"/>
  <c r="O17" i="48"/>
  <c r="O168" i="48"/>
  <c r="O160" i="48"/>
  <c r="O48" i="48"/>
  <c r="O8" i="48"/>
  <c r="O151" i="48"/>
  <c r="O103" i="48"/>
  <c r="O142" i="48"/>
  <c r="O134" i="48"/>
  <c r="O94" i="48"/>
  <c r="O4" i="48"/>
  <c r="O213" i="48"/>
  <c r="O85" i="48"/>
  <c r="C16" i="107"/>
  <c r="C22" i="107"/>
  <c r="R455" i="44"/>
  <c r="R96" i="44"/>
  <c r="R136" i="44"/>
  <c r="R473" i="44"/>
  <c r="R456" i="44"/>
  <c r="R154" i="44"/>
  <c r="R215" i="44"/>
  <c r="R537" i="44"/>
  <c r="R482" i="44"/>
  <c r="R541" i="44"/>
  <c r="R179" i="44"/>
  <c r="R373" i="44"/>
  <c r="R467" i="44"/>
  <c r="R10" i="44"/>
  <c r="R11" i="44"/>
  <c r="R12" i="44"/>
  <c r="R180" i="44"/>
  <c r="R16" i="44"/>
  <c r="R400" i="44"/>
  <c r="R30" i="44"/>
  <c r="R31" i="44"/>
  <c r="R32" i="44"/>
  <c r="R204" i="44"/>
  <c r="R33" i="44"/>
  <c r="R279" i="44"/>
  <c r="R565" i="44"/>
  <c r="R34" i="44"/>
  <c r="R35" i="44"/>
  <c r="R363" i="44"/>
  <c r="R64" i="44"/>
  <c r="R36" i="44"/>
  <c r="R290" i="44"/>
  <c r="R26" i="44"/>
  <c r="R37" i="44"/>
  <c r="R43" i="44"/>
  <c r="R44" i="44"/>
  <c r="R45" i="44"/>
  <c r="R48" i="44"/>
  <c r="R7" i="44"/>
  <c r="R49" i="44"/>
  <c r="R50" i="44"/>
  <c r="R269" i="44"/>
  <c r="R51" i="44"/>
  <c r="R52" i="44"/>
  <c r="R360" i="44"/>
  <c r="R261" i="44"/>
  <c r="R514" i="44"/>
  <c r="R53" i="44"/>
  <c r="R54" i="44"/>
  <c r="R20" i="44"/>
  <c r="R250" i="44"/>
  <c r="R411" i="44"/>
  <c r="R55" i="44"/>
  <c r="R499" i="44"/>
  <c r="R113" i="44"/>
  <c r="R56" i="44"/>
  <c r="R57" i="44"/>
  <c r="R108" i="44"/>
  <c r="R58" i="44"/>
  <c r="R60" i="44"/>
  <c r="R496" i="44"/>
  <c r="R15" i="44"/>
  <c r="R193" i="44"/>
  <c r="R205" i="44"/>
  <c r="R61" i="44"/>
  <c r="R295" i="44"/>
  <c r="R206" i="44"/>
  <c r="R62" i="44"/>
  <c r="R63" i="44"/>
  <c r="R374" i="44"/>
  <c r="R67" i="44"/>
  <c r="R68" i="44"/>
  <c r="R69" i="44"/>
  <c r="R70" i="44"/>
  <c r="R14" i="44"/>
  <c r="R542" i="44"/>
  <c r="R71" i="44"/>
  <c r="R330" i="44"/>
  <c r="R392" i="44"/>
  <c r="R294" i="44"/>
  <c r="R210" i="44"/>
  <c r="R3" i="44"/>
  <c r="R207" i="44"/>
  <c r="R436" i="44"/>
  <c r="R77" i="44"/>
  <c r="R78" i="44"/>
  <c r="R395" i="44"/>
  <c r="R181" i="44"/>
  <c r="R229" i="44"/>
  <c r="R489" i="44"/>
  <c r="R375" i="44"/>
  <c r="R376" i="44"/>
  <c r="R185" i="44"/>
  <c r="R174" i="44"/>
  <c r="R468" i="44"/>
  <c r="R165" i="44"/>
  <c r="R469" i="44"/>
  <c r="R82" i="44"/>
  <c r="R83" i="44"/>
  <c r="R84" i="44"/>
  <c r="R502" i="44"/>
  <c r="R640" i="44"/>
  <c r="R465" i="44"/>
  <c r="R343" i="44"/>
  <c r="R129" i="44"/>
  <c r="R66" i="44"/>
  <c r="R85" i="44"/>
  <c r="R17" i="44"/>
  <c r="R419" i="44"/>
  <c r="R86" i="44"/>
  <c r="R99" i="44"/>
  <c r="R100" i="44"/>
  <c r="R267" i="44"/>
  <c r="R101" i="44"/>
  <c r="R90" i="44"/>
  <c r="R102" i="44"/>
  <c r="R450" i="44"/>
  <c r="R103" i="44"/>
  <c r="R132" i="44"/>
  <c r="R462" i="44"/>
  <c r="R403" i="44"/>
  <c r="R59" i="44"/>
  <c r="R116" i="44"/>
  <c r="R104" i="44"/>
  <c r="R367" i="44"/>
  <c r="R303" i="44"/>
  <c r="R105" i="44"/>
  <c r="R106" i="44"/>
  <c r="R368" i="44"/>
  <c r="R538" i="44"/>
  <c r="R21" i="44"/>
  <c r="R107" i="44"/>
  <c r="R121" i="44"/>
  <c r="R122" i="44"/>
  <c r="R251" i="44"/>
  <c r="R298" i="44"/>
  <c r="R123" i="44"/>
  <c r="R124" i="44"/>
  <c r="R404" i="44"/>
  <c r="R125" i="44"/>
  <c r="R396" i="44"/>
  <c r="R127" i="44"/>
  <c r="R65" i="44"/>
  <c r="R4" i="44"/>
  <c r="R328" i="44"/>
  <c r="R377" i="44"/>
  <c r="R95" i="44"/>
  <c r="R515" i="44"/>
  <c r="R483" i="44"/>
  <c r="R339" i="44"/>
  <c r="R216" i="44"/>
  <c r="R647" i="44"/>
  <c r="R194" i="44"/>
  <c r="R470" i="44"/>
  <c r="R135" i="44"/>
  <c r="R471" i="44"/>
  <c r="R472" i="44"/>
  <c r="R5" i="44"/>
  <c r="R79" i="44"/>
  <c r="R414" i="44"/>
  <c r="R409" i="44"/>
  <c r="R477" i="44"/>
  <c r="R149" i="44"/>
  <c r="R626" i="44"/>
  <c r="R150" i="44"/>
  <c r="R151" i="44"/>
  <c r="R152" i="44"/>
  <c r="R159" i="44"/>
  <c r="R160" i="44"/>
  <c r="R161" i="44"/>
  <c r="R162" i="44"/>
  <c r="R186" i="44"/>
  <c r="R331" i="44"/>
  <c r="R163" i="44"/>
  <c r="R168" i="44"/>
  <c r="R169" i="44"/>
  <c r="R40" i="44"/>
  <c r="R474" i="44"/>
  <c r="R170" i="44"/>
  <c r="R171" i="44"/>
  <c r="R463" i="44"/>
  <c r="R172" i="44"/>
  <c r="R397" i="44"/>
  <c r="R173" i="44"/>
  <c r="R268" i="44"/>
  <c r="R18" i="44"/>
  <c r="R299" i="44"/>
  <c r="R429" i="44"/>
  <c r="R46" i="44"/>
  <c r="R543" i="44"/>
  <c r="R6" i="44"/>
  <c r="R155" i="44"/>
  <c r="R80" i="44"/>
  <c r="R262" i="44"/>
  <c r="R490" i="44"/>
  <c r="R114" i="44"/>
  <c r="R641" i="44"/>
  <c r="R430" i="44"/>
  <c r="R81" i="44"/>
  <c r="R230" i="44"/>
  <c r="R22" i="44"/>
  <c r="R231" i="44"/>
  <c r="R378" i="44"/>
  <c r="R91" i="44"/>
  <c r="R379" i="44"/>
  <c r="R190" i="44"/>
  <c r="R191" i="44"/>
  <c r="R437" i="44"/>
  <c r="R192" i="44"/>
  <c r="R388" i="44"/>
  <c r="R197" i="44"/>
  <c r="R128" i="44"/>
  <c r="R198" i="44"/>
  <c r="R361" i="44"/>
  <c r="R199" i="44"/>
  <c r="R497" i="44"/>
  <c r="R633" i="44"/>
  <c r="R280" i="44"/>
  <c r="R200" i="44"/>
  <c r="R201" i="44"/>
  <c r="R202" i="44"/>
  <c r="R203" i="44"/>
  <c r="R218" i="44"/>
  <c r="R219" i="44"/>
  <c r="R420" i="44"/>
  <c r="R304" i="44"/>
  <c r="R220" i="44"/>
  <c r="R221" i="44"/>
  <c r="R109" i="44"/>
  <c r="R222" i="44"/>
  <c r="R584" i="44"/>
  <c r="R223" i="44"/>
  <c r="R27" i="44"/>
  <c r="R291" i="44"/>
  <c r="R224" i="44"/>
  <c r="R225" i="44"/>
  <c r="R296" i="44"/>
  <c r="R544" i="44"/>
  <c r="R226" i="44"/>
  <c r="R117" i="44"/>
  <c r="R401" i="44"/>
  <c r="R227" i="44"/>
  <c r="R270" i="44"/>
  <c r="R228" i="44"/>
  <c r="R237" i="44"/>
  <c r="R364" i="44"/>
  <c r="R238" i="44"/>
  <c r="R336" i="44"/>
  <c r="R239" i="44"/>
  <c r="R566" i="44"/>
  <c r="R240" i="44"/>
  <c r="R97" i="44"/>
  <c r="R598" i="44"/>
  <c r="R241" i="44"/>
  <c r="R242" i="44"/>
  <c r="R211" i="44"/>
  <c r="R503" i="44"/>
  <c r="R243" i="44"/>
  <c r="R244" i="44"/>
  <c r="R245" i="44"/>
  <c r="R500" i="44"/>
  <c r="R479" i="44"/>
  <c r="R254" i="44"/>
  <c r="R255" i="44"/>
  <c r="R145" i="44"/>
  <c r="R438" i="44"/>
  <c r="R256" i="44"/>
  <c r="R257" i="44"/>
  <c r="R329" i="44"/>
  <c r="R258" i="44"/>
  <c r="R365" i="44"/>
  <c r="R389" i="44"/>
  <c r="R259" i="44"/>
  <c r="R476" i="44"/>
  <c r="R260" i="44"/>
  <c r="R265" i="44"/>
  <c r="R266" i="44"/>
  <c r="R274" i="44"/>
  <c r="R275" i="44"/>
  <c r="R276" i="44"/>
  <c r="R300" i="44"/>
  <c r="R28" i="44"/>
  <c r="R232" i="44"/>
  <c r="R433" i="44"/>
  <c r="R277" i="44"/>
  <c r="R278" i="44"/>
  <c r="R133" i="44"/>
  <c r="R516" i="44"/>
  <c r="R233" i="44"/>
  <c r="R286" i="44"/>
  <c r="R337" i="44"/>
  <c r="R287" i="44"/>
  <c r="R292" i="44"/>
  <c r="R288" i="44"/>
  <c r="R289" i="44"/>
  <c r="R308" i="44"/>
  <c r="R309" i="44"/>
  <c r="R118" i="44"/>
  <c r="R310" i="44"/>
  <c r="R451" i="44"/>
  <c r="R311" i="44"/>
  <c r="R539" i="44"/>
  <c r="R142" i="44"/>
  <c r="R312" i="44"/>
  <c r="R484" i="44"/>
  <c r="R313" i="44"/>
  <c r="R187" i="44"/>
  <c r="R314" i="44"/>
  <c r="R335" i="44"/>
  <c r="R156" i="44"/>
  <c r="R315" i="44"/>
  <c r="R316" i="44"/>
  <c r="R317" i="44"/>
  <c r="R271" i="44"/>
  <c r="R318" i="44"/>
  <c r="R178" i="44"/>
  <c r="R212" i="44"/>
  <c r="R545" i="44"/>
  <c r="R41" i="44"/>
  <c r="R297" i="44"/>
  <c r="R319" i="44"/>
  <c r="R252" i="44"/>
  <c r="R398" i="44"/>
  <c r="R320" i="44"/>
  <c r="R599" i="44"/>
  <c r="R182" i="44"/>
  <c r="R253" i="44"/>
  <c r="R284" i="44"/>
  <c r="R415" i="44"/>
  <c r="R381" i="44"/>
  <c r="R382" i="44"/>
  <c r="R480" i="44"/>
  <c r="R350" i="44"/>
  <c r="R340" i="44"/>
  <c r="R164" i="44"/>
  <c r="R305" i="44"/>
  <c r="R92" i="44"/>
  <c r="R481" i="44"/>
  <c r="R285" i="44"/>
  <c r="R344" i="44"/>
  <c r="R345" i="44"/>
  <c r="R19" i="44"/>
  <c r="R405" i="44"/>
  <c r="R475" i="44"/>
  <c r="R347" i="44"/>
  <c r="R348" i="44"/>
  <c r="R349" i="44"/>
  <c r="R577" i="44"/>
  <c r="R402" i="44"/>
  <c r="R47" i="44"/>
  <c r="R115" i="44"/>
  <c r="R134" i="44"/>
  <c r="R504" i="44"/>
  <c r="R353" i="44"/>
  <c r="R354" i="44"/>
  <c r="R355" i="44"/>
  <c r="R356" i="44"/>
  <c r="R546" i="44"/>
  <c r="R357" i="44"/>
  <c r="R393" i="44"/>
  <c r="R358" i="44"/>
  <c r="R301" i="44"/>
  <c r="R110" i="44"/>
  <c r="R217" i="44"/>
  <c r="R359" i="44"/>
  <c r="R332" i="44"/>
  <c r="R281" i="44"/>
  <c r="R370" i="44"/>
  <c r="R8" i="44"/>
  <c r="R23" i="44"/>
  <c r="R321" i="44"/>
  <c r="R578" i="44"/>
  <c r="R567" i="44"/>
  <c r="R362" i="44"/>
  <c r="R263" i="44"/>
  <c r="R126" i="44"/>
  <c r="R9" i="44"/>
  <c r="R642" i="44"/>
  <c r="R13" i="44"/>
  <c r="R87" i="44"/>
  <c r="R138" i="44"/>
  <c r="R208" i="44"/>
  <c r="R139" i="44"/>
  <c r="R322" i="44"/>
  <c r="R413" i="44"/>
  <c r="R421" i="44"/>
  <c r="R587" i="44"/>
  <c r="R588" i="44"/>
  <c r="R369" i="44"/>
  <c r="R383" i="44"/>
  <c r="R384" i="44"/>
  <c r="R498" i="44"/>
  <c r="R385" i="44"/>
  <c r="R431" i="44"/>
  <c r="R634" i="44"/>
  <c r="R386" i="44"/>
  <c r="R387" i="44"/>
  <c r="R153" i="44"/>
  <c r="R408" i="44"/>
  <c r="R323" i="44"/>
  <c r="R416" i="44"/>
  <c r="R417" i="44"/>
  <c r="R418" i="44"/>
  <c r="R195" i="44"/>
  <c r="R248" i="44"/>
  <c r="R424" i="44"/>
  <c r="R425" i="44"/>
  <c r="R213" i="44"/>
  <c r="R432" i="44"/>
  <c r="R42" i="44"/>
  <c r="R422" i="44"/>
  <c r="R426" i="44"/>
  <c r="R188" i="44"/>
  <c r="R547" i="44"/>
  <c r="R246" i="44"/>
  <c r="R427" i="44"/>
  <c r="R428" i="44"/>
  <c r="R441" i="44"/>
  <c r="R442" i="44"/>
  <c r="R29" i="44"/>
  <c r="R443" i="44"/>
  <c r="R333" i="44"/>
  <c r="R143" i="44"/>
  <c r="R444" i="44"/>
  <c r="R445" i="44"/>
  <c r="R446" i="44"/>
  <c r="R447" i="44"/>
  <c r="R235" i="44"/>
  <c r="R448" i="44"/>
  <c r="R449" i="44"/>
  <c r="R183" i="44"/>
  <c r="R399" i="44"/>
  <c r="R72" i="44"/>
  <c r="R306" i="44"/>
  <c r="R140" i="44"/>
  <c r="R324" i="44"/>
  <c r="R452" i="44"/>
  <c r="R24" i="44"/>
  <c r="R485" i="44"/>
  <c r="R406" i="44"/>
  <c r="R589" i="44"/>
  <c r="R380" i="44"/>
  <c r="R487" i="44"/>
  <c r="R457" i="44"/>
  <c r="R458" i="44"/>
  <c r="R459" i="44"/>
  <c r="R535" i="44"/>
  <c r="R460" i="44"/>
  <c r="R461" i="44"/>
  <c r="R73" i="44"/>
  <c r="R264" i="44"/>
  <c r="R141" i="44"/>
  <c r="R325" i="44"/>
  <c r="R130" i="44"/>
  <c r="R590" i="44"/>
  <c r="R74" i="44"/>
  <c r="R148" i="44"/>
  <c r="R111" i="44"/>
  <c r="R372" i="44"/>
  <c r="R568" i="44"/>
  <c r="R326" i="44"/>
  <c r="R75" i="44"/>
  <c r="R175" i="44"/>
  <c r="R282" i="44"/>
  <c r="R338" i="44"/>
  <c r="R157" i="44"/>
  <c r="R434" i="44"/>
  <c r="R346" i="44"/>
  <c r="R453" i="44"/>
  <c r="R591" i="44"/>
  <c r="R491" i="44"/>
  <c r="R505" i="44"/>
  <c r="R492" i="44"/>
  <c r="R493" i="44"/>
  <c r="R88" i="44"/>
  <c r="R494" i="44"/>
  <c r="R119" i="44"/>
  <c r="R196" i="44"/>
  <c r="R495" i="44"/>
  <c r="R507" i="44"/>
  <c r="R508" i="44"/>
  <c r="R548" i="44"/>
  <c r="R509" i="44"/>
  <c r="R510" i="44"/>
  <c r="R511" i="44"/>
  <c r="R512" i="44"/>
  <c r="R635" i="44"/>
  <c r="R501" i="44"/>
  <c r="R412" i="44"/>
  <c r="R513" i="44"/>
  <c r="R390" i="44"/>
  <c r="R93" i="44"/>
  <c r="R439" i="44"/>
  <c r="R366" i="44"/>
  <c r="R518" i="44"/>
  <c r="R272" i="44"/>
  <c r="R519" i="44"/>
  <c r="R600" i="44"/>
  <c r="R520" i="44"/>
  <c r="R521" i="44"/>
  <c r="R146" i="44"/>
  <c r="R522" i="44"/>
  <c r="R523" i="44"/>
  <c r="R524" i="44"/>
  <c r="R525" i="44"/>
  <c r="R38" i="44"/>
  <c r="R526" i="44"/>
  <c r="R527" i="44"/>
  <c r="R648" i="44"/>
  <c r="R302" i="44"/>
  <c r="R528" i="44"/>
  <c r="R529" i="44"/>
  <c r="R530" i="44"/>
  <c r="R531" i="44"/>
  <c r="R532" i="44"/>
  <c r="R533" i="44"/>
  <c r="R585" i="44"/>
  <c r="R394" i="44"/>
  <c r="R341" i="44"/>
  <c r="R534" i="44"/>
  <c r="R540" i="44"/>
  <c r="R551" i="44"/>
  <c r="R440" i="44"/>
  <c r="R342" i="44"/>
  <c r="R552" i="44"/>
  <c r="R553" i="44"/>
  <c r="R327" i="44"/>
  <c r="R554" i="44"/>
  <c r="R555" i="44"/>
  <c r="R556" i="44"/>
  <c r="R557" i="44"/>
  <c r="R558" i="44"/>
  <c r="R560" i="44"/>
  <c r="R561" i="44"/>
  <c r="R562" i="44"/>
  <c r="R563" i="44"/>
  <c r="R564" i="44"/>
  <c r="R569" i="44"/>
  <c r="R570" i="44"/>
  <c r="R571" i="44"/>
  <c r="R572" i="44"/>
  <c r="R573" i="44"/>
  <c r="R574" i="44"/>
  <c r="R575" i="44"/>
  <c r="R559" i="44"/>
  <c r="R435" i="44"/>
  <c r="R410" i="44"/>
  <c r="R576" i="44"/>
  <c r="R273" i="44"/>
  <c r="R283" i="44"/>
  <c r="R351" i="44"/>
  <c r="R131" i="44"/>
  <c r="R628" i="44"/>
  <c r="R391" i="44"/>
  <c r="R189" i="44"/>
  <c r="R579" i="44"/>
  <c r="R39" i="44"/>
  <c r="R423" i="44"/>
  <c r="R580" i="44"/>
  <c r="R581" i="44"/>
  <c r="R166" i="44"/>
  <c r="R478" i="44"/>
  <c r="R582" i="44"/>
  <c r="R583" i="44"/>
  <c r="R167" i="44"/>
  <c r="R76" i="44"/>
  <c r="R247" i="44"/>
  <c r="R176" i="44"/>
  <c r="R352" i="44"/>
  <c r="R454" i="44"/>
  <c r="R144" i="44"/>
  <c r="R464" i="44"/>
  <c r="R601" i="44"/>
  <c r="R629" i="44"/>
  <c r="R592" i="44"/>
  <c r="R98" i="44"/>
  <c r="R593" i="44"/>
  <c r="R120" i="44"/>
  <c r="R549" i="44"/>
  <c r="R536" i="44"/>
  <c r="R486" i="44"/>
  <c r="R488" i="44"/>
  <c r="R236" i="44"/>
  <c r="R184" i="44"/>
  <c r="R307" i="44"/>
  <c r="R293" i="44"/>
  <c r="R594" i="44"/>
  <c r="R249" i="44"/>
  <c r="R649" i="44"/>
  <c r="R147" i="44"/>
  <c r="R517" i="44"/>
  <c r="R595" i="44"/>
  <c r="R596" i="44"/>
  <c r="R602" i="44"/>
  <c r="R209" i="44"/>
  <c r="R603" i="44"/>
  <c r="R604" i="44"/>
  <c r="R605" i="44"/>
  <c r="R606" i="44"/>
  <c r="R607" i="44"/>
  <c r="R608" i="44"/>
  <c r="R609" i="44"/>
  <c r="R214" i="44"/>
  <c r="R610" i="44"/>
  <c r="R611" i="44"/>
  <c r="R612" i="44"/>
  <c r="R613" i="44"/>
  <c r="R614" i="44"/>
  <c r="R158" i="44"/>
  <c r="R615" i="44"/>
  <c r="R616" i="44"/>
  <c r="R617" i="44"/>
  <c r="R636" i="44"/>
  <c r="R618" i="44"/>
  <c r="R619" i="44"/>
  <c r="R89" i="44"/>
  <c r="R620" i="44"/>
  <c r="R621" i="44"/>
  <c r="R622" i="44"/>
  <c r="R623" i="44"/>
  <c r="R624" i="44"/>
  <c r="R625" i="44"/>
  <c r="R627" i="44"/>
  <c r="R177" i="44"/>
  <c r="R371" i="44"/>
  <c r="R630" i="44"/>
  <c r="R631" i="44"/>
  <c r="R632" i="44"/>
  <c r="R637" i="44"/>
  <c r="R638" i="44"/>
  <c r="R639" i="44"/>
  <c r="R506" i="44"/>
  <c r="R407" i="44"/>
  <c r="R586" i="44"/>
  <c r="R643" i="44"/>
  <c r="R550" i="44"/>
  <c r="R644" i="44"/>
  <c r="R645" i="44"/>
  <c r="R112" i="44"/>
  <c r="R94" i="44"/>
  <c r="R646" i="44"/>
  <c r="R466" i="44"/>
  <c r="R25" i="44"/>
  <c r="R334" i="44"/>
  <c r="R650" i="44"/>
  <c r="R137" i="44"/>
  <c r="R234" i="44"/>
  <c r="R651" i="44"/>
  <c r="R597" i="44"/>
  <c r="C23" i="107" l="1"/>
  <c r="K3" i="47"/>
  <c r="K4" i="47"/>
  <c r="K5" i="47"/>
  <c r="K6" i="47"/>
  <c r="K7" i="47"/>
  <c r="K8" i="47"/>
  <c r="K9" i="47"/>
  <c r="K10" i="47"/>
  <c r="K11" i="47"/>
  <c r="K12" i="47"/>
  <c r="K13" i="47"/>
  <c r="K14" i="47"/>
  <c r="K15" i="47"/>
  <c r="K16" i="47"/>
  <c r="K17" i="47"/>
  <c r="K18" i="47"/>
  <c r="K19" i="47"/>
  <c r="K20" i="47"/>
  <c r="K21" i="47"/>
  <c r="K22" i="47"/>
  <c r="K23" i="47"/>
  <c r="K24" i="47"/>
  <c r="K25" i="47"/>
  <c r="K26" i="47"/>
  <c r="K27" i="47"/>
  <c r="K28" i="47"/>
  <c r="K29" i="47"/>
  <c r="K30" i="47"/>
  <c r="K31" i="47"/>
  <c r="K32" i="47"/>
  <c r="K33" i="47"/>
  <c r="K34" i="47"/>
  <c r="K35" i="47"/>
  <c r="K36" i="47"/>
  <c r="K37" i="47"/>
  <c r="K38" i="47"/>
  <c r="K39" i="47"/>
  <c r="K40" i="47"/>
  <c r="K41" i="47"/>
  <c r="K42" i="47"/>
  <c r="K43" i="47"/>
  <c r="K44" i="47"/>
  <c r="K45" i="47"/>
  <c r="K46" i="47"/>
  <c r="K47" i="47"/>
  <c r="K48" i="47"/>
  <c r="K49" i="47"/>
  <c r="K50" i="47"/>
  <c r="K51" i="47"/>
  <c r="K52" i="47"/>
  <c r="K53" i="47"/>
  <c r="K54" i="47"/>
  <c r="K55" i="47"/>
  <c r="K56" i="47"/>
  <c r="K57" i="47"/>
  <c r="K58" i="47"/>
  <c r="K59" i="47"/>
  <c r="K60" i="47"/>
  <c r="K61" i="47"/>
  <c r="K62" i="47"/>
  <c r="K63" i="47"/>
  <c r="K64" i="47"/>
  <c r="K65" i="47"/>
  <c r="K66" i="47"/>
  <c r="K67" i="47"/>
  <c r="K68" i="47"/>
  <c r="K69" i="47"/>
  <c r="K70" i="47"/>
  <c r="K71" i="47"/>
  <c r="K72" i="47"/>
  <c r="K73" i="47"/>
  <c r="K74" i="47"/>
  <c r="K75" i="47"/>
  <c r="K76" i="47"/>
  <c r="K77" i="47"/>
  <c r="K78" i="47"/>
  <c r="K79" i="47"/>
  <c r="K80" i="47"/>
  <c r="K81" i="47"/>
  <c r="K82" i="47"/>
  <c r="K83" i="47"/>
  <c r="K84" i="47"/>
  <c r="K85" i="47"/>
  <c r="K86" i="47"/>
  <c r="K87" i="47"/>
  <c r="K88" i="47"/>
  <c r="K89" i="47"/>
  <c r="K90" i="47"/>
  <c r="K91" i="47"/>
  <c r="K92" i="47"/>
  <c r="K93" i="47"/>
  <c r="K94" i="47"/>
  <c r="K95" i="47"/>
  <c r="K96" i="47"/>
  <c r="K97" i="47"/>
  <c r="K98" i="47"/>
  <c r="K99" i="47"/>
  <c r="K100" i="47"/>
  <c r="K101" i="47"/>
  <c r="K102" i="47"/>
  <c r="K103" i="47"/>
  <c r="K104" i="47"/>
  <c r="K105" i="47"/>
  <c r="K106" i="47"/>
  <c r="K107" i="47"/>
  <c r="K108" i="47"/>
  <c r="K109" i="47"/>
  <c r="K110" i="47"/>
  <c r="K111" i="47"/>
  <c r="K112" i="47"/>
  <c r="K113" i="47"/>
  <c r="K114" i="47"/>
  <c r="K115" i="47"/>
  <c r="K116" i="47"/>
  <c r="K117" i="47"/>
  <c r="K118" i="47"/>
  <c r="K119" i="47"/>
  <c r="K120" i="47"/>
  <c r="K121" i="47"/>
  <c r="K122" i="47"/>
  <c r="K123" i="47"/>
  <c r="K124" i="47"/>
  <c r="K125" i="47"/>
  <c r="K126" i="47"/>
  <c r="K127" i="47"/>
  <c r="K128" i="47"/>
  <c r="K129" i="47"/>
  <c r="K130" i="47"/>
  <c r="K131" i="47"/>
  <c r="K132" i="47"/>
  <c r="K133" i="47"/>
  <c r="K134" i="47"/>
  <c r="K135" i="47"/>
  <c r="K136" i="47"/>
  <c r="K137" i="47"/>
  <c r="K138" i="47"/>
  <c r="K139" i="47"/>
  <c r="K140" i="47"/>
  <c r="K141" i="47"/>
  <c r="K142" i="47"/>
  <c r="K143" i="47"/>
  <c r="K144" i="47"/>
  <c r="K145" i="47"/>
  <c r="K146" i="47"/>
  <c r="K147" i="47"/>
  <c r="K148" i="47"/>
  <c r="K149" i="47"/>
  <c r="K150" i="47"/>
  <c r="K151" i="47"/>
  <c r="K152" i="47"/>
  <c r="K153" i="47"/>
  <c r="K154" i="47"/>
  <c r="K155" i="47"/>
  <c r="K156" i="47"/>
  <c r="K157" i="47"/>
  <c r="K158" i="47"/>
  <c r="K159" i="47"/>
  <c r="K160" i="47"/>
  <c r="K161" i="47"/>
  <c r="K162" i="47"/>
  <c r="K163" i="47"/>
  <c r="K164" i="47"/>
  <c r="K165" i="47"/>
  <c r="K166" i="47"/>
  <c r="K167" i="47"/>
  <c r="K168" i="47"/>
  <c r="K169" i="47"/>
  <c r="K170" i="47"/>
  <c r="K171" i="47"/>
  <c r="K172" i="47"/>
  <c r="K173" i="47"/>
  <c r="K174" i="47"/>
  <c r="K175" i="47"/>
  <c r="K176" i="47"/>
  <c r="K177" i="47"/>
  <c r="K178" i="47"/>
  <c r="K179" i="47"/>
  <c r="K180" i="47"/>
  <c r="K181" i="47"/>
  <c r="K182" i="47"/>
  <c r="K183" i="47"/>
  <c r="K184" i="47"/>
  <c r="K185" i="47"/>
  <c r="K186" i="47"/>
  <c r="K187" i="47"/>
  <c r="K188" i="47"/>
  <c r="K189" i="47"/>
  <c r="K190" i="47"/>
  <c r="K191" i="47"/>
  <c r="K192" i="47"/>
  <c r="K193" i="47"/>
  <c r="K194" i="47"/>
  <c r="K195" i="47"/>
  <c r="K196" i="47"/>
  <c r="K197" i="47"/>
  <c r="K198" i="47"/>
  <c r="K199" i="47"/>
  <c r="K200" i="47"/>
  <c r="K201" i="47"/>
  <c r="K202" i="47"/>
  <c r="K203" i="47"/>
  <c r="K204" i="47"/>
  <c r="K205" i="47"/>
  <c r="K206" i="47"/>
  <c r="K207" i="47"/>
  <c r="K208" i="47"/>
  <c r="K209" i="47"/>
  <c r="K210" i="47"/>
  <c r="K211" i="47"/>
  <c r="K212" i="47"/>
  <c r="K213" i="47"/>
  <c r="K214" i="47"/>
  <c r="K215" i="47"/>
  <c r="K216" i="47"/>
  <c r="K217" i="47"/>
  <c r="K218" i="47"/>
  <c r="K2" i="47"/>
  <c r="J3" i="47"/>
  <c r="J4" i="47"/>
  <c r="J5" i="47"/>
  <c r="J6" i="47"/>
  <c r="J7" i="47"/>
  <c r="J8" i="47"/>
  <c r="J9" i="47"/>
  <c r="J10" i="47"/>
  <c r="J11" i="47"/>
  <c r="J12" i="47"/>
  <c r="J13" i="47"/>
  <c r="J14" i="47"/>
  <c r="J15" i="47"/>
  <c r="J16" i="47"/>
  <c r="J17" i="47"/>
  <c r="J18" i="47"/>
  <c r="J19" i="47"/>
  <c r="J20" i="47"/>
  <c r="J21" i="47"/>
  <c r="J22" i="47"/>
  <c r="J23" i="47"/>
  <c r="J24" i="47"/>
  <c r="J25" i="47"/>
  <c r="J26" i="47"/>
  <c r="J27" i="47"/>
  <c r="J28" i="47"/>
  <c r="J29" i="47"/>
  <c r="J30" i="47"/>
  <c r="J31" i="47"/>
  <c r="J32" i="47"/>
  <c r="J33" i="47"/>
  <c r="J34" i="47"/>
  <c r="J35" i="47"/>
  <c r="J36" i="47"/>
  <c r="J37" i="47"/>
  <c r="J38" i="47"/>
  <c r="J39" i="47"/>
  <c r="J40" i="47"/>
  <c r="J41" i="47"/>
  <c r="J42" i="47"/>
  <c r="J43" i="47"/>
  <c r="J44" i="47"/>
  <c r="J45" i="47"/>
  <c r="J46" i="47"/>
  <c r="J47" i="47"/>
  <c r="J48" i="47"/>
  <c r="J49" i="47"/>
  <c r="J50" i="47"/>
  <c r="J51" i="47"/>
  <c r="J52" i="47"/>
  <c r="J53" i="47"/>
  <c r="J54" i="47"/>
  <c r="J55" i="47"/>
  <c r="J56" i="47"/>
  <c r="J57" i="47"/>
  <c r="J58" i="47"/>
  <c r="J59" i="47"/>
  <c r="J60" i="47"/>
  <c r="J61" i="47"/>
  <c r="J62" i="47"/>
  <c r="J63" i="47"/>
  <c r="J64" i="47"/>
  <c r="J65" i="47"/>
  <c r="J66" i="47"/>
  <c r="J67" i="47"/>
  <c r="J68" i="47"/>
  <c r="J69" i="47"/>
  <c r="J70" i="47"/>
  <c r="J71" i="47"/>
  <c r="J72" i="47"/>
  <c r="J73" i="47"/>
  <c r="J74" i="47"/>
  <c r="J75" i="47"/>
  <c r="J76" i="47"/>
  <c r="J77" i="47"/>
  <c r="J78" i="47"/>
  <c r="J79" i="47"/>
  <c r="J80" i="47"/>
  <c r="J81" i="47"/>
  <c r="J82" i="47"/>
  <c r="J83" i="47"/>
  <c r="J84" i="47"/>
  <c r="J85" i="47"/>
  <c r="J86" i="47"/>
  <c r="J87" i="47"/>
  <c r="J88" i="47"/>
  <c r="J89" i="47"/>
  <c r="J90" i="47"/>
  <c r="J91" i="47"/>
  <c r="J92" i="47"/>
  <c r="J93" i="47"/>
  <c r="J94" i="47"/>
  <c r="J95" i="47"/>
  <c r="J96" i="47"/>
  <c r="J97" i="47"/>
  <c r="J98" i="47"/>
  <c r="J99" i="47"/>
  <c r="J100" i="47"/>
  <c r="J101" i="47"/>
  <c r="J102" i="47"/>
  <c r="J103" i="47"/>
  <c r="J104" i="47"/>
  <c r="J105" i="47"/>
  <c r="J106" i="47"/>
  <c r="J107" i="47"/>
  <c r="J108" i="47"/>
  <c r="J109" i="47"/>
  <c r="J110" i="47"/>
  <c r="J111" i="47"/>
  <c r="J112" i="47"/>
  <c r="J113" i="47"/>
  <c r="J114" i="47"/>
  <c r="J115" i="47"/>
  <c r="J116" i="47"/>
  <c r="J117" i="47"/>
  <c r="J118" i="47"/>
  <c r="J119" i="47"/>
  <c r="J120" i="47"/>
  <c r="J121" i="47"/>
  <c r="J122" i="47"/>
  <c r="J123" i="47"/>
  <c r="J124" i="47"/>
  <c r="J125" i="47"/>
  <c r="J126" i="47"/>
  <c r="J127" i="47"/>
  <c r="J128" i="47"/>
  <c r="J129" i="47"/>
  <c r="J130" i="47"/>
  <c r="J131" i="47"/>
  <c r="J132" i="47"/>
  <c r="J133" i="47"/>
  <c r="J134" i="47"/>
  <c r="J135" i="47"/>
  <c r="J136" i="47"/>
  <c r="J137" i="47"/>
  <c r="J138" i="47"/>
  <c r="J139" i="47"/>
  <c r="J140" i="47"/>
  <c r="J141" i="47"/>
  <c r="J142" i="47"/>
  <c r="J143" i="47"/>
  <c r="J144" i="47"/>
  <c r="J145" i="47"/>
  <c r="J146" i="47"/>
  <c r="J147" i="47"/>
  <c r="J148" i="47"/>
  <c r="J149" i="47"/>
  <c r="J150" i="47"/>
  <c r="J151" i="47"/>
  <c r="J152" i="47"/>
  <c r="J153" i="47"/>
  <c r="J154" i="47"/>
  <c r="J155" i="47"/>
  <c r="J156" i="47"/>
  <c r="J157" i="47"/>
  <c r="J158" i="47"/>
  <c r="J159" i="47"/>
  <c r="J160" i="47"/>
  <c r="J161" i="47"/>
  <c r="J162" i="47"/>
  <c r="J163" i="47"/>
  <c r="J164" i="47"/>
  <c r="J165" i="47"/>
  <c r="J166" i="47"/>
  <c r="J167" i="47"/>
  <c r="J168" i="47"/>
  <c r="J169" i="47"/>
  <c r="J170" i="47"/>
  <c r="J171" i="47"/>
  <c r="J172" i="47"/>
  <c r="J173" i="47"/>
  <c r="J174" i="47"/>
  <c r="J175" i="47"/>
  <c r="J176" i="47"/>
  <c r="J177" i="47"/>
  <c r="J178" i="47"/>
  <c r="J179" i="47"/>
  <c r="J180" i="47"/>
  <c r="J181" i="47"/>
  <c r="J182" i="47"/>
  <c r="J183" i="47"/>
  <c r="J184" i="47"/>
  <c r="J185" i="47"/>
  <c r="J186" i="47"/>
  <c r="J187" i="47"/>
  <c r="J188" i="47"/>
  <c r="J189" i="47"/>
  <c r="J190" i="47"/>
  <c r="J191" i="47"/>
  <c r="J192" i="47"/>
  <c r="J193" i="47"/>
  <c r="J194" i="47"/>
  <c r="J195" i="47"/>
  <c r="J196" i="47"/>
  <c r="J197" i="47"/>
  <c r="J198" i="47"/>
  <c r="J199" i="47"/>
  <c r="J200" i="47"/>
  <c r="J201" i="47"/>
  <c r="J202" i="47"/>
  <c r="J203" i="47"/>
  <c r="J204" i="47"/>
  <c r="J205" i="47"/>
  <c r="J206" i="47"/>
  <c r="J207" i="47"/>
  <c r="J208" i="47"/>
  <c r="J209" i="47"/>
  <c r="J210" i="47"/>
  <c r="J211" i="47"/>
  <c r="J212" i="47"/>
  <c r="J213" i="47"/>
  <c r="J214" i="47"/>
  <c r="J215" i="47"/>
  <c r="J216" i="47"/>
  <c r="J217" i="47"/>
  <c r="J218" i="47"/>
  <c r="J2" i="47"/>
  <c r="G3" i="80"/>
  <c r="G4" i="80"/>
  <c r="G5" i="80"/>
  <c r="G6" i="80"/>
  <c r="G7" i="80"/>
  <c r="G8" i="80"/>
  <c r="G9" i="80"/>
  <c r="G10" i="80"/>
  <c r="G11" i="80"/>
  <c r="G12" i="80"/>
  <c r="G13" i="80"/>
  <c r="G14" i="80"/>
  <c r="G15" i="80"/>
  <c r="G16" i="80"/>
  <c r="G17" i="80"/>
  <c r="G18" i="80"/>
  <c r="G19" i="80"/>
  <c r="G20" i="80"/>
  <c r="G21" i="80"/>
  <c r="G22" i="80"/>
  <c r="G23" i="80"/>
  <c r="G24" i="80"/>
  <c r="G25" i="80"/>
  <c r="G26" i="80"/>
  <c r="G27" i="80"/>
  <c r="G28" i="80"/>
  <c r="G29" i="80"/>
  <c r="G30" i="80"/>
  <c r="G31" i="80"/>
  <c r="G32" i="80"/>
  <c r="G33" i="80"/>
  <c r="G34" i="80"/>
  <c r="G35" i="80"/>
  <c r="G36" i="80"/>
  <c r="G37" i="80"/>
  <c r="G38" i="80"/>
  <c r="G39" i="80"/>
  <c r="G40" i="80"/>
  <c r="G41" i="80"/>
  <c r="G42" i="80"/>
  <c r="G43" i="80"/>
  <c r="G44" i="80"/>
  <c r="G45" i="80"/>
  <c r="G46" i="80"/>
  <c r="G47" i="80"/>
  <c r="G48" i="80"/>
  <c r="G49" i="80"/>
  <c r="G50" i="80"/>
  <c r="G51" i="80"/>
  <c r="G52" i="80"/>
  <c r="G53" i="80"/>
  <c r="G54" i="80"/>
  <c r="G55" i="80"/>
  <c r="G56" i="80"/>
  <c r="G57" i="80"/>
  <c r="G58" i="80"/>
  <c r="G59" i="80"/>
  <c r="G60" i="80"/>
  <c r="G61" i="80"/>
  <c r="G62" i="80"/>
  <c r="G63" i="80"/>
  <c r="G64" i="80"/>
  <c r="G65" i="80"/>
  <c r="G66" i="80"/>
  <c r="G67" i="80"/>
  <c r="G68" i="80"/>
  <c r="G69" i="80"/>
  <c r="G70" i="80"/>
  <c r="G71" i="80"/>
  <c r="G72" i="80"/>
  <c r="G73" i="80"/>
  <c r="G74" i="80"/>
  <c r="G75" i="80"/>
  <c r="G76" i="80"/>
  <c r="G77" i="80"/>
  <c r="G78" i="80"/>
  <c r="G79" i="80"/>
  <c r="G80" i="80"/>
  <c r="G81" i="80"/>
  <c r="G82" i="80"/>
  <c r="G83" i="80"/>
  <c r="G84" i="80"/>
  <c r="G85" i="80"/>
  <c r="G86" i="80"/>
  <c r="G87" i="80"/>
  <c r="G88" i="80"/>
  <c r="G89" i="80"/>
  <c r="G90" i="80"/>
  <c r="G91" i="80"/>
  <c r="G92" i="80"/>
  <c r="G93" i="80"/>
  <c r="G94" i="80"/>
  <c r="G95" i="80"/>
  <c r="G96" i="80"/>
  <c r="G97" i="80"/>
  <c r="G98" i="80"/>
  <c r="G99" i="80"/>
  <c r="G100" i="80"/>
  <c r="G101" i="80"/>
  <c r="G102" i="80"/>
  <c r="G103" i="80"/>
  <c r="G104" i="80"/>
  <c r="G105" i="80"/>
  <c r="G106" i="80"/>
  <c r="G107" i="80"/>
  <c r="G108" i="80"/>
  <c r="G109" i="80"/>
  <c r="G110" i="80"/>
  <c r="G111" i="80"/>
  <c r="G112" i="80"/>
  <c r="G113" i="80"/>
  <c r="G114" i="80"/>
  <c r="G115" i="80"/>
  <c r="G116" i="80"/>
  <c r="G117" i="80"/>
  <c r="G118" i="80"/>
  <c r="G119" i="80"/>
  <c r="G120" i="80"/>
  <c r="G121" i="80"/>
  <c r="G122" i="80"/>
  <c r="G123" i="80"/>
  <c r="G124" i="80"/>
  <c r="G125" i="80"/>
  <c r="G126" i="80"/>
  <c r="G127" i="80"/>
  <c r="G128" i="80"/>
  <c r="G129" i="80"/>
  <c r="G130" i="80"/>
  <c r="G131" i="80"/>
  <c r="G132" i="80"/>
  <c r="G133" i="80"/>
  <c r="G134" i="80"/>
  <c r="G135" i="80"/>
  <c r="G136" i="80"/>
  <c r="G137" i="80"/>
  <c r="G138" i="80"/>
  <c r="G139" i="80"/>
  <c r="G140" i="80"/>
  <c r="G141" i="80"/>
  <c r="G142" i="80"/>
  <c r="G143" i="80"/>
  <c r="G144" i="80"/>
  <c r="G145" i="80"/>
  <c r="G146" i="80"/>
  <c r="G147" i="80"/>
  <c r="G148" i="80"/>
  <c r="G149" i="80"/>
  <c r="G150" i="80"/>
  <c r="G151" i="80"/>
  <c r="G152" i="80"/>
  <c r="G153" i="80"/>
  <c r="G154" i="80"/>
  <c r="G155" i="80"/>
  <c r="G156" i="80"/>
  <c r="G157" i="80"/>
  <c r="G158" i="80"/>
  <c r="G159" i="80"/>
  <c r="G160" i="80"/>
  <c r="G161" i="80"/>
  <c r="G162" i="80"/>
  <c r="G163" i="80"/>
  <c r="G164" i="80"/>
  <c r="G165" i="80"/>
  <c r="G166" i="80"/>
  <c r="G167" i="80"/>
  <c r="G168" i="80"/>
  <c r="G169" i="80"/>
  <c r="G170" i="80"/>
  <c r="G171" i="80"/>
  <c r="G172" i="80"/>
  <c r="G173" i="80"/>
  <c r="G174" i="80"/>
  <c r="G175" i="80"/>
  <c r="G176" i="80"/>
  <c r="G177" i="80"/>
  <c r="G178" i="80"/>
  <c r="G179" i="80"/>
  <c r="G180" i="80"/>
  <c r="G181" i="80"/>
  <c r="G182" i="80"/>
  <c r="G183" i="80"/>
  <c r="G184" i="80"/>
  <c r="G185" i="80"/>
  <c r="G186" i="80"/>
  <c r="G187" i="80"/>
  <c r="G188" i="80"/>
  <c r="G189" i="80"/>
  <c r="G190" i="80"/>
  <c r="G191" i="80"/>
  <c r="G192" i="80"/>
  <c r="G193" i="80"/>
  <c r="G194" i="80"/>
  <c r="G195" i="80"/>
  <c r="G196" i="80"/>
  <c r="G197" i="80"/>
  <c r="G198" i="80"/>
  <c r="G199" i="80"/>
  <c r="G200" i="80"/>
  <c r="G201" i="80"/>
  <c r="G202" i="80"/>
  <c r="G203" i="80"/>
  <c r="G204" i="80"/>
  <c r="G205" i="80"/>
  <c r="G206" i="80"/>
  <c r="G207" i="80"/>
  <c r="G208" i="80"/>
  <c r="G209" i="80"/>
  <c r="G210" i="80"/>
  <c r="G211" i="80"/>
  <c r="G212" i="80"/>
  <c r="G213" i="80"/>
  <c r="G214" i="80"/>
  <c r="G215" i="80"/>
  <c r="G216" i="80"/>
  <c r="G217" i="80"/>
  <c r="G218" i="80"/>
  <c r="G2" i="80"/>
  <c r="F3" i="80"/>
  <c r="F4" i="80"/>
  <c r="F5" i="80"/>
  <c r="F6" i="80"/>
  <c r="F7" i="80"/>
  <c r="F8" i="80"/>
  <c r="F9" i="80"/>
  <c r="F10" i="80"/>
  <c r="F11" i="80"/>
  <c r="F12" i="80"/>
  <c r="F13" i="80"/>
  <c r="F14" i="80"/>
  <c r="F15" i="80"/>
  <c r="F16" i="80"/>
  <c r="F17" i="80"/>
  <c r="F18" i="80"/>
  <c r="F19" i="80"/>
  <c r="F20" i="80"/>
  <c r="F21" i="80"/>
  <c r="F22" i="80"/>
  <c r="F23" i="80"/>
  <c r="F24" i="80"/>
  <c r="F25" i="80"/>
  <c r="F26" i="80"/>
  <c r="F27" i="80"/>
  <c r="F28" i="80"/>
  <c r="F29" i="80"/>
  <c r="F30" i="80"/>
  <c r="F31" i="80"/>
  <c r="F32" i="80"/>
  <c r="F33" i="80"/>
  <c r="F34" i="80"/>
  <c r="F35" i="80"/>
  <c r="F36" i="80"/>
  <c r="F37" i="80"/>
  <c r="F38" i="80"/>
  <c r="F39" i="80"/>
  <c r="F40" i="80"/>
  <c r="F41" i="80"/>
  <c r="F42" i="80"/>
  <c r="F43" i="80"/>
  <c r="F44" i="80"/>
  <c r="F45" i="80"/>
  <c r="F46" i="80"/>
  <c r="F47" i="80"/>
  <c r="F48" i="80"/>
  <c r="F49" i="80"/>
  <c r="F50" i="80"/>
  <c r="F51" i="80"/>
  <c r="F52" i="80"/>
  <c r="F53" i="80"/>
  <c r="F54" i="80"/>
  <c r="F55" i="80"/>
  <c r="F56" i="80"/>
  <c r="F57" i="80"/>
  <c r="F58" i="80"/>
  <c r="F59" i="80"/>
  <c r="F60" i="80"/>
  <c r="F61" i="80"/>
  <c r="F62" i="80"/>
  <c r="F63" i="80"/>
  <c r="F64" i="80"/>
  <c r="F65" i="80"/>
  <c r="F66" i="80"/>
  <c r="F67" i="80"/>
  <c r="F68" i="80"/>
  <c r="F69" i="80"/>
  <c r="F70" i="80"/>
  <c r="F71" i="80"/>
  <c r="F72" i="80"/>
  <c r="F73" i="80"/>
  <c r="F74" i="80"/>
  <c r="F75" i="80"/>
  <c r="F76" i="80"/>
  <c r="F77" i="80"/>
  <c r="F78" i="80"/>
  <c r="F79" i="80"/>
  <c r="F80" i="80"/>
  <c r="F81" i="80"/>
  <c r="F82" i="80"/>
  <c r="F83" i="80"/>
  <c r="F84" i="80"/>
  <c r="F85" i="80"/>
  <c r="F86" i="80"/>
  <c r="F87" i="80"/>
  <c r="F88" i="80"/>
  <c r="F89" i="80"/>
  <c r="F90" i="80"/>
  <c r="F91" i="80"/>
  <c r="F92" i="80"/>
  <c r="F93" i="80"/>
  <c r="F94" i="80"/>
  <c r="F95" i="80"/>
  <c r="F96" i="80"/>
  <c r="F97" i="80"/>
  <c r="F98" i="80"/>
  <c r="F99" i="80"/>
  <c r="F100" i="80"/>
  <c r="F101" i="80"/>
  <c r="F102" i="80"/>
  <c r="F103" i="80"/>
  <c r="F104" i="80"/>
  <c r="F105" i="80"/>
  <c r="F106" i="80"/>
  <c r="F107" i="80"/>
  <c r="F108" i="80"/>
  <c r="F109" i="80"/>
  <c r="F110" i="80"/>
  <c r="F111" i="80"/>
  <c r="F112" i="80"/>
  <c r="F113" i="80"/>
  <c r="F114" i="80"/>
  <c r="F115" i="80"/>
  <c r="F116" i="80"/>
  <c r="F117" i="80"/>
  <c r="F118" i="80"/>
  <c r="F119" i="80"/>
  <c r="F120" i="80"/>
  <c r="F121" i="80"/>
  <c r="F122" i="80"/>
  <c r="F123" i="80"/>
  <c r="F124" i="80"/>
  <c r="F125" i="80"/>
  <c r="F126" i="80"/>
  <c r="F127" i="80"/>
  <c r="F128" i="80"/>
  <c r="F129" i="80"/>
  <c r="F130" i="80"/>
  <c r="F131" i="80"/>
  <c r="F132" i="80"/>
  <c r="F133" i="80"/>
  <c r="F134" i="80"/>
  <c r="F135" i="80"/>
  <c r="F136" i="80"/>
  <c r="F137" i="80"/>
  <c r="F138" i="80"/>
  <c r="F139" i="80"/>
  <c r="F140" i="80"/>
  <c r="F141" i="80"/>
  <c r="F142" i="80"/>
  <c r="F143" i="80"/>
  <c r="F144" i="80"/>
  <c r="F145" i="80"/>
  <c r="F146" i="80"/>
  <c r="F147" i="80"/>
  <c r="F148" i="80"/>
  <c r="F149" i="80"/>
  <c r="F150" i="80"/>
  <c r="F151" i="80"/>
  <c r="F152" i="80"/>
  <c r="F153" i="80"/>
  <c r="F154" i="80"/>
  <c r="F155" i="80"/>
  <c r="F156" i="80"/>
  <c r="F157" i="80"/>
  <c r="F158" i="80"/>
  <c r="F159" i="80"/>
  <c r="F160" i="80"/>
  <c r="F161" i="80"/>
  <c r="F162" i="80"/>
  <c r="F163" i="80"/>
  <c r="F164" i="80"/>
  <c r="F165" i="80"/>
  <c r="F166" i="80"/>
  <c r="F167" i="80"/>
  <c r="F168" i="80"/>
  <c r="F169" i="80"/>
  <c r="F170" i="80"/>
  <c r="F171" i="80"/>
  <c r="F172" i="80"/>
  <c r="F173" i="80"/>
  <c r="F174" i="80"/>
  <c r="F175" i="80"/>
  <c r="F176" i="80"/>
  <c r="F177" i="80"/>
  <c r="F178" i="80"/>
  <c r="F179" i="80"/>
  <c r="F180" i="80"/>
  <c r="F181" i="80"/>
  <c r="F182" i="80"/>
  <c r="F183" i="80"/>
  <c r="F184" i="80"/>
  <c r="F185" i="80"/>
  <c r="F186" i="80"/>
  <c r="F187" i="80"/>
  <c r="F188" i="80"/>
  <c r="F189" i="80"/>
  <c r="F190" i="80"/>
  <c r="F191" i="80"/>
  <c r="F192" i="80"/>
  <c r="F193" i="80"/>
  <c r="F194" i="80"/>
  <c r="F195" i="80"/>
  <c r="F196" i="80"/>
  <c r="F197" i="80"/>
  <c r="F198" i="80"/>
  <c r="F199" i="80"/>
  <c r="F200" i="80"/>
  <c r="F201" i="80"/>
  <c r="F202" i="80"/>
  <c r="F203" i="80"/>
  <c r="F204" i="80"/>
  <c r="F205" i="80"/>
  <c r="F206" i="80"/>
  <c r="F207" i="80"/>
  <c r="F208" i="80"/>
  <c r="F209" i="80"/>
  <c r="F210" i="80"/>
  <c r="F211" i="80"/>
  <c r="F212" i="80"/>
  <c r="F213" i="80"/>
  <c r="F214" i="80"/>
  <c r="F215" i="80"/>
  <c r="F216" i="80"/>
  <c r="F217" i="80"/>
  <c r="F218" i="80"/>
  <c r="F2" i="80"/>
  <c r="J3" i="80"/>
  <c r="K3" i="80" s="1"/>
  <c r="J4" i="80"/>
  <c r="K4" i="80" s="1"/>
  <c r="J5" i="80"/>
  <c r="K5" i="80" s="1"/>
  <c r="J6" i="80"/>
  <c r="K6" i="80" s="1"/>
  <c r="J7" i="80"/>
  <c r="K7" i="80" s="1"/>
  <c r="J2" i="80"/>
  <c r="K2" i="80" s="1"/>
  <c r="P8" i="47"/>
  <c r="P9" i="47"/>
  <c r="P10" i="47"/>
  <c r="P11" i="47"/>
  <c r="P12" i="47"/>
  <c r="P13" i="47"/>
  <c r="P14" i="47"/>
  <c r="P15" i="47"/>
  <c r="P16" i="47"/>
  <c r="P17" i="47"/>
  <c r="P18" i="47"/>
  <c r="P19" i="47"/>
  <c r="P20" i="47"/>
  <c r="P21" i="47"/>
  <c r="P22" i="47"/>
  <c r="P23" i="47"/>
  <c r="P24" i="47"/>
  <c r="P25" i="47"/>
  <c r="P26" i="47"/>
  <c r="P27" i="47"/>
  <c r="P28" i="47"/>
  <c r="P29" i="47"/>
  <c r="P30" i="47"/>
  <c r="P31" i="47"/>
  <c r="P32" i="47"/>
  <c r="P33" i="47"/>
  <c r="P34" i="47"/>
  <c r="P35" i="47"/>
  <c r="P36" i="47"/>
  <c r="P37" i="47"/>
  <c r="P38" i="47"/>
  <c r="P39" i="47"/>
  <c r="P40" i="47"/>
  <c r="P41" i="47"/>
  <c r="P42" i="47"/>
  <c r="P43" i="47"/>
  <c r="P44" i="47"/>
  <c r="P45" i="47"/>
  <c r="P46" i="47"/>
  <c r="P47" i="47"/>
  <c r="P48" i="47"/>
  <c r="P49" i="47"/>
  <c r="P50" i="47"/>
  <c r="P51" i="47"/>
  <c r="P52" i="47"/>
  <c r="P53" i="47"/>
  <c r="P54" i="47"/>
  <c r="P55" i="47"/>
  <c r="P56" i="47"/>
  <c r="P57" i="47"/>
  <c r="P58" i="47"/>
  <c r="P59" i="47"/>
  <c r="P60" i="47"/>
  <c r="P61" i="47"/>
  <c r="P62" i="47"/>
  <c r="P63" i="47"/>
  <c r="P64" i="47"/>
  <c r="P65" i="47"/>
  <c r="P66" i="47"/>
  <c r="P67" i="47"/>
  <c r="P68" i="47"/>
  <c r="P69" i="47"/>
  <c r="P70" i="47"/>
  <c r="P71" i="47"/>
  <c r="P72" i="47"/>
  <c r="P73" i="47"/>
  <c r="P74" i="47"/>
  <c r="P75" i="47"/>
  <c r="P76" i="47"/>
  <c r="P77" i="47"/>
  <c r="P78" i="47"/>
  <c r="P79" i="47"/>
  <c r="P80" i="47"/>
  <c r="P81" i="47"/>
  <c r="P82" i="47"/>
  <c r="P83" i="47"/>
  <c r="P84" i="47"/>
  <c r="P85" i="47"/>
  <c r="P86" i="47"/>
  <c r="P87" i="47"/>
  <c r="P88" i="47"/>
  <c r="P89" i="47"/>
  <c r="P90" i="47"/>
  <c r="P91" i="47"/>
  <c r="P92" i="47"/>
  <c r="P93" i="47"/>
  <c r="P94" i="47"/>
  <c r="P95" i="47"/>
  <c r="P96" i="47"/>
  <c r="P97" i="47"/>
  <c r="P98" i="47"/>
  <c r="P99" i="47"/>
  <c r="P100" i="47"/>
  <c r="P101" i="47"/>
  <c r="P102" i="47"/>
  <c r="P103" i="47"/>
  <c r="P104" i="47"/>
  <c r="P105" i="47"/>
  <c r="P106" i="47"/>
  <c r="P107" i="47"/>
  <c r="P108" i="47"/>
  <c r="P109" i="47"/>
  <c r="P110" i="47"/>
  <c r="P111" i="47"/>
  <c r="P112" i="47"/>
  <c r="P113" i="47"/>
  <c r="P114" i="47"/>
  <c r="P115" i="47"/>
  <c r="P116" i="47"/>
  <c r="P117" i="47"/>
  <c r="P118" i="47"/>
  <c r="P119" i="47"/>
  <c r="P120" i="47"/>
  <c r="P121" i="47"/>
  <c r="P122" i="47"/>
  <c r="P123" i="47"/>
  <c r="P124" i="47"/>
  <c r="P125" i="47"/>
  <c r="P126" i="47"/>
  <c r="P127" i="47"/>
  <c r="P128" i="47"/>
  <c r="P129" i="47"/>
  <c r="P130" i="47"/>
  <c r="P131" i="47"/>
  <c r="P132" i="47"/>
  <c r="P133" i="47"/>
  <c r="P134" i="47"/>
  <c r="P135" i="47"/>
  <c r="P136" i="47"/>
  <c r="P137" i="47"/>
  <c r="P138" i="47"/>
  <c r="P139" i="47"/>
  <c r="P140" i="47"/>
  <c r="P141" i="47"/>
  <c r="P142" i="47"/>
  <c r="P143" i="47"/>
  <c r="P144" i="47"/>
  <c r="P145" i="47"/>
  <c r="P146" i="47"/>
  <c r="P147" i="47"/>
  <c r="P148" i="47"/>
  <c r="P149" i="47"/>
  <c r="P150" i="47"/>
  <c r="P151" i="47"/>
  <c r="P152" i="47"/>
  <c r="P153" i="47"/>
  <c r="P154" i="47"/>
  <c r="P155" i="47"/>
  <c r="P156" i="47"/>
  <c r="P157" i="47"/>
  <c r="P158" i="47"/>
  <c r="P159" i="47"/>
  <c r="P160" i="47"/>
  <c r="P161" i="47"/>
  <c r="P162" i="47"/>
  <c r="P163" i="47"/>
  <c r="P164" i="47"/>
  <c r="P165" i="47"/>
  <c r="P166" i="47"/>
  <c r="P167" i="47"/>
  <c r="P168" i="47"/>
  <c r="P169" i="47"/>
  <c r="P170" i="47"/>
  <c r="P171" i="47"/>
  <c r="P172" i="47"/>
  <c r="P173" i="47"/>
  <c r="P174" i="47"/>
  <c r="P175" i="47"/>
  <c r="P176" i="47"/>
  <c r="P177" i="47"/>
  <c r="P178" i="47"/>
  <c r="P179" i="47"/>
  <c r="P180" i="47"/>
  <c r="P181" i="47"/>
  <c r="P182" i="47"/>
  <c r="P183" i="47"/>
  <c r="P184" i="47"/>
  <c r="P185" i="47"/>
  <c r="P186" i="47"/>
  <c r="P187" i="47"/>
  <c r="P188" i="47"/>
  <c r="P189" i="47"/>
  <c r="P190" i="47"/>
  <c r="P191" i="47"/>
  <c r="P192" i="47"/>
  <c r="P193" i="47"/>
  <c r="P194" i="47"/>
  <c r="P195" i="47"/>
  <c r="P196" i="47"/>
  <c r="P197" i="47"/>
  <c r="P198" i="47"/>
  <c r="P199" i="47"/>
  <c r="P200" i="47"/>
  <c r="P201" i="47"/>
  <c r="P202" i="47"/>
  <c r="P203" i="47"/>
  <c r="P204" i="47"/>
  <c r="P205" i="47"/>
  <c r="P206" i="47"/>
  <c r="P207" i="47"/>
  <c r="P208" i="47"/>
  <c r="P209" i="47"/>
  <c r="P210" i="47"/>
  <c r="P211" i="47"/>
  <c r="P212" i="47"/>
  <c r="P213" i="47"/>
  <c r="P214" i="47"/>
  <c r="P215" i="47"/>
  <c r="P216" i="47"/>
  <c r="P217" i="47"/>
  <c r="P218" i="47"/>
  <c r="B2" i="104" l="1"/>
  <c r="B3" i="104"/>
  <c r="B4" i="104"/>
  <c r="B5" i="104"/>
  <c r="B6" i="104"/>
  <c r="B7" i="104"/>
  <c r="B8" i="104"/>
  <c r="B9" i="104"/>
  <c r="B10" i="104"/>
  <c r="B11" i="104"/>
  <c r="B12" i="104"/>
  <c r="B13" i="104"/>
  <c r="B14" i="104"/>
  <c r="B15" i="104"/>
  <c r="B16" i="104"/>
  <c r="B17" i="104"/>
  <c r="B18" i="104"/>
  <c r="B19" i="104"/>
  <c r="B20" i="104"/>
  <c r="B21" i="104"/>
  <c r="B22" i="104"/>
  <c r="B23" i="104"/>
  <c r="B24" i="104"/>
  <c r="B25" i="104"/>
  <c r="R49" i="48" a="1"/>
  <c r="R49" i="48" s="1"/>
  <c r="T49" i="48"/>
  <c r="V49" i="48" a="1"/>
  <c r="V49" i="48" s="1"/>
  <c r="W49" i="48" a="1"/>
  <c r="W49" i="48" s="1"/>
  <c r="Y49" i="48" a="1"/>
  <c r="Y49" i="48" s="1"/>
  <c r="AA49" i="48"/>
  <c r="AD49" i="48" a="1"/>
  <c r="AD49" i="48" s="1"/>
  <c r="AF49" i="48" a="1"/>
  <c r="AF49" i="48" s="1"/>
  <c r="AH49" i="48"/>
  <c r="AK49" i="48" a="1"/>
  <c r="AK49" i="48" s="1"/>
  <c r="AM49" i="48" a="1"/>
  <c r="AM49" i="48" s="1"/>
  <c r="AO49" i="48"/>
  <c r="R50" i="48" a="1"/>
  <c r="R50" i="48" s="1"/>
  <c r="T50" i="48"/>
  <c r="W50" i="48" a="1"/>
  <c r="W50" i="48" s="1"/>
  <c r="Y50" i="48" a="1"/>
  <c r="Y50" i="48" s="1"/>
  <c r="AA50" i="48"/>
  <c r="AD50" i="48" a="1"/>
  <c r="AD50" i="48" s="1"/>
  <c r="AF50" i="48" a="1"/>
  <c r="AF50" i="48" s="1"/>
  <c r="AH50" i="48"/>
  <c r="AK50" i="48" a="1"/>
  <c r="AK50" i="48" s="1"/>
  <c r="AM50" i="48" a="1"/>
  <c r="AM50" i="48" s="1"/>
  <c r="AO50" i="48"/>
  <c r="R51" i="48" a="1"/>
  <c r="R51" i="48" s="1"/>
  <c r="T51" i="48"/>
  <c r="W51" i="48" a="1"/>
  <c r="W51" i="48" s="1"/>
  <c r="Y51" i="48" a="1"/>
  <c r="Y51" i="48" s="1"/>
  <c r="AA51" i="48"/>
  <c r="AD51" i="48" a="1"/>
  <c r="AD51" i="48" s="1"/>
  <c r="AF51" i="48" a="1"/>
  <c r="AF51" i="48" s="1"/>
  <c r="AH51" i="48"/>
  <c r="AK51" i="48" a="1"/>
  <c r="AK51" i="48" s="1"/>
  <c r="AM51" i="48" a="1"/>
  <c r="AM51" i="48" s="1"/>
  <c r="AO51" i="48"/>
  <c r="R52" i="48" a="1"/>
  <c r="R52" i="48" s="1"/>
  <c r="T52" i="48"/>
  <c r="W52" i="48" a="1"/>
  <c r="W52" i="48" s="1"/>
  <c r="Y52" i="48" a="1"/>
  <c r="Y52" i="48" s="1"/>
  <c r="AA52" i="48"/>
  <c r="AD52" i="48" a="1"/>
  <c r="AD52" i="48" s="1"/>
  <c r="AF52" i="48" a="1"/>
  <c r="AF52" i="48" s="1"/>
  <c r="AH52" i="48"/>
  <c r="AK52" i="48" a="1"/>
  <c r="AK52" i="48" s="1"/>
  <c r="AM52" i="48" a="1"/>
  <c r="AM52" i="48" s="1"/>
  <c r="AO52" i="48"/>
  <c r="R53" i="48" a="1"/>
  <c r="R53" i="48" s="1"/>
  <c r="T53" i="48"/>
  <c r="W53" i="48" a="1"/>
  <c r="W53" i="48" s="1"/>
  <c r="Y53" i="48" a="1"/>
  <c r="Y53" i="48" s="1"/>
  <c r="AA53" i="48"/>
  <c r="AD53" i="48" a="1"/>
  <c r="AD53" i="48" s="1"/>
  <c r="AF53" i="48" a="1"/>
  <c r="AF53" i="48" s="1"/>
  <c r="AH53" i="48"/>
  <c r="AK53" i="48" a="1"/>
  <c r="AK53" i="48" s="1"/>
  <c r="AM53" i="48" a="1"/>
  <c r="AM53" i="48" s="1"/>
  <c r="AO53" i="48"/>
  <c r="R54" i="48" a="1"/>
  <c r="R54" i="48" s="1"/>
  <c r="T54" i="48"/>
  <c r="AS54" i="48" s="1"/>
  <c r="W54" i="48" a="1"/>
  <c r="W54" i="48" s="1"/>
  <c r="Y54" i="48" a="1"/>
  <c r="Y54" i="48" s="1"/>
  <c r="AA54" i="48"/>
  <c r="AD54" i="48" a="1"/>
  <c r="AD54" i="48" s="1"/>
  <c r="AF54" i="48" a="1"/>
  <c r="AF54" i="48" s="1"/>
  <c r="AH54" i="48"/>
  <c r="AK54" i="48" a="1"/>
  <c r="AK54" i="48" s="1"/>
  <c r="AM54" i="48" a="1"/>
  <c r="AM54" i="48" s="1"/>
  <c r="AO54" i="48"/>
  <c r="R55" i="48" a="1"/>
  <c r="R55" i="48" s="1"/>
  <c r="T55" i="48"/>
  <c r="W55" i="48" a="1"/>
  <c r="W55" i="48" s="1"/>
  <c r="Y55" i="48" a="1"/>
  <c r="Y55" i="48" s="1"/>
  <c r="AA55" i="48"/>
  <c r="AD55" i="48" a="1"/>
  <c r="AD55" i="48" s="1"/>
  <c r="AF55" i="48" a="1"/>
  <c r="AF55" i="48" s="1"/>
  <c r="AH55" i="48"/>
  <c r="AK55" i="48" a="1"/>
  <c r="AK55" i="48" s="1"/>
  <c r="AM55" i="48" a="1"/>
  <c r="AM55" i="48" s="1"/>
  <c r="AO55" i="48"/>
  <c r="R56" i="48" a="1"/>
  <c r="R56" i="48" s="1"/>
  <c r="T56" i="48"/>
  <c r="AS56" i="48" s="1"/>
  <c r="W56" i="48" a="1"/>
  <c r="W56" i="48" s="1"/>
  <c r="Y56" i="48" a="1"/>
  <c r="Y56" i="48" s="1"/>
  <c r="AA56" i="48"/>
  <c r="AD56" i="48" a="1"/>
  <c r="AD56" i="48" s="1"/>
  <c r="AF56" i="48" a="1"/>
  <c r="AF56" i="48" s="1"/>
  <c r="AH56" i="48"/>
  <c r="AK56" i="48" a="1"/>
  <c r="AK56" i="48" s="1"/>
  <c r="AM56" i="48" a="1"/>
  <c r="AM56" i="48" s="1"/>
  <c r="AO56" i="48"/>
  <c r="R57" i="48" a="1"/>
  <c r="R57" i="48" s="1"/>
  <c r="T57" i="48"/>
  <c r="AS57" i="48" s="1"/>
  <c r="W57" i="48" a="1"/>
  <c r="W57" i="48" s="1"/>
  <c r="Y57" i="48" a="1"/>
  <c r="Y57" i="48" s="1"/>
  <c r="AA57" i="48"/>
  <c r="AD57" i="48" a="1"/>
  <c r="AD57" i="48" s="1"/>
  <c r="AF57" i="48" a="1"/>
  <c r="AF57" i="48" s="1"/>
  <c r="AH57" i="48"/>
  <c r="AK57" i="48" a="1"/>
  <c r="AK57" i="48" s="1"/>
  <c r="AM57" i="48" a="1"/>
  <c r="AM57" i="48" s="1"/>
  <c r="AO57" i="48"/>
  <c r="R58" i="48" a="1"/>
  <c r="R58" i="48" s="1"/>
  <c r="T58" i="48"/>
  <c r="W58" i="48" a="1"/>
  <c r="W58" i="48" s="1"/>
  <c r="Y58" i="48" a="1"/>
  <c r="Y58" i="48" s="1"/>
  <c r="AA58" i="48"/>
  <c r="AD58" i="48" a="1"/>
  <c r="AD58" i="48" s="1"/>
  <c r="AF58" i="48" a="1"/>
  <c r="AF58" i="48" s="1"/>
  <c r="AH58" i="48"/>
  <c r="AK58" i="48" a="1"/>
  <c r="AK58" i="48" s="1"/>
  <c r="AM58" i="48" a="1"/>
  <c r="AM58" i="48" s="1"/>
  <c r="AO58" i="48"/>
  <c r="R59" i="48" a="1"/>
  <c r="R59" i="48" s="1"/>
  <c r="T59" i="48"/>
  <c r="W59" i="48" a="1"/>
  <c r="W59" i="48" s="1"/>
  <c r="Y59" i="48" a="1"/>
  <c r="Y59" i="48" s="1"/>
  <c r="AA59" i="48"/>
  <c r="AD59" i="48" a="1"/>
  <c r="AD59" i="48" s="1"/>
  <c r="AF59" i="48" a="1"/>
  <c r="AF59" i="48" s="1"/>
  <c r="AH59" i="48"/>
  <c r="AK59" i="48" a="1"/>
  <c r="AK59" i="48" s="1"/>
  <c r="AM59" i="48" a="1"/>
  <c r="AM59" i="48" s="1"/>
  <c r="AO59" i="48"/>
  <c r="R60" i="48" a="1"/>
  <c r="R60" i="48" s="1"/>
  <c r="T60" i="48"/>
  <c r="W60" i="48" a="1"/>
  <c r="W60" i="48" s="1"/>
  <c r="Y60" i="48" a="1"/>
  <c r="Y60" i="48" s="1"/>
  <c r="AA60" i="48"/>
  <c r="AD60" i="48" a="1"/>
  <c r="AD60" i="48" s="1"/>
  <c r="AF60" i="48" a="1"/>
  <c r="AF60" i="48" s="1"/>
  <c r="AH60" i="48"/>
  <c r="AK60" i="48" a="1"/>
  <c r="AK60" i="48" s="1"/>
  <c r="AM60" i="48" a="1"/>
  <c r="AM60" i="48" s="1"/>
  <c r="AO60" i="48"/>
  <c r="R61" i="48" a="1"/>
  <c r="R61" i="48" s="1"/>
  <c r="T61" i="48"/>
  <c r="W61" i="48" a="1"/>
  <c r="W61" i="48" s="1"/>
  <c r="Y61" i="48" a="1"/>
  <c r="Y61" i="48" s="1"/>
  <c r="AA61" i="48"/>
  <c r="AD61" i="48" a="1"/>
  <c r="AD61" i="48" s="1"/>
  <c r="AF61" i="48" a="1"/>
  <c r="AF61" i="48" s="1"/>
  <c r="AH61" i="48"/>
  <c r="AK61" i="48" a="1"/>
  <c r="AK61" i="48" s="1"/>
  <c r="AM61" i="48" a="1"/>
  <c r="AM61" i="48" s="1"/>
  <c r="AO61" i="48"/>
  <c r="R62" i="48" a="1"/>
  <c r="R62" i="48" s="1"/>
  <c r="T62" i="48"/>
  <c r="AS62" i="48" s="1"/>
  <c r="W62" i="48" a="1"/>
  <c r="W62" i="48" s="1"/>
  <c r="Y62" i="48" a="1"/>
  <c r="Y62" i="48" s="1"/>
  <c r="AA62" i="48"/>
  <c r="AD62" i="48" a="1"/>
  <c r="AD62" i="48" s="1"/>
  <c r="AF62" i="48" a="1"/>
  <c r="AF62" i="48" s="1"/>
  <c r="AH62" i="48"/>
  <c r="AK62" i="48" a="1"/>
  <c r="AK62" i="48" s="1"/>
  <c r="AM62" i="48" a="1"/>
  <c r="AM62" i="48" s="1"/>
  <c r="AO62" i="48"/>
  <c r="R63" i="48" a="1"/>
  <c r="R63" i="48" s="1"/>
  <c r="T63" i="48"/>
  <c r="W63" i="48" a="1"/>
  <c r="W63" i="48" s="1"/>
  <c r="Y63" i="48" a="1"/>
  <c r="Y63" i="48" s="1"/>
  <c r="AA63" i="48"/>
  <c r="AD63" i="48" a="1"/>
  <c r="AD63" i="48" s="1"/>
  <c r="AF63" i="48" a="1"/>
  <c r="AF63" i="48" s="1"/>
  <c r="AH63" i="48"/>
  <c r="AK63" i="48" a="1"/>
  <c r="AK63" i="48" s="1"/>
  <c r="AM63" i="48" a="1"/>
  <c r="AM63" i="48" s="1"/>
  <c r="AO63" i="48"/>
  <c r="R64" i="48" a="1"/>
  <c r="R64" i="48" s="1"/>
  <c r="T64" i="48"/>
  <c r="AS64" i="48" s="1"/>
  <c r="W64" i="48" a="1"/>
  <c r="W64" i="48" s="1"/>
  <c r="Y64" i="48" a="1"/>
  <c r="Y64" i="48" s="1"/>
  <c r="AA64" i="48"/>
  <c r="AD64" i="48" a="1"/>
  <c r="AD64" i="48" s="1"/>
  <c r="AF64" i="48" a="1"/>
  <c r="AF64" i="48" s="1"/>
  <c r="AH64" i="48"/>
  <c r="AK64" i="48" a="1"/>
  <c r="AK64" i="48" s="1"/>
  <c r="AM64" i="48" a="1"/>
  <c r="AM64" i="48" s="1"/>
  <c r="AO64" i="48"/>
  <c r="R65" i="48" a="1"/>
  <c r="R65" i="48" s="1"/>
  <c r="T65" i="48"/>
  <c r="AS65" i="48" s="1"/>
  <c r="W65" i="48" a="1"/>
  <c r="W65" i="48" s="1"/>
  <c r="Y65" i="48" a="1"/>
  <c r="Y65" i="48" s="1"/>
  <c r="AA65" i="48"/>
  <c r="AD65" i="48" a="1"/>
  <c r="AD65" i="48" s="1"/>
  <c r="AF65" i="48" a="1"/>
  <c r="AF65" i="48" s="1"/>
  <c r="AH65" i="48"/>
  <c r="AK65" i="48" a="1"/>
  <c r="AK65" i="48" s="1"/>
  <c r="AM65" i="48" a="1"/>
  <c r="AM65" i="48" s="1"/>
  <c r="AO65" i="48"/>
  <c r="R66" i="48" a="1"/>
  <c r="R66" i="48" s="1"/>
  <c r="T66" i="48"/>
  <c r="W66" i="48" a="1"/>
  <c r="W66" i="48" s="1"/>
  <c r="Y66" i="48" a="1"/>
  <c r="Y66" i="48" s="1"/>
  <c r="AA66" i="48"/>
  <c r="AD66" i="48" a="1"/>
  <c r="AD66" i="48" s="1"/>
  <c r="AF66" i="48" a="1"/>
  <c r="AF66" i="48" s="1"/>
  <c r="AH66" i="48"/>
  <c r="AK66" i="48" a="1"/>
  <c r="AK66" i="48" s="1"/>
  <c r="AM66" i="48" a="1"/>
  <c r="AM66" i="48" s="1"/>
  <c r="AO66" i="48"/>
  <c r="R67" i="48" a="1"/>
  <c r="R67" i="48" s="1"/>
  <c r="T67" i="48"/>
  <c r="W67" i="48" a="1"/>
  <c r="W67" i="48" s="1"/>
  <c r="Y67" i="48" a="1"/>
  <c r="Y67" i="48" s="1"/>
  <c r="AA67" i="48"/>
  <c r="AD67" i="48" a="1"/>
  <c r="AD67" i="48" s="1"/>
  <c r="AF67" i="48" a="1"/>
  <c r="AF67" i="48" s="1"/>
  <c r="AH67" i="48"/>
  <c r="AK67" i="48" a="1"/>
  <c r="AK67" i="48" s="1"/>
  <c r="AM67" i="48" a="1"/>
  <c r="AM67" i="48" s="1"/>
  <c r="AO67" i="48"/>
  <c r="R68" i="48" a="1"/>
  <c r="R68" i="48" s="1"/>
  <c r="T68" i="48"/>
  <c r="W68" i="48" a="1"/>
  <c r="W68" i="48" s="1"/>
  <c r="Y68" i="48" a="1"/>
  <c r="Y68" i="48" s="1"/>
  <c r="AA68" i="48"/>
  <c r="AD68" i="48" a="1"/>
  <c r="AD68" i="48" s="1"/>
  <c r="AF68" i="48" a="1"/>
  <c r="AF68" i="48" s="1"/>
  <c r="AH68" i="48"/>
  <c r="AK68" i="48" a="1"/>
  <c r="AK68" i="48" s="1"/>
  <c r="AM68" i="48" a="1"/>
  <c r="AM68" i="48" s="1"/>
  <c r="AO68" i="48"/>
  <c r="R69" i="48" a="1"/>
  <c r="R69" i="48" s="1"/>
  <c r="T69" i="48"/>
  <c r="W69" i="48" a="1"/>
  <c r="W69" i="48" s="1"/>
  <c r="Y69" i="48" a="1"/>
  <c r="Y69" i="48" s="1"/>
  <c r="AA69" i="48"/>
  <c r="AD69" i="48" a="1"/>
  <c r="AD69" i="48" s="1"/>
  <c r="AF69" i="48" a="1"/>
  <c r="AF69" i="48" s="1"/>
  <c r="AH69" i="48"/>
  <c r="AK69" i="48" a="1"/>
  <c r="AK69" i="48" s="1"/>
  <c r="AM69" i="48" a="1"/>
  <c r="AM69" i="48" s="1"/>
  <c r="AO69" i="48"/>
  <c r="R70" i="48" a="1"/>
  <c r="R70" i="48" s="1"/>
  <c r="T70" i="48"/>
  <c r="AS70" i="48" s="1"/>
  <c r="W70" i="48" a="1"/>
  <c r="W70" i="48" s="1"/>
  <c r="Y70" i="48" a="1"/>
  <c r="Y70" i="48" s="1"/>
  <c r="AA70" i="48"/>
  <c r="AD70" i="48" a="1"/>
  <c r="AD70" i="48" s="1"/>
  <c r="AF70" i="48" a="1"/>
  <c r="AF70" i="48" s="1"/>
  <c r="AH70" i="48"/>
  <c r="AK70" i="48" a="1"/>
  <c r="AK70" i="48" s="1"/>
  <c r="AM70" i="48" a="1"/>
  <c r="AM70" i="48" s="1"/>
  <c r="AO70" i="48"/>
  <c r="R71" i="48" a="1"/>
  <c r="R71" i="48" s="1"/>
  <c r="T71" i="48"/>
  <c r="AS71" i="48" s="1"/>
  <c r="W71" i="48" a="1"/>
  <c r="W71" i="48" s="1"/>
  <c r="Y71" i="48" a="1"/>
  <c r="Y71" i="48" s="1"/>
  <c r="AA71" i="48"/>
  <c r="AD71" i="48" a="1"/>
  <c r="AD71" i="48" s="1"/>
  <c r="AF71" i="48" a="1"/>
  <c r="AF71" i="48" s="1"/>
  <c r="AH71" i="48"/>
  <c r="AK71" i="48" a="1"/>
  <c r="AK71" i="48" s="1"/>
  <c r="AM71" i="48" a="1"/>
  <c r="AM71" i="48" s="1"/>
  <c r="AO71" i="48"/>
  <c r="R72" i="48" a="1"/>
  <c r="R72" i="48" s="1"/>
  <c r="T72" i="48"/>
  <c r="AS72" i="48" s="1"/>
  <c r="W72" i="48" a="1"/>
  <c r="W72" i="48" s="1"/>
  <c r="Y72" i="48" a="1"/>
  <c r="Y72" i="48" s="1"/>
  <c r="AA72" i="48"/>
  <c r="AD72" i="48" a="1"/>
  <c r="AD72" i="48" s="1"/>
  <c r="AF72" i="48" a="1"/>
  <c r="AF72" i="48" s="1"/>
  <c r="AH72" i="48"/>
  <c r="AK72" i="48" a="1"/>
  <c r="AK72" i="48" s="1"/>
  <c r="AM72" i="48" a="1"/>
  <c r="AM72" i="48" s="1"/>
  <c r="AO72" i="48"/>
  <c r="R73" i="48" a="1"/>
  <c r="R73" i="48" s="1"/>
  <c r="T73" i="48"/>
  <c r="W73" i="48" a="1"/>
  <c r="W73" i="48" s="1"/>
  <c r="Y73" i="48" a="1"/>
  <c r="Y73" i="48" s="1"/>
  <c r="AA73" i="48"/>
  <c r="AD73" i="48" a="1"/>
  <c r="AD73" i="48" s="1"/>
  <c r="AF73" i="48" a="1"/>
  <c r="AF73" i="48" s="1"/>
  <c r="AH73" i="48"/>
  <c r="AK73" i="48" a="1"/>
  <c r="AK73" i="48" s="1"/>
  <c r="AM73" i="48" a="1"/>
  <c r="AM73" i="48" s="1"/>
  <c r="AO73" i="48"/>
  <c r="R74" i="48" a="1"/>
  <c r="R74" i="48" s="1"/>
  <c r="T74" i="48"/>
  <c r="W74" i="48" a="1"/>
  <c r="W74" i="48" s="1"/>
  <c r="Y74" i="48" a="1"/>
  <c r="Y74" i="48" s="1"/>
  <c r="AA74" i="48"/>
  <c r="AD74" i="48" a="1"/>
  <c r="AD74" i="48" s="1"/>
  <c r="AF74" i="48" a="1"/>
  <c r="AF74" i="48" s="1"/>
  <c r="AH74" i="48"/>
  <c r="AK74" i="48" a="1"/>
  <c r="AK74" i="48" s="1"/>
  <c r="AM74" i="48" a="1"/>
  <c r="AM74" i="48" s="1"/>
  <c r="AO74" i="48"/>
  <c r="R75" i="48" a="1"/>
  <c r="R75" i="48" s="1"/>
  <c r="T75" i="48"/>
  <c r="W75" i="48" a="1"/>
  <c r="W75" i="48" s="1"/>
  <c r="Y75" i="48" a="1"/>
  <c r="Y75" i="48" s="1"/>
  <c r="AA75" i="48"/>
  <c r="AD75" i="48" a="1"/>
  <c r="AD75" i="48" s="1"/>
  <c r="AF75" i="48" a="1"/>
  <c r="AF75" i="48" s="1"/>
  <c r="AH75" i="48"/>
  <c r="AK75" i="48" a="1"/>
  <c r="AK75" i="48" s="1"/>
  <c r="AM75" i="48" a="1"/>
  <c r="AM75" i="48" s="1"/>
  <c r="AO75" i="48"/>
  <c r="R76" i="48" a="1"/>
  <c r="R76" i="48" s="1"/>
  <c r="T76" i="48"/>
  <c r="AS76" i="48" s="1"/>
  <c r="W76" i="48" a="1"/>
  <c r="W76" i="48" s="1"/>
  <c r="Y76" i="48" a="1"/>
  <c r="Y76" i="48" s="1"/>
  <c r="AA76" i="48"/>
  <c r="AD76" i="48" a="1"/>
  <c r="AD76" i="48" s="1"/>
  <c r="AF76" i="48" a="1"/>
  <c r="AF76" i="48" s="1"/>
  <c r="AH76" i="48"/>
  <c r="AK76" i="48" a="1"/>
  <c r="AK76" i="48" s="1"/>
  <c r="AM76" i="48" a="1"/>
  <c r="AM76" i="48" s="1"/>
  <c r="AO76" i="48"/>
  <c r="R77" i="48" a="1"/>
  <c r="R77" i="48" s="1"/>
  <c r="T77" i="48"/>
  <c r="AS77" i="48" s="1"/>
  <c r="W77" i="48" a="1"/>
  <c r="W77" i="48" s="1"/>
  <c r="Y77" i="48" a="1"/>
  <c r="Y77" i="48" s="1"/>
  <c r="AA77" i="48"/>
  <c r="AD77" i="48" a="1"/>
  <c r="AD77" i="48" s="1"/>
  <c r="AF77" i="48" a="1"/>
  <c r="AF77" i="48" s="1"/>
  <c r="AH77" i="48"/>
  <c r="AK77" i="48" a="1"/>
  <c r="AK77" i="48" s="1"/>
  <c r="AM77" i="48" a="1"/>
  <c r="AM77" i="48" s="1"/>
  <c r="AO77" i="48"/>
  <c r="R78" i="48" a="1"/>
  <c r="R78" i="48" s="1"/>
  <c r="T78" i="48"/>
  <c r="AS78" i="48" s="1"/>
  <c r="W78" i="48" a="1"/>
  <c r="W78" i="48" s="1"/>
  <c r="Y78" i="48" a="1"/>
  <c r="Y78" i="48" s="1"/>
  <c r="AA78" i="48"/>
  <c r="AD78" i="48" a="1"/>
  <c r="AD78" i="48" s="1"/>
  <c r="AF78" i="48" a="1"/>
  <c r="AF78" i="48" s="1"/>
  <c r="AH78" i="48"/>
  <c r="AK78" i="48" a="1"/>
  <c r="AK78" i="48" s="1"/>
  <c r="AM78" i="48" a="1"/>
  <c r="AM78" i="48" s="1"/>
  <c r="AO78" i="48"/>
  <c r="R79" i="48" a="1"/>
  <c r="R79" i="48" s="1"/>
  <c r="T79" i="48"/>
  <c r="AS79" i="48" s="1"/>
  <c r="W79" i="48" a="1"/>
  <c r="W79" i="48" s="1"/>
  <c r="Y79" i="48" a="1"/>
  <c r="Y79" i="48" s="1"/>
  <c r="AA79" i="48"/>
  <c r="AD79" i="48" a="1"/>
  <c r="AD79" i="48" s="1"/>
  <c r="AF79" i="48" a="1"/>
  <c r="AF79" i="48" s="1"/>
  <c r="AH79" i="48"/>
  <c r="AK79" i="48" a="1"/>
  <c r="AK79" i="48" s="1"/>
  <c r="AM79" i="48" a="1"/>
  <c r="AM79" i="48" s="1"/>
  <c r="AO79" i="48"/>
  <c r="R80" i="48" a="1"/>
  <c r="R80" i="48" s="1"/>
  <c r="T80" i="48"/>
  <c r="AS80" i="48" s="1"/>
  <c r="W80" i="48" a="1"/>
  <c r="W80" i="48" s="1"/>
  <c r="Y80" i="48" a="1"/>
  <c r="Y80" i="48" s="1"/>
  <c r="AA80" i="48"/>
  <c r="AD80" i="48" a="1"/>
  <c r="AD80" i="48" s="1"/>
  <c r="AF80" i="48" a="1"/>
  <c r="AF80" i="48" s="1"/>
  <c r="AH80" i="48"/>
  <c r="AK80" i="48" a="1"/>
  <c r="AK80" i="48" s="1"/>
  <c r="AM80" i="48" a="1"/>
  <c r="AM80" i="48" s="1"/>
  <c r="AO80" i="48"/>
  <c r="R81" i="48" a="1"/>
  <c r="R81" i="48" s="1"/>
  <c r="T81" i="48"/>
  <c r="W81" i="48" a="1"/>
  <c r="W81" i="48" s="1"/>
  <c r="Y81" i="48" a="1"/>
  <c r="Y81" i="48" s="1"/>
  <c r="AA81" i="48"/>
  <c r="AD81" i="48" a="1"/>
  <c r="AD81" i="48" s="1"/>
  <c r="AF81" i="48" a="1"/>
  <c r="AF81" i="48" s="1"/>
  <c r="AH81" i="48"/>
  <c r="AK81" i="48" a="1"/>
  <c r="AK81" i="48" s="1"/>
  <c r="AM81" i="48" a="1"/>
  <c r="AM81" i="48" s="1"/>
  <c r="AO81" i="48"/>
  <c r="R82" i="48" a="1"/>
  <c r="R82" i="48" s="1"/>
  <c r="T82" i="48"/>
  <c r="AS82" i="48" s="1"/>
  <c r="W82" i="48" a="1"/>
  <c r="W82" i="48" s="1"/>
  <c r="Y82" i="48" a="1"/>
  <c r="Y82" i="48" s="1"/>
  <c r="AA82" i="48"/>
  <c r="AD82" i="48" a="1"/>
  <c r="AD82" i="48" s="1"/>
  <c r="AF82" i="48" a="1"/>
  <c r="AF82" i="48" s="1"/>
  <c r="AH82" i="48"/>
  <c r="AK82" i="48" a="1"/>
  <c r="AK82" i="48" s="1"/>
  <c r="AM82" i="48" a="1"/>
  <c r="AM82" i="48" s="1"/>
  <c r="AO82" i="48"/>
  <c r="R83" i="48" a="1"/>
  <c r="R83" i="48" s="1"/>
  <c r="T83" i="48"/>
  <c r="AS83" i="48" s="1"/>
  <c r="W83" i="48" a="1"/>
  <c r="W83" i="48" s="1"/>
  <c r="Y83" i="48" a="1"/>
  <c r="Y83" i="48" s="1"/>
  <c r="AA83" i="48"/>
  <c r="AD83" i="48" a="1"/>
  <c r="AD83" i="48" s="1"/>
  <c r="AF83" i="48" a="1"/>
  <c r="AF83" i="48" s="1"/>
  <c r="AH83" i="48"/>
  <c r="AK83" i="48" a="1"/>
  <c r="AK83" i="48" s="1"/>
  <c r="AM83" i="48" a="1"/>
  <c r="AM83" i="48" s="1"/>
  <c r="AO83" i="48"/>
  <c r="R84" i="48" a="1"/>
  <c r="R84" i="48" s="1"/>
  <c r="T84" i="48"/>
  <c r="AS84" i="48" s="1"/>
  <c r="W84" i="48" a="1"/>
  <c r="W84" i="48" s="1"/>
  <c r="Y84" i="48" a="1"/>
  <c r="Y84" i="48" s="1"/>
  <c r="AA84" i="48"/>
  <c r="AD84" i="48" a="1"/>
  <c r="AD84" i="48" s="1"/>
  <c r="AF84" i="48" a="1"/>
  <c r="AF84" i="48" s="1"/>
  <c r="AH84" i="48"/>
  <c r="AK84" i="48" a="1"/>
  <c r="AK84" i="48" s="1"/>
  <c r="AM84" i="48" a="1"/>
  <c r="AM84" i="48" s="1"/>
  <c r="AO84" i="48"/>
  <c r="R85" i="48" a="1"/>
  <c r="R85" i="48" s="1"/>
  <c r="T85" i="48"/>
  <c r="W85" i="48" a="1"/>
  <c r="W85" i="48" s="1"/>
  <c r="Y85" i="48" a="1"/>
  <c r="Y85" i="48" s="1"/>
  <c r="AA85" i="48"/>
  <c r="AD85" i="48" a="1"/>
  <c r="AD85" i="48" s="1"/>
  <c r="AF85" i="48" a="1"/>
  <c r="AF85" i="48" s="1"/>
  <c r="AH85" i="48"/>
  <c r="AK85" i="48" a="1"/>
  <c r="AK85" i="48" s="1"/>
  <c r="AM85" i="48" a="1"/>
  <c r="AM85" i="48" s="1"/>
  <c r="AO85" i="48"/>
  <c r="R86" i="48" a="1"/>
  <c r="R86" i="48" s="1"/>
  <c r="T86" i="48"/>
  <c r="AS86" i="48" s="1"/>
  <c r="W86" i="48" a="1"/>
  <c r="W86" i="48" s="1"/>
  <c r="Y86" i="48" a="1"/>
  <c r="Y86" i="48" s="1"/>
  <c r="AA86" i="48"/>
  <c r="AD86" i="48" a="1"/>
  <c r="AD86" i="48" s="1"/>
  <c r="AF86" i="48" a="1"/>
  <c r="AF86" i="48" s="1"/>
  <c r="AH86" i="48"/>
  <c r="AK86" i="48" a="1"/>
  <c r="AK86" i="48" s="1"/>
  <c r="AM86" i="48" a="1"/>
  <c r="AM86" i="48" s="1"/>
  <c r="AO86" i="48"/>
  <c r="R87" i="48" a="1"/>
  <c r="R87" i="48" s="1"/>
  <c r="T87" i="48"/>
  <c r="AS87" i="48" s="1"/>
  <c r="W87" i="48" a="1"/>
  <c r="W87" i="48" s="1"/>
  <c r="Y87" i="48" a="1"/>
  <c r="Y87" i="48" s="1"/>
  <c r="AA87" i="48"/>
  <c r="AD87" i="48" a="1"/>
  <c r="AD87" i="48" s="1"/>
  <c r="AF87" i="48" a="1"/>
  <c r="AF87" i="48" s="1"/>
  <c r="AH87" i="48"/>
  <c r="AK87" i="48" a="1"/>
  <c r="AK87" i="48" s="1"/>
  <c r="AM87" i="48" a="1"/>
  <c r="AM87" i="48" s="1"/>
  <c r="AO87" i="48"/>
  <c r="R88" i="48" a="1"/>
  <c r="R88" i="48" s="1"/>
  <c r="T88" i="48"/>
  <c r="AS88" i="48" s="1"/>
  <c r="W88" i="48" a="1"/>
  <c r="W88" i="48" s="1"/>
  <c r="Y88" i="48" a="1"/>
  <c r="Y88" i="48" s="1"/>
  <c r="AA88" i="48"/>
  <c r="AD88" i="48" a="1"/>
  <c r="AD88" i="48" s="1"/>
  <c r="AF88" i="48" a="1"/>
  <c r="AF88" i="48" s="1"/>
  <c r="AH88" i="48"/>
  <c r="AK88" i="48" a="1"/>
  <c r="AK88" i="48" s="1"/>
  <c r="AM88" i="48" a="1"/>
  <c r="AM88" i="48" s="1"/>
  <c r="AO88" i="48"/>
  <c r="R89" i="48" a="1"/>
  <c r="R89" i="48" s="1"/>
  <c r="T89" i="48"/>
  <c r="W89" i="48" a="1"/>
  <c r="W89" i="48" s="1"/>
  <c r="Y89" i="48" a="1"/>
  <c r="Y89" i="48" s="1"/>
  <c r="AA89" i="48"/>
  <c r="AD89" i="48" a="1"/>
  <c r="AD89" i="48" s="1"/>
  <c r="AF89" i="48" a="1"/>
  <c r="AF89" i="48" s="1"/>
  <c r="AH89" i="48"/>
  <c r="AK89" i="48" a="1"/>
  <c r="AK89" i="48" s="1"/>
  <c r="AM89" i="48" a="1"/>
  <c r="AM89" i="48" s="1"/>
  <c r="AO89" i="48"/>
  <c r="R90" i="48" a="1"/>
  <c r="R90" i="48" s="1"/>
  <c r="T90" i="48"/>
  <c r="AS90" i="48" s="1"/>
  <c r="W90" i="48" a="1"/>
  <c r="W90" i="48" s="1"/>
  <c r="Y90" i="48" a="1"/>
  <c r="Y90" i="48" s="1"/>
  <c r="AA90" i="48"/>
  <c r="AD90" i="48" a="1"/>
  <c r="AD90" i="48" s="1"/>
  <c r="AF90" i="48" a="1"/>
  <c r="AF90" i="48" s="1"/>
  <c r="AH90" i="48"/>
  <c r="AK90" i="48" a="1"/>
  <c r="AK90" i="48" s="1"/>
  <c r="AM90" i="48" a="1"/>
  <c r="AM90" i="48" s="1"/>
  <c r="AO90" i="48"/>
  <c r="R91" i="48" a="1"/>
  <c r="R91" i="48" s="1"/>
  <c r="T91" i="48"/>
  <c r="AS91" i="48" s="1"/>
  <c r="W91" i="48" a="1"/>
  <c r="W91" i="48" s="1"/>
  <c r="Y91" i="48" a="1"/>
  <c r="Y91" i="48" s="1"/>
  <c r="AA91" i="48"/>
  <c r="AD91" i="48" a="1"/>
  <c r="AD91" i="48" s="1"/>
  <c r="AF91" i="48" a="1"/>
  <c r="AF91" i="48" s="1"/>
  <c r="AH91" i="48"/>
  <c r="AK91" i="48" a="1"/>
  <c r="AK91" i="48" s="1"/>
  <c r="AM91" i="48" a="1"/>
  <c r="AM91" i="48" s="1"/>
  <c r="AO91" i="48"/>
  <c r="R92" i="48" a="1"/>
  <c r="R92" i="48" s="1"/>
  <c r="T92" i="48"/>
  <c r="AS92" i="48" s="1"/>
  <c r="W92" i="48" a="1"/>
  <c r="W92" i="48" s="1"/>
  <c r="Y92" i="48" a="1"/>
  <c r="Y92" i="48" s="1"/>
  <c r="AA92" i="48"/>
  <c r="AD92" i="48" a="1"/>
  <c r="AD92" i="48" s="1"/>
  <c r="AF92" i="48" a="1"/>
  <c r="AF92" i="48" s="1"/>
  <c r="AH92" i="48"/>
  <c r="AK92" i="48" a="1"/>
  <c r="AK92" i="48" s="1"/>
  <c r="AM92" i="48" a="1"/>
  <c r="AM92" i="48" s="1"/>
  <c r="AO92" i="48"/>
  <c r="R93" i="48" a="1"/>
  <c r="R93" i="48" s="1"/>
  <c r="T93" i="48"/>
  <c r="W93" i="48" a="1"/>
  <c r="W93" i="48" s="1"/>
  <c r="Y93" i="48" a="1"/>
  <c r="Y93" i="48" s="1"/>
  <c r="AA93" i="48"/>
  <c r="AD93" i="48" a="1"/>
  <c r="AD93" i="48" s="1"/>
  <c r="AF93" i="48" a="1"/>
  <c r="AF93" i="48" s="1"/>
  <c r="AH93" i="48"/>
  <c r="AK93" i="48" a="1"/>
  <c r="AK93" i="48" s="1"/>
  <c r="AM93" i="48" a="1"/>
  <c r="AM93" i="48" s="1"/>
  <c r="AO93" i="48"/>
  <c r="R94" i="48" a="1"/>
  <c r="R94" i="48" s="1"/>
  <c r="T94" i="48"/>
  <c r="AS94" i="48" s="1"/>
  <c r="W94" i="48" a="1"/>
  <c r="W94" i="48" s="1"/>
  <c r="Y94" i="48" a="1"/>
  <c r="Y94" i="48" s="1"/>
  <c r="AA94" i="48"/>
  <c r="AD94" i="48" a="1"/>
  <c r="AD94" i="48" s="1"/>
  <c r="AF94" i="48" a="1"/>
  <c r="AF94" i="48" s="1"/>
  <c r="AH94" i="48"/>
  <c r="AK94" i="48" a="1"/>
  <c r="AK94" i="48" s="1"/>
  <c r="AM94" i="48" a="1"/>
  <c r="AM94" i="48" s="1"/>
  <c r="AO94" i="48"/>
  <c r="R95" i="48" a="1"/>
  <c r="R95" i="48" s="1"/>
  <c r="T95" i="48"/>
  <c r="W95" i="48" a="1"/>
  <c r="W95" i="48" s="1"/>
  <c r="Y95" i="48" a="1"/>
  <c r="Y95" i="48" s="1"/>
  <c r="AA95" i="48"/>
  <c r="AD95" i="48" a="1"/>
  <c r="AD95" i="48" s="1"/>
  <c r="AF95" i="48" a="1"/>
  <c r="AF95" i="48" s="1"/>
  <c r="AH95" i="48"/>
  <c r="AK95" i="48" a="1"/>
  <c r="AK95" i="48" s="1"/>
  <c r="AM95" i="48" a="1"/>
  <c r="AM95" i="48" s="1"/>
  <c r="AO95" i="48"/>
  <c r="R96" i="48" a="1"/>
  <c r="R96" i="48" s="1"/>
  <c r="T96" i="48"/>
  <c r="AS96" i="48" s="1"/>
  <c r="W96" i="48" a="1"/>
  <c r="W96" i="48" s="1"/>
  <c r="Y96" i="48" a="1"/>
  <c r="Y96" i="48" s="1"/>
  <c r="AA96" i="48"/>
  <c r="AD96" i="48" a="1"/>
  <c r="AD96" i="48" s="1"/>
  <c r="AF96" i="48" a="1"/>
  <c r="AF96" i="48" s="1"/>
  <c r="AH96" i="48"/>
  <c r="AK96" i="48" a="1"/>
  <c r="AK96" i="48" s="1"/>
  <c r="AM96" i="48" a="1"/>
  <c r="AM96" i="48" s="1"/>
  <c r="AO96" i="48"/>
  <c r="R97" i="48" a="1"/>
  <c r="R97" i="48" s="1"/>
  <c r="T97" i="48"/>
  <c r="AS97" i="48" s="1"/>
  <c r="W97" i="48" a="1"/>
  <c r="W97" i="48" s="1"/>
  <c r="Y97" i="48" a="1"/>
  <c r="Y97" i="48" s="1"/>
  <c r="AA97" i="48"/>
  <c r="AD97" i="48" a="1"/>
  <c r="AD97" i="48" s="1"/>
  <c r="AF97" i="48" a="1"/>
  <c r="AF97" i="48" s="1"/>
  <c r="AH97" i="48"/>
  <c r="AK97" i="48" a="1"/>
  <c r="AK97" i="48" s="1"/>
  <c r="AM97" i="48" a="1"/>
  <c r="AM97" i="48" s="1"/>
  <c r="AO97" i="48"/>
  <c r="R98" i="48" a="1"/>
  <c r="R98" i="48" s="1"/>
  <c r="T98" i="48"/>
  <c r="AS98" i="48" s="1"/>
  <c r="W98" i="48" a="1"/>
  <c r="W98" i="48" s="1"/>
  <c r="Y98" i="48" a="1"/>
  <c r="Y98" i="48" s="1"/>
  <c r="AA98" i="48"/>
  <c r="AD98" i="48" a="1"/>
  <c r="AD98" i="48" s="1"/>
  <c r="AF98" i="48" a="1"/>
  <c r="AF98" i="48" s="1"/>
  <c r="AH98" i="48"/>
  <c r="AK98" i="48" a="1"/>
  <c r="AK98" i="48" s="1"/>
  <c r="AM98" i="48" a="1"/>
  <c r="AM98" i="48" s="1"/>
  <c r="AO98" i="48"/>
  <c r="R99" i="48" a="1"/>
  <c r="R99" i="48" s="1"/>
  <c r="T99" i="48"/>
  <c r="AS99" i="48" s="1"/>
  <c r="W99" i="48" a="1"/>
  <c r="W99" i="48" s="1"/>
  <c r="Y99" i="48" a="1"/>
  <c r="Y99" i="48" s="1"/>
  <c r="AA99" i="48"/>
  <c r="AD99" i="48" a="1"/>
  <c r="AD99" i="48" s="1"/>
  <c r="AF99" i="48" a="1"/>
  <c r="AF99" i="48" s="1"/>
  <c r="AH99" i="48"/>
  <c r="AK99" i="48" a="1"/>
  <c r="AK99" i="48" s="1"/>
  <c r="AM99" i="48" a="1"/>
  <c r="AM99" i="48" s="1"/>
  <c r="AO99" i="48"/>
  <c r="R100" i="48" a="1"/>
  <c r="R100" i="48" s="1"/>
  <c r="T100" i="48"/>
  <c r="W100" i="48" a="1"/>
  <c r="W100" i="48" s="1"/>
  <c r="Y100" i="48" a="1"/>
  <c r="Y100" i="48" s="1"/>
  <c r="AA100" i="48"/>
  <c r="AD100" i="48" a="1"/>
  <c r="AD100" i="48" s="1"/>
  <c r="AF100" i="48" a="1"/>
  <c r="AF100" i="48" s="1"/>
  <c r="AH100" i="48"/>
  <c r="AK100" i="48" a="1"/>
  <c r="AK100" i="48" s="1"/>
  <c r="AM100" i="48" a="1"/>
  <c r="AM100" i="48" s="1"/>
  <c r="AO100" i="48"/>
  <c r="R101" i="48" a="1"/>
  <c r="R101" i="48" s="1"/>
  <c r="T101" i="48"/>
  <c r="W101" i="48" a="1"/>
  <c r="W101" i="48" s="1"/>
  <c r="Y101" i="48" a="1"/>
  <c r="Y101" i="48" s="1"/>
  <c r="AA101" i="48"/>
  <c r="AD101" i="48" a="1"/>
  <c r="AD101" i="48" s="1"/>
  <c r="AF101" i="48" a="1"/>
  <c r="AF101" i="48" s="1"/>
  <c r="AH101" i="48"/>
  <c r="AK101" i="48" a="1"/>
  <c r="AK101" i="48" s="1"/>
  <c r="AM101" i="48" a="1"/>
  <c r="AM101" i="48" s="1"/>
  <c r="AO101" i="48"/>
  <c r="R102" i="48" a="1"/>
  <c r="R102" i="48" s="1"/>
  <c r="T102" i="48"/>
  <c r="W102" i="48" a="1"/>
  <c r="W102" i="48" s="1"/>
  <c r="Y102" i="48" a="1"/>
  <c r="Y102" i="48" s="1"/>
  <c r="AA102" i="48"/>
  <c r="AD102" i="48" a="1"/>
  <c r="AD102" i="48" s="1"/>
  <c r="AF102" i="48" a="1"/>
  <c r="AF102" i="48" s="1"/>
  <c r="AH102" i="48"/>
  <c r="AK102" i="48" a="1"/>
  <c r="AK102" i="48" s="1"/>
  <c r="AM102" i="48" a="1"/>
  <c r="AM102" i="48" s="1"/>
  <c r="AO102" i="48"/>
  <c r="R103" i="48" a="1"/>
  <c r="R103" i="48" s="1"/>
  <c r="T103" i="48"/>
  <c r="AS103" i="48" s="1"/>
  <c r="W103" i="48" a="1"/>
  <c r="W103" i="48" s="1"/>
  <c r="Y103" i="48" a="1"/>
  <c r="Y103" i="48" s="1"/>
  <c r="AA103" i="48"/>
  <c r="AD103" i="48" a="1"/>
  <c r="AD103" i="48" s="1"/>
  <c r="AF103" i="48" a="1"/>
  <c r="AF103" i="48" s="1"/>
  <c r="AH103" i="48"/>
  <c r="AK103" i="48" a="1"/>
  <c r="AK103" i="48" s="1"/>
  <c r="AM103" i="48" a="1"/>
  <c r="AM103" i="48" s="1"/>
  <c r="AO103" i="48"/>
  <c r="R104" i="48" a="1"/>
  <c r="R104" i="48" s="1"/>
  <c r="T104" i="48"/>
  <c r="AS104" i="48" s="1"/>
  <c r="W104" i="48" a="1"/>
  <c r="W104" i="48" s="1"/>
  <c r="Y104" i="48" a="1"/>
  <c r="Y104" i="48" s="1"/>
  <c r="AA104" i="48"/>
  <c r="AD104" i="48" a="1"/>
  <c r="AD104" i="48" s="1"/>
  <c r="AF104" i="48" a="1"/>
  <c r="AF104" i="48" s="1"/>
  <c r="AH104" i="48"/>
  <c r="AK104" i="48" a="1"/>
  <c r="AK104" i="48" s="1"/>
  <c r="AM104" i="48" a="1"/>
  <c r="AM104" i="48" s="1"/>
  <c r="AO104" i="48"/>
  <c r="R105" i="48" a="1"/>
  <c r="R105" i="48" s="1"/>
  <c r="T105" i="48"/>
  <c r="W105" i="48" a="1"/>
  <c r="W105" i="48" s="1"/>
  <c r="Y105" i="48" a="1"/>
  <c r="Y105" i="48" s="1"/>
  <c r="AA105" i="48"/>
  <c r="AD105" i="48" a="1"/>
  <c r="AD105" i="48" s="1"/>
  <c r="AF105" i="48" a="1"/>
  <c r="AF105" i="48" s="1"/>
  <c r="AH105" i="48"/>
  <c r="AK105" i="48" a="1"/>
  <c r="AK105" i="48" s="1"/>
  <c r="AM105" i="48" a="1"/>
  <c r="AM105" i="48" s="1"/>
  <c r="AO105" i="48"/>
  <c r="R106" i="48" a="1"/>
  <c r="R106" i="48" s="1"/>
  <c r="T106" i="48"/>
  <c r="AS106" i="48" s="1"/>
  <c r="W106" i="48" a="1"/>
  <c r="W106" i="48" s="1"/>
  <c r="Y106" i="48" a="1"/>
  <c r="Y106" i="48" s="1"/>
  <c r="AA106" i="48"/>
  <c r="AD106" i="48" a="1"/>
  <c r="AD106" i="48" s="1"/>
  <c r="AF106" i="48" a="1"/>
  <c r="AF106" i="48" s="1"/>
  <c r="AH106" i="48"/>
  <c r="AK106" i="48" a="1"/>
  <c r="AK106" i="48" s="1"/>
  <c r="AM106" i="48" a="1"/>
  <c r="AM106" i="48" s="1"/>
  <c r="AO106" i="48"/>
  <c r="R107" i="48" a="1"/>
  <c r="R107" i="48" s="1"/>
  <c r="T107" i="48"/>
  <c r="AS107" i="48" s="1"/>
  <c r="W107" i="48" a="1"/>
  <c r="W107" i="48" s="1"/>
  <c r="Y107" i="48" a="1"/>
  <c r="Y107" i="48" s="1"/>
  <c r="AA107" i="48"/>
  <c r="AD107" i="48" a="1"/>
  <c r="AD107" i="48" s="1"/>
  <c r="AF107" i="48" a="1"/>
  <c r="AF107" i="48" s="1"/>
  <c r="AH107" i="48"/>
  <c r="AK107" i="48" a="1"/>
  <c r="AK107" i="48" s="1"/>
  <c r="AM107" i="48" a="1"/>
  <c r="AM107" i="48" s="1"/>
  <c r="AO107" i="48"/>
  <c r="R108" i="48" a="1"/>
  <c r="R108" i="48" s="1"/>
  <c r="T108" i="48"/>
  <c r="W108" i="48" a="1"/>
  <c r="W108" i="48" s="1"/>
  <c r="Y108" i="48" a="1"/>
  <c r="Y108" i="48" s="1"/>
  <c r="AA108" i="48"/>
  <c r="AD108" i="48" a="1"/>
  <c r="AD108" i="48" s="1"/>
  <c r="AF108" i="48" a="1"/>
  <c r="AF108" i="48" s="1"/>
  <c r="AH108" i="48"/>
  <c r="AK108" i="48" a="1"/>
  <c r="AK108" i="48" s="1"/>
  <c r="AM108" i="48" a="1"/>
  <c r="AM108" i="48" s="1"/>
  <c r="AO108" i="48"/>
  <c r="R109" i="48" a="1"/>
  <c r="R109" i="48" s="1"/>
  <c r="T109" i="48"/>
  <c r="W109" i="48" a="1"/>
  <c r="W109" i="48" s="1"/>
  <c r="Y109" i="48" a="1"/>
  <c r="Y109" i="48" s="1"/>
  <c r="AA109" i="48"/>
  <c r="AD109" i="48" a="1"/>
  <c r="AD109" i="48" s="1"/>
  <c r="AF109" i="48" a="1"/>
  <c r="AF109" i="48" s="1"/>
  <c r="AH109" i="48"/>
  <c r="AK109" i="48" a="1"/>
  <c r="AK109" i="48" s="1"/>
  <c r="AM109" i="48" a="1"/>
  <c r="AM109" i="48" s="1"/>
  <c r="AO109" i="48"/>
  <c r="R110" i="48" a="1"/>
  <c r="R110" i="48" s="1"/>
  <c r="T110" i="48"/>
  <c r="W110" i="48" a="1"/>
  <c r="W110" i="48" s="1"/>
  <c r="Y110" i="48" a="1"/>
  <c r="Y110" i="48" s="1"/>
  <c r="AA110" i="48"/>
  <c r="AD110" i="48" a="1"/>
  <c r="AD110" i="48" s="1"/>
  <c r="AF110" i="48" a="1"/>
  <c r="AF110" i="48" s="1"/>
  <c r="AH110" i="48"/>
  <c r="AK110" i="48" a="1"/>
  <c r="AK110" i="48" s="1"/>
  <c r="AM110" i="48" a="1"/>
  <c r="AM110" i="48" s="1"/>
  <c r="AO110" i="48"/>
  <c r="R111" i="48" a="1"/>
  <c r="R111" i="48" s="1"/>
  <c r="T111" i="48"/>
  <c r="AS111" i="48" s="1"/>
  <c r="W111" i="48" a="1"/>
  <c r="W111" i="48" s="1"/>
  <c r="Y111" i="48" a="1"/>
  <c r="Y111" i="48" s="1"/>
  <c r="AA111" i="48"/>
  <c r="AD111" i="48" a="1"/>
  <c r="AD111" i="48" s="1"/>
  <c r="AF111" i="48" a="1"/>
  <c r="AF111" i="48" s="1"/>
  <c r="AH111" i="48"/>
  <c r="AK111" i="48" a="1"/>
  <c r="AK111" i="48" s="1"/>
  <c r="AM111" i="48" a="1"/>
  <c r="AM111" i="48" s="1"/>
  <c r="AO111" i="48"/>
  <c r="R112" i="48" a="1"/>
  <c r="R112" i="48" s="1"/>
  <c r="T112" i="48"/>
  <c r="AS112" i="48" s="1"/>
  <c r="W112" i="48" a="1"/>
  <c r="W112" i="48" s="1"/>
  <c r="Y112" i="48" a="1"/>
  <c r="Y112" i="48" s="1"/>
  <c r="AA112" i="48"/>
  <c r="AD112" i="48" a="1"/>
  <c r="AD112" i="48" s="1"/>
  <c r="AF112" i="48" a="1"/>
  <c r="AF112" i="48" s="1"/>
  <c r="AH112" i="48"/>
  <c r="AK112" i="48" a="1"/>
  <c r="AK112" i="48" s="1"/>
  <c r="AM112" i="48" a="1"/>
  <c r="AM112" i="48" s="1"/>
  <c r="AO112" i="48"/>
  <c r="R113" i="48" a="1"/>
  <c r="R113" i="48" s="1"/>
  <c r="T113" i="48"/>
  <c r="AS113" i="48" s="1"/>
  <c r="W113" i="48" a="1"/>
  <c r="W113" i="48" s="1"/>
  <c r="Y113" i="48" a="1"/>
  <c r="Y113" i="48" s="1"/>
  <c r="AA113" i="48"/>
  <c r="AD113" i="48" a="1"/>
  <c r="AD113" i="48" s="1"/>
  <c r="AF113" i="48" a="1"/>
  <c r="AF113" i="48" s="1"/>
  <c r="AH113" i="48"/>
  <c r="AK113" i="48" a="1"/>
  <c r="AK113" i="48" s="1"/>
  <c r="AM113" i="48" a="1"/>
  <c r="AM113" i="48" s="1"/>
  <c r="AO113" i="48"/>
  <c r="R114" i="48" a="1"/>
  <c r="R114" i="48" s="1"/>
  <c r="T114" i="48"/>
  <c r="AS114" i="48" s="1"/>
  <c r="W114" i="48" a="1"/>
  <c r="W114" i="48" s="1"/>
  <c r="Y114" i="48" a="1"/>
  <c r="Y114" i="48" s="1"/>
  <c r="AA114" i="48"/>
  <c r="AD114" i="48" a="1"/>
  <c r="AD114" i="48" s="1"/>
  <c r="AF114" i="48" a="1"/>
  <c r="AF114" i="48" s="1"/>
  <c r="AH114" i="48"/>
  <c r="AK114" i="48" a="1"/>
  <c r="AK114" i="48" s="1"/>
  <c r="AM114" i="48" a="1"/>
  <c r="AM114" i="48" s="1"/>
  <c r="AO114" i="48"/>
  <c r="R115" i="48" a="1"/>
  <c r="R115" i="48" s="1"/>
  <c r="T115" i="48"/>
  <c r="AS115" i="48" s="1"/>
  <c r="W115" i="48" a="1"/>
  <c r="W115" i="48" s="1"/>
  <c r="Y115" i="48" a="1"/>
  <c r="Y115" i="48" s="1"/>
  <c r="AA115" i="48"/>
  <c r="AD115" i="48" a="1"/>
  <c r="AD115" i="48" s="1"/>
  <c r="AF115" i="48" a="1"/>
  <c r="AF115" i="48" s="1"/>
  <c r="AH115" i="48"/>
  <c r="AK115" i="48" a="1"/>
  <c r="AK115" i="48" s="1"/>
  <c r="AM115" i="48" a="1"/>
  <c r="AM115" i="48" s="1"/>
  <c r="AO115" i="48"/>
  <c r="R116" i="48" a="1"/>
  <c r="R116" i="48" s="1"/>
  <c r="T116" i="48"/>
  <c r="AS116" i="48" s="1"/>
  <c r="W116" i="48" a="1"/>
  <c r="W116" i="48" s="1"/>
  <c r="Y116" i="48" a="1"/>
  <c r="Y116" i="48" s="1"/>
  <c r="AA116" i="48"/>
  <c r="AD116" i="48" a="1"/>
  <c r="AD116" i="48" s="1"/>
  <c r="AF116" i="48" a="1"/>
  <c r="AF116" i="48" s="1"/>
  <c r="AH116" i="48"/>
  <c r="AK116" i="48" a="1"/>
  <c r="AK116" i="48" s="1"/>
  <c r="AM116" i="48" a="1"/>
  <c r="AM116" i="48" s="1"/>
  <c r="AO116" i="48"/>
  <c r="R117" i="48" a="1"/>
  <c r="R117" i="48" s="1"/>
  <c r="T117" i="48"/>
  <c r="W117" i="48" a="1"/>
  <c r="W117" i="48" s="1"/>
  <c r="Y117" i="48" a="1"/>
  <c r="Y117" i="48" s="1"/>
  <c r="AA117" i="48"/>
  <c r="AD117" i="48" a="1"/>
  <c r="AD117" i="48" s="1"/>
  <c r="AF117" i="48" a="1"/>
  <c r="AF117" i="48" s="1"/>
  <c r="AH117" i="48"/>
  <c r="AK117" i="48" a="1"/>
  <c r="AK117" i="48" s="1"/>
  <c r="AM117" i="48" a="1"/>
  <c r="AM117" i="48" s="1"/>
  <c r="AO117" i="48"/>
  <c r="R118" i="48" a="1"/>
  <c r="R118" i="48" s="1"/>
  <c r="T118" i="48"/>
  <c r="W118" i="48" a="1"/>
  <c r="W118" i="48" s="1"/>
  <c r="Y118" i="48" a="1"/>
  <c r="Y118" i="48" s="1"/>
  <c r="AA118" i="48"/>
  <c r="AD118" i="48" a="1"/>
  <c r="AD118" i="48" s="1"/>
  <c r="AF118" i="48" a="1"/>
  <c r="AF118" i="48" s="1"/>
  <c r="AH118" i="48"/>
  <c r="AK118" i="48" a="1"/>
  <c r="AK118" i="48" s="1"/>
  <c r="AM118" i="48" a="1"/>
  <c r="AM118" i="48" s="1"/>
  <c r="AO118" i="48"/>
  <c r="R119" i="48" a="1"/>
  <c r="R119" i="48" s="1"/>
  <c r="T119" i="48"/>
  <c r="AS119" i="48" s="1"/>
  <c r="W119" i="48" a="1"/>
  <c r="W119" i="48" s="1"/>
  <c r="Y119" i="48" a="1"/>
  <c r="Y119" i="48" s="1"/>
  <c r="AA119" i="48"/>
  <c r="AD119" i="48" a="1"/>
  <c r="AD119" i="48" s="1"/>
  <c r="AF119" i="48" a="1"/>
  <c r="AF119" i="48" s="1"/>
  <c r="AH119" i="48"/>
  <c r="AK119" i="48" a="1"/>
  <c r="AK119" i="48" s="1"/>
  <c r="AM119" i="48" a="1"/>
  <c r="AM119" i="48" s="1"/>
  <c r="AO119" i="48"/>
  <c r="R120" i="48" a="1"/>
  <c r="R120" i="48" s="1"/>
  <c r="T120" i="48"/>
  <c r="AS120" i="48" s="1"/>
  <c r="W120" i="48" a="1"/>
  <c r="W120" i="48" s="1"/>
  <c r="Y120" i="48" a="1"/>
  <c r="Y120" i="48" s="1"/>
  <c r="AA120" i="48"/>
  <c r="AD120" i="48" a="1"/>
  <c r="AD120" i="48" s="1"/>
  <c r="AF120" i="48" a="1"/>
  <c r="AF120" i="48" s="1"/>
  <c r="AH120" i="48"/>
  <c r="AK120" i="48" a="1"/>
  <c r="AK120" i="48" s="1"/>
  <c r="AM120" i="48" a="1"/>
  <c r="AM120" i="48" s="1"/>
  <c r="AO120" i="48"/>
  <c r="R121" i="48" a="1"/>
  <c r="R121" i="48" s="1"/>
  <c r="T121" i="48"/>
  <c r="AS121" i="48" s="1"/>
  <c r="W121" i="48" a="1"/>
  <c r="W121" i="48" s="1"/>
  <c r="Y121" i="48" a="1"/>
  <c r="Y121" i="48" s="1"/>
  <c r="AA121" i="48"/>
  <c r="AD121" i="48" a="1"/>
  <c r="AD121" i="48" s="1"/>
  <c r="AF121" i="48" a="1"/>
  <c r="AF121" i="48" s="1"/>
  <c r="AH121" i="48"/>
  <c r="AK121" i="48" a="1"/>
  <c r="AK121" i="48" s="1"/>
  <c r="AM121" i="48" a="1"/>
  <c r="AM121" i="48" s="1"/>
  <c r="AO121" i="48"/>
  <c r="R122" i="48" a="1"/>
  <c r="R122" i="48" s="1"/>
  <c r="T122" i="48"/>
  <c r="AS122" i="48" s="1"/>
  <c r="W122" i="48" a="1"/>
  <c r="W122" i="48" s="1"/>
  <c r="Y122" i="48" a="1"/>
  <c r="Y122" i="48" s="1"/>
  <c r="AA122" i="48"/>
  <c r="AD122" i="48" a="1"/>
  <c r="AD122" i="48" s="1"/>
  <c r="AF122" i="48" a="1"/>
  <c r="AF122" i="48" s="1"/>
  <c r="AH122" i="48"/>
  <c r="AK122" i="48" a="1"/>
  <c r="AK122" i="48" s="1"/>
  <c r="AM122" i="48" a="1"/>
  <c r="AM122" i="48" s="1"/>
  <c r="AO122" i="48"/>
  <c r="R123" i="48" a="1"/>
  <c r="R123" i="48" s="1"/>
  <c r="T123" i="48"/>
  <c r="W123" i="48" a="1"/>
  <c r="W123" i="48" s="1"/>
  <c r="Y123" i="48" a="1"/>
  <c r="Y123" i="48" s="1"/>
  <c r="AA123" i="48"/>
  <c r="AD123" i="48" a="1"/>
  <c r="AD123" i="48" s="1"/>
  <c r="AF123" i="48" a="1"/>
  <c r="AF123" i="48" s="1"/>
  <c r="AH123" i="48"/>
  <c r="AK123" i="48" a="1"/>
  <c r="AK123" i="48" s="1"/>
  <c r="AM123" i="48" a="1"/>
  <c r="AM123" i="48" s="1"/>
  <c r="AO123" i="48"/>
  <c r="R124" i="48" a="1"/>
  <c r="R124" i="48" s="1"/>
  <c r="T124" i="48"/>
  <c r="W124" i="48" a="1"/>
  <c r="W124" i="48" s="1"/>
  <c r="Y124" i="48" a="1"/>
  <c r="Y124" i="48" s="1"/>
  <c r="AA124" i="48"/>
  <c r="AD124" i="48" a="1"/>
  <c r="AD124" i="48" s="1"/>
  <c r="AF124" i="48" a="1"/>
  <c r="AF124" i="48" s="1"/>
  <c r="AH124" i="48"/>
  <c r="AK124" i="48" a="1"/>
  <c r="AK124" i="48" s="1"/>
  <c r="AM124" i="48" a="1"/>
  <c r="AM124" i="48" s="1"/>
  <c r="AO124" i="48"/>
  <c r="R125" i="48" a="1"/>
  <c r="R125" i="48" s="1"/>
  <c r="T125" i="48"/>
  <c r="W125" i="48" a="1"/>
  <c r="W125" i="48" s="1"/>
  <c r="Y125" i="48" a="1"/>
  <c r="Y125" i="48" s="1"/>
  <c r="AA125" i="48"/>
  <c r="AD125" i="48" a="1"/>
  <c r="AD125" i="48" s="1"/>
  <c r="AF125" i="48" a="1"/>
  <c r="AF125" i="48" s="1"/>
  <c r="AH125" i="48"/>
  <c r="AK125" i="48" a="1"/>
  <c r="AK125" i="48" s="1"/>
  <c r="AM125" i="48" a="1"/>
  <c r="AM125" i="48" s="1"/>
  <c r="AO125" i="48"/>
  <c r="R126" i="48" a="1"/>
  <c r="R126" i="48" s="1"/>
  <c r="T126" i="48"/>
  <c r="AS126" i="48" s="1"/>
  <c r="W126" i="48" a="1"/>
  <c r="W126" i="48" s="1"/>
  <c r="Y126" i="48" a="1"/>
  <c r="Y126" i="48" s="1"/>
  <c r="AA126" i="48"/>
  <c r="AD126" i="48" a="1"/>
  <c r="AD126" i="48" s="1"/>
  <c r="AF126" i="48" a="1"/>
  <c r="AF126" i="48" s="1"/>
  <c r="AH126" i="48"/>
  <c r="AK126" i="48" a="1"/>
  <c r="AK126" i="48" s="1"/>
  <c r="AM126" i="48" a="1"/>
  <c r="AM126" i="48" s="1"/>
  <c r="AO126" i="48"/>
  <c r="R127" i="48" a="1"/>
  <c r="R127" i="48" s="1"/>
  <c r="T127" i="48"/>
  <c r="AS127" i="48" s="1"/>
  <c r="W127" i="48" a="1"/>
  <c r="W127" i="48" s="1"/>
  <c r="Y127" i="48" a="1"/>
  <c r="Y127" i="48" s="1"/>
  <c r="AA127" i="48"/>
  <c r="AD127" i="48" a="1"/>
  <c r="AD127" i="48" s="1"/>
  <c r="AF127" i="48" a="1"/>
  <c r="AF127" i="48" s="1"/>
  <c r="AH127" i="48"/>
  <c r="AK127" i="48" a="1"/>
  <c r="AK127" i="48" s="1"/>
  <c r="AM127" i="48" a="1"/>
  <c r="AM127" i="48" s="1"/>
  <c r="AO127" i="48"/>
  <c r="R128" i="48" a="1"/>
  <c r="R128" i="48" s="1"/>
  <c r="T128" i="48"/>
  <c r="W128" i="48" a="1"/>
  <c r="W128" i="48" s="1"/>
  <c r="Y128" i="48" a="1"/>
  <c r="Y128" i="48" s="1"/>
  <c r="AA128" i="48"/>
  <c r="AD128" i="48" a="1"/>
  <c r="AD128" i="48" s="1"/>
  <c r="AF128" i="48" a="1"/>
  <c r="AF128" i="48" s="1"/>
  <c r="AH128" i="48"/>
  <c r="AK128" i="48" a="1"/>
  <c r="AK128" i="48" s="1"/>
  <c r="AM128" i="48" a="1"/>
  <c r="AM128" i="48" s="1"/>
  <c r="AO128" i="48"/>
  <c r="R129" i="48" a="1"/>
  <c r="R129" i="48" s="1"/>
  <c r="T129" i="48"/>
  <c r="W129" i="48" a="1"/>
  <c r="W129" i="48" s="1"/>
  <c r="Y129" i="48" a="1"/>
  <c r="Y129" i="48" s="1"/>
  <c r="AA129" i="48"/>
  <c r="AD129" i="48" a="1"/>
  <c r="AD129" i="48" s="1"/>
  <c r="AF129" i="48" a="1"/>
  <c r="AF129" i="48" s="1"/>
  <c r="AH129" i="48"/>
  <c r="AK129" i="48" a="1"/>
  <c r="AK129" i="48" s="1"/>
  <c r="AM129" i="48" a="1"/>
  <c r="AM129" i="48" s="1"/>
  <c r="AO129" i="48"/>
  <c r="R130" i="48" a="1"/>
  <c r="R130" i="48" s="1"/>
  <c r="T130" i="48"/>
  <c r="AS130" i="48" s="1"/>
  <c r="W130" i="48" a="1"/>
  <c r="W130" i="48" s="1"/>
  <c r="Y130" i="48" a="1"/>
  <c r="Y130" i="48" s="1"/>
  <c r="AA130" i="48"/>
  <c r="AD130" i="48" a="1"/>
  <c r="AD130" i="48" s="1"/>
  <c r="AF130" i="48" a="1"/>
  <c r="AF130" i="48" s="1"/>
  <c r="AH130" i="48"/>
  <c r="AK130" i="48" a="1"/>
  <c r="AK130" i="48" s="1"/>
  <c r="AM130" i="48" a="1"/>
  <c r="AM130" i="48" s="1"/>
  <c r="AO130" i="48"/>
  <c r="R131" i="48" a="1"/>
  <c r="R131" i="48" s="1"/>
  <c r="T131" i="48"/>
  <c r="AS131" i="48" s="1"/>
  <c r="W131" i="48" a="1"/>
  <c r="W131" i="48" s="1"/>
  <c r="Y131" i="48" a="1"/>
  <c r="Y131" i="48" s="1"/>
  <c r="AA131" i="48"/>
  <c r="AD131" i="48" a="1"/>
  <c r="AD131" i="48" s="1"/>
  <c r="AF131" i="48" a="1"/>
  <c r="AF131" i="48" s="1"/>
  <c r="AH131" i="48"/>
  <c r="AK131" i="48" a="1"/>
  <c r="AK131" i="48" s="1"/>
  <c r="AM131" i="48" a="1"/>
  <c r="AM131" i="48" s="1"/>
  <c r="AO131" i="48"/>
  <c r="R132" i="48" a="1"/>
  <c r="R132" i="48" s="1"/>
  <c r="T132" i="48"/>
  <c r="AS132" i="48" s="1"/>
  <c r="W132" i="48" a="1"/>
  <c r="W132" i="48" s="1"/>
  <c r="Y132" i="48" a="1"/>
  <c r="Y132" i="48" s="1"/>
  <c r="AA132" i="48"/>
  <c r="AD132" i="48" a="1"/>
  <c r="AD132" i="48" s="1"/>
  <c r="AF132" i="48" a="1"/>
  <c r="AF132" i="48" s="1"/>
  <c r="AH132" i="48"/>
  <c r="AK132" i="48" a="1"/>
  <c r="AK132" i="48" s="1"/>
  <c r="AM132" i="48" a="1"/>
  <c r="AM132" i="48" s="1"/>
  <c r="AO132" i="48"/>
  <c r="R133" i="48" a="1"/>
  <c r="R133" i="48" s="1"/>
  <c r="T133" i="48"/>
  <c r="W133" i="48" a="1"/>
  <c r="W133" i="48" s="1"/>
  <c r="Y133" i="48" a="1"/>
  <c r="Y133" i="48" s="1"/>
  <c r="AA133" i="48"/>
  <c r="AD133" i="48" a="1"/>
  <c r="AD133" i="48" s="1"/>
  <c r="AF133" i="48" a="1"/>
  <c r="AF133" i="48" s="1"/>
  <c r="AH133" i="48"/>
  <c r="AK133" i="48" a="1"/>
  <c r="AK133" i="48" s="1"/>
  <c r="AM133" i="48" a="1"/>
  <c r="AM133" i="48" s="1"/>
  <c r="AO133" i="48"/>
  <c r="R134" i="48" a="1"/>
  <c r="R134" i="48" s="1"/>
  <c r="T134" i="48"/>
  <c r="AS134" i="48" s="1"/>
  <c r="W134" i="48" a="1"/>
  <c r="W134" i="48" s="1"/>
  <c r="Y134" i="48" a="1"/>
  <c r="Y134" i="48" s="1"/>
  <c r="AA134" i="48"/>
  <c r="AD134" i="48" a="1"/>
  <c r="AD134" i="48" s="1"/>
  <c r="AF134" i="48" a="1"/>
  <c r="AF134" i="48" s="1"/>
  <c r="AH134" i="48"/>
  <c r="AK134" i="48" a="1"/>
  <c r="AK134" i="48" s="1"/>
  <c r="AM134" i="48" a="1"/>
  <c r="AM134" i="48" s="1"/>
  <c r="AO134" i="48"/>
  <c r="R135" i="48" a="1"/>
  <c r="R135" i="48" s="1"/>
  <c r="T135" i="48"/>
  <c r="AS135" i="48" s="1"/>
  <c r="W135" i="48" a="1"/>
  <c r="W135" i="48" s="1"/>
  <c r="Y135" i="48" a="1"/>
  <c r="Y135" i="48" s="1"/>
  <c r="AA135" i="48"/>
  <c r="AD135" i="48" a="1"/>
  <c r="AD135" i="48" s="1"/>
  <c r="AF135" i="48" a="1"/>
  <c r="AF135" i="48" s="1"/>
  <c r="AH135" i="48"/>
  <c r="AK135" i="48" a="1"/>
  <c r="AK135" i="48" s="1"/>
  <c r="AM135" i="48" a="1"/>
  <c r="AM135" i="48" s="1"/>
  <c r="AO135" i="48"/>
  <c r="R136" i="48" a="1"/>
  <c r="R136" i="48" s="1"/>
  <c r="T136" i="48"/>
  <c r="AS136" i="48" s="1"/>
  <c r="W136" i="48" a="1"/>
  <c r="W136" i="48" s="1"/>
  <c r="Y136" i="48" a="1"/>
  <c r="Y136" i="48" s="1"/>
  <c r="AA136" i="48"/>
  <c r="AD136" i="48" a="1"/>
  <c r="AD136" i="48" s="1"/>
  <c r="AF136" i="48" a="1"/>
  <c r="AF136" i="48" s="1"/>
  <c r="AH136" i="48"/>
  <c r="AK136" i="48" a="1"/>
  <c r="AK136" i="48" s="1"/>
  <c r="AM136" i="48" a="1"/>
  <c r="AM136" i="48" s="1"/>
  <c r="AO136" i="48"/>
  <c r="R137" i="48" a="1"/>
  <c r="R137" i="48" s="1"/>
  <c r="T137" i="48"/>
  <c r="AS137" i="48" s="1"/>
  <c r="W137" i="48" a="1"/>
  <c r="W137" i="48" s="1"/>
  <c r="Y137" i="48" a="1"/>
  <c r="Y137" i="48" s="1"/>
  <c r="AA137" i="48"/>
  <c r="AD137" i="48" a="1"/>
  <c r="AD137" i="48" s="1"/>
  <c r="AF137" i="48" a="1"/>
  <c r="AF137" i="48" s="1"/>
  <c r="AH137" i="48"/>
  <c r="AK137" i="48" a="1"/>
  <c r="AK137" i="48" s="1"/>
  <c r="AM137" i="48" a="1"/>
  <c r="AM137" i="48" s="1"/>
  <c r="AO137" i="48"/>
  <c r="R138" i="48" a="1"/>
  <c r="R138" i="48" s="1"/>
  <c r="T138" i="48"/>
  <c r="AS138" i="48" s="1"/>
  <c r="W138" i="48" a="1"/>
  <c r="W138" i="48" s="1"/>
  <c r="Y138" i="48" a="1"/>
  <c r="Y138" i="48" s="1"/>
  <c r="AA138" i="48"/>
  <c r="AD138" i="48" a="1"/>
  <c r="AD138" i="48" s="1"/>
  <c r="AF138" i="48" a="1"/>
  <c r="AF138" i="48" s="1"/>
  <c r="AH138" i="48"/>
  <c r="AK138" i="48" a="1"/>
  <c r="AK138" i="48" s="1"/>
  <c r="AM138" i="48" a="1"/>
  <c r="AM138" i="48" s="1"/>
  <c r="AO138" i="48"/>
  <c r="R139" i="48" a="1"/>
  <c r="R139" i="48" s="1"/>
  <c r="T139" i="48"/>
  <c r="AS139" i="48" s="1"/>
  <c r="W139" i="48" a="1"/>
  <c r="W139" i="48" s="1"/>
  <c r="Y139" i="48" a="1"/>
  <c r="Y139" i="48" s="1"/>
  <c r="AA139" i="48"/>
  <c r="AD139" i="48" a="1"/>
  <c r="AD139" i="48" s="1"/>
  <c r="AF139" i="48" a="1"/>
  <c r="AF139" i="48" s="1"/>
  <c r="AH139" i="48"/>
  <c r="AK139" i="48" a="1"/>
  <c r="AK139" i="48" s="1"/>
  <c r="AM139" i="48" a="1"/>
  <c r="AM139" i="48" s="1"/>
  <c r="AO139" i="48"/>
  <c r="R140" i="48" a="1"/>
  <c r="R140" i="48" s="1"/>
  <c r="T140" i="48"/>
  <c r="AS140" i="48" s="1"/>
  <c r="W140" i="48" a="1"/>
  <c r="W140" i="48" s="1"/>
  <c r="Y140" i="48" a="1"/>
  <c r="Y140" i="48" s="1"/>
  <c r="AA140" i="48"/>
  <c r="AD140" i="48" a="1"/>
  <c r="AD140" i="48" s="1"/>
  <c r="AF140" i="48" a="1"/>
  <c r="AF140" i="48" s="1"/>
  <c r="AH140" i="48"/>
  <c r="AK140" i="48" a="1"/>
  <c r="AK140" i="48" s="1"/>
  <c r="AM140" i="48" a="1"/>
  <c r="AM140" i="48" s="1"/>
  <c r="AO140" i="48"/>
  <c r="R141" i="48" a="1"/>
  <c r="R141" i="48" s="1"/>
  <c r="T141" i="48"/>
  <c r="W141" i="48" a="1"/>
  <c r="W141" i="48" s="1"/>
  <c r="Y141" i="48" a="1"/>
  <c r="Y141" i="48" s="1"/>
  <c r="AA141" i="48"/>
  <c r="AD141" i="48" a="1"/>
  <c r="AD141" i="48" s="1"/>
  <c r="AF141" i="48" a="1"/>
  <c r="AF141" i="48" s="1"/>
  <c r="AH141" i="48"/>
  <c r="AK141" i="48" a="1"/>
  <c r="AK141" i="48" s="1"/>
  <c r="AM141" i="48" a="1"/>
  <c r="AM141" i="48" s="1"/>
  <c r="AO141" i="48"/>
  <c r="R142" i="48" a="1"/>
  <c r="R142" i="48" s="1"/>
  <c r="T142" i="48"/>
  <c r="W142" i="48" a="1"/>
  <c r="W142" i="48" s="1"/>
  <c r="Y142" i="48" a="1"/>
  <c r="Y142" i="48" s="1"/>
  <c r="AA142" i="48"/>
  <c r="AD142" i="48" a="1"/>
  <c r="AD142" i="48" s="1"/>
  <c r="AF142" i="48" a="1"/>
  <c r="AF142" i="48" s="1"/>
  <c r="AH142" i="48"/>
  <c r="AK142" i="48" a="1"/>
  <c r="AK142" i="48" s="1"/>
  <c r="AM142" i="48" a="1"/>
  <c r="AM142" i="48" s="1"/>
  <c r="AO142" i="48"/>
  <c r="R143" i="48" a="1"/>
  <c r="R143" i="48" s="1"/>
  <c r="T143" i="48"/>
  <c r="AS143" i="48" s="1"/>
  <c r="W143" i="48" a="1"/>
  <c r="W143" i="48" s="1"/>
  <c r="Y143" i="48" a="1"/>
  <c r="Y143" i="48" s="1"/>
  <c r="AA143" i="48"/>
  <c r="AD143" i="48" a="1"/>
  <c r="AD143" i="48" s="1"/>
  <c r="AF143" i="48" a="1"/>
  <c r="AF143" i="48" s="1"/>
  <c r="AH143" i="48"/>
  <c r="AK143" i="48" a="1"/>
  <c r="AK143" i="48" s="1"/>
  <c r="AM143" i="48" a="1"/>
  <c r="AM143" i="48" s="1"/>
  <c r="AO143" i="48"/>
  <c r="R144" i="48" a="1"/>
  <c r="R144" i="48" s="1"/>
  <c r="T144" i="48"/>
  <c r="AS144" i="48" s="1"/>
  <c r="W144" i="48" a="1"/>
  <c r="W144" i="48" s="1"/>
  <c r="Y144" i="48" a="1"/>
  <c r="Y144" i="48" s="1"/>
  <c r="AA144" i="48"/>
  <c r="AD144" i="48" a="1"/>
  <c r="AD144" i="48" s="1"/>
  <c r="AF144" i="48" a="1"/>
  <c r="AF144" i="48" s="1"/>
  <c r="AH144" i="48"/>
  <c r="AK144" i="48" a="1"/>
  <c r="AK144" i="48" s="1"/>
  <c r="AM144" i="48" a="1"/>
  <c r="AM144" i="48" s="1"/>
  <c r="AO144" i="48"/>
  <c r="R145" i="48" a="1"/>
  <c r="R145" i="48" s="1"/>
  <c r="T145" i="48"/>
  <c r="AS145" i="48" s="1"/>
  <c r="W145" i="48" a="1"/>
  <c r="W145" i="48" s="1"/>
  <c r="Y145" i="48" a="1"/>
  <c r="Y145" i="48" s="1"/>
  <c r="AA145" i="48"/>
  <c r="AD145" i="48" a="1"/>
  <c r="AD145" i="48" s="1"/>
  <c r="AF145" i="48" a="1"/>
  <c r="AF145" i="48" s="1"/>
  <c r="AH145" i="48"/>
  <c r="AK145" i="48" a="1"/>
  <c r="AK145" i="48" s="1"/>
  <c r="AM145" i="48" a="1"/>
  <c r="AM145" i="48" s="1"/>
  <c r="AO145" i="48"/>
  <c r="R146" i="48" a="1"/>
  <c r="R146" i="48" s="1"/>
  <c r="T146" i="48"/>
  <c r="W146" i="48" a="1"/>
  <c r="W146" i="48" s="1"/>
  <c r="Y146" i="48" a="1"/>
  <c r="Y146" i="48" s="1"/>
  <c r="AA146" i="48"/>
  <c r="AD146" i="48" a="1"/>
  <c r="AD146" i="48" s="1"/>
  <c r="AF146" i="48" a="1"/>
  <c r="AF146" i="48" s="1"/>
  <c r="AH146" i="48"/>
  <c r="AK146" i="48" a="1"/>
  <c r="AK146" i="48" s="1"/>
  <c r="AM146" i="48" a="1"/>
  <c r="AM146" i="48" s="1"/>
  <c r="AO146" i="48"/>
  <c r="R147" i="48" a="1"/>
  <c r="R147" i="48" s="1"/>
  <c r="T147" i="48"/>
  <c r="W147" i="48" a="1"/>
  <c r="W147" i="48" s="1"/>
  <c r="Y147" i="48" a="1"/>
  <c r="Y147" i="48" s="1"/>
  <c r="AA147" i="48"/>
  <c r="AD147" i="48" a="1"/>
  <c r="AD147" i="48" s="1"/>
  <c r="AF147" i="48" a="1"/>
  <c r="AF147" i="48" s="1"/>
  <c r="AH147" i="48"/>
  <c r="AK147" i="48" a="1"/>
  <c r="AK147" i="48" s="1"/>
  <c r="AM147" i="48" a="1"/>
  <c r="AM147" i="48" s="1"/>
  <c r="AO147" i="48"/>
  <c r="R148" i="48" a="1"/>
  <c r="R148" i="48" s="1"/>
  <c r="T148" i="48"/>
  <c r="AS148" i="48" s="1"/>
  <c r="W148" i="48" a="1"/>
  <c r="W148" i="48" s="1"/>
  <c r="Y148" i="48" a="1"/>
  <c r="Y148" i="48" s="1"/>
  <c r="AA148" i="48"/>
  <c r="AD148" i="48" a="1"/>
  <c r="AD148" i="48" s="1"/>
  <c r="AF148" i="48" a="1"/>
  <c r="AF148" i="48" s="1"/>
  <c r="AH148" i="48"/>
  <c r="AK148" i="48" a="1"/>
  <c r="AK148" i="48" s="1"/>
  <c r="AM148" i="48" a="1"/>
  <c r="AM148" i="48" s="1"/>
  <c r="AO148" i="48"/>
  <c r="R149" i="48" a="1"/>
  <c r="R149" i="48" s="1"/>
  <c r="T149" i="48"/>
  <c r="AS149" i="48" s="1"/>
  <c r="W149" i="48" a="1"/>
  <c r="W149" i="48" s="1"/>
  <c r="Y149" i="48" a="1"/>
  <c r="Y149" i="48" s="1"/>
  <c r="AA149" i="48"/>
  <c r="AD149" i="48" a="1"/>
  <c r="AD149" i="48" s="1"/>
  <c r="AF149" i="48" a="1"/>
  <c r="AF149" i="48" s="1"/>
  <c r="AH149" i="48"/>
  <c r="AK149" i="48" a="1"/>
  <c r="AK149" i="48" s="1"/>
  <c r="AM149" i="48" a="1"/>
  <c r="AM149" i="48" s="1"/>
  <c r="AO149" i="48"/>
  <c r="R150" i="48" a="1"/>
  <c r="R150" i="48" s="1"/>
  <c r="T150" i="48"/>
  <c r="W150" i="48" a="1"/>
  <c r="W150" i="48" s="1"/>
  <c r="Y150" i="48" a="1"/>
  <c r="Y150" i="48" s="1"/>
  <c r="AA150" i="48"/>
  <c r="AD150" i="48" a="1"/>
  <c r="AD150" i="48" s="1"/>
  <c r="AF150" i="48" a="1"/>
  <c r="AF150" i="48" s="1"/>
  <c r="AH150" i="48"/>
  <c r="AK150" i="48" a="1"/>
  <c r="AK150" i="48" s="1"/>
  <c r="AM150" i="48" a="1"/>
  <c r="AM150" i="48" s="1"/>
  <c r="AO150" i="48"/>
  <c r="R151" i="48" a="1"/>
  <c r="R151" i="48" s="1"/>
  <c r="T151" i="48"/>
  <c r="W151" i="48" a="1"/>
  <c r="W151" i="48" s="1"/>
  <c r="Y151" i="48" a="1"/>
  <c r="Y151" i="48" s="1"/>
  <c r="AA151" i="48"/>
  <c r="AD151" i="48" a="1"/>
  <c r="AD151" i="48" s="1"/>
  <c r="AF151" i="48" a="1"/>
  <c r="AF151" i="48" s="1"/>
  <c r="AH151" i="48"/>
  <c r="AK151" i="48" a="1"/>
  <c r="AK151" i="48" s="1"/>
  <c r="AM151" i="48" a="1"/>
  <c r="AM151" i="48" s="1"/>
  <c r="AO151" i="48"/>
  <c r="R152" i="48" a="1"/>
  <c r="R152" i="48" s="1"/>
  <c r="T152" i="48"/>
  <c r="AS152" i="48" s="1"/>
  <c r="W152" i="48" a="1"/>
  <c r="W152" i="48" s="1"/>
  <c r="Y152" i="48" a="1"/>
  <c r="Y152" i="48" s="1"/>
  <c r="AA152" i="48"/>
  <c r="AD152" i="48" a="1"/>
  <c r="AD152" i="48" s="1"/>
  <c r="AF152" i="48" a="1"/>
  <c r="AF152" i="48" s="1"/>
  <c r="AH152" i="48"/>
  <c r="AK152" i="48" a="1"/>
  <c r="AK152" i="48" s="1"/>
  <c r="AM152" i="48" a="1"/>
  <c r="AM152" i="48" s="1"/>
  <c r="AO152" i="48"/>
  <c r="R153" i="48" a="1"/>
  <c r="R153" i="48" s="1"/>
  <c r="T153" i="48"/>
  <c r="AS153" i="48" s="1"/>
  <c r="W153" i="48" a="1"/>
  <c r="W153" i="48" s="1"/>
  <c r="Y153" i="48" a="1"/>
  <c r="Y153" i="48" s="1"/>
  <c r="AA153" i="48"/>
  <c r="AD153" i="48" a="1"/>
  <c r="AD153" i="48" s="1"/>
  <c r="AF153" i="48" a="1"/>
  <c r="AF153" i="48" s="1"/>
  <c r="AH153" i="48"/>
  <c r="AK153" i="48" a="1"/>
  <c r="AK153" i="48" s="1"/>
  <c r="AM153" i="48" a="1"/>
  <c r="AM153" i="48" s="1"/>
  <c r="AO153" i="48"/>
  <c r="R154" i="48" a="1"/>
  <c r="R154" i="48" s="1"/>
  <c r="T154" i="48"/>
  <c r="AS154" i="48" s="1"/>
  <c r="W154" i="48" a="1"/>
  <c r="W154" i="48" s="1"/>
  <c r="Y154" i="48" a="1"/>
  <c r="Y154" i="48" s="1"/>
  <c r="AA154" i="48"/>
  <c r="AD154" i="48" a="1"/>
  <c r="AD154" i="48" s="1"/>
  <c r="AF154" i="48" a="1"/>
  <c r="AF154" i="48" s="1"/>
  <c r="AH154" i="48"/>
  <c r="AK154" i="48" a="1"/>
  <c r="AK154" i="48" s="1"/>
  <c r="AM154" i="48" a="1"/>
  <c r="AM154" i="48" s="1"/>
  <c r="AO154" i="48"/>
  <c r="R155" i="48" a="1"/>
  <c r="R155" i="48" s="1"/>
  <c r="T155" i="48"/>
  <c r="AS155" i="48" s="1"/>
  <c r="W155" i="48" a="1"/>
  <c r="W155" i="48" s="1"/>
  <c r="Y155" i="48" a="1"/>
  <c r="Y155" i="48" s="1"/>
  <c r="AA155" i="48"/>
  <c r="AD155" i="48" a="1"/>
  <c r="AD155" i="48" s="1"/>
  <c r="AF155" i="48" a="1"/>
  <c r="AF155" i="48" s="1"/>
  <c r="AH155" i="48"/>
  <c r="AK155" i="48" a="1"/>
  <c r="AK155" i="48" s="1"/>
  <c r="AM155" i="48" a="1"/>
  <c r="AM155" i="48" s="1"/>
  <c r="AO155" i="48"/>
  <c r="R156" i="48" a="1"/>
  <c r="R156" i="48" s="1"/>
  <c r="T156" i="48"/>
  <c r="AS156" i="48" s="1"/>
  <c r="W156" i="48" a="1"/>
  <c r="W156" i="48" s="1"/>
  <c r="Y156" i="48" a="1"/>
  <c r="Y156" i="48" s="1"/>
  <c r="AA156" i="48"/>
  <c r="AD156" i="48" a="1"/>
  <c r="AD156" i="48" s="1"/>
  <c r="AF156" i="48" a="1"/>
  <c r="AF156" i="48" s="1"/>
  <c r="AH156" i="48"/>
  <c r="AK156" i="48" a="1"/>
  <c r="AK156" i="48" s="1"/>
  <c r="AM156" i="48" a="1"/>
  <c r="AM156" i="48" s="1"/>
  <c r="AO156" i="48"/>
  <c r="R157" i="48" a="1"/>
  <c r="R157" i="48" s="1"/>
  <c r="T157" i="48"/>
  <c r="AS157" i="48" s="1"/>
  <c r="W157" i="48" a="1"/>
  <c r="W157" i="48" s="1"/>
  <c r="Y157" i="48" a="1"/>
  <c r="Y157" i="48" s="1"/>
  <c r="AA157" i="48"/>
  <c r="AD157" i="48" a="1"/>
  <c r="AD157" i="48" s="1"/>
  <c r="AF157" i="48" a="1"/>
  <c r="AF157" i="48" s="1"/>
  <c r="AH157" i="48"/>
  <c r="AK157" i="48" a="1"/>
  <c r="AK157" i="48" s="1"/>
  <c r="AM157" i="48" a="1"/>
  <c r="AM157" i="48" s="1"/>
  <c r="AO157" i="48"/>
  <c r="R158" i="48" a="1"/>
  <c r="R158" i="48" s="1"/>
  <c r="T158" i="48"/>
  <c r="W158" i="48" a="1"/>
  <c r="W158" i="48" s="1"/>
  <c r="Y158" i="48" a="1"/>
  <c r="Y158" i="48" s="1"/>
  <c r="AA158" i="48"/>
  <c r="AD158" i="48" a="1"/>
  <c r="AD158" i="48" s="1"/>
  <c r="AF158" i="48" a="1"/>
  <c r="AF158" i="48" s="1"/>
  <c r="AH158" i="48"/>
  <c r="AK158" i="48" a="1"/>
  <c r="AK158" i="48" s="1"/>
  <c r="AM158" i="48" a="1"/>
  <c r="AM158" i="48" s="1"/>
  <c r="AO158" i="48"/>
  <c r="R159" i="48" a="1"/>
  <c r="R159" i="48" s="1"/>
  <c r="T159" i="48"/>
  <c r="W159" i="48" a="1"/>
  <c r="W159" i="48" s="1"/>
  <c r="Y159" i="48" a="1"/>
  <c r="Y159" i="48" s="1"/>
  <c r="AA159" i="48"/>
  <c r="AD159" i="48" a="1"/>
  <c r="AD159" i="48" s="1"/>
  <c r="AF159" i="48" a="1"/>
  <c r="AF159" i="48" s="1"/>
  <c r="AH159" i="48"/>
  <c r="AK159" i="48" a="1"/>
  <c r="AK159" i="48" s="1"/>
  <c r="AM159" i="48" a="1"/>
  <c r="AM159" i="48" s="1"/>
  <c r="AO159" i="48"/>
  <c r="R160" i="48" a="1"/>
  <c r="R160" i="48" s="1"/>
  <c r="T160" i="48"/>
  <c r="AS160" i="48" s="1"/>
  <c r="W160" i="48" a="1"/>
  <c r="W160" i="48" s="1"/>
  <c r="Y160" i="48" a="1"/>
  <c r="Y160" i="48" s="1"/>
  <c r="AA160" i="48"/>
  <c r="AD160" i="48" a="1"/>
  <c r="AD160" i="48" s="1"/>
  <c r="AF160" i="48" a="1"/>
  <c r="AF160" i="48" s="1"/>
  <c r="AH160" i="48"/>
  <c r="AK160" i="48" a="1"/>
  <c r="AK160" i="48" s="1"/>
  <c r="AM160" i="48" a="1"/>
  <c r="AM160" i="48" s="1"/>
  <c r="AO160" i="48"/>
  <c r="R161" i="48" a="1"/>
  <c r="R161" i="48" s="1"/>
  <c r="T161" i="48"/>
  <c r="AS161" i="48" s="1"/>
  <c r="W161" i="48" a="1"/>
  <c r="W161" i="48" s="1"/>
  <c r="Y161" i="48" a="1"/>
  <c r="Y161" i="48" s="1"/>
  <c r="AA161" i="48"/>
  <c r="AD161" i="48" a="1"/>
  <c r="AD161" i="48" s="1"/>
  <c r="AF161" i="48" a="1"/>
  <c r="AF161" i="48" s="1"/>
  <c r="AH161" i="48"/>
  <c r="AK161" i="48" a="1"/>
  <c r="AK161" i="48" s="1"/>
  <c r="AM161" i="48" a="1"/>
  <c r="AM161" i="48" s="1"/>
  <c r="AO161" i="48"/>
  <c r="R162" i="48" a="1"/>
  <c r="R162" i="48" s="1"/>
  <c r="T162" i="48"/>
  <c r="AS162" i="48" s="1"/>
  <c r="W162" i="48" a="1"/>
  <c r="W162" i="48" s="1"/>
  <c r="Y162" i="48" a="1"/>
  <c r="Y162" i="48" s="1"/>
  <c r="AA162" i="48"/>
  <c r="AD162" i="48" a="1"/>
  <c r="AD162" i="48" s="1"/>
  <c r="AF162" i="48" a="1"/>
  <c r="AF162" i="48" s="1"/>
  <c r="AH162" i="48"/>
  <c r="AK162" i="48" a="1"/>
  <c r="AK162" i="48" s="1"/>
  <c r="AM162" i="48" a="1"/>
  <c r="AM162" i="48" s="1"/>
  <c r="AO162" i="48"/>
  <c r="R163" i="48" a="1"/>
  <c r="R163" i="48" s="1"/>
  <c r="T163" i="48"/>
  <c r="AS163" i="48" s="1"/>
  <c r="W163" i="48" a="1"/>
  <c r="W163" i="48" s="1"/>
  <c r="Y163" i="48" a="1"/>
  <c r="Y163" i="48" s="1"/>
  <c r="AA163" i="48"/>
  <c r="AD163" i="48" a="1"/>
  <c r="AD163" i="48" s="1"/>
  <c r="AF163" i="48" a="1"/>
  <c r="AF163" i="48" s="1"/>
  <c r="AH163" i="48"/>
  <c r="AK163" i="48" a="1"/>
  <c r="AK163" i="48" s="1"/>
  <c r="AM163" i="48" a="1"/>
  <c r="AM163" i="48" s="1"/>
  <c r="AO163" i="48"/>
  <c r="R164" i="48" a="1"/>
  <c r="R164" i="48" s="1"/>
  <c r="T164" i="48"/>
  <c r="AS164" i="48" s="1"/>
  <c r="W164" i="48" a="1"/>
  <c r="W164" i="48" s="1"/>
  <c r="Y164" i="48" a="1"/>
  <c r="Y164" i="48" s="1"/>
  <c r="AA164" i="48"/>
  <c r="AD164" i="48" a="1"/>
  <c r="AD164" i="48" s="1"/>
  <c r="AF164" i="48" a="1"/>
  <c r="AF164" i="48" s="1"/>
  <c r="AH164" i="48"/>
  <c r="AK164" i="48" a="1"/>
  <c r="AK164" i="48" s="1"/>
  <c r="AM164" i="48" a="1"/>
  <c r="AM164" i="48" s="1"/>
  <c r="AO164" i="48"/>
  <c r="R165" i="48" a="1"/>
  <c r="R165" i="48" s="1"/>
  <c r="T165" i="48"/>
  <c r="W165" i="48" a="1"/>
  <c r="W165" i="48" s="1"/>
  <c r="Y165" i="48" a="1"/>
  <c r="Y165" i="48" s="1"/>
  <c r="AA165" i="48"/>
  <c r="AD165" i="48" a="1"/>
  <c r="AD165" i="48" s="1"/>
  <c r="AF165" i="48" a="1"/>
  <c r="AF165" i="48" s="1"/>
  <c r="AH165" i="48"/>
  <c r="AK165" i="48" a="1"/>
  <c r="AK165" i="48" s="1"/>
  <c r="AM165" i="48" a="1"/>
  <c r="AM165" i="48" s="1"/>
  <c r="AO165" i="48"/>
  <c r="R166" i="48" a="1"/>
  <c r="R166" i="48" s="1"/>
  <c r="T166" i="48"/>
  <c r="AS166" i="48" s="1"/>
  <c r="W166" i="48" a="1"/>
  <c r="W166" i="48" s="1"/>
  <c r="Y166" i="48" a="1"/>
  <c r="Y166" i="48" s="1"/>
  <c r="AA166" i="48"/>
  <c r="AD166" i="48" a="1"/>
  <c r="AD166" i="48" s="1"/>
  <c r="AF166" i="48" a="1"/>
  <c r="AF166" i="48" s="1"/>
  <c r="AH166" i="48"/>
  <c r="AK166" i="48" a="1"/>
  <c r="AK166" i="48" s="1"/>
  <c r="AM166" i="48" a="1"/>
  <c r="AM166" i="48" s="1"/>
  <c r="AO166" i="48"/>
  <c r="R167" i="48" a="1"/>
  <c r="R167" i="48" s="1"/>
  <c r="T167" i="48"/>
  <c r="W167" i="48" a="1"/>
  <c r="W167" i="48" s="1"/>
  <c r="Y167" i="48" a="1"/>
  <c r="Y167" i="48" s="1"/>
  <c r="AA167" i="48"/>
  <c r="AD167" i="48" a="1"/>
  <c r="AD167" i="48" s="1"/>
  <c r="AF167" i="48" a="1"/>
  <c r="AF167" i="48" s="1"/>
  <c r="AH167" i="48"/>
  <c r="AK167" i="48" a="1"/>
  <c r="AK167" i="48" s="1"/>
  <c r="AM167" i="48" a="1"/>
  <c r="AM167" i="48" s="1"/>
  <c r="AO167" i="48"/>
  <c r="R168" i="48" a="1"/>
  <c r="R168" i="48" s="1"/>
  <c r="T168" i="48"/>
  <c r="W168" i="48" a="1"/>
  <c r="W168" i="48" s="1"/>
  <c r="Y168" i="48" a="1"/>
  <c r="Y168" i="48" s="1"/>
  <c r="AA168" i="48"/>
  <c r="AD168" i="48" a="1"/>
  <c r="AD168" i="48" s="1"/>
  <c r="AF168" i="48" a="1"/>
  <c r="AF168" i="48" s="1"/>
  <c r="AH168" i="48"/>
  <c r="AK168" i="48" a="1"/>
  <c r="AK168" i="48" s="1"/>
  <c r="AM168" i="48" a="1"/>
  <c r="AM168" i="48" s="1"/>
  <c r="AO168" i="48"/>
  <c r="R169" i="48" a="1"/>
  <c r="R169" i="48" s="1"/>
  <c r="T169" i="48"/>
  <c r="AS169" i="48" s="1"/>
  <c r="W169" i="48" a="1"/>
  <c r="W169" i="48" s="1"/>
  <c r="Y169" i="48" a="1"/>
  <c r="Y169" i="48" s="1"/>
  <c r="AA169" i="48"/>
  <c r="AD169" i="48" a="1"/>
  <c r="AD169" i="48" s="1"/>
  <c r="AF169" i="48" a="1"/>
  <c r="AF169" i="48" s="1"/>
  <c r="AH169" i="48"/>
  <c r="AK169" i="48" a="1"/>
  <c r="AK169" i="48" s="1"/>
  <c r="AM169" i="48" a="1"/>
  <c r="AM169" i="48" s="1"/>
  <c r="AO169" i="48"/>
  <c r="R170" i="48" a="1"/>
  <c r="R170" i="48" s="1"/>
  <c r="T170" i="48"/>
  <c r="W170" i="48" a="1"/>
  <c r="W170" i="48" s="1"/>
  <c r="Y170" i="48" a="1"/>
  <c r="Y170" i="48" s="1"/>
  <c r="AA170" i="48"/>
  <c r="AD170" i="48" a="1"/>
  <c r="AD170" i="48" s="1"/>
  <c r="AF170" i="48" a="1"/>
  <c r="AF170" i="48" s="1"/>
  <c r="AH170" i="48"/>
  <c r="AK170" i="48" a="1"/>
  <c r="AK170" i="48" s="1"/>
  <c r="AM170" i="48" a="1"/>
  <c r="AM170" i="48" s="1"/>
  <c r="AO170" i="48"/>
  <c r="R171" i="48" a="1"/>
  <c r="R171" i="48" s="1"/>
  <c r="T171" i="48"/>
  <c r="W171" i="48" a="1"/>
  <c r="W171" i="48" s="1"/>
  <c r="Y171" i="48" a="1"/>
  <c r="Y171" i="48" s="1"/>
  <c r="AA171" i="48"/>
  <c r="AD171" i="48" a="1"/>
  <c r="AD171" i="48" s="1"/>
  <c r="AF171" i="48" a="1"/>
  <c r="AF171" i="48" s="1"/>
  <c r="AH171" i="48"/>
  <c r="AK171" i="48" a="1"/>
  <c r="AK171" i="48" s="1"/>
  <c r="AM171" i="48" a="1"/>
  <c r="AM171" i="48" s="1"/>
  <c r="AO171" i="48"/>
  <c r="R172" i="48" a="1"/>
  <c r="R172" i="48" s="1"/>
  <c r="T172" i="48"/>
  <c r="AS172" i="48" s="1"/>
  <c r="W172" i="48" a="1"/>
  <c r="W172" i="48" s="1"/>
  <c r="Y172" i="48" a="1"/>
  <c r="Y172" i="48" s="1"/>
  <c r="AA172" i="48"/>
  <c r="AD172" i="48" a="1"/>
  <c r="AD172" i="48" s="1"/>
  <c r="AF172" i="48" a="1"/>
  <c r="AF172" i="48" s="1"/>
  <c r="AH172" i="48"/>
  <c r="AK172" i="48" a="1"/>
  <c r="AK172" i="48" s="1"/>
  <c r="AM172" i="48" a="1"/>
  <c r="AM172" i="48" s="1"/>
  <c r="AO172" i="48"/>
  <c r="R173" i="48" a="1"/>
  <c r="R173" i="48" s="1"/>
  <c r="T173" i="48"/>
  <c r="AS173" i="48" s="1"/>
  <c r="W173" i="48" a="1"/>
  <c r="W173" i="48" s="1"/>
  <c r="Y173" i="48" a="1"/>
  <c r="Y173" i="48" s="1"/>
  <c r="AA173" i="48"/>
  <c r="AD173" i="48" a="1"/>
  <c r="AD173" i="48" s="1"/>
  <c r="AF173" i="48" a="1"/>
  <c r="AF173" i="48" s="1"/>
  <c r="AH173" i="48"/>
  <c r="AK173" i="48" a="1"/>
  <c r="AK173" i="48" s="1"/>
  <c r="AM173" i="48" a="1"/>
  <c r="AM173" i="48" s="1"/>
  <c r="AO173" i="48"/>
  <c r="R174" i="48" a="1"/>
  <c r="R174" i="48" s="1"/>
  <c r="T174" i="48"/>
  <c r="W174" i="48" a="1"/>
  <c r="W174" i="48" s="1"/>
  <c r="Y174" i="48" a="1"/>
  <c r="Y174" i="48" s="1"/>
  <c r="AA174" i="48"/>
  <c r="AD174" i="48" a="1"/>
  <c r="AD174" i="48" s="1"/>
  <c r="AF174" i="48" a="1"/>
  <c r="AF174" i="48" s="1"/>
  <c r="AH174" i="48"/>
  <c r="AK174" i="48" a="1"/>
  <c r="AK174" i="48" s="1"/>
  <c r="AM174" i="48" a="1"/>
  <c r="AM174" i="48" s="1"/>
  <c r="AO174" i="48"/>
  <c r="R175" i="48" a="1"/>
  <c r="R175" i="48" s="1"/>
  <c r="T175" i="48"/>
  <c r="W175" i="48" a="1"/>
  <c r="W175" i="48" s="1"/>
  <c r="Y175" i="48" a="1"/>
  <c r="Y175" i="48" s="1"/>
  <c r="AA175" i="48"/>
  <c r="AD175" i="48" a="1"/>
  <c r="AD175" i="48" s="1"/>
  <c r="AF175" i="48" a="1"/>
  <c r="AF175" i="48" s="1"/>
  <c r="AH175" i="48"/>
  <c r="AK175" i="48" a="1"/>
  <c r="AK175" i="48" s="1"/>
  <c r="AM175" i="48" a="1"/>
  <c r="AM175" i="48" s="1"/>
  <c r="AO175" i="48"/>
  <c r="R176" i="48" a="1"/>
  <c r="R176" i="48" s="1"/>
  <c r="T176" i="48"/>
  <c r="AS176" i="48" s="1"/>
  <c r="W176" i="48" a="1"/>
  <c r="W176" i="48" s="1"/>
  <c r="Y176" i="48" a="1"/>
  <c r="Y176" i="48" s="1"/>
  <c r="AA176" i="48"/>
  <c r="AD176" i="48" a="1"/>
  <c r="AD176" i="48" s="1"/>
  <c r="AF176" i="48" a="1"/>
  <c r="AF176" i="48" s="1"/>
  <c r="AH176" i="48"/>
  <c r="AK176" i="48" a="1"/>
  <c r="AK176" i="48" s="1"/>
  <c r="AM176" i="48" a="1"/>
  <c r="AM176" i="48" s="1"/>
  <c r="AO176" i="48"/>
  <c r="R177" i="48" a="1"/>
  <c r="R177" i="48" s="1"/>
  <c r="T177" i="48"/>
  <c r="AS177" i="48" s="1"/>
  <c r="W177" i="48" a="1"/>
  <c r="W177" i="48" s="1"/>
  <c r="Y177" i="48" a="1"/>
  <c r="Y177" i="48" s="1"/>
  <c r="AA177" i="48"/>
  <c r="AD177" i="48" a="1"/>
  <c r="AD177" i="48" s="1"/>
  <c r="AF177" i="48" a="1"/>
  <c r="AF177" i="48" s="1"/>
  <c r="AH177" i="48"/>
  <c r="AK177" i="48" a="1"/>
  <c r="AK177" i="48" s="1"/>
  <c r="AM177" i="48" a="1"/>
  <c r="AM177" i="48" s="1"/>
  <c r="AO177" i="48"/>
  <c r="R178" i="48" a="1"/>
  <c r="R178" i="48" s="1"/>
  <c r="T178" i="48"/>
  <c r="AS178" i="48" s="1"/>
  <c r="W178" i="48" a="1"/>
  <c r="W178" i="48" s="1"/>
  <c r="Y178" i="48" a="1"/>
  <c r="Y178" i="48" s="1"/>
  <c r="AA178" i="48"/>
  <c r="AD178" i="48" a="1"/>
  <c r="AD178" i="48" s="1"/>
  <c r="AF178" i="48" a="1"/>
  <c r="AF178" i="48" s="1"/>
  <c r="AH178" i="48"/>
  <c r="AK178" i="48" a="1"/>
  <c r="AK178" i="48" s="1"/>
  <c r="AM178" i="48" a="1"/>
  <c r="AM178" i="48" s="1"/>
  <c r="AO178" i="48"/>
  <c r="R179" i="48" a="1"/>
  <c r="R179" i="48" s="1"/>
  <c r="T179" i="48"/>
  <c r="W179" i="48" a="1"/>
  <c r="W179" i="48" s="1"/>
  <c r="Y179" i="48" a="1"/>
  <c r="Y179" i="48" s="1"/>
  <c r="AA179" i="48"/>
  <c r="AD179" i="48" a="1"/>
  <c r="AD179" i="48" s="1"/>
  <c r="AF179" i="48" a="1"/>
  <c r="AF179" i="48" s="1"/>
  <c r="AH179" i="48"/>
  <c r="AK179" i="48" a="1"/>
  <c r="AK179" i="48" s="1"/>
  <c r="AM179" i="48" a="1"/>
  <c r="AM179" i="48" s="1"/>
  <c r="AO179" i="48"/>
  <c r="R180" i="48" a="1"/>
  <c r="R180" i="48" s="1"/>
  <c r="T180" i="48"/>
  <c r="AS180" i="48" s="1"/>
  <c r="W180" i="48" a="1"/>
  <c r="W180" i="48" s="1"/>
  <c r="Y180" i="48" a="1"/>
  <c r="Y180" i="48" s="1"/>
  <c r="AA180" i="48"/>
  <c r="AD180" i="48" a="1"/>
  <c r="AD180" i="48" s="1"/>
  <c r="AF180" i="48" a="1"/>
  <c r="AF180" i="48" s="1"/>
  <c r="AH180" i="48"/>
  <c r="AK180" i="48" a="1"/>
  <c r="AK180" i="48" s="1"/>
  <c r="AM180" i="48" a="1"/>
  <c r="AM180" i="48" s="1"/>
  <c r="AO180" i="48"/>
  <c r="R181" i="48" a="1"/>
  <c r="R181" i="48" s="1"/>
  <c r="T181" i="48"/>
  <c r="AS181" i="48" s="1"/>
  <c r="W181" i="48" a="1"/>
  <c r="W181" i="48" s="1"/>
  <c r="Y181" i="48" a="1"/>
  <c r="Y181" i="48" s="1"/>
  <c r="AA181" i="48"/>
  <c r="AD181" i="48" a="1"/>
  <c r="AD181" i="48" s="1"/>
  <c r="AF181" i="48" a="1"/>
  <c r="AF181" i="48" s="1"/>
  <c r="AH181" i="48"/>
  <c r="AK181" i="48" a="1"/>
  <c r="AK181" i="48" s="1"/>
  <c r="AM181" i="48" a="1"/>
  <c r="AM181" i="48" s="1"/>
  <c r="AO181" i="48"/>
  <c r="R182" i="48" a="1"/>
  <c r="R182" i="48" s="1"/>
  <c r="T182" i="48"/>
  <c r="AS182" i="48" s="1"/>
  <c r="W182" i="48" a="1"/>
  <c r="W182" i="48" s="1"/>
  <c r="Y182" i="48" a="1"/>
  <c r="Y182" i="48" s="1"/>
  <c r="AA182" i="48"/>
  <c r="AD182" i="48" a="1"/>
  <c r="AD182" i="48" s="1"/>
  <c r="AF182" i="48" a="1"/>
  <c r="AF182" i="48" s="1"/>
  <c r="AH182" i="48"/>
  <c r="AK182" i="48" a="1"/>
  <c r="AK182" i="48" s="1"/>
  <c r="AM182" i="48" a="1"/>
  <c r="AM182" i="48" s="1"/>
  <c r="AO182" i="48"/>
  <c r="R183" i="48" a="1"/>
  <c r="R183" i="48" s="1"/>
  <c r="T183" i="48"/>
  <c r="W183" i="48" a="1"/>
  <c r="W183" i="48" s="1"/>
  <c r="Y183" i="48" a="1"/>
  <c r="Y183" i="48" s="1"/>
  <c r="AA183" i="48"/>
  <c r="AD183" i="48" a="1"/>
  <c r="AD183" i="48" s="1"/>
  <c r="AF183" i="48" a="1"/>
  <c r="AF183" i="48" s="1"/>
  <c r="AH183" i="48"/>
  <c r="AK183" i="48" a="1"/>
  <c r="AK183" i="48" s="1"/>
  <c r="AM183" i="48" a="1"/>
  <c r="AM183" i="48" s="1"/>
  <c r="AO183" i="48"/>
  <c r="R184" i="48" a="1"/>
  <c r="R184" i="48" s="1"/>
  <c r="T184" i="48"/>
  <c r="AS184" i="48" s="1"/>
  <c r="W184" i="48" a="1"/>
  <c r="W184" i="48" s="1"/>
  <c r="Y184" i="48" a="1"/>
  <c r="Y184" i="48" s="1"/>
  <c r="AA184" i="48"/>
  <c r="AD184" i="48" a="1"/>
  <c r="AD184" i="48" s="1"/>
  <c r="AF184" i="48" a="1"/>
  <c r="AF184" i="48" s="1"/>
  <c r="AH184" i="48"/>
  <c r="AK184" i="48" a="1"/>
  <c r="AK184" i="48" s="1"/>
  <c r="AM184" i="48" a="1"/>
  <c r="AM184" i="48" s="1"/>
  <c r="AO184" i="48"/>
  <c r="R185" i="48" a="1"/>
  <c r="R185" i="48" s="1"/>
  <c r="T185" i="48"/>
  <c r="AS185" i="48" s="1"/>
  <c r="W185" i="48" a="1"/>
  <c r="W185" i="48" s="1"/>
  <c r="Y185" i="48" a="1"/>
  <c r="Y185" i="48" s="1"/>
  <c r="AA185" i="48"/>
  <c r="AD185" i="48" a="1"/>
  <c r="AD185" i="48" s="1"/>
  <c r="AF185" i="48" a="1"/>
  <c r="AF185" i="48" s="1"/>
  <c r="AH185" i="48"/>
  <c r="AK185" i="48" a="1"/>
  <c r="AK185" i="48" s="1"/>
  <c r="AM185" i="48" a="1"/>
  <c r="AM185" i="48" s="1"/>
  <c r="AO185" i="48"/>
  <c r="R186" i="48" a="1"/>
  <c r="R186" i="48" s="1"/>
  <c r="T186" i="48"/>
  <c r="AS186" i="48" s="1"/>
  <c r="W186" i="48" a="1"/>
  <c r="W186" i="48" s="1"/>
  <c r="Y186" i="48" a="1"/>
  <c r="Y186" i="48" s="1"/>
  <c r="AA186" i="48"/>
  <c r="AD186" i="48" a="1"/>
  <c r="AD186" i="48" s="1"/>
  <c r="AF186" i="48" a="1"/>
  <c r="AF186" i="48" s="1"/>
  <c r="AH186" i="48"/>
  <c r="AK186" i="48" a="1"/>
  <c r="AK186" i="48" s="1"/>
  <c r="AM186" i="48" a="1"/>
  <c r="AM186" i="48" s="1"/>
  <c r="AO186" i="48"/>
  <c r="R187" i="48" a="1"/>
  <c r="R187" i="48" s="1"/>
  <c r="T187" i="48"/>
  <c r="AS187" i="48" s="1"/>
  <c r="W187" i="48" a="1"/>
  <c r="W187" i="48" s="1"/>
  <c r="Y187" i="48" a="1"/>
  <c r="Y187" i="48" s="1"/>
  <c r="AA187" i="48"/>
  <c r="AD187" i="48" a="1"/>
  <c r="AD187" i="48" s="1"/>
  <c r="AF187" i="48" a="1"/>
  <c r="AF187" i="48" s="1"/>
  <c r="AH187" i="48"/>
  <c r="AK187" i="48" a="1"/>
  <c r="AK187" i="48" s="1"/>
  <c r="AM187" i="48" a="1"/>
  <c r="AM187" i="48" s="1"/>
  <c r="AO187" i="48"/>
  <c r="R188" i="48" a="1"/>
  <c r="R188" i="48" s="1"/>
  <c r="T188" i="48"/>
  <c r="AS188" i="48" s="1"/>
  <c r="W188" i="48" a="1"/>
  <c r="W188" i="48" s="1"/>
  <c r="Y188" i="48" a="1"/>
  <c r="Y188" i="48" s="1"/>
  <c r="AA188" i="48"/>
  <c r="AD188" i="48" a="1"/>
  <c r="AD188" i="48" s="1"/>
  <c r="AF188" i="48" a="1"/>
  <c r="AF188" i="48" s="1"/>
  <c r="AH188" i="48"/>
  <c r="AK188" i="48" a="1"/>
  <c r="AK188" i="48" s="1"/>
  <c r="AM188" i="48" a="1"/>
  <c r="AM188" i="48" s="1"/>
  <c r="AO188" i="48"/>
  <c r="R189" i="48" a="1"/>
  <c r="R189" i="48" s="1"/>
  <c r="T189" i="48"/>
  <c r="AS189" i="48" s="1"/>
  <c r="W189" i="48" a="1"/>
  <c r="W189" i="48" s="1"/>
  <c r="Y189" i="48" a="1"/>
  <c r="Y189" i="48" s="1"/>
  <c r="AA189" i="48"/>
  <c r="AD189" i="48" a="1"/>
  <c r="AD189" i="48" s="1"/>
  <c r="AF189" i="48" a="1"/>
  <c r="AF189" i="48" s="1"/>
  <c r="AH189" i="48"/>
  <c r="AK189" i="48" a="1"/>
  <c r="AK189" i="48" s="1"/>
  <c r="AM189" i="48" a="1"/>
  <c r="AM189" i="48" s="1"/>
  <c r="AO189" i="48"/>
  <c r="R190" i="48" a="1"/>
  <c r="R190" i="48" s="1"/>
  <c r="T190" i="48"/>
  <c r="W190" i="48" a="1"/>
  <c r="W190" i="48" s="1"/>
  <c r="Y190" i="48" a="1"/>
  <c r="Y190" i="48" s="1"/>
  <c r="AA190" i="48"/>
  <c r="AD190" i="48" a="1"/>
  <c r="AD190" i="48" s="1"/>
  <c r="AF190" i="48" a="1"/>
  <c r="AF190" i="48" s="1"/>
  <c r="AH190" i="48"/>
  <c r="AK190" i="48" a="1"/>
  <c r="AK190" i="48" s="1"/>
  <c r="AM190" i="48" a="1"/>
  <c r="AM190" i="48" s="1"/>
  <c r="AO190" i="48"/>
  <c r="R191" i="48" a="1"/>
  <c r="R191" i="48" s="1"/>
  <c r="T191" i="48"/>
  <c r="W191" i="48" a="1"/>
  <c r="W191" i="48" s="1"/>
  <c r="Y191" i="48" a="1"/>
  <c r="Y191" i="48" s="1"/>
  <c r="AA191" i="48"/>
  <c r="AD191" i="48" a="1"/>
  <c r="AD191" i="48" s="1"/>
  <c r="AF191" i="48" a="1"/>
  <c r="AF191" i="48" s="1"/>
  <c r="AH191" i="48"/>
  <c r="AK191" i="48" a="1"/>
  <c r="AK191" i="48" s="1"/>
  <c r="AM191" i="48" a="1"/>
  <c r="AM191" i="48" s="1"/>
  <c r="AO191" i="48"/>
  <c r="R192" i="48" a="1"/>
  <c r="R192" i="48" s="1"/>
  <c r="T192" i="48"/>
  <c r="AS192" i="48" s="1"/>
  <c r="W192" i="48" a="1"/>
  <c r="W192" i="48" s="1"/>
  <c r="Y192" i="48" a="1"/>
  <c r="Y192" i="48" s="1"/>
  <c r="AA192" i="48"/>
  <c r="AD192" i="48" a="1"/>
  <c r="AD192" i="48" s="1"/>
  <c r="AF192" i="48" a="1"/>
  <c r="AF192" i="48" s="1"/>
  <c r="AH192" i="48"/>
  <c r="AK192" i="48" a="1"/>
  <c r="AK192" i="48" s="1"/>
  <c r="AM192" i="48" a="1"/>
  <c r="AM192" i="48" s="1"/>
  <c r="AO192" i="48"/>
  <c r="R193" i="48" a="1"/>
  <c r="R193" i="48" s="1"/>
  <c r="T193" i="48"/>
  <c r="AS193" i="48" s="1"/>
  <c r="W193" i="48" a="1"/>
  <c r="W193" i="48" s="1"/>
  <c r="Y193" i="48" a="1"/>
  <c r="Y193" i="48" s="1"/>
  <c r="AA193" i="48"/>
  <c r="AD193" i="48" a="1"/>
  <c r="AD193" i="48" s="1"/>
  <c r="AF193" i="48" a="1"/>
  <c r="AF193" i="48" s="1"/>
  <c r="AH193" i="48"/>
  <c r="AK193" i="48" a="1"/>
  <c r="AK193" i="48" s="1"/>
  <c r="AM193" i="48" a="1"/>
  <c r="AM193" i="48" s="1"/>
  <c r="AO193" i="48"/>
  <c r="R194" i="48" a="1"/>
  <c r="R194" i="48" s="1"/>
  <c r="T194" i="48"/>
  <c r="AS194" i="48" s="1"/>
  <c r="W194" i="48" a="1"/>
  <c r="W194" i="48" s="1"/>
  <c r="Y194" i="48" a="1"/>
  <c r="Y194" i="48" s="1"/>
  <c r="AA194" i="48"/>
  <c r="AD194" i="48" a="1"/>
  <c r="AD194" i="48" s="1"/>
  <c r="AF194" i="48" a="1"/>
  <c r="AF194" i="48" s="1"/>
  <c r="AH194" i="48"/>
  <c r="AK194" i="48" a="1"/>
  <c r="AK194" i="48" s="1"/>
  <c r="AM194" i="48" a="1"/>
  <c r="AM194" i="48" s="1"/>
  <c r="AO194" i="48"/>
  <c r="R195" i="48" a="1"/>
  <c r="R195" i="48" s="1"/>
  <c r="T195" i="48"/>
  <c r="AS195" i="48" s="1"/>
  <c r="W195" i="48" a="1"/>
  <c r="W195" i="48" s="1"/>
  <c r="Y195" i="48" a="1"/>
  <c r="Y195" i="48" s="1"/>
  <c r="AA195" i="48"/>
  <c r="AD195" i="48" a="1"/>
  <c r="AD195" i="48" s="1"/>
  <c r="AF195" i="48" a="1"/>
  <c r="AF195" i="48" s="1"/>
  <c r="AH195" i="48"/>
  <c r="AK195" i="48" a="1"/>
  <c r="AK195" i="48" s="1"/>
  <c r="AM195" i="48" a="1"/>
  <c r="AM195" i="48" s="1"/>
  <c r="AO195" i="48"/>
  <c r="R196" i="48" a="1"/>
  <c r="R196" i="48" s="1"/>
  <c r="T196" i="48"/>
  <c r="AS196" i="48" s="1"/>
  <c r="W196" i="48" a="1"/>
  <c r="W196" i="48" s="1"/>
  <c r="Y196" i="48" a="1"/>
  <c r="Y196" i="48" s="1"/>
  <c r="AA196" i="48"/>
  <c r="AD196" i="48" a="1"/>
  <c r="AD196" i="48" s="1"/>
  <c r="AF196" i="48" a="1"/>
  <c r="AF196" i="48" s="1"/>
  <c r="AH196" i="48"/>
  <c r="AK196" i="48" a="1"/>
  <c r="AK196" i="48" s="1"/>
  <c r="AM196" i="48" a="1"/>
  <c r="AM196" i="48" s="1"/>
  <c r="AO196" i="48"/>
  <c r="R197" i="48" a="1"/>
  <c r="R197" i="48" s="1"/>
  <c r="T197" i="48"/>
  <c r="W197" i="48" a="1"/>
  <c r="W197" i="48" s="1"/>
  <c r="Y197" i="48" a="1"/>
  <c r="Y197" i="48" s="1"/>
  <c r="AA197" i="48"/>
  <c r="AD197" i="48" a="1"/>
  <c r="AD197" i="48" s="1"/>
  <c r="AF197" i="48" a="1"/>
  <c r="AF197" i="48" s="1"/>
  <c r="AH197" i="48"/>
  <c r="AK197" i="48" a="1"/>
  <c r="AK197" i="48" s="1"/>
  <c r="AM197" i="48" a="1"/>
  <c r="AM197" i="48" s="1"/>
  <c r="AO197" i="48"/>
  <c r="R198" i="48" a="1"/>
  <c r="R198" i="48" s="1"/>
  <c r="T198" i="48"/>
  <c r="AS198" i="48" s="1"/>
  <c r="W198" i="48" a="1"/>
  <c r="W198" i="48" s="1"/>
  <c r="Y198" i="48" a="1"/>
  <c r="Y198" i="48" s="1"/>
  <c r="AA198" i="48"/>
  <c r="AD198" i="48" a="1"/>
  <c r="AD198" i="48" s="1"/>
  <c r="AF198" i="48" a="1"/>
  <c r="AF198" i="48" s="1"/>
  <c r="AH198" i="48"/>
  <c r="AK198" i="48" a="1"/>
  <c r="AK198" i="48" s="1"/>
  <c r="AM198" i="48" a="1"/>
  <c r="AM198" i="48" s="1"/>
  <c r="AO198" i="48"/>
  <c r="R199" i="48" a="1"/>
  <c r="R199" i="48" s="1"/>
  <c r="T199" i="48"/>
  <c r="W199" i="48" a="1"/>
  <c r="W199" i="48" s="1"/>
  <c r="Y199" i="48" a="1"/>
  <c r="Y199" i="48" s="1"/>
  <c r="AA199" i="48"/>
  <c r="AD199" i="48" a="1"/>
  <c r="AD199" i="48" s="1"/>
  <c r="AF199" i="48" a="1"/>
  <c r="AF199" i="48" s="1"/>
  <c r="AH199" i="48"/>
  <c r="AK199" i="48" a="1"/>
  <c r="AK199" i="48" s="1"/>
  <c r="AM199" i="48" a="1"/>
  <c r="AM199" i="48" s="1"/>
  <c r="AO199" i="48"/>
  <c r="R200" i="48" a="1"/>
  <c r="R200" i="48" s="1"/>
  <c r="T200" i="48"/>
  <c r="W200" i="48" a="1"/>
  <c r="W200" i="48" s="1"/>
  <c r="Y200" i="48" a="1"/>
  <c r="Y200" i="48" s="1"/>
  <c r="AA200" i="48"/>
  <c r="AD200" i="48" a="1"/>
  <c r="AD200" i="48" s="1"/>
  <c r="AF200" i="48" a="1"/>
  <c r="AF200" i="48" s="1"/>
  <c r="AH200" i="48"/>
  <c r="AK200" i="48" a="1"/>
  <c r="AK200" i="48" s="1"/>
  <c r="AM200" i="48" a="1"/>
  <c r="AM200" i="48" s="1"/>
  <c r="AO200" i="48"/>
  <c r="R201" i="48" a="1"/>
  <c r="R201" i="48" s="1"/>
  <c r="T201" i="48"/>
  <c r="AS201" i="48" s="1"/>
  <c r="W201" i="48" a="1"/>
  <c r="W201" i="48" s="1"/>
  <c r="Y201" i="48" a="1"/>
  <c r="Y201" i="48" s="1"/>
  <c r="AA201" i="48"/>
  <c r="AD201" i="48" a="1"/>
  <c r="AD201" i="48" s="1"/>
  <c r="AF201" i="48" a="1"/>
  <c r="AF201" i="48" s="1"/>
  <c r="AH201" i="48"/>
  <c r="AK201" i="48" a="1"/>
  <c r="AK201" i="48" s="1"/>
  <c r="AM201" i="48" a="1"/>
  <c r="AM201" i="48" s="1"/>
  <c r="AO201" i="48"/>
  <c r="R202" i="48" a="1"/>
  <c r="R202" i="48" s="1"/>
  <c r="T202" i="48"/>
  <c r="W202" i="48" a="1"/>
  <c r="W202" i="48" s="1"/>
  <c r="Y202" i="48" a="1"/>
  <c r="Y202" i="48" s="1"/>
  <c r="AA202" i="48"/>
  <c r="AD202" i="48" a="1"/>
  <c r="AD202" i="48" s="1"/>
  <c r="AF202" i="48" a="1"/>
  <c r="AF202" i="48" s="1"/>
  <c r="AH202" i="48"/>
  <c r="AK202" i="48" a="1"/>
  <c r="AK202" i="48" s="1"/>
  <c r="AM202" i="48" a="1"/>
  <c r="AM202" i="48" s="1"/>
  <c r="AO202" i="48"/>
  <c r="R203" i="48" a="1"/>
  <c r="R203" i="48" s="1"/>
  <c r="T203" i="48"/>
  <c r="AS203" i="48" s="1"/>
  <c r="W203" i="48" a="1"/>
  <c r="W203" i="48" s="1"/>
  <c r="Y203" i="48" a="1"/>
  <c r="Y203" i="48" s="1"/>
  <c r="AA203" i="48"/>
  <c r="AD203" i="48" a="1"/>
  <c r="AD203" i="48" s="1"/>
  <c r="AF203" i="48" a="1"/>
  <c r="AF203" i="48" s="1"/>
  <c r="AH203" i="48"/>
  <c r="AK203" i="48" a="1"/>
  <c r="AK203" i="48" s="1"/>
  <c r="AM203" i="48" a="1"/>
  <c r="AM203" i="48" s="1"/>
  <c r="AO203" i="48"/>
  <c r="R204" i="48" a="1"/>
  <c r="R204" i="48" s="1"/>
  <c r="T204" i="48"/>
  <c r="AS204" i="48" s="1"/>
  <c r="W204" i="48" a="1"/>
  <c r="W204" i="48" s="1"/>
  <c r="Y204" i="48" a="1"/>
  <c r="Y204" i="48" s="1"/>
  <c r="AA204" i="48"/>
  <c r="AD204" i="48" a="1"/>
  <c r="AD204" i="48" s="1"/>
  <c r="AF204" i="48" a="1"/>
  <c r="AF204" i="48" s="1"/>
  <c r="AH204" i="48"/>
  <c r="AK204" i="48" a="1"/>
  <c r="AK204" i="48" s="1"/>
  <c r="AM204" i="48" a="1"/>
  <c r="AM204" i="48" s="1"/>
  <c r="AO204" i="48"/>
  <c r="R205" i="48" a="1"/>
  <c r="R205" i="48" s="1"/>
  <c r="T205" i="48"/>
  <c r="AS205" i="48" s="1"/>
  <c r="W205" i="48" a="1"/>
  <c r="W205" i="48" s="1"/>
  <c r="Y205" i="48" a="1"/>
  <c r="Y205" i="48" s="1"/>
  <c r="AA205" i="48"/>
  <c r="AD205" i="48" a="1"/>
  <c r="AD205" i="48" s="1"/>
  <c r="AF205" i="48" a="1"/>
  <c r="AF205" i="48" s="1"/>
  <c r="AH205" i="48"/>
  <c r="AK205" i="48" a="1"/>
  <c r="AK205" i="48" s="1"/>
  <c r="AM205" i="48" a="1"/>
  <c r="AM205" i="48" s="1"/>
  <c r="AO205" i="48"/>
  <c r="R206" i="48" a="1"/>
  <c r="R206" i="48" s="1"/>
  <c r="T206" i="48"/>
  <c r="AS206" i="48" s="1"/>
  <c r="W206" i="48" a="1"/>
  <c r="W206" i="48" s="1"/>
  <c r="Y206" i="48" a="1"/>
  <c r="Y206" i="48" s="1"/>
  <c r="AA206" i="48"/>
  <c r="AD206" i="48" a="1"/>
  <c r="AD206" i="48" s="1"/>
  <c r="AF206" i="48" a="1"/>
  <c r="AF206" i="48" s="1"/>
  <c r="AH206" i="48"/>
  <c r="AK206" i="48" a="1"/>
  <c r="AK206" i="48" s="1"/>
  <c r="AM206" i="48" a="1"/>
  <c r="AM206" i="48" s="1"/>
  <c r="AO206" i="48"/>
  <c r="R207" i="48" a="1"/>
  <c r="R207" i="48" s="1"/>
  <c r="T207" i="48"/>
  <c r="AS207" i="48" s="1"/>
  <c r="W207" i="48" a="1"/>
  <c r="W207" i="48" s="1"/>
  <c r="Y207" i="48" a="1"/>
  <c r="Y207" i="48" s="1"/>
  <c r="AA207" i="48"/>
  <c r="AD207" i="48" a="1"/>
  <c r="AD207" i="48" s="1"/>
  <c r="AF207" i="48" a="1"/>
  <c r="AF207" i="48" s="1"/>
  <c r="AH207" i="48"/>
  <c r="AK207" i="48" a="1"/>
  <c r="AK207" i="48" s="1"/>
  <c r="AM207" i="48" a="1"/>
  <c r="AM207" i="48" s="1"/>
  <c r="AO207" i="48"/>
  <c r="R208" i="48" a="1"/>
  <c r="R208" i="48" s="1"/>
  <c r="T208" i="48"/>
  <c r="AS208" i="48" s="1"/>
  <c r="W208" i="48" a="1"/>
  <c r="W208" i="48" s="1"/>
  <c r="Y208" i="48" a="1"/>
  <c r="Y208" i="48" s="1"/>
  <c r="AA208" i="48"/>
  <c r="AD208" i="48" a="1"/>
  <c r="AD208" i="48" s="1"/>
  <c r="AF208" i="48" a="1"/>
  <c r="AF208" i="48" s="1"/>
  <c r="AH208" i="48"/>
  <c r="AK208" i="48" a="1"/>
  <c r="AK208" i="48" s="1"/>
  <c r="AM208" i="48" a="1"/>
  <c r="AM208" i="48" s="1"/>
  <c r="AO208" i="48"/>
  <c r="R209" i="48" a="1"/>
  <c r="R209" i="48" s="1"/>
  <c r="T209" i="48"/>
  <c r="AS209" i="48" s="1"/>
  <c r="W209" i="48" a="1"/>
  <c r="W209" i="48" s="1"/>
  <c r="Y209" i="48" a="1"/>
  <c r="Y209" i="48" s="1"/>
  <c r="AA209" i="48"/>
  <c r="AD209" i="48" a="1"/>
  <c r="AD209" i="48" s="1"/>
  <c r="AF209" i="48" a="1"/>
  <c r="AF209" i="48" s="1"/>
  <c r="AH209" i="48"/>
  <c r="AK209" i="48" a="1"/>
  <c r="AK209" i="48" s="1"/>
  <c r="AM209" i="48" a="1"/>
  <c r="AM209" i="48" s="1"/>
  <c r="AO209" i="48"/>
  <c r="R210" i="48" a="1"/>
  <c r="R210" i="48" s="1"/>
  <c r="T210" i="48"/>
  <c r="AS210" i="48" s="1"/>
  <c r="W210" i="48" a="1"/>
  <c r="W210" i="48" s="1"/>
  <c r="Y210" i="48" a="1"/>
  <c r="Y210" i="48" s="1"/>
  <c r="AA210" i="48"/>
  <c r="AD210" i="48" a="1"/>
  <c r="AD210" i="48" s="1"/>
  <c r="AF210" i="48" a="1"/>
  <c r="AF210" i="48" s="1"/>
  <c r="AH210" i="48"/>
  <c r="AK210" i="48" a="1"/>
  <c r="AK210" i="48" s="1"/>
  <c r="AM210" i="48" a="1"/>
  <c r="AM210" i="48" s="1"/>
  <c r="AO210" i="48"/>
  <c r="R211" i="48" a="1"/>
  <c r="R211" i="48" s="1"/>
  <c r="T211" i="48"/>
  <c r="AS211" i="48" s="1"/>
  <c r="W211" i="48" a="1"/>
  <c r="W211" i="48" s="1"/>
  <c r="Y211" i="48" a="1"/>
  <c r="Y211" i="48" s="1"/>
  <c r="AA211" i="48"/>
  <c r="AD211" i="48" a="1"/>
  <c r="AD211" i="48" s="1"/>
  <c r="AF211" i="48" a="1"/>
  <c r="AF211" i="48" s="1"/>
  <c r="AH211" i="48"/>
  <c r="AK211" i="48" a="1"/>
  <c r="AK211" i="48" s="1"/>
  <c r="AM211" i="48" a="1"/>
  <c r="AM211" i="48" s="1"/>
  <c r="AO211" i="48"/>
  <c r="R212" i="48" a="1"/>
  <c r="R212" i="48" s="1"/>
  <c r="T212" i="48"/>
  <c r="AS212" i="48" s="1"/>
  <c r="W212" i="48" a="1"/>
  <c r="W212" i="48" s="1"/>
  <c r="Y212" i="48" a="1"/>
  <c r="Y212" i="48" s="1"/>
  <c r="AA212" i="48"/>
  <c r="AD212" i="48" a="1"/>
  <c r="AD212" i="48" s="1"/>
  <c r="AF212" i="48" a="1"/>
  <c r="AF212" i="48" s="1"/>
  <c r="AH212" i="48"/>
  <c r="AK212" i="48" a="1"/>
  <c r="AK212" i="48" s="1"/>
  <c r="AM212" i="48" a="1"/>
  <c r="AM212" i="48" s="1"/>
  <c r="AO212" i="48"/>
  <c r="R213" i="48" a="1"/>
  <c r="R213" i="48" s="1"/>
  <c r="T213" i="48"/>
  <c r="AS213" i="48" s="1"/>
  <c r="W213" i="48" a="1"/>
  <c r="W213" i="48" s="1"/>
  <c r="Y213" i="48" a="1"/>
  <c r="Y213" i="48" s="1"/>
  <c r="AA213" i="48"/>
  <c r="AD213" i="48" a="1"/>
  <c r="AD213" i="48" s="1"/>
  <c r="AF213" i="48" a="1"/>
  <c r="AF213" i="48" s="1"/>
  <c r="AH213" i="48"/>
  <c r="AK213" i="48" a="1"/>
  <c r="AK213" i="48" s="1"/>
  <c r="AM213" i="48" a="1"/>
  <c r="AM213" i="48" s="1"/>
  <c r="AO213" i="48"/>
  <c r="R214" i="48" a="1"/>
  <c r="R214" i="48" s="1"/>
  <c r="T214" i="48"/>
  <c r="AS214" i="48" s="1"/>
  <c r="W214" i="48" a="1"/>
  <c r="W214" i="48" s="1"/>
  <c r="Y214" i="48" a="1"/>
  <c r="Y214" i="48" s="1"/>
  <c r="AA214" i="48"/>
  <c r="AD214" i="48" a="1"/>
  <c r="AD214" i="48" s="1"/>
  <c r="AF214" i="48" a="1"/>
  <c r="AF214" i="48" s="1"/>
  <c r="AH214" i="48"/>
  <c r="AK214" i="48" a="1"/>
  <c r="AK214" i="48" s="1"/>
  <c r="AM214" i="48" a="1"/>
  <c r="AM214" i="48" s="1"/>
  <c r="AO214" i="48"/>
  <c r="R215" i="48" a="1"/>
  <c r="R215" i="48" s="1"/>
  <c r="T215" i="48"/>
  <c r="W215" i="48" a="1"/>
  <c r="W215" i="48" s="1"/>
  <c r="Y215" i="48" a="1"/>
  <c r="Y215" i="48" s="1"/>
  <c r="AA215" i="48"/>
  <c r="AD215" i="48" a="1"/>
  <c r="AD215" i="48" s="1"/>
  <c r="AF215" i="48" a="1"/>
  <c r="AF215" i="48" s="1"/>
  <c r="AH215" i="48"/>
  <c r="AK215" i="48" a="1"/>
  <c r="AK215" i="48" s="1"/>
  <c r="AM215" i="48" a="1"/>
  <c r="AM215" i="48" s="1"/>
  <c r="AO215" i="48"/>
  <c r="R216" i="48" a="1"/>
  <c r="R216" i="48" s="1"/>
  <c r="T216" i="48"/>
  <c r="AS216" i="48" s="1"/>
  <c r="W216" i="48" a="1"/>
  <c r="W216" i="48" s="1"/>
  <c r="Y216" i="48" a="1"/>
  <c r="Y216" i="48" s="1"/>
  <c r="AA216" i="48"/>
  <c r="AD216" i="48" a="1"/>
  <c r="AD216" i="48" s="1"/>
  <c r="AF216" i="48" a="1"/>
  <c r="AF216" i="48" s="1"/>
  <c r="AH216" i="48"/>
  <c r="AK216" i="48" a="1"/>
  <c r="AK216" i="48" s="1"/>
  <c r="AM216" i="48" a="1"/>
  <c r="AM216" i="48" s="1"/>
  <c r="AO216" i="48"/>
  <c r="R217" i="48" a="1"/>
  <c r="R217" i="48" s="1"/>
  <c r="T217" i="48"/>
  <c r="W217" i="48" a="1"/>
  <c r="W217" i="48" s="1"/>
  <c r="Y217" i="48" a="1"/>
  <c r="Y217" i="48" s="1"/>
  <c r="AA217" i="48"/>
  <c r="AD217" i="48" a="1"/>
  <c r="AD217" i="48" s="1"/>
  <c r="AF217" i="48" a="1"/>
  <c r="AF217" i="48" s="1"/>
  <c r="AH217" i="48"/>
  <c r="AK217" i="48" a="1"/>
  <c r="AK217" i="48" s="1"/>
  <c r="AM217" i="48" a="1"/>
  <c r="AM217" i="48" s="1"/>
  <c r="AO217" i="48"/>
  <c r="R218" i="48" a="1"/>
  <c r="R218" i="48" s="1"/>
  <c r="T218" i="48"/>
  <c r="AS218" i="48" s="1"/>
  <c r="W218" i="48" a="1"/>
  <c r="W218" i="48" s="1"/>
  <c r="Y218" i="48" a="1"/>
  <c r="Y218" i="48" s="1"/>
  <c r="AA218" i="48"/>
  <c r="AD218" i="48" a="1"/>
  <c r="AD218" i="48" s="1"/>
  <c r="AF218" i="48" a="1"/>
  <c r="AF218" i="48" s="1"/>
  <c r="AH218" i="48"/>
  <c r="AK218" i="48" a="1"/>
  <c r="AK218" i="48" s="1"/>
  <c r="AM218" i="48" a="1"/>
  <c r="AM218" i="48" s="1"/>
  <c r="AO218" i="48"/>
  <c r="R219" i="48" a="1"/>
  <c r="R219" i="48" s="1"/>
  <c r="T219" i="48"/>
  <c r="W219" i="48" a="1"/>
  <c r="W219" i="48" s="1"/>
  <c r="Y219" i="48" a="1"/>
  <c r="Y219" i="48" s="1"/>
  <c r="AA219" i="48"/>
  <c r="AD219" i="48" a="1"/>
  <c r="AD219" i="48" s="1"/>
  <c r="AF219" i="48" a="1"/>
  <c r="AF219" i="48" s="1"/>
  <c r="AH219" i="48"/>
  <c r="AK219" i="48" a="1"/>
  <c r="AK219" i="48" s="1"/>
  <c r="AM219" i="48" a="1"/>
  <c r="AM219" i="48" s="1"/>
  <c r="AO219" i="48"/>
  <c r="R220" i="48" a="1"/>
  <c r="R220" i="48" s="1"/>
  <c r="T220" i="48"/>
  <c r="W220" i="48" a="1"/>
  <c r="W220" i="48" s="1"/>
  <c r="Y220" i="48" a="1"/>
  <c r="Y220" i="48" s="1"/>
  <c r="AA220" i="48"/>
  <c r="AD220" i="48" a="1"/>
  <c r="AD220" i="48" s="1"/>
  <c r="AF220" i="48" a="1"/>
  <c r="AF220" i="48" s="1"/>
  <c r="AH220" i="48"/>
  <c r="AK220" i="48" a="1"/>
  <c r="AK220" i="48" s="1"/>
  <c r="AM220" i="48" a="1"/>
  <c r="AM220" i="48" s="1"/>
  <c r="AO220" i="48"/>
  <c r="B49" i="48"/>
  <c r="F49" i="48"/>
  <c r="G49" i="48"/>
  <c r="H49" i="48"/>
  <c r="B50" i="48"/>
  <c r="F50" i="48"/>
  <c r="G50" i="48"/>
  <c r="H50" i="48"/>
  <c r="B51" i="48"/>
  <c r="F51" i="48"/>
  <c r="G51" i="48"/>
  <c r="H51" i="48"/>
  <c r="B52" i="48"/>
  <c r="F52" i="48"/>
  <c r="G52" i="48"/>
  <c r="H52" i="48"/>
  <c r="B53" i="48"/>
  <c r="F53" i="48"/>
  <c r="G53" i="48"/>
  <c r="H53" i="48"/>
  <c r="B54" i="48"/>
  <c r="F54" i="48"/>
  <c r="G54" i="48"/>
  <c r="H54" i="48"/>
  <c r="B55" i="48"/>
  <c r="F55" i="48"/>
  <c r="G55" i="48"/>
  <c r="H55" i="48"/>
  <c r="B56" i="48"/>
  <c r="F56" i="48"/>
  <c r="G56" i="48"/>
  <c r="H56" i="48"/>
  <c r="B57" i="48"/>
  <c r="F57" i="48"/>
  <c r="G57" i="48"/>
  <c r="H57" i="48"/>
  <c r="B58" i="48"/>
  <c r="F58" i="48"/>
  <c r="G58" i="48"/>
  <c r="H58" i="48"/>
  <c r="B59" i="48"/>
  <c r="F59" i="48"/>
  <c r="G59" i="48"/>
  <c r="H59" i="48"/>
  <c r="B60" i="48"/>
  <c r="F60" i="48"/>
  <c r="G60" i="48"/>
  <c r="H60" i="48"/>
  <c r="B61" i="48"/>
  <c r="F61" i="48"/>
  <c r="G61" i="48"/>
  <c r="H61" i="48"/>
  <c r="B62" i="48"/>
  <c r="F62" i="48"/>
  <c r="G62" i="48"/>
  <c r="H62" i="48"/>
  <c r="B63" i="48"/>
  <c r="F63" i="48"/>
  <c r="G63" i="48"/>
  <c r="H63" i="48"/>
  <c r="B64" i="48"/>
  <c r="F64" i="48"/>
  <c r="G64" i="48"/>
  <c r="H64" i="48"/>
  <c r="B65" i="48"/>
  <c r="F65" i="48"/>
  <c r="G65" i="48"/>
  <c r="H65" i="48"/>
  <c r="B66" i="48"/>
  <c r="F66" i="48"/>
  <c r="G66" i="48"/>
  <c r="H66" i="48"/>
  <c r="B67" i="48"/>
  <c r="F67" i="48"/>
  <c r="G67" i="48"/>
  <c r="H67" i="48"/>
  <c r="B68" i="48"/>
  <c r="F68" i="48"/>
  <c r="G68" i="48"/>
  <c r="H68" i="48"/>
  <c r="B69" i="48"/>
  <c r="F69" i="48"/>
  <c r="G69" i="48"/>
  <c r="H69" i="48"/>
  <c r="B70" i="48"/>
  <c r="F70" i="48"/>
  <c r="G70" i="48"/>
  <c r="H70" i="48"/>
  <c r="B71" i="48"/>
  <c r="AC71" i="48" s="1" a="1"/>
  <c r="AC71" i="48" s="1"/>
  <c r="F71" i="48"/>
  <c r="G71" i="48"/>
  <c r="H71" i="48"/>
  <c r="B72" i="48"/>
  <c r="F72" i="48"/>
  <c r="G72" i="48"/>
  <c r="H72" i="48"/>
  <c r="B73" i="48"/>
  <c r="F73" i="48"/>
  <c r="G73" i="48"/>
  <c r="H73" i="48"/>
  <c r="B74" i="48"/>
  <c r="F74" i="48"/>
  <c r="G74" i="48"/>
  <c r="H74" i="48"/>
  <c r="B75" i="48"/>
  <c r="F75" i="48"/>
  <c r="G75" i="48"/>
  <c r="H75" i="48"/>
  <c r="B76" i="48"/>
  <c r="F76" i="48"/>
  <c r="G76" i="48"/>
  <c r="H76" i="48"/>
  <c r="B77" i="48"/>
  <c r="F77" i="48"/>
  <c r="G77" i="48"/>
  <c r="H77" i="48"/>
  <c r="B78" i="48"/>
  <c r="F78" i="48"/>
  <c r="G78" i="48"/>
  <c r="H78" i="48"/>
  <c r="B79" i="48"/>
  <c r="F79" i="48"/>
  <c r="G79" i="48"/>
  <c r="H79" i="48"/>
  <c r="B80" i="48"/>
  <c r="F80" i="48"/>
  <c r="G80" i="48"/>
  <c r="H80" i="48"/>
  <c r="B81" i="48"/>
  <c r="F81" i="48"/>
  <c r="G81" i="48"/>
  <c r="H81" i="48"/>
  <c r="B82" i="48"/>
  <c r="F82" i="48"/>
  <c r="G82" i="48"/>
  <c r="H82" i="48"/>
  <c r="B83" i="48"/>
  <c r="F83" i="48"/>
  <c r="G83" i="48"/>
  <c r="H83" i="48"/>
  <c r="B84" i="48"/>
  <c r="F84" i="48"/>
  <c r="G84" i="48"/>
  <c r="H84" i="48"/>
  <c r="B85" i="48"/>
  <c r="F85" i="48"/>
  <c r="G85" i="48"/>
  <c r="H85" i="48"/>
  <c r="B86" i="48"/>
  <c r="F86" i="48"/>
  <c r="G86" i="48"/>
  <c r="H86" i="48"/>
  <c r="B87" i="48"/>
  <c r="F87" i="48"/>
  <c r="G87" i="48"/>
  <c r="H87" i="48"/>
  <c r="B88" i="48"/>
  <c r="F88" i="48"/>
  <c r="G88" i="48"/>
  <c r="H88" i="48"/>
  <c r="B89" i="48"/>
  <c r="F89" i="48"/>
  <c r="G89" i="48"/>
  <c r="H89" i="48"/>
  <c r="B90" i="48"/>
  <c r="F90" i="48"/>
  <c r="G90" i="48"/>
  <c r="H90" i="48"/>
  <c r="B91" i="48"/>
  <c r="F91" i="48"/>
  <c r="G91" i="48"/>
  <c r="H91" i="48"/>
  <c r="B92" i="48"/>
  <c r="F92" i="48"/>
  <c r="G92" i="48"/>
  <c r="H92" i="48"/>
  <c r="B93" i="48"/>
  <c r="F93" i="48"/>
  <c r="G93" i="48"/>
  <c r="H93" i="48"/>
  <c r="B94" i="48"/>
  <c r="F94" i="48"/>
  <c r="G94" i="48"/>
  <c r="H94" i="48"/>
  <c r="B95" i="48"/>
  <c r="F95" i="48"/>
  <c r="G95" i="48"/>
  <c r="H95" i="48"/>
  <c r="B96" i="48"/>
  <c r="F96" i="48"/>
  <c r="G96" i="48"/>
  <c r="H96" i="48"/>
  <c r="B97" i="48"/>
  <c r="F97" i="48"/>
  <c r="G97" i="48"/>
  <c r="H97" i="48"/>
  <c r="B98" i="48"/>
  <c r="F98" i="48"/>
  <c r="G98" i="48"/>
  <c r="H98" i="48"/>
  <c r="B99" i="48"/>
  <c r="F99" i="48"/>
  <c r="G99" i="48"/>
  <c r="H99" i="48"/>
  <c r="B100" i="48"/>
  <c r="F100" i="48"/>
  <c r="G100" i="48"/>
  <c r="H100" i="48"/>
  <c r="B101" i="48"/>
  <c r="F101" i="48"/>
  <c r="G101" i="48"/>
  <c r="H101" i="48"/>
  <c r="B102" i="48"/>
  <c r="F102" i="48"/>
  <c r="G102" i="48"/>
  <c r="H102" i="48"/>
  <c r="B103" i="48"/>
  <c r="F103" i="48"/>
  <c r="G103" i="48"/>
  <c r="H103" i="48"/>
  <c r="B104" i="48"/>
  <c r="AC104" i="48" s="1" a="1"/>
  <c r="AC104" i="48" s="1"/>
  <c r="F104" i="48"/>
  <c r="G104" i="48"/>
  <c r="H104" i="48"/>
  <c r="B105" i="48"/>
  <c r="F105" i="48"/>
  <c r="G105" i="48"/>
  <c r="H105" i="48"/>
  <c r="B106" i="48"/>
  <c r="F106" i="48"/>
  <c r="G106" i="48"/>
  <c r="H106" i="48"/>
  <c r="B107" i="48"/>
  <c r="F107" i="48"/>
  <c r="G107" i="48"/>
  <c r="H107" i="48"/>
  <c r="B108" i="48"/>
  <c r="F108" i="48"/>
  <c r="G108" i="48"/>
  <c r="H108" i="48"/>
  <c r="B109" i="48"/>
  <c r="F109" i="48"/>
  <c r="G109" i="48"/>
  <c r="H109" i="48"/>
  <c r="B110" i="48"/>
  <c r="F110" i="48"/>
  <c r="G110" i="48"/>
  <c r="H110" i="48"/>
  <c r="B111" i="48"/>
  <c r="F111" i="48"/>
  <c r="G111" i="48"/>
  <c r="H111" i="48"/>
  <c r="B112" i="48"/>
  <c r="F112" i="48"/>
  <c r="G112" i="48"/>
  <c r="H112" i="48"/>
  <c r="B113" i="48"/>
  <c r="F113" i="48"/>
  <c r="G113" i="48"/>
  <c r="H113" i="48"/>
  <c r="B114" i="48"/>
  <c r="F114" i="48"/>
  <c r="G114" i="48"/>
  <c r="H114" i="48"/>
  <c r="B115" i="48"/>
  <c r="AC115" i="48" s="1" a="1"/>
  <c r="AC115" i="48" s="1"/>
  <c r="F115" i="48"/>
  <c r="G115" i="48"/>
  <c r="H115" i="48"/>
  <c r="B116" i="48"/>
  <c r="F116" i="48"/>
  <c r="G116" i="48"/>
  <c r="H116" i="48"/>
  <c r="B117" i="48"/>
  <c r="F117" i="48"/>
  <c r="G117" i="48"/>
  <c r="H117" i="48"/>
  <c r="B118" i="48"/>
  <c r="F118" i="48"/>
  <c r="G118" i="48"/>
  <c r="H118" i="48"/>
  <c r="B119" i="48"/>
  <c r="F119" i="48"/>
  <c r="G119" i="48"/>
  <c r="H119" i="48"/>
  <c r="B120" i="48"/>
  <c r="AC120" i="48" s="1" a="1"/>
  <c r="AC120" i="48" s="1"/>
  <c r="F120" i="48"/>
  <c r="G120" i="48"/>
  <c r="H120" i="48"/>
  <c r="B121" i="48"/>
  <c r="AC121" i="48" s="1" a="1"/>
  <c r="AC121" i="48" s="1"/>
  <c r="F121" i="48"/>
  <c r="G121" i="48"/>
  <c r="H121" i="48"/>
  <c r="B122" i="48"/>
  <c r="AC122" i="48" s="1" a="1"/>
  <c r="AC122" i="48" s="1"/>
  <c r="F122" i="48"/>
  <c r="G122" i="48"/>
  <c r="H122" i="48"/>
  <c r="B123" i="48"/>
  <c r="F123" i="48"/>
  <c r="G123" i="48"/>
  <c r="H123" i="48"/>
  <c r="B124" i="48"/>
  <c r="F124" i="48"/>
  <c r="G124" i="48"/>
  <c r="H124" i="48"/>
  <c r="B125" i="48"/>
  <c r="F125" i="48"/>
  <c r="G125" i="48"/>
  <c r="H125" i="48"/>
  <c r="B126" i="48"/>
  <c r="F126" i="48"/>
  <c r="G126" i="48"/>
  <c r="H126" i="48"/>
  <c r="B127" i="48"/>
  <c r="F127" i="48"/>
  <c r="G127" i="48"/>
  <c r="H127" i="48"/>
  <c r="B128" i="48"/>
  <c r="F128" i="48"/>
  <c r="G128" i="48"/>
  <c r="H128" i="48"/>
  <c r="B129" i="48"/>
  <c r="F129" i="48"/>
  <c r="G129" i="48"/>
  <c r="H129" i="48"/>
  <c r="B130" i="48"/>
  <c r="F130" i="48"/>
  <c r="G130" i="48"/>
  <c r="H130" i="48"/>
  <c r="B131" i="48"/>
  <c r="F131" i="48"/>
  <c r="G131" i="48"/>
  <c r="H131" i="48"/>
  <c r="B132" i="48"/>
  <c r="F132" i="48"/>
  <c r="G132" i="48"/>
  <c r="H132" i="48"/>
  <c r="B133" i="48"/>
  <c r="F133" i="48"/>
  <c r="G133" i="48"/>
  <c r="H133" i="48"/>
  <c r="B134" i="48"/>
  <c r="F134" i="48"/>
  <c r="G134" i="48"/>
  <c r="H134" i="48"/>
  <c r="B135" i="48"/>
  <c r="F135" i="48"/>
  <c r="G135" i="48"/>
  <c r="H135" i="48"/>
  <c r="B136" i="48"/>
  <c r="F136" i="48"/>
  <c r="G136" i="48"/>
  <c r="H136" i="48"/>
  <c r="B137" i="48"/>
  <c r="AC137" i="48" s="1" a="1"/>
  <c r="AC137" i="48" s="1"/>
  <c r="F137" i="48"/>
  <c r="G137" i="48"/>
  <c r="H137" i="48"/>
  <c r="B138" i="48"/>
  <c r="AC138" i="48" s="1" a="1"/>
  <c r="AC138" i="48" s="1"/>
  <c r="F138" i="48"/>
  <c r="G138" i="48"/>
  <c r="H138" i="48"/>
  <c r="B139" i="48"/>
  <c r="F139" i="48"/>
  <c r="G139" i="48"/>
  <c r="H139" i="48"/>
  <c r="B140" i="48"/>
  <c r="AC140" i="48" s="1" a="1"/>
  <c r="AC140" i="48" s="1"/>
  <c r="F140" i="48"/>
  <c r="G140" i="48"/>
  <c r="H140" i="48"/>
  <c r="B141" i="48"/>
  <c r="F141" i="48"/>
  <c r="G141" i="48"/>
  <c r="H141" i="48"/>
  <c r="B142" i="48"/>
  <c r="AC142" i="48" s="1" a="1"/>
  <c r="AC142" i="48" s="1"/>
  <c r="F142" i="48"/>
  <c r="G142" i="48"/>
  <c r="H142" i="48"/>
  <c r="B143" i="48"/>
  <c r="F143" i="48"/>
  <c r="G143" i="48"/>
  <c r="H143" i="48"/>
  <c r="B144" i="48"/>
  <c r="AC144" i="48" s="1" a="1"/>
  <c r="AC144" i="48" s="1"/>
  <c r="F144" i="48"/>
  <c r="G144" i="48"/>
  <c r="H144" i="48"/>
  <c r="B145" i="48"/>
  <c r="AC145" i="48" s="1" a="1"/>
  <c r="AC145" i="48" s="1"/>
  <c r="F145" i="48"/>
  <c r="G145" i="48"/>
  <c r="H145" i="48"/>
  <c r="B146" i="48"/>
  <c r="AC146" i="48" s="1" a="1"/>
  <c r="AC146" i="48" s="1"/>
  <c r="F146" i="48"/>
  <c r="G146" i="48"/>
  <c r="H146" i="48"/>
  <c r="B147" i="48"/>
  <c r="F147" i="48"/>
  <c r="G147" i="48"/>
  <c r="H147" i="48"/>
  <c r="B148" i="48"/>
  <c r="F148" i="48"/>
  <c r="G148" i="48"/>
  <c r="H148" i="48"/>
  <c r="B149" i="48"/>
  <c r="F149" i="48"/>
  <c r="G149" i="48"/>
  <c r="H149" i="48"/>
  <c r="B150" i="48"/>
  <c r="F150" i="48"/>
  <c r="G150" i="48"/>
  <c r="H150" i="48"/>
  <c r="B151" i="48"/>
  <c r="F151" i="48"/>
  <c r="G151" i="48"/>
  <c r="H151" i="48"/>
  <c r="B152" i="48"/>
  <c r="F152" i="48"/>
  <c r="G152" i="48"/>
  <c r="H152" i="48"/>
  <c r="B153" i="48"/>
  <c r="AC153" i="48" s="1" a="1"/>
  <c r="AC153" i="48" s="1"/>
  <c r="F153" i="48"/>
  <c r="G153" i="48"/>
  <c r="H153" i="48"/>
  <c r="B154" i="48"/>
  <c r="F154" i="48"/>
  <c r="G154" i="48"/>
  <c r="H154" i="48"/>
  <c r="B155" i="48"/>
  <c r="AC155" i="48" s="1" a="1"/>
  <c r="AC155" i="48" s="1"/>
  <c r="F155" i="48"/>
  <c r="G155" i="48"/>
  <c r="H155" i="48"/>
  <c r="B156" i="48"/>
  <c r="F156" i="48"/>
  <c r="G156" i="48"/>
  <c r="H156" i="48"/>
  <c r="B157" i="48"/>
  <c r="AC157" i="48" s="1" a="1"/>
  <c r="AC157" i="48" s="1"/>
  <c r="F157" i="48"/>
  <c r="G157" i="48"/>
  <c r="H157" i="48"/>
  <c r="B158" i="48"/>
  <c r="F158" i="48"/>
  <c r="G158" i="48"/>
  <c r="H158" i="48"/>
  <c r="B159" i="48"/>
  <c r="AC159" i="48" s="1" a="1"/>
  <c r="AC159" i="48" s="1"/>
  <c r="F159" i="48"/>
  <c r="G159" i="48"/>
  <c r="H159" i="48"/>
  <c r="B160" i="48"/>
  <c r="F160" i="48"/>
  <c r="G160" i="48"/>
  <c r="H160" i="48"/>
  <c r="B161" i="48"/>
  <c r="AC161" i="48" s="1" a="1"/>
  <c r="AC161" i="48" s="1"/>
  <c r="F161" i="48"/>
  <c r="G161" i="48"/>
  <c r="H161" i="48"/>
  <c r="B162" i="48"/>
  <c r="AC162" i="48" s="1" a="1"/>
  <c r="AC162" i="48" s="1"/>
  <c r="F162" i="48"/>
  <c r="G162" i="48"/>
  <c r="H162" i="48"/>
  <c r="B163" i="48"/>
  <c r="AC163" i="48" s="1" a="1"/>
  <c r="AC163" i="48" s="1"/>
  <c r="F163" i="48"/>
  <c r="G163" i="48"/>
  <c r="H163" i="48"/>
  <c r="B164" i="48"/>
  <c r="AC164" i="48" s="1" a="1"/>
  <c r="AC164" i="48" s="1"/>
  <c r="F164" i="48"/>
  <c r="G164" i="48"/>
  <c r="H164" i="48"/>
  <c r="B165" i="48"/>
  <c r="AC165" i="48" s="1" a="1"/>
  <c r="AC165" i="48" s="1"/>
  <c r="F165" i="48"/>
  <c r="G165" i="48"/>
  <c r="H165" i="48"/>
  <c r="B166" i="48"/>
  <c r="AC166" i="48" s="1" a="1"/>
  <c r="AC166" i="48" s="1"/>
  <c r="F166" i="48"/>
  <c r="G166" i="48"/>
  <c r="H166" i="48"/>
  <c r="B167" i="48"/>
  <c r="F167" i="48"/>
  <c r="G167" i="48"/>
  <c r="H167" i="48"/>
  <c r="B168" i="48"/>
  <c r="F168" i="48"/>
  <c r="G168" i="48"/>
  <c r="H168" i="48"/>
  <c r="B169" i="48"/>
  <c r="F169" i="48"/>
  <c r="G169" i="48"/>
  <c r="H169" i="48"/>
  <c r="B170" i="48"/>
  <c r="F170" i="48"/>
  <c r="G170" i="48"/>
  <c r="H170" i="48"/>
  <c r="B171" i="48"/>
  <c r="F171" i="48"/>
  <c r="G171" i="48"/>
  <c r="H171" i="48"/>
  <c r="B172" i="48"/>
  <c r="F172" i="48"/>
  <c r="G172" i="48"/>
  <c r="H172" i="48"/>
  <c r="B173" i="48"/>
  <c r="AC173" i="48" s="1" a="1"/>
  <c r="AC173" i="48" s="1"/>
  <c r="F173" i="48"/>
  <c r="G173" i="48"/>
  <c r="H173" i="48"/>
  <c r="B174" i="48"/>
  <c r="F174" i="48"/>
  <c r="G174" i="48"/>
  <c r="H174" i="48"/>
  <c r="B175" i="48"/>
  <c r="AC175" i="48" s="1" a="1"/>
  <c r="AC175" i="48" s="1"/>
  <c r="F175" i="48"/>
  <c r="G175" i="48"/>
  <c r="H175" i="48"/>
  <c r="B176" i="48"/>
  <c r="AC176" i="48" s="1" a="1"/>
  <c r="AC176" i="48" s="1"/>
  <c r="F176" i="48"/>
  <c r="G176" i="48"/>
  <c r="H176" i="48"/>
  <c r="B177" i="48"/>
  <c r="F177" i="48"/>
  <c r="G177" i="48"/>
  <c r="H177" i="48"/>
  <c r="B178" i="48"/>
  <c r="F178" i="48"/>
  <c r="G178" i="48"/>
  <c r="H178" i="48"/>
  <c r="B179" i="48"/>
  <c r="F179" i="48"/>
  <c r="G179" i="48"/>
  <c r="H179" i="48"/>
  <c r="B180" i="48"/>
  <c r="F180" i="48"/>
  <c r="G180" i="48"/>
  <c r="H180" i="48"/>
  <c r="B181" i="48"/>
  <c r="AC181" i="48" s="1" a="1"/>
  <c r="AC181" i="48" s="1"/>
  <c r="F181" i="48"/>
  <c r="G181" i="48"/>
  <c r="H181" i="48"/>
  <c r="B182" i="48"/>
  <c r="F182" i="48"/>
  <c r="G182" i="48"/>
  <c r="H182" i="48"/>
  <c r="B183" i="48"/>
  <c r="AC183" i="48" s="1" a="1"/>
  <c r="AC183" i="48" s="1"/>
  <c r="F183" i="48"/>
  <c r="G183" i="48"/>
  <c r="H183" i="48"/>
  <c r="B184" i="48"/>
  <c r="F184" i="48"/>
  <c r="G184" i="48"/>
  <c r="H184" i="48"/>
  <c r="B185" i="48"/>
  <c r="AC185" i="48" s="1" a="1"/>
  <c r="AC185" i="48" s="1"/>
  <c r="F185" i="48"/>
  <c r="G185" i="48"/>
  <c r="H185" i="48"/>
  <c r="B186" i="48"/>
  <c r="F186" i="48"/>
  <c r="G186" i="48"/>
  <c r="H186" i="48"/>
  <c r="B187" i="48"/>
  <c r="AC187" i="48" s="1" a="1"/>
  <c r="AC187" i="48" s="1"/>
  <c r="F187" i="48"/>
  <c r="G187" i="48"/>
  <c r="H187" i="48"/>
  <c r="B188" i="48"/>
  <c r="F188" i="48"/>
  <c r="G188" i="48"/>
  <c r="H188" i="48"/>
  <c r="B189" i="48"/>
  <c r="AC189" i="48" s="1" a="1"/>
  <c r="AC189" i="48" s="1"/>
  <c r="F189" i="48"/>
  <c r="G189" i="48"/>
  <c r="H189" i="48"/>
  <c r="B190" i="48"/>
  <c r="AC190" i="48" s="1" a="1"/>
  <c r="AC190" i="48" s="1"/>
  <c r="F190" i="48"/>
  <c r="G190" i="48"/>
  <c r="H190" i="48"/>
  <c r="B191" i="48"/>
  <c r="AC191" i="48" s="1" a="1"/>
  <c r="AC191" i="48" s="1"/>
  <c r="F191" i="48"/>
  <c r="G191" i="48"/>
  <c r="H191" i="48"/>
  <c r="B192" i="48"/>
  <c r="AC192" i="48" s="1" a="1"/>
  <c r="AC192" i="48" s="1"/>
  <c r="F192" i="48"/>
  <c r="G192" i="48"/>
  <c r="H192" i="48"/>
  <c r="B193" i="48"/>
  <c r="AC193" i="48" s="1" a="1"/>
  <c r="AC193" i="48" s="1"/>
  <c r="F193" i="48"/>
  <c r="G193" i="48"/>
  <c r="H193" i="48"/>
  <c r="B194" i="48"/>
  <c r="AC194" i="48" s="1" a="1"/>
  <c r="AC194" i="48" s="1"/>
  <c r="F194" i="48"/>
  <c r="G194" i="48"/>
  <c r="H194" i="48"/>
  <c r="B195" i="48"/>
  <c r="AC195" i="48" s="1" a="1"/>
  <c r="AC195" i="48" s="1"/>
  <c r="F195" i="48"/>
  <c r="G195" i="48"/>
  <c r="H195" i="48"/>
  <c r="B196" i="48"/>
  <c r="F196" i="48"/>
  <c r="G196" i="48"/>
  <c r="H196" i="48"/>
  <c r="B197" i="48"/>
  <c r="AC197" i="48" s="1" a="1"/>
  <c r="AC197" i="48" s="1"/>
  <c r="F197" i="48"/>
  <c r="G197" i="48"/>
  <c r="H197" i="48"/>
  <c r="B198" i="48"/>
  <c r="AC198" i="48" s="1" a="1"/>
  <c r="AC198" i="48" s="1"/>
  <c r="F198" i="48"/>
  <c r="G198" i="48"/>
  <c r="H198" i="48"/>
  <c r="B199" i="48"/>
  <c r="AC199" i="48" s="1" a="1"/>
  <c r="AC199" i="48" s="1"/>
  <c r="F199" i="48"/>
  <c r="G199" i="48"/>
  <c r="H199" i="48"/>
  <c r="B200" i="48"/>
  <c r="F200" i="48"/>
  <c r="G200" i="48"/>
  <c r="H200" i="48"/>
  <c r="B201" i="48"/>
  <c r="AC201" i="48" s="1" a="1"/>
  <c r="AC201" i="48" s="1"/>
  <c r="F201" i="48"/>
  <c r="G201" i="48"/>
  <c r="H201" i="48"/>
  <c r="B202" i="48"/>
  <c r="F202" i="48"/>
  <c r="G202" i="48"/>
  <c r="H202" i="48"/>
  <c r="B203" i="48"/>
  <c r="AC203" i="48" s="1" a="1"/>
  <c r="AC203" i="48" s="1"/>
  <c r="F203" i="48"/>
  <c r="G203" i="48"/>
  <c r="H203" i="48"/>
  <c r="B204" i="48"/>
  <c r="AC204" i="48" s="1" a="1"/>
  <c r="AC204" i="48" s="1"/>
  <c r="F204" i="48"/>
  <c r="G204" i="48"/>
  <c r="H204" i="48"/>
  <c r="B205" i="48"/>
  <c r="F205" i="48"/>
  <c r="G205" i="48"/>
  <c r="H205" i="48"/>
  <c r="B206" i="48"/>
  <c r="F206" i="48"/>
  <c r="G206" i="48"/>
  <c r="H206" i="48"/>
  <c r="B207" i="48"/>
  <c r="F207" i="48"/>
  <c r="G207" i="48"/>
  <c r="H207" i="48"/>
  <c r="B208" i="48"/>
  <c r="AC208" i="48" s="1" a="1"/>
  <c r="AC208" i="48" s="1"/>
  <c r="F208" i="48"/>
  <c r="G208" i="48"/>
  <c r="H208" i="48"/>
  <c r="B209" i="48"/>
  <c r="F209" i="48"/>
  <c r="G209" i="48"/>
  <c r="H209" i="48"/>
  <c r="B210" i="48"/>
  <c r="AC210" i="48" s="1" a="1"/>
  <c r="AC210" i="48" s="1"/>
  <c r="F210" i="48"/>
  <c r="G210" i="48"/>
  <c r="H210" i="48"/>
  <c r="B211" i="48"/>
  <c r="AC211" i="48" s="1" a="1"/>
  <c r="AC211" i="48" s="1"/>
  <c r="F211" i="48"/>
  <c r="G211" i="48"/>
  <c r="H211" i="48"/>
  <c r="B212" i="48"/>
  <c r="AC212" i="48" s="1" a="1"/>
  <c r="AC212" i="48" s="1"/>
  <c r="F212" i="48"/>
  <c r="G212" i="48"/>
  <c r="H212" i="48"/>
  <c r="B213" i="48"/>
  <c r="AC213" i="48" s="1" a="1"/>
  <c r="AC213" i="48" s="1"/>
  <c r="F213" i="48"/>
  <c r="G213" i="48"/>
  <c r="H213" i="48"/>
  <c r="B214" i="48"/>
  <c r="AC214" i="48" s="1" a="1"/>
  <c r="AC214" i="48" s="1"/>
  <c r="F214" i="48"/>
  <c r="G214" i="48"/>
  <c r="H214" i="48"/>
  <c r="B215" i="48"/>
  <c r="F215" i="48"/>
  <c r="G215" i="48"/>
  <c r="H215" i="48"/>
  <c r="B216" i="48"/>
  <c r="AC216" i="48" s="1" a="1"/>
  <c r="AC216" i="48" s="1"/>
  <c r="F216" i="48"/>
  <c r="G216" i="48"/>
  <c r="H216" i="48"/>
  <c r="B217" i="48"/>
  <c r="AC217" i="48" s="1" a="1"/>
  <c r="AC217" i="48" s="1"/>
  <c r="F217" i="48"/>
  <c r="G217" i="48"/>
  <c r="H217" i="48"/>
  <c r="B218" i="48"/>
  <c r="F218" i="48"/>
  <c r="G218" i="48"/>
  <c r="H218" i="48"/>
  <c r="B219" i="48"/>
  <c r="AC219" i="48" s="1" a="1"/>
  <c r="AC219" i="48" s="1"/>
  <c r="F219" i="48"/>
  <c r="G219" i="48"/>
  <c r="H219" i="48"/>
  <c r="B220" i="48"/>
  <c r="AC220" i="48" s="1" a="1"/>
  <c r="AC220" i="48" s="1"/>
  <c r="F220" i="48"/>
  <c r="G220" i="48"/>
  <c r="H220" i="48"/>
  <c r="N68" i="47"/>
  <c r="O68" i="47" s="1"/>
  <c r="N69" i="47"/>
  <c r="O69" i="47" s="1"/>
  <c r="N70" i="47"/>
  <c r="O70" i="47" s="1"/>
  <c r="N71" i="47"/>
  <c r="O71" i="47" s="1"/>
  <c r="N72" i="47"/>
  <c r="O72" i="47" s="1"/>
  <c r="N73" i="47"/>
  <c r="O73" i="47" s="1"/>
  <c r="N74" i="47"/>
  <c r="O74" i="47" s="1"/>
  <c r="N75" i="47"/>
  <c r="O75" i="47" s="1"/>
  <c r="N76" i="47"/>
  <c r="O76" i="47" s="1"/>
  <c r="N77" i="47"/>
  <c r="O77" i="47" s="1"/>
  <c r="N78" i="47"/>
  <c r="O78" i="47" s="1"/>
  <c r="N79" i="47"/>
  <c r="O79" i="47" s="1"/>
  <c r="N80" i="47"/>
  <c r="O80" i="47" s="1"/>
  <c r="N81" i="47"/>
  <c r="O81" i="47" s="1"/>
  <c r="N82" i="47"/>
  <c r="O82" i="47" s="1"/>
  <c r="N83" i="47"/>
  <c r="O83" i="47" s="1"/>
  <c r="N84" i="47"/>
  <c r="O84" i="47" s="1"/>
  <c r="N85" i="47"/>
  <c r="O85" i="47" s="1"/>
  <c r="N86" i="47"/>
  <c r="O86" i="47" s="1"/>
  <c r="N87" i="47"/>
  <c r="O87" i="47" s="1"/>
  <c r="N88" i="47"/>
  <c r="O88" i="47" s="1"/>
  <c r="N89" i="47"/>
  <c r="O89" i="47" s="1"/>
  <c r="N90" i="47"/>
  <c r="O90" i="47" s="1"/>
  <c r="N91" i="47"/>
  <c r="O91" i="47" s="1"/>
  <c r="N92" i="47"/>
  <c r="O92" i="47" s="1"/>
  <c r="N93" i="47"/>
  <c r="O93" i="47" s="1"/>
  <c r="N94" i="47"/>
  <c r="O94" i="47" s="1"/>
  <c r="N95" i="47"/>
  <c r="O95" i="47" s="1"/>
  <c r="N96" i="47"/>
  <c r="O96" i="47" s="1"/>
  <c r="N97" i="47"/>
  <c r="O97" i="47" s="1"/>
  <c r="N98" i="47"/>
  <c r="O98" i="47" s="1"/>
  <c r="N99" i="47"/>
  <c r="O99" i="47" s="1"/>
  <c r="N100" i="47"/>
  <c r="O100" i="47" s="1"/>
  <c r="N101" i="47"/>
  <c r="O101" i="47" s="1"/>
  <c r="N102" i="47"/>
  <c r="O102" i="47" s="1"/>
  <c r="N103" i="47"/>
  <c r="O103" i="47" s="1"/>
  <c r="N104" i="47"/>
  <c r="O104" i="47" s="1"/>
  <c r="N105" i="47"/>
  <c r="O105" i="47" s="1"/>
  <c r="N106" i="47"/>
  <c r="O106" i="47" s="1"/>
  <c r="N107" i="47"/>
  <c r="O107" i="47" s="1"/>
  <c r="N108" i="47"/>
  <c r="O108" i="47" s="1"/>
  <c r="N109" i="47"/>
  <c r="O109" i="47" s="1"/>
  <c r="N110" i="47"/>
  <c r="O110" i="47" s="1"/>
  <c r="N111" i="47"/>
  <c r="O111" i="47" s="1"/>
  <c r="N112" i="47"/>
  <c r="O112" i="47" s="1"/>
  <c r="N113" i="47"/>
  <c r="O113" i="47" s="1"/>
  <c r="N114" i="47"/>
  <c r="O114" i="47" s="1"/>
  <c r="N115" i="47"/>
  <c r="O115" i="47" s="1"/>
  <c r="N116" i="47"/>
  <c r="O116" i="47" s="1"/>
  <c r="N117" i="47"/>
  <c r="O117" i="47" s="1"/>
  <c r="N118" i="47"/>
  <c r="O118" i="47" s="1"/>
  <c r="N119" i="47"/>
  <c r="O119" i="47" s="1"/>
  <c r="N120" i="47"/>
  <c r="O120" i="47" s="1"/>
  <c r="N121" i="47"/>
  <c r="O121" i="47" s="1"/>
  <c r="N122" i="47"/>
  <c r="O122" i="47" s="1"/>
  <c r="N123" i="47"/>
  <c r="O123" i="47" s="1"/>
  <c r="N124" i="47"/>
  <c r="O124" i="47" s="1"/>
  <c r="N125" i="47"/>
  <c r="O125" i="47" s="1"/>
  <c r="N126" i="47"/>
  <c r="O126" i="47" s="1"/>
  <c r="N127" i="47"/>
  <c r="O127" i="47" s="1"/>
  <c r="N128" i="47"/>
  <c r="O128" i="47" s="1"/>
  <c r="N129" i="47"/>
  <c r="O129" i="47" s="1"/>
  <c r="N130" i="47"/>
  <c r="O130" i="47" s="1"/>
  <c r="N131" i="47"/>
  <c r="O131" i="47" s="1"/>
  <c r="N132" i="47"/>
  <c r="O132" i="47" s="1"/>
  <c r="N133" i="47"/>
  <c r="O133" i="47" s="1"/>
  <c r="N134" i="47"/>
  <c r="O134" i="47" s="1"/>
  <c r="N135" i="47"/>
  <c r="O135" i="47" s="1"/>
  <c r="N137" i="47"/>
  <c r="O137" i="47" s="1"/>
  <c r="N138" i="47"/>
  <c r="O138" i="47" s="1"/>
  <c r="N139" i="47"/>
  <c r="O139" i="47" s="1"/>
  <c r="N140" i="47"/>
  <c r="O140" i="47" s="1"/>
  <c r="N141" i="47"/>
  <c r="O141" i="47" s="1"/>
  <c r="N142" i="47"/>
  <c r="O142" i="47" s="1"/>
  <c r="N143" i="47"/>
  <c r="O143" i="47" s="1"/>
  <c r="N144" i="47"/>
  <c r="O144" i="47" s="1"/>
  <c r="N145" i="47"/>
  <c r="O145" i="47" s="1"/>
  <c r="N146" i="47"/>
  <c r="O146" i="47" s="1"/>
  <c r="N147" i="47"/>
  <c r="O147" i="47" s="1"/>
  <c r="N148" i="47"/>
  <c r="O148" i="47" s="1"/>
  <c r="N149" i="47"/>
  <c r="O149" i="47" s="1"/>
  <c r="N150" i="47"/>
  <c r="O150" i="47" s="1"/>
  <c r="N152" i="47"/>
  <c r="O152" i="47" s="1"/>
  <c r="N153" i="47"/>
  <c r="O153" i="47" s="1"/>
  <c r="N154" i="47"/>
  <c r="O154" i="47" s="1"/>
  <c r="N155" i="47"/>
  <c r="O155" i="47" s="1"/>
  <c r="N156" i="47"/>
  <c r="O156" i="47" s="1"/>
  <c r="N157" i="47"/>
  <c r="O157" i="47" s="1"/>
  <c r="N158" i="47"/>
  <c r="O158" i="47" s="1"/>
  <c r="N159" i="47"/>
  <c r="O159" i="47" s="1"/>
  <c r="N160" i="47"/>
  <c r="O160" i="47" s="1"/>
  <c r="N161" i="47"/>
  <c r="O161" i="47" s="1"/>
  <c r="N162" i="47"/>
  <c r="O162" i="47" s="1"/>
  <c r="N163" i="47"/>
  <c r="O163" i="47" s="1"/>
  <c r="N164" i="47"/>
  <c r="O164" i="47" s="1"/>
  <c r="N165" i="47"/>
  <c r="O165" i="47" s="1"/>
  <c r="N166" i="47"/>
  <c r="O166" i="47" s="1"/>
  <c r="N167" i="47"/>
  <c r="O167" i="47" s="1"/>
  <c r="N168" i="47"/>
  <c r="O168" i="47" s="1"/>
  <c r="N169" i="47"/>
  <c r="O169" i="47" s="1"/>
  <c r="N170" i="47"/>
  <c r="O170" i="47" s="1"/>
  <c r="N171" i="47"/>
  <c r="O171" i="47" s="1"/>
  <c r="N172" i="47"/>
  <c r="O172" i="47" s="1"/>
  <c r="N173" i="47"/>
  <c r="O173" i="47" s="1"/>
  <c r="N174" i="47"/>
  <c r="O174" i="47" s="1"/>
  <c r="N175" i="47"/>
  <c r="O175" i="47" s="1"/>
  <c r="N176" i="47"/>
  <c r="O176" i="47" s="1"/>
  <c r="N177" i="47"/>
  <c r="O177" i="47" s="1"/>
  <c r="N178" i="47"/>
  <c r="O178" i="47" s="1"/>
  <c r="N179" i="47"/>
  <c r="O179" i="47" s="1"/>
  <c r="N180" i="47"/>
  <c r="O180" i="47" s="1"/>
  <c r="N181" i="47"/>
  <c r="O181" i="47" s="1"/>
  <c r="N182" i="47"/>
  <c r="O182" i="47" s="1"/>
  <c r="N183" i="47"/>
  <c r="O183" i="47" s="1"/>
  <c r="N184" i="47"/>
  <c r="O184" i="47" s="1"/>
  <c r="N185" i="47"/>
  <c r="O185" i="47" s="1"/>
  <c r="N186" i="47"/>
  <c r="O186" i="47" s="1"/>
  <c r="N187" i="47"/>
  <c r="O187" i="47" s="1"/>
  <c r="N188" i="47"/>
  <c r="O188" i="47" s="1"/>
  <c r="N189" i="47"/>
  <c r="O189" i="47" s="1"/>
  <c r="N190" i="47"/>
  <c r="O190" i="47" s="1"/>
  <c r="N191" i="47"/>
  <c r="O191" i="47" s="1"/>
  <c r="N192" i="47"/>
  <c r="O192" i="47" s="1"/>
  <c r="N193" i="47"/>
  <c r="O193" i="47" s="1"/>
  <c r="N194" i="47"/>
  <c r="O194" i="47" s="1"/>
  <c r="N195" i="47"/>
  <c r="O195" i="47" s="1"/>
  <c r="N196" i="47"/>
  <c r="O196" i="47" s="1"/>
  <c r="N197" i="47"/>
  <c r="O197" i="47" s="1"/>
  <c r="N199" i="47"/>
  <c r="O199" i="47" s="1"/>
  <c r="N200" i="47"/>
  <c r="O200" i="47" s="1"/>
  <c r="N201" i="47"/>
  <c r="O201" i="47" s="1"/>
  <c r="N202" i="47"/>
  <c r="O202" i="47" s="1"/>
  <c r="N203" i="47"/>
  <c r="O203" i="47" s="1"/>
  <c r="N204" i="47"/>
  <c r="O204" i="47" s="1"/>
  <c r="N205" i="47"/>
  <c r="O205" i="47" s="1"/>
  <c r="N206" i="47"/>
  <c r="O206" i="47" s="1"/>
  <c r="N207" i="47"/>
  <c r="O207" i="47" s="1"/>
  <c r="N208" i="47"/>
  <c r="O208" i="47" s="1"/>
  <c r="N209" i="47"/>
  <c r="O209" i="47" s="1"/>
  <c r="N210" i="47"/>
  <c r="O210" i="47" s="1"/>
  <c r="N211" i="47"/>
  <c r="O211" i="47" s="1"/>
  <c r="N212" i="47"/>
  <c r="O212" i="47" s="1"/>
  <c r="N213" i="47"/>
  <c r="O213" i="47" s="1"/>
  <c r="N214" i="47"/>
  <c r="O214" i="47" s="1"/>
  <c r="N215" i="47"/>
  <c r="O215" i="47" s="1"/>
  <c r="N216" i="47"/>
  <c r="O216" i="47" s="1"/>
  <c r="N217" i="47"/>
  <c r="O217" i="47" s="1"/>
  <c r="N218" i="47"/>
  <c r="O218" i="47" s="1"/>
  <c r="D8" i="68"/>
  <c r="E8" i="68"/>
  <c r="F8" i="68"/>
  <c r="G8" i="68"/>
  <c r="C8" i="68"/>
  <c r="X594" i="100"/>
  <c r="X595" i="100"/>
  <c r="X596" i="100"/>
  <c r="X597" i="100"/>
  <c r="X598" i="100"/>
  <c r="X599" i="100"/>
  <c r="X600" i="100"/>
  <c r="X601" i="100"/>
  <c r="X602" i="100"/>
  <c r="X603" i="100"/>
  <c r="X604" i="100"/>
  <c r="X605" i="100"/>
  <c r="X606" i="100"/>
  <c r="X607" i="100"/>
  <c r="X608" i="100"/>
  <c r="X609" i="100"/>
  <c r="X610" i="100"/>
  <c r="X611" i="100"/>
  <c r="X612" i="100"/>
  <c r="X613" i="100"/>
  <c r="X614" i="100"/>
  <c r="X615" i="100"/>
  <c r="X616" i="100"/>
  <c r="X617" i="100"/>
  <c r="X618" i="100"/>
  <c r="X619" i="100"/>
  <c r="X620" i="100"/>
  <c r="X621" i="100"/>
  <c r="X622" i="100"/>
  <c r="X623" i="100"/>
  <c r="X624" i="100"/>
  <c r="X625" i="100"/>
  <c r="X626" i="100"/>
  <c r="X627" i="100"/>
  <c r="X628" i="100"/>
  <c r="X629" i="100"/>
  <c r="X630" i="100"/>
  <c r="X631" i="100"/>
  <c r="X632" i="100"/>
  <c r="X633" i="100"/>
  <c r="X634" i="100"/>
  <c r="X635" i="100"/>
  <c r="X636" i="100"/>
  <c r="X637" i="100"/>
  <c r="X638" i="100"/>
  <c r="X639" i="100"/>
  <c r="X640" i="100"/>
  <c r="X641" i="100"/>
  <c r="X642" i="100"/>
  <c r="X643" i="100"/>
  <c r="X644" i="100"/>
  <c r="X645" i="100"/>
  <c r="X646" i="100"/>
  <c r="X647" i="100"/>
  <c r="X648" i="100"/>
  <c r="X649" i="100"/>
  <c r="X650" i="100"/>
  <c r="X651" i="100"/>
  <c r="X652" i="100"/>
  <c r="X653" i="100"/>
  <c r="X654" i="100"/>
  <c r="X655" i="100"/>
  <c r="X656" i="100"/>
  <c r="X657" i="100"/>
  <c r="X658" i="100"/>
  <c r="X659" i="100"/>
  <c r="X660" i="100"/>
  <c r="X661" i="100"/>
  <c r="X662" i="100"/>
  <c r="X663" i="100"/>
  <c r="X664" i="100"/>
  <c r="X665" i="100"/>
  <c r="X666" i="100"/>
  <c r="X667" i="100"/>
  <c r="X668" i="100"/>
  <c r="X669" i="100"/>
  <c r="X670" i="100"/>
  <c r="X671" i="100"/>
  <c r="X672" i="100"/>
  <c r="X673" i="100"/>
  <c r="X674" i="100"/>
  <c r="X675" i="100"/>
  <c r="X676" i="100"/>
  <c r="X677" i="100"/>
  <c r="X678" i="100"/>
  <c r="X679" i="100"/>
  <c r="X680" i="100"/>
  <c r="X681" i="100"/>
  <c r="X682" i="100"/>
  <c r="X683" i="100"/>
  <c r="X684" i="100"/>
  <c r="X685" i="100"/>
  <c r="X686" i="100"/>
  <c r="X687" i="100"/>
  <c r="X688" i="100"/>
  <c r="X689" i="100"/>
  <c r="X690" i="100"/>
  <c r="X691" i="100"/>
  <c r="X692" i="100"/>
  <c r="X693" i="100"/>
  <c r="X694" i="100"/>
  <c r="X695" i="100"/>
  <c r="X696" i="100"/>
  <c r="X697" i="100"/>
  <c r="X698" i="100"/>
  <c r="X699" i="100"/>
  <c r="X700" i="100"/>
  <c r="X701" i="100"/>
  <c r="X702" i="100"/>
  <c r="X703" i="100"/>
  <c r="X704" i="100"/>
  <c r="X705" i="100"/>
  <c r="X706" i="100"/>
  <c r="X707" i="100"/>
  <c r="X708" i="100"/>
  <c r="X709" i="100"/>
  <c r="X710" i="100"/>
  <c r="X711" i="100"/>
  <c r="X712" i="100"/>
  <c r="X713" i="100"/>
  <c r="X714" i="100"/>
  <c r="X715" i="100"/>
  <c r="X716" i="100"/>
  <c r="X717" i="100"/>
  <c r="X718" i="100"/>
  <c r="X719" i="100"/>
  <c r="X720" i="100"/>
  <c r="X721" i="100"/>
  <c r="X722" i="100"/>
  <c r="X723" i="100"/>
  <c r="X724" i="100"/>
  <c r="X725" i="100"/>
  <c r="X726" i="100"/>
  <c r="X727" i="100"/>
  <c r="X728" i="100"/>
  <c r="X729" i="100"/>
  <c r="X730" i="100"/>
  <c r="X731" i="100"/>
  <c r="X732" i="100"/>
  <c r="X733" i="100"/>
  <c r="X593" i="100"/>
  <c r="X591" i="100"/>
  <c r="X592" i="100"/>
  <c r="X465" i="100"/>
  <c r="X466" i="100"/>
  <c r="X467" i="100"/>
  <c r="X468" i="100"/>
  <c r="X469" i="100"/>
  <c r="X470" i="100"/>
  <c r="X471" i="100"/>
  <c r="X472" i="100"/>
  <c r="X473" i="100"/>
  <c r="X474" i="100"/>
  <c r="X475" i="100"/>
  <c r="X476" i="100"/>
  <c r="X477" i="100"/>
  <c r="X478" i="100"/>
  <c r="X479" i="100"/>
  <c r="X480" i="100"/>
  <c r="X481" i="100"/>
  <c r="X482" i="100"/>
  <c r="X483" i="100"/>
  <c r="X484" i="100"/>
  <c r="X485" i="100"/>
  <c r="X486" i="100"/>
  <c r="X487" i="100"/>
  <c r="X488" i="100"/>
  <c r="X489" i="100"/>
  <c r="X490" i="100"/>
  <c r="X491" i="100"/>
  <c r="X492" i="100"/>
  <c r="X493" i="100"/>
  <c r="X494" i="100"/>
  <c r="X495" i="100"/>
  <c r="X496" i="100"/>
  <c r="X497" i="100"/>
  <c r="X498" i="100"/>
  <c r="X499" i="100"/>
  <c r="X500" i="100"/>
  <c r="X501" i="100"/>
  <c r="X502" i="100"/>
  <c r="X503" i="100"/>
  <c r="X504" i="100"/>
  <c r="X505" i="100"/>
  <c r="X506" i="100"/>
  <c r="X507" i="100"/>
  <c r="X508" i="100"/>
  <c r="X509" i="100"/>
  <c r="X510" i="100"/>
  <c r="X511" i="100"/>
  <c r="X512" i="100"/>
  <c r="X513" i="100"/>
  <c r="X514" i="100"/>
  <c r="X515" i="100"/>
  <c r="X516" i="100"/>
  <c r="X517" i="100"/>
  <c r="X518" i="100"/>
  <c r="X519" i="100"/>
  <c r="X520" i="100"/>
  <c r="X521" i="100"/>
  <c r="X522" i="100"/>
  <c r="X523" i="100"/>
  <c r="X524" i="100"/>
  <c r="X525" i="100"/>
  <c r="X526" i="100"/>
  <c r="X527" i="100"/>
  <c r="X528" i="100"/>
  <c r="X529" i="100"/>
  <c r="X530" i="100"/>
  <c r="X531" i="100"/>
  <c r="X532" i="100"/>
  <c r="X533" i="100"/>
  <c r="X534" i="100"/>
  <c r="X535" i="100"/>
  <c r="X536" i="100"/>
  <c r="X537" i="100"/>
  <c r="X538" i="100"/>
  <c r="X539" i="100"/>
  <c r="X540" i="100"/>
  <c r="X541" i="100"/>
  <c r="X542" i="100"/>
  <c r="X543" i="100"/>
  <c r="X544" i="100"/>
  <c r="X545" i="100"/>
  <c r="X546" i="100"/>
  <c r="X547" i="100"/>
  <c r="X548" i="100"/>
  <c r="X549" i="100"/>
  <c r="X550" i="100"/>
  <c r="X551" i="100"/>
  <c r="X552" i="100"/>
  <c r="X553" i="100"/>
  <c r="X554" i="100"/>
  <c r="X555" i="100"/>
  <c r="X556" i="100"/>
  <c r="X557" i="100"/>
  <c r="X558" i="100"/>
  <c r="X559" i="100"/>
  <c r="X560" i="100"/>
  <c r="X561" i="100"/>
  <c r="X562" i="100"/>
  <c r="X563" i="100"/>
  <c r="X564" i="100"/>
  <c r="X565" i="100"/>
  <c r="X566" i="100"/>
  <c r="X567" i="100"/>
  <c r="X568" i="100"/>
  <c r="X569" i="100"/>
  <c r="X570" i="100"/>
  <c r="X571" i="100"/>
  <c r="X572" i="100"/>
  <c r="X573" i="100"/>
  <c r="X574" i="100"/>
  <c r="X575" i="100"/>
  <c r="X576" i="100"/>
  <c r="X577" i="100"/>
  <c r="X578" i="100"/>
  <c r="X579" i="100"/>
  <c r="X580" i="100"/>
  <c r="X581" i="100"/>
  <c r="X582" i="100"/>
  <c r="X583" i="100"/>
  <c r="X584" i="100"/>
  <c r="X585" i="100"/>
  <c r="X586" i="100"/>
  <c r="X587" i="100"/>
  <c r="X588" i="100"/>
  <c r="X589" i="100"/>
  <c r="X590" i="100"/>
  <c r="X464" i="100"/>
  <c r="X306" i="100"/>
  <c r="X307" i="100"/>
  <c r="X308" i="100"/>
  <c r="X309" i="100"/>
  <c r="X310" i="100"/>
  <c r="X311" i="100"/>
  <c r="X312" i="100"/>
  <c r="X313" i="100"/>
  <c r="X314" i="100"/>
  <c r="X315" i="100"/>
  <c r="X316" i="100"/>
  <c r="X317" i="100"/>
  <c r="X318" i="100"/>
  <c r="X319" i="100"/>
  <c r="X320" i="100"/>
  <c r="X321" i="100"/>
  <c r="X322" i="100"/>
  <c r="X323" i="100"/>
  <c r="X324" i="100"/>
  <c r="X325" i="100"/>
  <c r="X326" i="100"/>
  <c r="X327" i="100"/>
  <c r="X328" i="100"/>
  <c r="X329" i="100"/>
  <c r="X330" i="100"/>
  <c r="X331" i="100"/>
  <c r="X332" i="100"/>
  <c r="X333" i="100"/>
  <c r="X334" i="100"/>
  <c r="X335" i="100"/>
  <c r="X336" i="100"/>
  <c r="X337" i="100"/>
  <c r="X338" i="100"/>
  <c r="X339" i="100"/>
  <c r="X340" i="100"/>
  <c r="X341" i="100"/>
  <c r="X342" i="100"/>
  <c r="X343" i="100"/>
  <c r="X344" i="100"/>
  <c r="X345" i="100"/>
  <c r="X346" i="100"/>
  <c r="X347" i="100"/>
  <c r="X348" i="100"/>
  <c r="X349" i="100"/>
  <c r="X350" i="100"/>
  <c r="X351" i="100"/>
  <c r="X352" i="100"/>
  <c r="X353" i="100"/>
  <c r="X354" i="100"/>
  <c r="X355" i="100"/>
  <c r="X356" i="100"/>
  <c r="X357" i="100"/>
  <c r="X358" i="100"/>
  <c r="X359" i="100"/>
  <c r="X360" i="100"/>
  <c r="X361" i="100"/>
  <c r="X362" i="100"/>
  <c r="X363" i="100"/>
  <c r="X364" i="100"/>
  <c r="X365" i="100"/>
  <c r="X366" i="100"/>
  <c r="X367" i="100"/>
  <c r="X368" i="100"/>
  <c r="X369" i="100"/>
  <c r="X370" i="100"/>
  <c r="X371" i="100"/>
  <c r="X372" i="100"/>
  <c r="X373" i="100"/>
  <c r="X374" i="100"/>
  <c r="X375" i="100"/>
  <c r="X376" i="100"/>
  <c r="X377" i="100"/>
  <c r="X378" i="100"/>
  <c r="X379" i="100"/>
  <c r="X380" i="100"/>
  <c r="X381" i="100"/>
  <c r="X382" i="100"/>
  <c r="X383" i="100"/>
  <c r="X384" i="100"/>
  <c r="X385" i="100"/>
  <c r="X386" i="100"/>
  <c r="X387" i="100"/>
  <c r="X388" i="100"/>
  <c r="X389" i="100"/>
  <c r="X390" i="100"/>
  <c r="X391" i="100"/>
  <c r="X392" i="100"/>
  <c r="X393" i="100"/>
  <c r="X394" i="100"/>
  <c r="X395" i="100"/>
  <c r="X396" i="100"/>
  <c r="X397" i="100"/>
  <c r="X398" i="100"/>
  <c r="X399" i="100"/>
  <c r="X400" i="100"/>
  <c r="X401" i="100"/>
  <c r="X402" i="100"/>
  <c r="X403" i="100"/>
  <c r="X404" i="100"/>
  <c r="X405" i="100"/>
  <c r="X406" i="100"/>
  <c r="X407" i="100"/>
  <c r="X408" i="100"/>
  <c r="X409" i="100"/>
  <c r="X410" i="100"/>
  <c r="X411" i="100"/>
  <c r="X412" i="100"/>
  <c r="X413" i="100"/>
  <c r="X414" i="100"/>
  <c r="X415" i="100"/>
  <c r="X416" i="100"/>
  <c r="X417" i="100"/>
  <c r="X418" i="100"/>
  <c r="X419" i="100"/>
  <c r="X420" i="100"/>
  <c r="X421" i="100"/>
  <c r="X422" i="100"/>
  <c r="X423" i="100"/>
  <c r="X424" i="100"/>
  <c r="X425" i="100"/>
  <c r="X426" i="100"/>
  <c r="X427" i="100"/>
  <c r="X428" i="100"/>
  <c r="X429" i="100"/>
  <c r="X430" i="100"/>
  <c r="X431" i="100"/>
  <c r="X432" i="100"/>
  <c r="X433" i="100"/>
  <c r="X434" i="100"/>
  <c r="X435" i="100"/>
  <c r="X436" i="100"/>
  <c r="X437" i="100"/>
  <c r="X438" i="100"/>
  <c r="X439" i="100"/>
  <c r="X440" i="100"/>
  <c r="X441" i="100"/>
  <c r="X442" i="100"/>
  <c r="X443" i="100"/>
  <c r="X444" i="100"/>
  <c r="X445" i="100"/>
  <c r="X446" i="100"/>
  <c r="X447" i="100"/>
  <c r="X448" i="100"/>
  <c r="X449" i="100"/>
  <c r="X450" i="100"/>
  <c r="X451" i="100"/>
  <c r="X452" i="100"/>
  <c r="X453" i="100"/>
  <c r="X454" i="100"/>
  <c r="X455" i="100"/>
  <c r="X456" i="100"/>
  <c r="X457" i="100"/>
  <c r="X458" i="100"/>
  <c r="X459" i="100"/>
  <c r="X460" i="100"/>
  <c r="X461" i="100"/>
  <c r="X462" i="100"/>
  <c r="X463" i="100"/>
  <c r="X305" i="100"/>
  <c r="X148" i="100"/>
  <c r="X149" i="100"/>
  <c r="X150" i="100"/>
  <c r="X151" i="100"/>
  <c r="X152" i="100"/>
  <c r="X153" i="100"/>
  <c r="X154" i="100"/>
  <c r="X155" i="100"/>
  <c r="X156" i="100"/>
  <c r="X157" i="100"/>
  <c r="X158" i="100"/>
  <c r="X159" i="100"/>
  <c r="X160" i="100"/>
  <c r="X161" i="100"/>
  <c r="X162" i="100"/>
  <c r="X163" i="100"/>
  <c r="X164" i="100"/>
  <c r="X165" i="100"/>
  <c r="X166" i="100"/>
  <c r="X167" i="100"/>
  <c r="X168" i="100"/>
  <c r="X169" i="100"/>
  <c r="X170" i="100"/>
  <c r="X171" i="100"/>
  <c r="X172" i="100"/>
  <c r="X173" i="100"/>
  <c r="X174" i="100"/>
  <c r="X175" i="100"/>
  <c r="X176" i="100"/>
  <c r="X177" i="100"/>
  <c r="X178" i="100"/>
  <c r="X179" i="100"/>
  <c r="X180" i="100"/>
  <c r="X181" i="100"/>
  <c r="X182" i="100"/>
  <c r="X183" i="100"/>
  <c r="X184" i="100"/>
  <c r="X185" i="100"/>
  <c r="X186" i="100"/>
  <c r="X187" i="100"/>
  <c r="X188" i="100"/>
  <c r="X189" i="100"/>
  <c r="X190" i="100"/>
  <c r="X191" i="100"/>
  <c r="X192" i="100"/>
  <c r="X193" i="100"/>
  <c r="X194" i="100"/>
  <c r="X195" i="100"/>
  <c r="X196" i="100"/>
  <c r="X197" i="100"/>
  <c r="X198" i="100"/>
  <c r="X199" i="100"/>
  <c r="X200" i="100"/>
  <c r="X201" i="100"/>
  <c r="X202" i="100"/>
  <c r="X203" i="100"/>
  <c r="X204" i="100"/>
  <c r="X205" i="100"/>
  <c r="X206" i="100"/>
  <c r="X207" i="100"/>
  <c r="X208" i="100"/>
  <c r="X209" i="100"/>
  <c r="X210" i="100"/>
  <c r="X211" i="100"/>
  <c r="X212" i="100"/>
  <c r="X213" i="100"/>
  <c r="X214" i="100"/>
  <c r="X215" i="100"/>
  <c r="X216" i="100"/>
  <c r="X217" i="100"/>
  <c r="X218" i="100"/>
  <c r="X219" i="100"/>
  <c r="X220" i="100"/>
  <c r="X221" i="100"/>
  <c r="X222" i="100"/>
  <c r="X223" i="100"/>
  <c r="X224" i="100"/>
  <c r="X225" i="100"/>
  <c r="X226" i="100"/>
  <c r="X227" i="100"/>
  <c r="X228" i="100"/>
  <c r="X229" i="100"/>
  <c r="X230" i="100"/>
  <c r="X231" i="100"/>
  <c r="X232" i="100"/>
  <c r="X233" i="100"/>
  <c r="X234" i="100"/>
  <c r="X235" i="100"/>
  <c r="X236" i="100"/>
  <c r="X237" i="100"/>
  <c r="X238" i="100"/>
  <c r="X239" i="100"/>
  <c r="X240" i="100"/>
  <c r="X241" i="100"/>
  <c r="X242" i="100"/>
  <c r="X243" i="100"/>
  <c r="X244" i="100"/>
  <c r="X245" i="100"/>
  <c r="X246" i="100"/>
  <c r="X247" i="100"/>
  <c r="X248" i="100"/>
  <c r="X249" i="100"/>
  <c r="X250" i="100"/>
  <c r="X251" i="100"/>
  <c r="X252" i="100"/>
  <c r="X253" i="100"/>
  <c r="X254" i="100"/>
  <c r="X255" i="100"/>
  <c r="X256" i="100"/>
  <c r="X257" i="100"/>
  <c r="X258" i="100"/>
  <c r="X259" i="100"/>
  <c r="X260" i="100"/>
  <c r="X261" i="100"/>
  <c r="X262" i="100"/>
  <c r="X263" i="100"/>
  <c r="X264" i="100"/>
  <c r="X265" i="100"/>
  <c r="X266" i="100"/>
  <c r="X267" i="100"/>
  <c r="X268" i="100"/>
  <c r="X269" i="100"/>
  <c r="X270" i="100"/>
  <c r="X271" i="100"/>
  <c r="X272" i="100"/>
  <c r="X273" i="100"/>
  <c r="X274" i="100"/>
  <c r="X275" i="100"/>
  <c r="X276" i="100"/>
  <c r="X277" i="100"/>
  <c r="X278" i="100"/>
  <c r="X279" i="100"/>
  <c r="X280" i="100"/>
  <c r="X281" i="100"/>
  <c r="X282" i="100"/>
  <c r="X283" i="100"/>
  <c r="X284" i="100"/>
  <c r="X285" i="100"/>
  <c r="X286" i="100"/>
  <c r="X287" i="100"/>
  <c r="X288" i="100"/>
  <c r="X289" i="100"/>
  <c r="X290" i="100"/>
  <c r="X291" i="100"/>
  <c r="X292" i="100"/>
  <c r="X293" i="100"/>
  <c r="X294" i="100"/>
  <c r="X295" i="100"/>
  <c r="X296" i="100"/>
  <c r="X297" i="100"/>
  <c r="X298" i="100"/>
  <c r="X299" i="100"/>
  <c r="X300" i="100"/>
  <c r="X301" i="100"/>
  <c r="X302" i="100"/>
  <c r="X303" i="100"/>
  <c r="X304" i="100"/>
  <c r="X147" i="100"/>
  <c r="X3" i="100"/>
  <c r="X4" i="100"/>
  <c r="X5" i="100"/>
  <c r="X6" i="100"/>
  <c r="X7" i="100"/>
  <c r="X8" i="100"/>
  <c r="X9" i="100"/>
  <c r="X10" i="100"/>
  <c r="X11" i="100"/>
  <c r="X12" i="100"/>
  <c r="X13" i="100"/>
  <c r="X14" i="100"/>
  <c r="X15" i="100"/>
  <c r="X16" i="100"/>
  <c r="X17" i="100"/>
  <c r="X18" i="100"/>
  <c r="X19" i="100"/>
  <c r="X20" i="100"/>
  <c r="X21" i="100"/>
  <c r="X22" i="100"/>
  <c r="X23" i="100"/>
  <c r="X24" i="100"/>
  <c r="X25" i="100"/>
  <c r="X26" i="100"/>
  <c r="X27" i="100"/>
  <c r="X28" i="100"/>
  <c r="X29" i="100"/>
  <c r="X30" i="100"/>
  <c r="X31" i="100"/>
  <c r="X32" i="100"/>
  <c r="X33" i="100"/>
  <c r="X34" i="100"/>
  <c r="X35" i="100"/>
  <c r="X36" i="100"/>
  <c r="X37" i="100"/>
  <c r="X38" i="100"/>
  <c r="X39" i="100"/>
  <c r="X40" i="100"/>
  <c r="X41" i="100"/>
  <c r="X42" i="100"/>
  <c r="X43" i="100"/>
  <c r="X44" i="100"/>
  <c r="X45" i="100"/>
  <c r="X46" i="100"/>
  <c r="X47" i="100"/>
  <c r="X48" i="100"/>
  <c r="X49" i="100"/>
  <c r="X50" i="100"/>
  <c r="X51" i="100"/>
  <c r="X52" i="100"/>
  <c r="X53" i="100"/>
  <c r="X54" i="100"/>
  <c r="X55" i="100"/>
  <c r="X56" i="100"/>
  <c r="X57" i="100"/>
  <c r="X58" i="100"/>
  <c r="X59" i="100"/>
  <c r="X60" i="100"/>
  <c r="X61" i="100"/>
  <c r="X62" i="100"/>
  <c r="X63" i="100"/>
  <c r="X64" i="100"/>
  <c r="X65" i="100"/>
  <c r="X66" i="100"/>
  <c r="X67" i="100"/>
  <c r="X68" i="100"/>
  <c r="X69" i="100"/>
  <c r="X70" i="100"/>
  <c r="X71" i="100"/>
  <c r="X72" i="100"/>
  <c r="X73" i="100"/>
  <c r="X74" i="100"/>
  <c r="X75" i="100"/>
  <c r="X76" i="100"/>
  <c r="X77" i="100"/>
  <c r="X78" i="100"/>
  <c r="X79" i="100"/>
  <c r="X80" i="100"/>
  <c r="X81" i="100"/>
  <c r="X82" i="100"/>
  <c r="X83" i="100"/>
  <c r="X84" i="100"/>
  <c r="X85" i="100"/>
  <c r="X86" i="100"/>
  <c r="X87" i="100"/>
  <c r="X88" i="100"/>
  <c r="X89" i="100"/>
  <c r="X90" i="100"/>
  <c r="X91" i="100"/>
  <c r="X92" i="100"/>
  <c r="X93" i="100"/>
  <c r="X94" i="100"/>
  <c r="X95" i="100"/>
  <c r="X96" i="100"/>
  <c r="X97" i="100"/>
  <c r="X98" i="100"/>
  <c r="X99" i="100"/>
  <c r="X100" i="100"/>
  <c r="X101" i="100"/>
  <c r="X102" i="100"/>
  <c r="X103" i="100"/>
  <c r="X104" i="100"/>
  <c r="X105" i="100"/>
  <c r="X106" i="100"/>
  <c r="X107" i="100"/>
  <c r="X108" i="100"/>
  <c r="X109" i="100"/>
  <c r="X110" i="100"/>
  <c r="X111" i="100"/>
  <c r="X112" i="100"/>
  <c r="X113" i="100"/>
  <c r="X114" i="100"/>
  <c r="X115" i="100"/>
  <c r="X116" i="100"/>
  <c r="X117" i="100"/>
  <c r="X118" i="100"/>
  <c r="X119" i="100"/>
  <c r="X120" i="100"/>
  <c r="X121" i="100"/>
  <c r="X122" i="100"/>
  <c r="X123" i="100"/>
  <c r="X124" i="100"/>
  <c r="X125" i="100"/>
  <c r="X126" i="100"/>
  <c r="X127" i="100"/>
  <c r="X128" i="100"/>
  <c r="X129" i="100"/>
  <c r="X130" i="100"/>
  <c r="X131" i="100"/>
  <c r="X132" i="100"/>
  <c r="X133" i="100"/>
  <c r="X134" i="100"/>
  <c r="X135" i="100"/>
  <c r="X136" i="100"/>
  <c r="X137" i="100"/>
  <c r="X138" i="100"/>
  <c r="X139" i="100"/>
  <c r="X140" i="100"/>
  <c r="X141" i="100"/>
  <c r="X142" i="100"/>
  <c r="X143" i="100"/>
  <c r="X144" i="100"/>
  <c r="X145" i="100"/>
  <c r="X146" i="100"/>
  <c r="X2" i="100"/>
  <c r="M83" i="100"/>
  <c r="N83" i="100"/>
  <c r="P83" i="100" s="1"/>
  <c r="O83" i="100"/>
  <c r="M84" i="100"/>
  <c r="N84" i="100"/>
  <c r="P84" i="100" s="1"/>
  <c r="O84" i="100"/>
  <c r="M85" i="100"/>
  <c r="N85" i="100"/>
  <c r="P85" i="100" s="1"/>
  <c r="O85" i="100"/>
  <c r="M86" i="100"/>
  <c r="N86" i="100"/>
  <c r="P86" i="100" s="1"/>
  <c r="O86" i="100"/>
  <c r="M87" i="100"/>
  <c r="N87" i="100"/>
  <c r="P87" i="100" s="1"/>
  <c r="O87" i="100"/>
  <c r="M88" i="100"/>
  <c r="N88" i="100"/>
  <c r="P88" i="100" s="1"/>
  <c r="O88" i="100"/>
  <c r="M89" i="100"/>
  <c r="N89" i="100"/>
  <c r="P89" i="100" s="1"/>
  <c r="O89" i="100"/>
  <c r="M90" i="100"/>
  <c r="N90" i="100"/>
  <c r="P90" i="100" s="1"/>
  <c r="O90" i="100"/>
  <c r="M91" i="100"/>
  <c r="N91" i="100"/>
  <c r="P91" i="100" s="1"/>
  <c r="O91" i="100"/>
  <c r="M92" i="100"/>
  <c r="N92" i="100"/>
  <c r="P92" i="100" s="1"/>
  <c r="O92" i="100"/>
  <c r="M93" i="100"/>
  <c r="N93" i="100"/>
  <c r="P93" i="100" s="1"/>
  <c r="O93" i="100"/>
  <c r="M94" i="100"/>
  <c r="N94" i="100"/>
  <c r="P94" i="100" s="1"/>
  <c r="O94" i="100"/>
  <c r="M95" i="100"/>
  <c r="N95" i="100"/>
  <c r="P95" i="100" s="1"/>
  <c r="O95" i="100"/>
  <c r="M96" i="100"/>
  <c r="N96" i="100"/>
  <c r="P96" i="100" s="1"/>
  <c r="O96" i="100"/>
  <c r="M97" i="100"/>
  <c r="N97" i="100"/>
  <c r="P97" i="100" s="1"/>
  <c r="O97" i="100"/>
  <c r="M98" i="100"/>
  <c r="N98" i="100"/>
  <c r="P98" i="100" s="1"/>
  <c r="O98" i="100"/>
  <c r="M99" i="100"/>
  <c r="N99" i="100"/>
  <c r="P99" i="100" s="1"/>
  <c r="O99" i="100"/>
  <c r="M100" i="100"/>
  <c r="N100" i="100"/>
  <c r="P100" i="100" s="1"/>
  <c r="O100" i="100"/>
  <c r="M101" i="100"/>
  <c r="N101" i="100"/>
  <c r="P101" i="100" s="1"/>
  <c r="O101" i="100"/>
  <c r="M102" i="100"/>
  <c r="N102" i="100"/>
  <c r="P102" i="100" s="1"/>
  <c r="O102" i="100"/>
  <c r="M103" i="100"/>
  <c r="N103" i="100"/>
  <c r="P103" i="100" s="1"/>
  <c r="O103" i="100"/>
  <c r="M104" i="100"/>
  <c r="N104" i="100"/>
  <c r="P104" i="100" s="1"/>
  <c r="O104" i="100"/>
  <c r="M105" i="100"/>
  <c r="N105" i="100"/>
  <c r="P105" i="100" s="1"/>
  <c r="O105" i="100"/>
  <c r="M106" i="100"/>
  <c r="N106" i="100"/>
  <c r="P106" i="100" s="1"/>
  <c r="O106" i="100"/>
  <c r="M107" i="100"/>
  <c r="N107" i="100"/>
  <c r="P107" i="100" s="1"/>
  <c r="O107" i="100"/>
  <c r="M108" i="100"/>
  <c r="N108" i="100"/>
  <c r="P108" i="100" s="1"/>
  <c r="O108" i="100"/>
  <c r="M109" i="100"/>
  <c r="N109" i="100"/>
  <c r="O109" i="100"/>
  <c r="M110" i="100"/>
  <c r="N110" i="100"/>
  <c r="P110" i="100" s="1"/>
  <c r="O110" i="100"/>
  <c r="M111" i="100"/>
  <c r="N111" i="100"/>
  <c r="P111" i="100" s="1"/>
  <c r="O111" i="100"/>
  <c r="M112" i="100"/>
  <c r="N112" i="100"/>
  <c r="P112" i="100" s="1"/>
  <c r="O112" i="100"/>
  <c r="M113" i="100"/>
  <c r="N113" i="100"/>
  <c r="P113" i="100" s="1"/>
  <c r="O113" i="100"/>
  <c r="M114" i="100"/>
  <c r="N114" i="100"/>
  <c r="P114" i="100" s="1"/>
  <c r="O114" i="100"/>
  <c r="M115" i="100"/>
  <c r="N115" i="100"/>
  <c r="P115" i="100" s="1"/>
  <c r="O115" i="100"/>
  <c r="M116" i="100"/>
  <c r="N116" i="100"/>
  <c r="P116" i="100" s="1"/>
  <c r="O116" i="100"/>
  <c r="M117" i="100"/>
  <c r="N117" i="100"/>
  <c r="P117" i="100" s="1"/>
  <c r="O117" i="100"/>
  <c r="M118" i="100"/>
  <c r="N118" i="100"/>
  <c r="O118" i="100"/>
  <c r="M119" i="100"/>
  <c r="N119" i="100"/>
  <c r="P119" i="100" s="1"/>
  <c r="O119" i="100"/>
  <c r="M120" i="100"/>
  <c r="N120" i="100"/>
  <c r="P120" i="100" s="1"/>
  <c r="O120" i="100"/>
  <c r="M121" i="100"/>
  <c r="N121" i="100"/>
  <c r="P121" i="100" s="1"/>
  <c r="O121" i="100"/>
  <c r="M122" i="100"/>
  <c r="N122" i="100"/>
  <c r="P122" i="100" s="1"/>
  <c r="O122" i="100"/>
  <c r="M123" i="100"/>
  <c r="N123" i="100"/>
  <c r="P123" i="100" s="1"/>
  <c r="O123" i="100"/>
  <c r="M124" i="100"/>
  <c r="N124" i="100"/>
  <c r="P124" i="100" s="1"/>
  <c r="O124" i="100"/>
  <c r="M125" i="100"/>
  <c r="N125" i="100"/>
  <c r="P125" i="100" s="1"/>
  <c r="O125" i="100"/>
  <c r="M126" i="100"/>
  <c r="N126" i="100"/>
  <c r="O126" i="100"/>
  <c r="M127" i="100"/>
  <c r="N127" i="100"/>
  <c r="P127" i="100" s="1"/>
  <c r="O127" i="100"/>
  <c r="M128" i="100"/>
  <c r="N128" i="100"/>
  <c r="P128" i="100" s="1"/>
  <c r="O128" i="100"/>
  <c r="M129" i="100"/>
  <c r="N129" i="100"/>
  <c r="P129" i="100" s="1"/>
  <c r="O129" i="100"/>
  <c r="M130" i="100"/>
  <c r="N130" i="100"/>
  <c r="P130" i="100" s="1"/>
  <c r="O130" i="100"/>
  <c r="M131" i="100"/>
  <c r="N131" i="100"/>
  <c r="P131" i="100" s="1"/>
  <c r="O131" i="100"/>
  <c r="M132" i="100"/>
  <c r="N132" i="100"/>
  <c r="P132" i="100" s="1"/>
  <c r="O132" i="100"/>
  <c r="M133" i="100"/>
  <c r="N133" i="100"/>
  <c r="P133" i="100" s="1"/>
  <c r="O133" i="100"/>
  <c r="M134" i="100"/>
  <c r="N134" i="100"/>
  <c r="P134" i="100" s="1"/>
  <c r="O134" i="100"/>
  <c r="M135" i="100"/>
  <c r="N135" i="100"/>
  <c r="P135" i="100" s="1"/>
  <c r="O135" i="100"/>
  <c r="M136" i="100"/>
  <c r="N136" i="100"/>
  <c r="P136" i="100" s="1"/>
  <c r="O136" i="100"/>
  <c r="M137" i="100"/>
  <c r="N137" i="100"/>
  <c r="P137" i="100" s="1"/>
  <c r="O137" i="100"/>
  <c r="M138" i="100"/>
  <c r="N138" i="100"/>
  <c r="P138" i="100" s="1"/>
  <c r="O138" i="100"/>
  <c r="M139" i="100"/>
  <c r="N139" i="100"/>
  <c r="P139" i="100" s="1"/>
  <c r="O139" i="100"/>
  <c r="M140" i="100"/>
  <c r="N140" i="100"/>
  <c r="P140" i="100" s="1"/>
  <c r="O140" i="100"/>
  <c r="M141" i="100"/>
  <c r="N141" i="100"/>
  <c r="P141" i="100" s="1"/>
  <c r="O141" i="100"/>
  <c r="M142" i="100"/>
  <c r="N142" i="100"/>
  <c r="P142" i="100" s="1"/>
  <c r="O142" i="100"/>
  <c r="M143" i="100"/>
  <c r="N143" i="100"/>
  <c r="P143" i="100" s="1"/>
  <c r="O143" i="100"/>
  <c r="M144" i="100"/>
  <c r="N144" i="100"/>
  <c r="P144" i="100" s="1"/>
  <c r="O144" i="100"/>
  <c r="M145" i="100"/>
  <c r="N145" i="100"/>
  <c r="P145" i="100" s="1"/>
  <c r="O145" i="100"/>
  <c r="M146" i="100"/>
  <c r="N146" i="100"/>
  <c r="P146" i="100" s="1"/>
  <c r="O146" i="100"/>
  <c r="M147" i="100"/>
  <c r="N147" i="100"/>
  <c r="P147" i="100" s="1"/>
  <c r="O147" i="100"/>
  <c r="M148" i="100"/>
  <c r="N148" i="100"/>
  <c r="P148" i="100" s="1"/>
  <c r="O148" i="100"/>
  <c r="M149" i="100"/>
  <c r="N149" i="100"/>
  <c r="P149" i="100" s="1"/>
  <c r="O149" i="100"/>
  <c r="M150" i="100"/>
  <c r="N150" i="100"/>
  <c r="P150" i="100" s="1"/>
  <c r="O150" i="100"/>
  <c r="M151" i="100"/>
  <c r="N151" i="100"/>
  <c r="P151" i="100" s="1"/>
  <c r="O151" i="100"/>
  <c r="M152" i="100"/>
  <c r="N152" i="100"/>
  <c r="P152" i="100" s="1"/>
  <c r="O152" i="100"/>
  <c r="M153" i="100"/>
  <c r="N153" i="100"/>
  <c r="P153" i="100" s="1"/>
  <c r="O153" i="100"/>
  <c r="M154" i="100"/>
  <c r="N154" i="100"/>
  <c r="P154" i="100" s="1"/>
  <c r="O154" i="100"/>
  <c r="M155" i="100"/>
  <c r="N155" i="100"/>
  <c r="P155" i="100" s="1"/>
  <c r="O155" i="100"/>
  <c r="M156" i="100"/>
  <c r="N156" i="100"/>
  <c r="P156" i="100" s="1"/>
  <c r="O156" i="100"/>
  <c r="M157" i="100"/>
  <c r="N157" i="100"/>
  <c r="P157" i="100" s="1"/>
  <c r="O157" i="100"/>
  <c r="M158" i="100"/>
  <c r="N158" i="100"/>
  <c r="P158" i="100" s="1"/>
  <c r="O158" i="100"/>
  <c r="M159" i="100"/>
  <c r="N159" i="100"/>
  <c r="P159" i="100" s="1"/>
  <c r="O159" i="100"/>
  <c r="M160" i="100"/>
  <c r="N160" i="100"/>
  <c r="P160" i="100" s="1"/>
  <c r="O160" i="100"/>
  <c r="M161" i="100"/>
  <c r="N161" i="100"/>
  <c r="P161" i="100" s="1"/>
  <c r="O161" i="100"/>
  <c r="M162" i="100"/>
  <c r="N162" i="100"/>
  <c r="P162" i="100" s="1"/>
  <c r="O162" i="100"/>
  <c r="M163" i="100"/>
  <c r="N163" i="100"/>
  <c r="P163" i="100" s="1"/>
  <c r="O163" i="100"/>
  <c r="M164" i="100"/>
  <c r="N164" i="100"/>
  <c r="P164" i="100" s="1"/>
  <c r="O164" i="100"/>
  <c r="M165" i="100"/>
  <c r="N165" i="100"/>
  <c r="P165" i="100" s="1"/>
  <c r="O165" i="100"/>
  <c r="M166" i="100"/>
  <c r="N166" i="100"/>
  <c r="P166" i="100" s="1"/>
  <c r="O166" i="100"/>
  <c r="M167" i="100"/>
  <c r="N167" i="100"/>
  <c r="P167" i="100" s="1"/>
  <c r="O167" i="100"/>
  <c r="M168" i="100"/>
  <c r="N168" i="100"/>
  <c r="P168" i="100" s="1"/>
  <c r="O168" i="100"/>
  <c r="M169" i="100"/>
  <c r="N169" i="100"/>
  <c r="P169" i="100" s="1"/>
  <c r="O169" i="100"/>
  <c r="M170" i="100"/>
  <c r="N170" i="100"/>
  <c r="P170" i="100" s="1"/>
  <c r="O170" i="100"/>
  <c r="M171" i="100"/>
  <c r="N171" i="100"/>
  <c r="P171" i="100" s="1"/>
  <c r="O171" i="100"/>
  <c r="M172" i="100"/>
  <c r="N172" i="100"/>
  <c r="P172" i="100" s="1"/>
  <c r="O172" i="100"/>
  <c r="M173" i="100"/>
  <c r="N173" i="100"/>
  <c r="P173" i="100" s="1"/>
  <c r="O173" i="100"/>
  <c r="M174" i="100"/>
  <c r="N174" i="100"/>
  <c r="O174" i="100"/>
  <c r="M175" i="100"/>
  <c r="N175" i="100"/>
  <c r="P175" i="100" s="1"/>
  <c r="O175" i="100"/>
  <c r="M176" i="100"/>
  <c r="N176" i="100"/>
  <c r="P176" i="100" s="1"/>
  <c r="O176" i="100"/>
  <c r="M177" i="100"/>
  <c r="N177" i="100"/>
  <c r="P177" i="100" s="1"/>
  <c r="O177" i="100"/>
  <c r="M178" i="100"/>
  <c r="N178" i="100"/>
  <c r="P178" i="100" s="1"/>
  <c r="O178" i="100"/>
  <c r="M179" i="100"/>
  <c r="N179" i="100"/>
  <c r="P179" i="100" s="1"/>
  <c r="O179" i="100"/>
  <c r="M180" i="100"/>
  <c r="N180" i="100"/>
  <c r="P180" i="100" s="1"/>
  <c r="O180" i="100"/>
  <c r="M181" i="100"/>
  <c r="N181" i="100"/>
  <c r="P181" i="100" s="1"/>
  <c r="O181" i="100"/>
  <c r="M182" i="100"/>
  <c r="N182" i="100"/>
  <c r="P182" i="100" s="1"/>
  <c r="O182" i="100"/>
  <c r="M183" i="100"/>
  <c r="N183" i="100"/>
  <c r="P183" i="100" s="1"/>
  <c r="O183" i="100"/>
  <c r="M184" i="100"/>
  <c r="N184" i="100"/>
  <c r="P184" i="100" s="1"/>
  <c r="O184" i="100"/>
  <c r="M185" i="100"/>
  <c r="N185" i="100"/>
  <c r="P185" i="100" s="1"/>
  <c r="O185" i="100"/>
  <c r="M186" i="100"/>
  <c r="N186" i="100"/>
  <c r="P186" i="100" s="1"/>
  <c r="O186" i="100"/>
  <c r="M187" i="100"/>
  <c r="N187" i="100"/>
  <c r="P187" i="100" s="1"/>
  <c r="O187" i="100"/>
  <c r="M188" i="100"/>
  <c r="N188" i="100"/>
  <c r="P188" i="100" s="1"/>
  <c r="O188" i="100"/>
  <c r="M189" i="100"/>
  <c r="N189" i="100"/>
  <c r="P189" i="100" s="1"/>
  <c r="O189" i="100"/>
  <c r="M190" i="100"/>
  <c r="N190" i="100"/>
  <c r="O190" i="100"/>
  <c r="M191" i="100"/>
  <c r="N191" i="100"/>
  <c r="P191" i="100" s="1"/>
  <c r="O191" i="100"/>
  <c r="M192" i="100"/>
  <c r="N192" i="100"/>
  <c r="P192" i="100" s="1"/>
  <c r="O192" i="100"/>
  <c r="M193" i="100"/>
  <c r="N193" i="100"/>
  <c r="P193" i="100" s="1"/>
  <c r="O193" i="100"/>
  <c r="M194" i="100"/>
  <c r="N194" i="100"/>
  <c r="P194" i="100" s="1"/>
  <c r="O194" i="100"/>
  <c r="M195" i="100"/>
  <c r="N195" i="100"/>
  <c r="P195" i="100" s="1"/>
  <c r="O195" i="100"/>
  <c r="M196" i="100"/>
  <c r="N196" i="100"/>
  <c r="P196" i="100" s="1"/>
  <c r="O196" i="100"/>
  <c r="M197" i="100"/>
  <c r="N197" i="100"/>
  <c r="P197" i="100" s="1"/>
  <c r="O197" i="100"/>
  <c r="M198" i="100"/>
  <c r="N198" i="100"/>
  <c r="P198" i="100" s="1"/>
  <c r="O198" i="100"/>
  <c r="M199" i="100"/>
  <c r="N199" i="100"/>
  <c r="P199" i="100" s="1"/>
  <c r="O199" i="100"/>
  <c r="M200" i="100"/>
  <c r="N200" i="100"/>
  <c r="P200" i="100" s="1"/>
  <c r="O200" i="100"/>
  <c r="M201" i="100"/>
  <c r="N201" i="100"/>
  <c r="P201" i="100" s="1"/>
  <c r="O201" i="100"/>
  <c r="M202" i="100"/>
  <c r="N202" i="100"/>
  <c r="P202" i="100" s="1"/>
  <c r="O202" i="100"/>
  <c r="M203" i="100"/>
  <c r="N203" i="100"/>
  <c r="P203" i="100" s="1"/>
  <c r="O203" i="100"/>
  <c r="M204" i="100"/>
  <c r="N204" i="100"/>
  <c r="P204" i="100" s="1"/>
  <c r="O204" i="100"/>
  <c r="M205" i="100"/>
  <c r="N205" i="100"/>
  <c r="P205" i="100" s="1"/>
  <c r="O205" i="100"/>
  <c r="M206" i="100"/>
  <c r="N206" i="100"/>
  <c r="P206" i="100" s="1"/>
  <c r="O206" i="100"/>
  <c r="M207" i="100"/>
  <c r="N207" i="100"/>
  <c r="O207" i="100"/>
  <c r="M208" i="100"/>
  <c r="N208" i="100"/>
  <c r="P208" i="100" s="1"/>
  <c r="O208" i="100"/>
  <c r="M209" i="100"/>
  <c r="N209" i="100"/>
  <c r="P209" i="100" s="1"/>
  <c r="O209" i="100"/>
  <c r="M210" i="100"/>
  <c r="N210" i="100"/>
  <c r="P210" i="100" s="1"/>
  <c r="O210" i="100"/>
  <c r="M211" i="100"/>
  <c r="N211" i="100"/>
  <c r="P211" i="100" s="1"/>
  <c r="O211" i="100"/>
  <c r="M212" i="100"/>
  <c r="N212" i="100"/>
  <c r="O212" i="100"/>
  <c r="M213" i="100"/>
  <c r="N213" i="100"/>
  <c r="P213" i="100" s="1"/>
  <c r="O213" i="100"/>
  <c r="M214" i="100"/>
  <c r="N214" i="100"/>
  <c r="P214" i="100" s="1"/>
  <c r="O214" i="100"/>
  <c r="M215" i="100"/>
  <c r="N215" i="100"/>
  <c r="P215" i="100" s="1"/>
  <c r="O215" i="100"/>
  <c r="M216" i="100"/>
  <c r="N216" i="100"/>
  <c r="P216" i="100" s="1"/>
  <c r="O216" i="100"/>
  <c r="M217" i="100"/>
  <c r="N217" i="100"/>
  <c r="P217" i="100" s="1"/>
  <c r="O217" i="100"/>
  <c r="M218" i="100"/>
  <c r="N218" i="100"/>
  <c r="P218" i="100" s="1"/>
  <c r="O218" i="100"/>
  <c r="M219" i="100"/>
  <c r="N219" i="100"/>
  <c r="P219" i="100" s="1"/>
  <c r="O219" i="100"/>
  <c r="M220" i="100"/>
  <c r="N220" i="100"/>
  <c r="O220" i="100"/>
  <c r="M221" i="100"/>
  <c r="N221" i="100"/>
  <c r="O221" i="100"/>
  <c r="M222" i="100"/>
  <c r="N222" i="100"/>
  <c r="P222" i="100" s="1"/>
  <c r="O222" i="100"/>
  <c r="M223" i="100"/>
  <c r="N223" i="100"/>
  <c r="O223" i="100"/>
  <c r="M224" i="100"/>
  <c r="N224" i="100"/>
  <c r="P224" i="100" s="1"/>
  <c r="O224" i="100"/>
  <c r="M225" i="100"/>
  <c r="N225" i="100"/>
  <c r="P225" i="100" s="1"/>
  <c r="O225" i="100"/>
  <c r="M226" i="100"/>
  <c r="N226" i="100"/>
  <c r="P226" i="100" s="1"/>
  <c r="O226" i="100"/>
  <c r="M227" i="100"/>
  <c r="N227" i="100"/>
  <c r="P227" i="100" s="1"/>
  <c r="O227" i="100"/>
  <c r="M228" i="100"/>
  <c r="N228" i="100"/>
  <c r="P228" i="100" s="1"/>
  <c r="O228" i="100"/>
  <c r="M229" i="100"/>
  <c r="N229" i="100"/>
  <c r="O229" i="100"/>
  <c r="M230" i="100"/>
  <c r="N230" i="100"/>
  <c r="P230" i="100" s="1"/>
  <c r="O230" i="100"/>
  <c r="M231" i="100"/>
  <c r="N231" i="100"/>
  <c r="P231" i="100" s="1"/>
  <c r="O231" i="100"/>
  <c r="M232" i="100"/>
  <c r="N232" i="100"/>
  <c r="P232" i="100" s="1"/>
  <c r="O232" i="100"/>
  <c r="M233" i="100"/>
  <c r="N233" i="100"/>
  <c r="P233" i="100" s="1"/>
  <c r="O233" i="100"/>
  <c r="M234" i="100"/>
  <c r="N234" i="100"/>
  <c r="P234" i="100" s="1"/>
  <c r="O234" i="100"/>
  <c r="M235" i="100"/>
  <c r="N235" i="100"/>
  <c r="P235" i="100" s="1"/>
  <c r="O235" i="100"/>
  <c r="M236" i="100"/>
  <c r="N236" i="100"/>
  <c r="P236" i="100" s="1"/>
  <c r="O236" i="100"/>
  <c r="M237" i="100"/>
  <c r="N237" i="100"/>
  <c r="P237" i="100" s="1"/>
  <c r="O237" i="100"/>
  <c r="M238" i="100"/>
  <c r="N238" i="100"/>
  <c r="P238" i="100" s="1"/>
  <c r="O238" i="100"/>
  <c r="M239" i="100"/>
  <c r="N239" i="100"/>
  <c r="P239" i="100" s="1"/>
  <c r="O239" i="100"/>
  <c r="M240" i="100"/>
  <c r="N240" i="100"/>
  <c r="P240" i="100" s="1"/>
  <c r="O240" i="100"/>
  <c r="M241" i="100"/>
  <c r="N241" i="100"/>
  <c r="P241" i="100" s="1"/>
  <c r="O241" i="100"/>
  <c r="M242" i="100"/>
  <c r="N242" i="100"/>
  <c r="P242" i="100" s="1"/>
  <c r="O242" i="100"/>
  <c r="M243" i="100"/>
  <c r="N243" i="100"/>
  <c r="P243" i="100" s="1"/>
  <c r="O243" i="100"/>
  <c r="M244" i="100"/>
  <c r="N244" i="100"/>
  <c r="P244" i="100" s="1"/>
  <c r="O244" i="100"/>
  <c r="M245" i="100"/>
  <c r="N245" i="100"/>
  <c r="P245" i="100" s="1"/>
  <c r="O245" i="100"/>
  <c r="M246" i="100"/>
  <c r="N246" i="100"/>
  <c r="O246" i="100"/>
  <c r="M247" i="100"/>
  <c r="N247" i="100"/>
  <c r="P247" i="100" s="1"/>
  <c r="O247" i="100"/>
  <c r="M248" i="100"/>
  <c r="N248" i="100"/>
  <c r="P248" i="100" s="1"/>
  <c r="O248" i="100"/>
  <c r="M249" i="100"/>
  <c r="N249" i="100"/>
  <c r="P249" i="100" s="1"/>
  <c r="O249" i="100"/>
  <c r="M250" i="100"/>
  <c r="N250" i="100"/>
  <c r="P250" i="100" s="1"/>
  <c r="O250" i="100"/>
  <c r="M251" i="100"/>
  <c r="N251" i="100"/>
  <c r="P251" i="100" s="1"/>
  <c r="O251" i="100"/>
  <c r="M252" i="100"/>
  <c r="N252" i="100"/>
  <c r="P252" i="100" s="1"/>
  <c r="O252" i="100"/>
  <c r="M253" i="100"/>
  <c r="N253" i="100"/>
  <c r="P253" i="100" s="1"/>
  <c r="O253" i="100"/>
  <c r="M254" i="100"/>
  <c r="N254" i="100"/>
  <c r="P254" i="100" s="1"/>
  <c r="O254" i="100"/>
  <c r="M255" i="100"/>
  <c r="N255" i="100"/>
  <c r="P255" i="100" s="1"/>
  <c r="O255" i="100"/>
  <c r="M256" i="100"/>
  <c r="N256" i="100"/>
  <c r="P256" i="100" s="1"/>
  <c r="O256" i="100"/>
  <c r="M257" i="100"/>
  <c r="N257" i="100"/>
  <c r="P257" i="100" s="1"/>
  <c r="O257" i="100"/>
  <c r="M258" i="100"/>
  <c r="N258" i="100"/>
  <c r="P258" i="100" s="1"/>
  <c r="O258" i="100"/>
  <c r="M259" i="100"/>
  <c r="N259" i="100"/>
  <c r="P259" i="100" s="1"/>
  <c r="O259" i="100"/>
  <c r="M260" i="100"/>
  <c r="N260" i="100"/>
  <c r="P260" i="100" s="1"/>
  <c r="O260" i="100"/>
  <c r="M261" i="100"/>
  <c r="N261" i="100"/>
  <c r="P261" i="100" s="1"/>
  <c r="O261" i="100"/>
  <c r="M262" i="100"/>
  <c r="N262" i="100"/>
  <c r="P262" i="100" s="1"/>
  <c r="O262" i="100"/>
  <c r="M263" i="100"/>
  <c r="N263" i="100"/>
  <c r="P263" i="100" s="1"/>
  <c r="O263" i="100"/>
  <c r="M264" i="100"/>
  <c r="N264" i="100"/>
  <c r="P264" i="100" s="1"/>
  <c r="O264" i="100"/>
  <c r="M265" i="100"/>
  <c r="N265" i="100"/>
  <c r="O265" i="100"/>
  <c r="M266" i="100"/>
  <c r="N266" i="100"/>
  <c r="P266" i="100" s="1"/>
  <c r="O266" i="100"/>
  <c r="M267" i="100"/>
  <c r="N267" i="100"/>
  <c r="P267" i="100" s="1"/>
  <c r="O267" i="100"/>
  <c r="M268" i="100"/>
  <c r="N268" i="100"/>
  <c r="P268" i="100" s="1"/>
  <c r="O268" i="100"/>
  <c r="M269" i="100"/>
  <c r="N269" i="100"/>
  <c r="P269" i="100" s="1"/>
  <c r="O269" i="100"/>
  <c r="M270" i="100"/>
  <c r="N270" i="100"/>
  <c r="O270" i="100"/>
  <c r="M271" i="100"/>
  <c r="N271" i="100"/>
  <c r="P271" i="100" s="1"/>
  <c r="O271" i="100"/>
  <c r="M272" i="100"/>
  <c r="N272" i="100"/>
  <c r="P272" i="100" s="1"/>
  <c r="O272" i="100"/>
  <c r="M273" i="100"/>
  <c r="N273" i="100"/>
  <c r="O273" i="100"/>
  <c r="M274" i="100"/>
  <c r="N274" i="100"/>
  <c r="P274" i="100" s="1"/>
  <c r="O274" i="100"/>
  <c r="M275" i="100"/>
  <c r="N275" i="100"/>
  <c r="P275" i="100" s="1"/>
  <c r="O275" i="100"/>
  <c r="M276" i="100"/>
  <c r="N276" i="100"/>
  <c r="P276" i="100" s="1"/>
  <c r="O276" i="100"/>
  <c r="M277" i="100"/>
  <c r="N277" i="100"/>
  <c r="P277" i="100" s="1"/>
  <c r="O277" i="100"/>
  <c r="M278" i="100"/>
  <c r="N278" i="100"/>
  <c r="P278" i="100" s="1"/>
  <c r="O278" i="100"/>
  <c r="M279" i="100"/>
  <c r="N279" i="100"/>
  <c r="P279" i="100" s="1"/>
  <c r="O279" i="100"/>
  <c r="M280" i="100"/>
  <c r="N280" i="100"/>
  <c r="P280" i="100" s="1"/>
  <c r="O280" i="100"/>
  <c r="M281" i="100"/>
  <c r="N281" i="100"/>
  <c r="P281" i="100" s="1"/>
  <c r="O281" i="100"/>
  <c r="M282" i="100"/>
  <c r="N282" i="100"/>
  <c r="P282" i="100" s="1"/>
  <c r="O282" i="100"/>
  <c r="M283" i="100"/>
  <c r="N283" i="100"/>
  <c r="P283" i="100" s="1"/>
  <c r="O283" i="100"/>
  <c r="M284" i="100"/>
  <c r="N284" i="100"/>
  <c r="P284" i="100" s="1"/>
  <c r="O284" i="100"/>
  <c r="M285" i="100"/>
  <c r="N285" i="100"/>
  <c r="P285" i="100" s="1"/>
  <c r="O285" i="100"/>
  <c r="M286" i="100"/>
  <c r="N286" i="100"/>
  <c r="P286" i="100" s="1"/>
  <c r="O286" i="100"/>
  <c r="M287" i="100"/>
  <c r="N287" i="100"/>
  <c r="P287" i="100" s="1"/>
  <c r="O287" i="100"/>
  <c r="M288" i="100"/>
  <c r="N288" i="100"/>
  <c r="P288" i="100" s="1"/>
  <c r="O288" i="100"/>
  <c r="M289" i="100"/>
  <c r="N289" i="100"/>
  <c r="P289" i="100" s="1"/>
  <c r="O289" i="100"/>
  <c r="M290" i="100"/>
  <c r="N290" i="100"/>
  <c r="P290" i="100" s="1"/>
  <c r="O290" i="100"/>
  <c r="M291" i="100"/>
  <c r="N291" i="100"/>
  <c r="P291" i="100" s="1"/>
  <c r="O291" i="100"/>
  <c r="M292" i="100"/>
  <c r="N292" i="100"/>
  <c r="P292" i="100" s="1"/>
  <c r="O292" i="100"/>
  <c r="M293" i="100"/>
  <c r="N293" i="100"/>
  <c r="P293" i="100" s="1"/>
  <c r="O293" i="100"/>
  <c r="M294" i="100"/>
  <c r="N294" i="100"/>
  <c r="P294" i="100" s="1"/>
  <c r="O294" i="100"/>
  <c r="M295" i="100"/>
  <c r="N295" i="100"/>
  <c r="P295" i="100" s="1"/>
  <c r="O295" i="100"/>
  <c r="M296" i="100"/>
  <c r="N296" i="100"/>
  <c r="P296" i="100" s="1"/>
  <c r="O296" i="100"/>
  <c r="M297" i="100"/>
  <c r="N297" i="100"/>
  <c r="P297" i="100" s="1"/>
  <c r="O297" i="100"/>
  <c r="M298" i="100"/>
  <c r="N298" i="100"/>
  <c r="P298" i="100" s="1"/>
  <c r="O298" i="100"/>
  <c r="M299" i="100"/>
  <c r="N299" i="100"/>
  <c r="O299" i="100"/>
  <c r="M300" i="100"/>
  <c r="N300" i="100"/>
  <c r="P300" i="100" s="1"/>
  <c r="O300" i="100"/>
  <c r="M301" i="100"/>
  <c r="N301" i="100"/>
  <c r="P301" i="100" s="1"/>
  <c r="O301" i="100"/>
  <c r="M302" i="100"/>
  <c r="N302" i="100"/>
  <c r="P302" i="100" s="1"/>
  <c r="O302" i="100"/>
  <c r="M303" i="100"/>
  <c r="N303" i="100"/>
  <c r="P303" i="100" s="1"/>
  <c r="O303" i="100"/>
  <c r="M304" i="100"/>
  <c r="N304" i="100"/>
  <c r="P304" i="100" s="1"/>
  <c r="O304" i="100"/>
  <c r="M305" i="100"/>
  <c r="N305" i="100"/>
  <c r="P305" i="100" s="1"/>
  <c r="O305" i="100"/>
  <c r="M306" i="100"/>
  <c r="N306" i="100"/>
  <c r="P306" i="100" s="1"/>
  <c r="O306" i="100"/>
  <c r="M307" i="100"/>
  <c r="N307" i="100"/>
  <c r="O307" i="100"/>
  <c r="M308" i="100"/>
  <c r="N308" i="100"/>
  <c r="P308" i="100" s="1"/>
  <c r="O308" i="100"/>
  <c r="M309" i="100"/>
  <c r="N309" i="100"/>
  <c r="P309" i="100" s="1"/>
  <c r="O309" i="100"/>
  <c r="M310" i="100"/>
  <c r="N310" i="100"/>
  <c r="O310" i="100"/>
  <c r="M311" i="100"/>
  <c r="N311" i="100"/>
  <c r="P311" i="100" s="1"/>
  <c r="O311" i="100"/>
  <c r="M312" i="100"/>
  <c r="N312" i="100"/>
  <c r="P312" i="100" s="1"/>
  <c r="O312" i="100"/>
  <c r="M313" i="100"/>
  <c r="N313" i="100"/>
  <c r="P313" i="100" s="1"/>
  <c r="O313" i="100"/>
  <c r="M314" i="100"/>
  <c r="N314" i="100"/>
  <c r="P314" i="100" s="1"/>
  <c r="O314" i="100"/>
  <c r="M315" i="100"/>
  <c r="N315" i="100"/>
  <c r="P315" i="100" s="1"/>
  <c r="O315" i="100"/>
  <c r="M316" i="100"/>
  <c r="N316" i="100"/>
  <c r="P316" i="100" s="1"/>
  <c r="O316" i="100"/>
  <c r="M317" i="100"/>
  <c r="N317" i="100"/>
  <c r="P317" i="100" s="1"/>
  <c r="O317" i="100"/>
  <c r="M318" i="100"/>
  <c r="N318" i="100"/>
  <c r="P318" i="100" s="1"/>
  <c r="O318" i="100"/>
  <c r="M319" i="100"/>
  <c r="N319" i="100"/>
  <c r="P319" i="100" s="1"/>
  <c r="O319" i="100"/>
  <c r="M320" i="100"/>
  <c r="N320" i="100"/>
  <c r="P320" i="100" s="1"/>
  <c r="O320" i="100"/>
  <c r="M321" i="100"/>
  <c r="N321" i="100"/>
  <c r="P321" i="100" s="1"/>
  <c r="O321" i="100"/>
  <c r="M322" i="100"/>
  <c r="N322" i="100"/>
  <c r="P322" i="100" s="1"/>
  <c r="O322" i="100"/>
  <c r="M323" i="100"/>
  <c r="N323" i="100"/>
  <c r="O323" i="100"/>
  <c r="M324" i="100"/>
  <c r="N324" i="100"/>
  <c r="P324" i="100" s="1"/>
  <c r="O324" i="100"/>
  <c r="M325" i="100"/>
  <c r="N325" i="100"/>
  <c r="P325" i="100" s="1"/>
  <c r="O325" i="100"/>
  <c r="M326" i="100"/>
  <c r="N326" i="100"/>
  <c r="P326" i="100" s="1"/>
  <c r="O326" i="100"/>
  <c r="M327" i="100"/>
  <c r="N327" i="100"/>
  <c r="P327" i="100" s="1"/>
  <c r="O327" i="100"/>
  <c r="M328" i="100"/>
  <c r="N328" i="100"/>
  <c r="P328" i="100" s="1"/>
  <c r="O328" i="100"/>
  <c r="M329" i="100"/>
  <c r="N329" i="100"/>
  <c r="P329" i="100" s="1"/>
  <c r="O329" i="100"/>
  <c r="M330" i="100"/>
  <c r="N330" i="100"/>
  <c r="P330" i="100" s="1"/>
  <c r="O330" i="100"/>
  <c r="M331" i="100"/>
  <c r="N331" i="100"/>
  <c r="P331" i="100" s="1"/>
  <c r="O331" i="100"/>
  <c r="M332" i="100"/>
  <c r="N332" i="100"/>
  <c r="P332" i="100" s="1"/>
  <c r="O332" i="100"/>
  <c r="M333" i="100"/>
  <c r="N333" i="100"/>
  <c r="P333" i="100" s="1"/>
  <c r="O333" i="100"/>
  <c r="M334" i="100"/>
  <c r="N334" i="100"/>
  <c r="P334" i="100" s="1"/>
  <c r="O334" i="100"/>
  <c r="M335" i="100"/>
  <c r="N335" i="100"/>
  <c r="P335" i="100" s="1"/>
  <c r="O335" i="100"/>
  <c r="M336" i="100"/>
  <c r="N336" i="100"/>
  <c r="P336" i="100" s="1"/>
  <c r="O336" i="100"/>
  <c r="M337" i="100"/>
  <c r="N337" i="100"/>
  <c r="P337" i="100" s="1"/>
  <c r="O337" i="100"/>
  <c r="M338" i="100"/>
  <c r="N338" i="100"/>
  <c r="O338" i="100"/>
  <c r="M339" i="100"/>
  <c r="N339" i="100"/>
  <c r="O339" i="100"/>
  <c r="M340" i="100"/>
  <c r="N340" i="100"/>
  <c r="P340" i="100" s="1"/>
  <c r="O340" i="100"/>
  <c r="M341" i="100"/>
  <c r="N341" i="100"/>
  <c r="P341" i="100" s="1"/>
  <c r="O341" i="100"/>
  <c r="M342" i="100"/>
  <c r="N342" i="100"/>
  <c r="P342" i="100" s="1"/>
  <c r="O342" i="100"/>
  <c r="M343" i="100"/>
  <c r="N343" i="100"/>
  <c r="P343" i="100" s="1"/>
  <c r="O343" i="100"/>
  <c r="M344" i="100"/>
  <c r="N344" i="100"/>
  <c r="P344" i="100" s="1"/>
  <c r="O344" i="100"/>
  <c r="M345" i="100"/>
  <c r="N345" i="100"/>
  <c r="P345" i="100" s="1"/>
  <c r="O345" i="100"/>
  <c r="M346" i="100"/>
  <c r="N346" i="100"/>
  <c r="P346" i="100" s="1"/>
  <c r="O346" i="100"/>
  <c r="M347" i="100"/>
  <c r="N347" i="100"/>
  <c r="P347" i="100" s="1"/>
  <c r="O347" i="100"/>
  <c r="M348" i="100"/>
  <c r="N348" i="100"/>
  <c r="P348" i="100" s="1"/>
  <c r="O348" i="100"/>
  <c r="M349" i="100"/>
  <c r="N349" i="100"/>
  <c r="P349" i="100" s="1"/>
  <c r="O349" i="100"/>
  <c r="M350" i="100"/>
  <c r="N350" i="100"/>
  <c r="P350" i="100" s="1"/>
  <c r="O350" i="100"/>
  <c r="M351" i="100"/>
  <c r="N351" i="100"/>
  <c r="P351" i="100" s="1"/>
  <c r="O351" i="100"/>
  <c r="M352" i="100"/>
  <c r="N352" i="100"/>
  <c r="P352" i="100" s="1"/>
  <c r="O352" i="100"/>
  <c r="M353" i="100"/>
  <c r="N353" i="100"/>
  <c r="P353" i="100" s="1"/>
  <c r="O353" i="100"/>
  <c r="M354" i="100"/>
  <c r="N354" i="100"/>
  <c r="P354" i="100" s="1"/>
  <c r="O354" i="100"/>
  <c r="M355" i="100"/>
  <c r="N355" i="100"/>
  <c r="P355" i="100" s="1"/>
  <c r="O355" i="100"/>
  <c r="M356" i="100"/>
  <c r="N356" i="100"/>
  <c r="P356" i="100" s="1"/>
  <c r="O356" i="100"/>
  <c r="M357" i="100"/>
  <c r="N357" i="100"/>
  <c r="P357" i="100" s="1"/>
  <c r="O357" i="100"/>
  <c r="M358" i="100"/>
  <c r="N358" i="100"/>
  <c r="P358" i="100" s="1"/>
  <c r="O358" i="100"/>
  <c r="M359" i="100"/>
  <c r="N359" i="100"/>
  <c r="P359" i="100" s="1"/>
  <c r="O359" i="100"/>
  <c r="M360" i="100"/>
  <c r="N360" i="100"/>
  <c r="P360" i="100" s="1"/>
  <c r="O360" i="100"/>
  <c r="M361" i="100"/>
  <c r="N361" i="100"/>
  <c r="P361" i="100" s="1"/>
  <c r="O361" i="100"/>
  <c r="M362" i="100"/>
  <c r="N362" i="100"/>
  <c r="P362" i="100" s="1"/>
  <c r="O362" i="100"/>
  <c r="M363" i="100"/>
  <c r="N363" i="100"/>
  <c r="P363" i="100" s="1"/>
  <c r="O363" i="100"/>
  <c r="M364" i="100"/>
  <c r="N364" i="100"/>
  <c r="P364" i="100" s="1"/>
  <c r="O364" i="100"/>
  <c r="M365" i="100"/>
  <c r="N365" i="100"/>
  <c r="P365" i="100" s="1"/>
  <c r="O365" i="100"/>
  <c r="M366" i="100"/>
  <c r="N366" i="100"/>
  <c r="P366" i="100" s="1"/>
  <c r="O366" i="100"/>
  <c r="M367" i="100"/>
  <c r="N367" i="100"/>
  <c r="P367" i="100" s="1"/>
  <c r="O367" i="100"/>
  <c r="M368" i="100"/>
  <c r="N368" i="100"/>
  <c r="P368" i="100" s="1"/>
  <c r="O368" i="100"/>
  <c r="M369" i="100"/>
  <c r="N369" i="100"/>
  <c r="P369" i="100" s="1"/>
  <c r="O369" i="100"/>
  <c r="M370" i="100"/>
  <c r="N370" i="100"/>
  <c r="P370" i="100" s="1"/>
  <c r="O370" i="100"/>
  <c r="M371" i="100"/>
  <c r="N371" i="100"/>
  <c r="O371" i="100"/>
  <c r="M372" i="100"/>
  <c r="N372" i="100"/>
  <c r="P372" i="100" s="1"/>
  <c r="O372" i="100"/>
  <c r="M373" i="100"/>
  <c r="N373" i="100"/>
  <c r="P373" i="100" s="1"/>
  <c r="O373" i="100"/>
  <c r="M374" i="100"/>
  <c r="N374" i="100"/>
  <c r="P374" i="100" s="1"/>
  <c r="O374" i="100"/>
  <c r="M375" i="100"/>
  <c r="N375" i="100"/>
  <c r="P375" i="100" s="1"/>
  <c r="O375" i="100"/>
  <c r="M376" i="100"/>
  <c r="N376" i="100"/>
  <c r="P376" i="100" s="1"/>
  <c r="O376" i="100"/>
  <c r="M377" i="100"/>
  <c r="N377" i="100"/>
  <c r="P377" i="100" s="1"/>
  <c r="O377" i="100"/>
  <c r="M378" i="100"/>
  <c r="N378" i="100"/>
  <c r="P378" i="100" s="1"/>
  <c r="O378" i="100"/>
  <c r="M379" i="100"/>
  <c r="N379" i="100"/>
  <c r="P379" i="100" s="1"/>
  <c r="O379" i="100"/>
  <c r="M380" i="100"/>
  <c r="N380" i="100"/>
  <c r="P380" i="100" s="1"/>
  <c r="O380" i="100"/>
  <c r="M381" i="100"/>
  <c r="N381" i="100"/>
  <c r="P381" i="100" s="1"/>
  <c r="O381" i="100"/>
  <c r="M382" i="100"/>
  <c r="N382" i="100"/>
  <c r="P382" i="100" s="1"/>
  <c r="O382" i="100"/>
  <c r="M383" i="100"/>
  <c r="N383" i="100"/>
  <c r="P383" i="100" s="1"/>
  <c r="O383" i="100"/>
  <c r="M384" i="100"/>
  <c r="N384" i="100"/>
  <c r="P384" i="100" s="1"/>
  <c r="O384" i="100"/>
  <c r="M385" i="100"/>
  <c r="N385" i="100"/>
  <c r="P385" i="100" s="1"/>
  <c r="O385" i="100"/>
  <c r="M386" i="100"/>
  <c r="N386" i="100"/>
  <c r="P386" i="100" s="1"/>
  <c r="O386" i="100"/>
  <c r="M387" i="100"/>
  <c r="N387" i="100"/>
  <c r="P387" i="100" s="1"/>
  <c r="O387" i="100"/>
  <c r="M388" i="100"/>
  <c r="N388" i="100"/>
  <c r="P388" i="100" s="1"/>
  <c r="O388" i="100"/>
  <c r="M389" i="100"/>
  <c r="N389" i="100"/>
  <c r="O389" i="100"/>
  <c r="M390" i="100"/>
  <c r="N390" i="100"/>
  <c r="P390" i="100" s="1"/>
  <c r="O390" i="100"/>
  <c r="M391" i="100"/>
  <c r="N391" i="100"/>
  <c r="P391" i="100" s="1"/>
  <c r="O391" i="100"/>
  <c r="M392" i="100"/>
  <c r="N392" i="100"/>
  <c r="O392" i="100"/>
  <c r="M393" i="100"/>
  <c r="N393" i="100"/>
  <c r="P393" i="100" s="1"/>
  <c r="O393" i="100"/>
  <c r="M394" i="100"/>
  <c r="N394" i="100"/>
  <c r="P394" i="100" s="1"/>
  <c r="O394" i="100"/>
  <c r="M395" i="100"/>
  <c r="N395" i="100"/>
  <c r="P395" i="100" s="1"/>
  <c r="O395" i="100"/>
  <c r="M396" i="100"/>
  <c r="N396" i="100"/>
  <c r="P396" i="100" s="1"/>
  <c r="O396" i="100"/>
  <c r="M397" i="100"/>
  <c r="N397" i="100"/>
  <c r="P397" i="100" s="1"/>
  <c r="O397" i="100"/>
  <c r="M398" i="100"/>
  <c r="N398" i="100"/>
  <c r="P398" i="100" s="1"/>
  <c r="O398" i="100"/>
  <c r="M399" i="100"/>
  <c r="N399" i="100"/>
  <c r="P399" i="100" s="1"/>
  <c r="O399" i="100"/>
  <c r="M400" i="100"/>
  <c r="N400" i="100"/>
  <c r="P400" i="100" s="1"/>
  <c r="O400" i="100"/>
  <c r="M401" i="100"/>
  <c r="N401" i="100"/>
  <c r="P401" i="100" s="1"/>
  <c r="O401" i="100"/>
  <c r="M402" i="100"/>
  <c r="N402" i="100"/>
  <c r="P402" i="100" s="1"/>
  <c r="O402" i="100"/>
  <c r="M403" i="100"/>
  <c r="N403" i="100"/>
  <c r="P403" i="100" s="1"/>
  <c r="O403" i="100"/>
  <c r="M404" i="100"/>
  <c r="N404" i="100"/>
  <c r="P404" i="100" s="1"/>
  <c r="O404" i="100"/>
  <c r="M405" i="100"/>
  <c r="N405" i="100"/>
  <c r="P405" i="100" s="1"/>
  <c r="O405" i="100"/>
  <c r="M406" i="100"/>
  <c r="N406" i="100"/>
  <c r="O406" i="100"/>
  <c r="M407" i="100"/>
  <c r="N407" i="100"/>
  <c r="O407" i="100"/>
  <c r="M408" i="100"/>
  <c r="N408" i="100"/>
  <c r="P408" i="100" s="1"/>
  <c r="O408" i="100"/>
  <c r="M409" i="100"/>
  <c r="N409" i="100"/>
  <c r="P409" i="100" s="1"/>
  <c r="O409" i="100"/>
  <c r="M410" i="100"/>
  <c r="N410" i="100"/>
  <c r="P410" i="100" s="1"/>
  <c r="O410" i="100"/>
  <c r="M411" i="100"/>
  <c r="N411" i="100"/>
  <c r="P411" i="100" s="1"/>
  <c r="O411" i="100"/>
  <c r="M412" i="100"/>
  <c r="N412" i="100"/>
  <c r="P412" i="100" s="1"/>
  <c r="O412" i="100"/>
  <c r="M413" i="100"/>
  <c r="N413" i="100"/>
  <c r="P413" i="100" s="1"/>
  <c r="O413" i="100"/>
  <c r="M414" i="100"/>
  <c r="N414" i="100"/>
  <c r="P414" i="100" s="1"/>
  <c r="O414" i="100"/>
  <c r="M415" i="100"/>
  <c r="N415" i="100"/>
  <c r="P415" i="100" s="1"/>
  <c r="O415" i="100"/>
  <c r="M416" i="100"/>
  <c r="N416" i="100"/>
  <c r="P416" i="100" s="1"/>
  <c r="O416" i="100"/>
  <c r="M417" i="100"/>
  <c r="N417" i="100"/>
  <c r="P417" i="100" s="1"/>
  <c r="O417" i="100"/>
  <c r="M418" i="100"/>
  <c r="N418" i="100"/>
  <c r="P418" i="100" s="1"/>
  <c r="O418" i="100"/>
  <c r="M419" i="100"/>
  <c r="N419" i="100"/>
  <c r="P419" i="100" s="1"/>
  <c r="O419" i="100"/>
  <c r="M420" i="100"/>
  <c r="N420" i="100"/>
  <c r="P420" i="100" s="1"/>
  <c r="O420" i="100"/>
  <c r="M421" i="100"/>
  <c r="N421" i="100"/>
  <c r="P421" i="100" s="1"/>
  <c r="O421" i="100"/>
  <c r="M422" i="100"/>
  <c r="N422" i="100"/>
  <c r="P422" i="100" s="1"/>
  <c r="O422" i="100"/>
  <c r="M423" i="100"/>
  <c r="N423" i="100"/>
  <c r="P423" i="100" s="1"/>
  <c r="O423" i="100"/>
  <c r="M424" i="100"/>
  <c r="N424" i="100"/>
  <c r="P424" i="100" s="1"/>
  <c r="O424" i="100"/>
  <c r="M425" i="100"/>
  <c r="N425" i="100"/>
  <c r="P425" i="100" s="1"/>
  <c r="O425" i="100"/>
  <c r="M426" i="100"/>
  <c r="N426" i="100"/>
  <c r="P426" i="100" s="1"/>
  <c r="O426" i="100"/>
  <c r="M427" i="100"/>
  <c r="N427" i="100"/>
  <c r="P427" i="100" s="1"/>
  <c r="O427" i="100"/>
  <c r="M428" i="100"/>
  <c r="N428" i="100"/>
  <c r="P428" i="100" s="1"/>
  <c r="O428" i="100"/>
  <c r="M429" i="100"/>
  <c r="N429" i="100"/>
  <c r="O429" i="100"/>
  <c r="M430" i="100"/>
  <c r="N430" i="100"/>
  <c r="P430" i="100" s="1"/>
  <c r="O430" i="100"/>
  <c r="M431" i="100"/>
  <c r="N431" i="100"/>
  <c r="P431" i="100" s="1"/>
  <c r="O431" i="100"/>
  <c r="M432" i="100"/>
  <c r="N432" i="100"/>
  <c r="P432" i="100" s="1"/>
  <c r="O432" i="100"/>
  <c r="M433" i="100"/>
  <c r="N433" i="100"/>
  <c r="P433" i="100" s="1"/>
  <c r="O433" i="100"/>
  <c r="M434" i="100"/>
  <c r="N434" i="100"/>
  <c r="O434" i="100"/>
  <c r="M435" i="100"/>
  <c r="N435" i="100"/>
  <c r="P435" i="100" s="1"/>
  <c r="O435" i="100"/>
  <c r="M436" i="100"/>
  <c r="N436" i="100"/>
  <c r="P436" i="100" s="1"/>
  <c r="O436" i="100"/>
  <c r="M437" i="100"/>
  <c r="N437" i="100"/>
  <c r="P437" i="100" s="1"/>
  <c r="O437" i="100"/>
  <c r="M438" i="100"/>
  <c r="N438" i="100"/>
  <c r="O438" i="100"/>
  <c r="M439" i="100"/>
  <c r="N439" i="100"/>
  <c r="P439" i="100" s="1"/>
  <c r="O439" i="100"/>
  <c r="M440" i="100"/>
  <c r="N440" i="100"/>
  <c r="P440" i="100" s="1"/>
  <c r="O440" i="100"/>
  <c r="M441" i="100"/>
  <c r="N441" i="100"/>
  <c r="P441" i="100" s="1"/>
  <c r="O441" i="100"/>
  <c r="M442" i="100"/>
  <c r="N442" i="100"/>
  <c r="P442" i="100" s="1"/>
  <c r="O442" i="100"/>
  <c r="M443" i="100"/>
  <c r="N443" i="100"/>
  <c r="P443" i="100" s="1"/>
  <c r="O443" i="100"/>
  <c r="M444" i="100"/>
  <c r="N444" i="100"/>
  <c r="P444" i="100" s="1"/>
  <c r="O444" i="100"/>
  <c r="M445" i="100"/>
  <c r="N445" i="100"/>
  <c r="P445" i="100" s="1"/>
  <c r="O445" i="100"/>
  <c r="M446" i="100"/>
  <c r="N446" i="100"/>
  <c r="P446" i="100" s="1"/>
  <c r="O446" i="100"/>
  <c r="M447" i="100"/>
  <c r="N447" i="100"/>
  <c r="P447" i="100" s="1"/>
  <c r="O447" i="100"/>
  <c r="M448" i="100"/>
  <c r="N448" i="100"/>
  <c r="P448" i="100" s="1"/>
  <c r="O448" i="100"/>
  <c r="M449" i="100"/>
  <c r="N449" i="100"/>
  <c r="P449" i="100" s="1"/>
  <c r="O449" i="100"/>
  <c r="M450" i="100"/>
  <c r="N450" i="100"/>
  <c r="P450" i="100" s="1"/>
  <c r="O450" i="100"/>
  <c r="M451" i="100"/>
  <c r="N451" i="100"/>
  <c r="O451" i="100"/>
  <c r="M452" i="100"/>
  <c r="N452" i="100"/>
  <c r="P452" i="100" s="1"/>
  <c r="O452" i="100"/>
  <c r="M453" i="100"/>
  <c r="N453" i="100"/>
  <c r="O453" i="100"/>
  <c r="M454" i="100"/>
  <c r="N454" i="100"/>
  <c r="P454" i="100" s="1"/>
  <c r="O454" i="100"/>
  <c r="M455" i="100"/>
  <c r="N455" i="100"/>
  <c r="P455" i="100" s="1"/>
  <c r="O455" i="100"/>
  <c r="M456" i="100"/>
  <c r="N456" i="100"/>
  <c r="P456" i="100" s="1"/>
  <c r="O456" i="100"/>
  <c r="M457" i="100"/>
  <c r="N457" i="100"/>
  <c r="P457" i="100" s="1"/>
  <c r="O457" i="100"/>
  <c r="M458" i="100"/>
  <c r="N458" i="100"/>
  <c r="P458" i="100" s="1"/>
  <c r="O458" i="100"/>
  <c r="M459" i="100"/>
  <c r="N459" i="100"/>
  <c r="P459" i="100" s="1"/>
  <c r="O459" i="100"/>
  <c r="M460" i="100"/>
  <c r="N460" i="100"/>
  <c r="P460" i="100" s="1"/>
  <c r="O460" i="100"/>
  <c r="M461" i="100"/>
  <c r="N461" i="100"/>
  <c r="P461" i="100" s="1"/>
  <c r="O461" i="100"/>
  <c r="M462" i="100"/>
  <c r="N462" i="100"/>
  <c r="P462" i="100" s="1"/>
  <c r="O462" i="100"/>
  <c r="M463" i="100"/>
  <c r="N463" i="100"/>
  <c r="P463" i="100" s="1"/>
  <c r="O463" i="100"/>
  <c r="M464" i="100"/>
  <c r="N464" i="100"/>
  <c r="P464" i="100" s="1"/>
  <c r="O464" i="100"/>
  <c r="M465" i="100"/>
  <c r="N465" i="100"/>
  <c r="P465" i="100" s="1"/>
  <c r="O465" i="100"/>
  <c r="M466" i="100"/>
  <c r="N466" i="100"/>
  <c r="P466" i="100" s="1"/>
  <c r="O466" i="100"/>
  <c r="M467" i="100"/>
  <c r="N467" i="100"/>
  <c r="P467" i="100" s="1"/>
  <c r="O467" i="100"/>
  <c r="M468" i="100"/>
  <c r="N468" i="100"/>
  <c r="P468" i="100" s="1"/>
  <c r="O468" i="100"/>
  <c r="M469" i="100"/>
  <c r="N469" i="100"/>
  <c r="P469" i="100" s="1"/>
  <c r="O469" i="100"/>
  <c r="M470" i="100"/>
  <c r="N470" i="100"/>
  <c r="P470" i="100" s="1"/>
  <c r="O470" i="100"/>
  <c r="M471" i="100"/>
  <c r="N471" i="100"/>
  <c r="P471" i="100" s="1"/>
  <c r="O471" i="100"/>
  <c r="M472" i="100"/>
  <c r="N472" i="100"/>
  <c r="P472" i="100" s="1"/>
  <c r="O472" i="100"/>
  <c r="M473" i="100"/>
  <c r="N473" i="100"/>
  <c r="P473" i="100" s="1"/>
  <c r="O473" i="100"/>
  <c r="M474" i="100"/>
  <c r="N474" i="100"/>
  <c r="P474" i="100" s="1"/>
  <c r="O474" i="100"/>
  <c r="M475" i="100"/>
  <c r="N475" i="100"/>
  <c r="P475" i="100" s="1"/>
  <c r="O475" i="100"/>
  <c r="M476" i="100"/>
  <c r="N476" i="100"/>
  <c r="O476" i="100"/>
  <c r="M477" i="100"/>
  <c r="N477" i="100"/>
  <c r="P477" i="100" s="1"/>
  <c r="O477" i="100"/>
  <c r="M478" i="100"/>
  <c r="N478" i="100"/>
  <c r="P478" i="100" s="1"/>
  <c r="O478" i="100"/>
  <c r="M479" i="100"/>
  <c r="N479" i="100"/>
  <c r="P479" i="100" s="1"/>
  <c r="O479" i="100"/>
  <c r="M480" i="100"/>
  <c r="N480" i="100"/>
  <c r="P480" i="100" s="1"/>
  <c r="O480" i="100"/>
  <c r="M481" i="100"/>
  <c r="N481" i="100"/>
  <c r="P481" i="100" s="1"/>
  <c r="O481" i="100"/>
  <c r="M482" i="100"/>
  <c r="N482" i="100"/>
  <c r="P482" i="100" s="1"/>
  <c r="O482" i="100"/>
  <c r="M483" i="100"/>
  <c r="N483" i="100"/>
  <c r="P483" i="100" s="1"/>
  <c r="O483" i="100"/>
  <c r="M484" i="100"/>
  <c r="N484" i="100"/>
  <c r="P484" i="100" s="1"/>
  <c r="O484" i="100"/>
  <c r="M485" i="100"/>
  <c r="N485" i="100"/>
  <c r="O485" i="100"/>
  <c r="M486" i="100"/>
  <c r="N486" i="100"/>
  <c r="P486" i="100" s="1"/>
  <c r="O486" i="100"/>
  <c r="M487" i="100"/>
  <c r="N487" i="100"/>
  <c r="P487" i="100" s="1"/>
  <c r="O487" i="100"/>
  <c r="M488" i="100"/>
  <c r="N488" i="100"/>
  <c r="P488" i="100" s="1"/>
  <c r="O488" i="100"/>
  <c r="M489" i="100"/>
  <c r="N489" i="100"/>
  <c r="P489" i="100" s="1"/>
  <c r="O489" i="100"/>
  <c r="M490" i="100"/>
  <c r="N490" i="100"/>
  <c r="P490" i="100" s="1"/>
  <c r="O490" i="100"/>
  <c r="M491" i="100"/>
  <c r="N491" i="100"/>
  <c r="P491" i="100" s="1"/>
  <c r="O491" i="100"/>
  <c r="M492" i="100"/>
  <c r="N492" i="100"/>
  <c r="P492" i="100" s="1"/>
  <c r="O492" i="100"/>
  <c r="M493" i="100"/>
  <c r="N493" i="100"/>
  <c r="P493" i="100" s="1"/>
  <c r="O493" i="100"/>
  <c r="M494" i="100"/>
  <c r="N494" i="100"/>
  <c r="P494" i="100" s="1"/>
  <c r="O494" i="100"/>
  <c r="M495" i="100"/>
  <c r="N495" i="100"/>
  <c r="P495" i="100" s="1"/>
  <c r="O495" i="100"/>
  <c r="M496" i="100"/>
  <c r="N496" i="100"/>
  <c r="O496" i="100"/>
  <c r="M497" i="100"/>
  <c r="N497" i="100"/>
  <c r="P497" i="100" s="1"/>
  <c r="O497" i="100"/>
  <c r="M498" i="100"/>
  <c r="N498" i="100"/>
  <c r="P498" i="100" s="1"/>
  <c r="O498" i="100"/>
  <c r="M499" i="100"/>
  <c r="N499" i="100"/>
  <c r="P499" i="100" s="1"/>
  <c r="O499" i="100"/>
  <c r="M500" i="100"/>
  <c r="N500" i="100"/>
  <c r="P500" i="100" s="1"/>
  <c r="O500" i="100"/>
  <c r="M501" i="100"/>
  <c r="N501" i="100"/>
  <c r="P501" i="100" s="1"/>
  <c r="O501" i="100"/>
  <c r="M502" i="100"/>
  <c r="N502" i="100"/>
  <c r="P502" i="100" s="1"/>
  <c r="O502" i="100"/>
  <c r="M503" i="100"/>
  <c r="N503" i="100"/>
  <c r="P503" i="100" s="1"/>
  <c r="O503" i="100"/>
  <c r="M504" i="100"/>
  <c r="N504" i="100"/>
  <c r="P504" i="100" s="1"/>
  <c r="O504" i="100"/>
  <c r="M505" i="100"/>
  <c r="N505" i="100"/>
  <c r="P505" i="100" s="1"/>
  <c r="O505" i="100"/>
  <c r="M506" i="100"/>
  <c r="N506" i="100"/>
  <c r="P506" i="100" s="1"/>
  <c r="O506" i="100"/>
  <c r="M507" i="100"/>
  <c r="N507" i="100"/>
  <c r="P507" i="100" s="1"/>
  <c r="O507" i="100"/>
  <c r="M508" i="100"/>
  <c r="N508" i="100"/>
  <c r="P508" i="100" s="1"/>
  <c r="O508" i="100"/>
  <c r="M509" i="100"/>
  <c r="N509" i="100"/>
  <c r="P509" i="100" s="1"/>
  <c r="O509" i="100"/>
  <c r="M510" i="100"/>
  <c r="N510" i="100"/>
  <c r="P510" i="100" s="1"/>
  <c r="O510" i="100"/>
  <c r="M511" i="100"/>
  <c r="N511" i="100"/>
  <c r="P511" i="100" s="1"/>
  <c r="O511" i="100"/>
  <c r="M512" i="100"/>
  <c r="N512" i="100"/>
  <c r="P512" i="100" s="1"/>
  <c r="O512" i="100"/>
  <c r="M513" i="100"/>
  <c r="N513" i="100"/>
  <c r="P513" i="100" s="1"/>
  <c r="O513" i="100"/>
  <c r="M514" i="100"/>
  <c r="N514" i="100"/>
  <c r="P514" i="100" s="1"/>
  <c r="O514" i="100"/>
  <c r="M515" i="100"/>
  <c r="N515" i="100"/>
  <c r="P515" i="100" s="1"/>
  <c r="O515" i="100"/>
  <c r="M516" i="100"/>
  <c r="N516" i="100"/>
  <c r="P516" i="100" s="1"/>
  <c r="O516" i="100"/>
  <c r="M517" i="100"/>
  <c r="N517" i="100"/>
  <c r="P517" i="100" s="1"/>
  <c r="O517" i="100"/>
  <c r="M518" i="100"/>
  <c r="N518" i="100"/>
  <c r="P518" i="100" s="1"/>
  <c r="O518" i="100"/>
  <c r="M519" i="100"/>
  <c r="N519" i="100"/>
  <c r="P519" i="100" s="1"/>
  <c r="O519" i="100"/>
  <c r="M520" i="100"/>
  <c r="N520" i="100"/>
  <c r="P520" i="100" s="1"/>
  <c r="O520" i="100"/>
  <c r="M521" i="100"/>
  <c r="N521" i="100"/>
  <c r="P521" i="100" s="1"/>
  <c r="O521" i="100"/>
  <c r="M522" i="100"/>
  <c r="N522" i="100"/>
  <c r="P522" i="100" s="1"/>
  <c r="O522" i="100"/>
  <c r="M523" i="100"/>
  <c r="N523" i="100"/>
  <c r="P523" i="100" s="1"/>
  <c r="O523" i="100"/>
  <c r="M524" i="100"/>
  <c r="N524" i="100"/>
  <c r="P524" i="100" s="1"/>
  <c r="O524" i="100"/>
  <c r="M525" i="100"/>
  <c r="N525" i="100"/>
  <c r="P525" i="100" s="1"/>
  <c r="O525" i="100"/>
  <c r="M526" i="100"/>
  <c r="N526" i="100"/>
  <c r="P526" i="100" s="1"/>
  <c r="O526" i="100"/>
  <c r="M527" i="100"/>
  <c r="N527" i="100"/>
  <c r="P527" i="100" s="1"/>
  <c r="O527" i="100"/>
  <c r="M528" i="100"/>
  <c r="N528" i="100"/>
  <c r="P528" i="100" s="1"/>
  <c r="O528" i="100"/>
  <c r="M529" i="100"/>
  <c r="N529" i="100"/>
  <c r="P529" i="100" s="1"/>
  <c r="O529" i="100"/>
  <c r="M530" i="100"/>
  <c r="N530" i="100"/>
  <c r="P530" i="100" s="1"/>
  <c r="O530" i="100"/>
  <c r="M531" i="100"/>
  <c r="N531" i="100"/>
  <c r="P531" i="100" s="1"/>
  <c r="O531" i="100"/>
  <c r="M532" i="100"/>
  <c r="N532" i="100"/>
  <c r="P532" i="100" s="1"/>
  <c r="O532" i="100"/>
  <c r="M533" i="100"/>
  <c r="N533" i="100"/>
  <c r="P533" i="100" s="1"/>
  <c r="O533" i="100"/>
  <c r="M534" i="100"/>
  <c r="N534" i="100"/>
  <c r="P534" i="100" s="1"/>
  <c r="O534" i="100"/>
  <c r="M535" i="100"/>
  <c r="N535" i="100"/>
  <c r="P535" i="100" s="1"/>
  <c r="O535" i="100"/>
  <c r="M536" i="100"/>
  <c r="N536" i="100"/>
  <c r="P536" i="100" s="1"/>
  <c r="O536" i="100"/>
  <c r="M537" i="100"/>
  <c r="N537" i="100"/>
  <c r="P537" i="100" s="1"/>
  <c r="O537" i="100"/>
  <c r="M538" i="100"/>
  <c r="N538" i="100"/>
  <c r="P538" i="100" s="1"/>
  <c r="O538" i="100"/>
  <c r="M539" i="100"/>
  <c r="N539" i="100"/>
  <c r="P539" i="100" s="1"/>
  <c r="O539" i="100"/>
  <c r="M540" i="100"/>
  <c r="N540" i="100"/>
  <c r="P540" i="100" s="1"/>
  <c r="O540" i="100"/>
  <c r="M541" i="100"/>
  <c r="N541" i="100"/>
  <c r="P541" i="100" s="1"/>
  <c r="O541" i="100"/>
  <c r="M542" i="100"/>
  <c r="N542" i="100"/>
  <c r="P542" i="100" s="1"/>
  <c r="O542" i="100"/>
  <c r="M543" i="100"/>
  <c r="N543" i="100"/>
  <c r="P543" i="100" s="1"/>
  <c r="O543" i="100"/>
  <c r="M544" i="100"/>
  <c r="N544" i="100"/>
  <c r="P544" i="100" s="1"/>
  <c r="O544" i="100"/>
  <c r="M545" i="100"/>
  <c r="N545" i="100"/>
  <c r="P545" i="100" s="1"/>
  <c r="O545" i="100"/>
  <c r="M546" i="100"/>
  <c r="N546" i="100"/>
  <c r="O546" i="100"/>
  <c r="M547" i="100"/>
  <c r="N547" i="100"/>
  <c r="P547" i="100" s="1"/>
  <c r="O547" i="100"/>
  <c r="M548" i="100"/>
  <c r="N548" i="100"/>
  <c r="P548" i="100" s="1"/>
  <c r="O548" i="100"/>
  <c r="M549" i="100"/>
  <c r="N549" i="100"/>
  <c r="P549" i="100" s="1"/>
  <c r="O549" i="100"/>
  <c r="M550" i="100"/>
  <c r="N550" i="100"/>
  <c r="P550" i="100" s="1"/>
  <c r="O550" i="100"/>
  <c r="M551" i="100"/>
  <c r="N551" i="100"/>
  <c r="O551" i="100"/>
  <c r="M552" i="100"/>
  <c r="N552" i="100"/>
  <c r="P552" i="100" s="1"/>
  <c r="O552" i="100"/>
  <c r="M553" i="100"/>
  <c r="N553" i="100"/>
  <c r="P553" i="100" s="1"/>
  <c r="O553" i="100"/>
  <c r="M554" i="100"/>
  <c r="N554" i="100"/>
  <c r="P554" i="100" s="1"/>
  <c r="O554" i="100"/>
  <c r="M555" i="100"/>
  <c r="N555" i="100"/>
  <c r="P555" i="100" s="1"/>
  <c r="O555" i="100"/>
  <c r="M556" i="100"/>
  <c r="N556" i="100"/>
  <c r="P556" i="100" s="1"/>
  <c r="O556" i="100"/>
  <c r="M557" i="100"/>
  <c r="N557" i="100"/>
  <c r="P557" i="100" s="1"/>
  <c r="O557" i="100"/>
  <c r="M558" i="100"/>
  <c r="N558" i="100"/>
  <c r="P558" i="100" s="1"/>
  <c r="O558" i="100"/>
  <c r="M559" i="100"/>
  <c r="N559" i="100"/>
  <c r="P559" i="100" s="1"/>
  <c r="O559" i="100"/>
  <c r="M560" i="100"/>
  <c r="N560" i="100"/>
  <c r="P560" i="100" s="1"/>
  <c r="O560" i="100"/>
  <c r="M561" i="100"/>
  <c r="N561" i="100"/>
  <c r="P561" i="100" s="1"/>
  <c r="O561" i="100"/>
  <c r="M562" i="100"/>
  <c r="N562" i="100"/>
  <c r="P562" i="100" s="1"/>
  <c r="O562" i="100"/>
  <c r="M563" i="100"/>
  <c r="N563" i="100"/>
  <c r="P563" i="100" s="1"/>
  <c r="O563" i="100"/>
  <c r="M564" i="100"/>
  <c r="N564" i="100"/>
  <c r="P564" i="100" s="1"/>
  <c r="O564" i="100"/>
  <c r="M565" i="100"/>
  <c r="N565" i="100"/>
  <c r="P565" i="100" s="1"/>
  <c r="O565" i="100"/>
  <c r="M566" i="100"/>
  <c r="N566" i="100"/>
  <c r="P566" i="100" s="1"/>
  <c r="O566" i="100"/>
  <c r="M567" i="100"/>
  <c r="N567" i="100"/>
  <c r="P567" i="100" s="1"/>
  <c r="O567" i="100"/>
  <c r="M568" i="100"/>
  <c r="N568" i="100"/>
  <c r="P568" i="100" s="1"/>
  <c r="O568" i="100"/>
  <c r="M569" i="100"/>
  <c r="N569" i="100"/>
  <c r="P569" i="100" s="1"/>
  <c r="O569" i="100"/>
  <c r="M570" i="100"/>
  <c r="N570" i="100"/>
  <c r="O570" i="100"/>
  <c r="M571" i="100"/>
  <c r="N571" i="100"/>
  <c r="P571" i="100" s="1"/>
  <c r="O571" i="100"/>
  <c r="M572" i="100"/>
  <c r="N572" i="100"/>
  <c r="P572" i="100" s="1"/>
  <c r="O572" i="100"/>
  <c r="M573" i="100"/>
  <c r="N573" i="100"/>
  <c r="O573" i="100"/>
  <c r="M574" i="100"/>
  <c r="N574" i="100"/>
  <c r="P574" i="100" s="1"/>
  <c r="O574" i="100"/>
  <c r="M575" i="100"/>
  <c r="N575" i="100"/>
  <c r="P575" i="100" s="1"/>
  <c r="O575" i="100"/>
  <c r="M576" i="100"/>
  <c r="N576" i="100"/>
  <c r="P576" i="100" s="1"/>
  <c r="O576" i="100"/>
  <c r="M577" i="100"/>
  <c r="N577" i="100"/>
  <c r="O577" i="100"/>
  <c r="M578" i="100"/>
  <c r="N578" i="100"/>
  <c r="P578" i="100" s="1"/>
  <c r="O578" i="100"/>
  <c r="M579" i="100"/>
  <c r="N579" i="100"/>
  <c r="P579" i="100" s="1"/>
  <c r="O579" i="100"/>
  <c r="M580" i="100"/>
  <c r="N580" i="100"/>
  <c r="P580" i="100" s="1"/>
  <c r="O580" i="100"/>
  <c r="M581" i="100"/>
  <c r="N581" i="100"/>
  <c r="P581" i="100" s="1"/>
  <c r="O581" i="100"/>
  <c r="M582" i="100"/>
  <c r="N582" i="100"/>
  <c r="P582" i="100" s="1"/>
  <c r="O582" i="100"/>
  <c r="M583" i="100"/>
  <c r="N583" i="100"/>
  <c r="O583" i="100"/>
  <c r="M584" i="100"/>
  <c r="N584" i="100"/>
  <c r="P584" i="100" s="1"/>
  <c r="O584" i="100"/>
  <c r="M585" i="100"/>
  <c r="N585" i="100"/>
  <c r="P585" i="100" s="1"/>
  <c r="O585" i="100"/>
  <c r="M586" i="100"/>
  <c r="N586" i="100"/>
  <c r="O586" i="100"/>
  <c r="M587" i="100"/>
  <c r="N587" i="100"/>
  <c r="P587" i="100" s="1"/>
  <c r="O587" i="100"/>
  <c r="M588" i="100"/>
  <c r="N588" i="100"/>
  <c r="P588" i="100" s="1"/>
  <c r="O588" i="100"/>
  <c r="M589" i="100"/>
  <c r="N589" i="100"/>
  <c r="P589" i="100" s="1"/>
  <c r="O589" i="100"/>
  <c r="M590" i="100"/>
  <c r="N590" i="100"/>
  <c r="P590" i="100" s="1"/>
  <c r="O590" i="100"/>
  <c r="M591" i="100"/>
  <c r="N591" i="100"/>
  <c r="P591" i="100" s="1"/>
  <c r="O591" i="100"/>
  <c r="M592" i="100"/>
  <c r="N592" i="100"/>
  <c r="O592" i="100"/>
  <c r="M593" i="100"/>
  <c r="N593" i="100"/>
  <c r="P593" i="100" s="1"/>
  <c r="O593" i="100"/>
  <c r="M594" i="100"/>
  <c r="N594" i="100"/>
  <c r="P594" i="100" s="1"/>
  <c r="O594" i="100"/>
  <c r="M595" i="100"/>
  <c r="N595" i="100"/>
  <c r="P595" i="100" s="1"/>
  <c r="O595" i="100"/>
  <c r="M596" i="100"/>
  <c r="N596" i="100"/>
  <c r="P596" i="100" s="1"/>
  <c r="O596" i="100"/>
  <c r="M597" i="100"/>
  <c r="N597" i="100"/>
  <c r="P597" i="100" s="1"/>
  <c r="O597" i="100"/>
  <c r="M598" i="100"/>
  <c r="N598" i="100"/>
  <c r="P598" i="100" s="1"/>
  <c r="O598" i="100"/>
  <c r="M599" i="100"/>
  <c r="N599" i="100"/>
  <c r="P599" i="100" s="1"/>
  <c r="O599" i="100"/>
  <c r="M600" i="100"/>
  <c r="N600" i="100"/>
  <c r="O600" i="100"/>
  <c r="M601" i="100"/>
  <c r="N601" i="100"/>
  <c r="P601" i="100" s="1"/>
  <c r="O601" i="100"/>
  <c r="M602" i="100"/>
  <c r="N602" i="100"/>
  <c r="P602" i="100" s="1"/>
  <c r="O602" i="100"/>
  <c r="M603" i="100"/>
  <c r="N603" i="100"/>
  <c r="P603" i="100" s="1"/>
  <c r="O603" i="100"/>
  <c r="M604" i="100"/>
  <c r="N604" i="100"/>
  <c r="O604" i="100"/>
  <c r="M605" i="100"/>
  <c r="N605" i="100"/>
  <c r="P605" i="100" s="1"/>
  <c r="O605" i="100"/>
  <c r="M606" i="100"/>
  <c r="N606" i="100"/>
  <c r="P606" i="100" s="1"/>
  <c r="O606" i="100"/>
  <c r="M607" i="100"/>
  <c r="N607" i="100"/>
  <c r="P607" i="100" s="1"/>
  <c r="O607" i="100"/>
  <c r="M608" i="100"/>
  <c r="N608" i="100"/>
  <c r="P608" i="100" s="1"/>
  <c r="O608" i="100"/>
  <c r="M609" i="100"/>
  <c r="N609" i="100"/>
  <c r="P609" i="100" s="1"/>
  <c r="O609" i="100"/>
  <c r="M610" i="100"/>
  <c r="N610" i="100"/>
  <c r="O610" i="100"/>
  <c r="M611" i="100"/>
  <c r="N611" i="100"/>
  <c r="P611" i="100" s="1"/>
  <c r="O611" i="100"/>
  <c r="M612" i="100"/>
  <c r="N612" i="100"/>
  <c r="P612" i="100" s="1"/>
  <c r="O612" i="100"/>
  <c r="M613" i="100"/>
  <c r="N613" i="100"/>
  <c r="P613" i="100" s="1"/>
  <c r="O613" i="100"/>
  <c r="M614" i="100"/>
  <c r="N614" i="100"/>
  <c r="P614" i="100" s="1"/>
  <c r="O614" i="100"/>
  <c r="M615" i="100"/>
  <c r="N615" i="100"/>
  <c r="P615" i="100" s="1"/>
  <c r="O615" i="100"/>
  <c r="M616" i="100"/>
  <c r="N616" i="100"/>
  <c r="P616" i="100" s="1"/>
  <c r="O616" i="100"/>
  <c r="M617" i="100"/>
  <c r="N617" i="100"/>
  <c r="P617" i="100" s="1"/>
  <c r="O617" i="100"/>
  <c r="M618" i="100"/>
  <c r="N618" i="100"/>
  <c r="P618" i="100" s="1"/>
  <c r="O618" i="100"/>
  <c r="M619" i="100"/>
  <c r="N619" i="100"/>
  <c r="P619" i="100" s="1"/>
  <c r="O619" i="100"/>
  <c r="M620" i="100"/>
  <c r="N620" i="100"/>
  <c r="P620" i="100" s="1"/>
  <c r="O620" i="100"/>
  <c r="M621" i="100"/>
  <c r="N621" i="100"/>
  <c r="P621" i="100" s="1"/>
  <c r="O621" i="100"/>
  <c r="M622" i="100"/>
  <c r="N622" i="100"/>
  <c r="P622" i="100" s="1"/>
  <c r="O622" i="100"/>
  <c r="M623" i="100"/>
  <c r="N623" i="100"/>
  <c r="P623" i="100" s="1"/>
  <c r="O623" i="100"/>
  <c r="M624" i="100"/>
  <c r="N624" i="100"/>
  <c r="P624" i="100" s="1"/>
  <c r="O624" i="100"/>
  <c r="M625" i="100"/>
  <c r="N625" i="100"/>
  <c r="P625" i="100" s="1"/>
  <c r="O625" i="100"/>
  <c r="M626" i="100"/>
  <c r="N626" i="100"/>
  <c r="P626" i="100" s="1"/>
  <c r="O626" i="100"/>
  <c r="M627" i="100"/>
  <c r="N627" i="100"/>
  <c r="P627" i="100" s="1"/>
  <c r="O627" i="100"/>
  <c r="M628" i="100"/>
  <c r="N628" i="100"/>
  <c r="P628" i="100" s="1"/>
  <c r="O628" i="100"/>
  <c r="M629" i="100"/>
  <c r="N629" i="100"/>
  <c r="P629" i="100" s="1"/>
  <c r="O629" i="100"/>
  <c r="M630" i="100"/>
  <c r="N630" i="100"/>
  <c r="P630" i="100" s="1"/>
  <c r="O630" i="100"/>
  <c r="M631" i="100"/>
  <c r="N631" i="100"/>
  <c r="P631" i="100" s="1"/>
  <c r="O631" i="100"/>
  <c r="M632" i="100"/>
  <c r="N632" i="100"/>
  <c r="P632" i="100" s="1"/>
  <c r="O632" i="100"/>
  <c r="M633" i="100"/>
  <c r="N633" i="100"/>
  <c r="P633" i="100" s="1"/>
  <c r="O633" i="100"/>
  <c r="M634" i="100"/>
  <c r="N634" i="100"/>
  <c r="P634" i="100" s="1"/>
  <c r="O634" i="100"/>
  <c r="M635" i="100"/>
  <c r="N635" i="100"/>
  <c r="O635" i="100"/>
  <c r="M636" i="100"/>
  <c r="N636" i="100"/>
  <c r="P636" i="100" s="1"/>
  <c r="O636" i="100"/>
  <c r="M637" i="100"/>
  <c r="N637" i="100"/>
  <c r="P637" i="100" s="1"/>
  <c r="O637" i="100"/>
  <c r="M638" i="100"/>
  <c r="N638" i="100"/>
  <c r="P638" i="100" s="1"/>
  <c r="O638" i="100"/>
  <c r="M639" i="100"/>
  <c r="N639" i="100"/>
  <c r="P639" i="100" s="1"/>
  <c r="O639" i="100"/>
  <c r="M640" i="100"/>
  <c r="N640" i="100"/>
  <c r="P640" i="100" s="1"/>
  <c r="O640" i="100"/>
  <c r="M641" i="100"/>
  <c r="N641" i="100"/>
  <c r="P641" i="100" s="1"/>
  <c r="O641" i="100"/>
  <c r="M642" i="100"/>
  <c r="N642" i="100"/>
  <c r="O642" i="100"/>
  <c r="M643" i="100"/>
  <c r="N643" i="100"/>
  <c r="P643" i="100" s="1"/>
  <c r="O643" i="100"/>
  <c r="M644" i="100"/>
  <c r="N644" i="100"/>
  <c r="P644" i="100" s="1"/>
  <c r="O644" i="100"/>
  <c r="M645" i="100"/>
  <c r="N645" i="100"/>
  <c r="P645" i="100" s="1"/>
  <c r="O645" i="100"/>
  <c r="M646" i="100"/>
  <c r="N646" i="100"/>
  <c r="P646" i="100" s="1"/>
  <c r="O646" i="100"/>
  <c r="M647" i="100"/>
  <c r="N647" i="100"/>
  <c r="P647" i="100" s="1"/>
  <c r="O647" i="100"/>
  <c r="M648" i="100"/>
  <c r="N648" i="100"/>
  <c r="P648" i="100" s="1"/>
  <c r="O648" i="100"/>
  <c r="M649" i="100"/>
  <c r="N649" i="100"/>
  <c r="P649" i="100" s="1"/>
  <c r="O649" i="100"/>
  <c r="M650" i="100"/>
  <c r="N650" i="100"/>
  <c r="P650" i="100" s="1"/>
  <c r="O650" i="100"/>
  <c r="M651" i="100"/>
  <c r="N651" i="100"/>
  <c r="P651" i="100" s="1"/>
  <c r="O651" i="100"/>
  <c r="M652" i="100"/>
  <c r="N652" i="100"/>
  <c r="P652" i="100" s="1"/>
  <c r="O652" i="100"/>
  <c r="M653" i="100"/>
  <c r="N653" i="100"/>
  <c r="P653" i="100" s="1"/>
  <c r="O653" i="100"/>
  <c r="M654" i="100"/>
  <c r="N654" i="100"/>
  <c r="P654" i="100" s="1"/>
  <c r="O654" i="100"/>
  <c r="M655" i="100"/>
  <c r="N655" i="100"/>
  <c r="P655" i="100" s="1"/>
  <c r="O655" i="100"/>
  <c r="M656" i="100"/>
  <c r="N656" i="100"/>
  <c r="O656" i="100"/>
  <c r="M657" i="100"/>
  <c r="N657" i="100"/>
  <c r="P657" i="100" s="1"/>
  <c r="O657" i="100"/>
  <c r="M658" i="100"/>
  <c r="N658" i="100"/>
  <c r="P658" i="100" s="1"/>
  <c r="O658" i="100"/>
  <c r="M659" i="100"/>
  <c r="N659" i="100"/>
  <c r="P659" i="100" s="1"/>
  <c r="O659" i="100"/>
  <c r="M660" i="100"/>
  <c r="N660" i="100"/>
  <c r="P660" i="100" s="1"/>
  <c r="O660" i="100"/>
  <c r="M661" i="100"/>
  <c r="N661" i="100"/>
  <c r="P661" i="100" s="1"/>
  <c r="O661" i="100"/>
  <c r="M662" i="100"/>
  <c r="N662" i="100"/>
  <c r="P662" i="100" s="1"/>
  <c r="O662" i="100"/>
  <c r="M663" i="100"/>
  <c r="N663" i="100"/>
  <c r="P663" i="100" s="1"/>
  <c r="O663" i="100"/>
  <c r="M664" i="100"/>
  <c r="N664" i="100"/>
  <c r="P664" i="100" s="1"/>
  <c r="O664" i="100"/>
  <c r="M665" i="100"/>
  <c r="N665" i="100"/>
  <c r="P665" i="100" s="1"/>
  <c r="O665" i="100"/>
  <c r="M666" i="100"/>
  <c r="N666" i="100"/>
  <c r="P666" i="100" s="1"/>
  <c r="O666" i="100"/>
  <c r="M667" i="100"/>
  <c r="N667" i="100"/>
  <c r="P667" i="100" s="1"/>
  <c r="O667" i="100"/>
  <c r="M668" i="100"/>
  <c r="N668" i="100"/>
  <c r="P668" i="100" s="1"/>
  <c r="O668" i="100"/>
  <c r="M669" i="100"/>
  <c r="N669" i="100"/>
  <c r="P669" i="100" s="1"/>
  <c r="O669" i="100"/>
  <c r="M670" i="100"/>
  <c r="N670" i="100"/>
  <c r="P670" i="100" s="1"/>
  <c r="O670" i="100"/>
  <c r="M671" i="100"/>
  <c r="N671" i="100"/>
  <c r="P671" i="100" s="1"/>
  <c r="O671" i="100"/>
  <c r="M672" i="100"/>
  <c r="N672" i="100"/>
  <c r="P672" i="100" s="1"/>
  <c r="O672" i="100"/>
  <c r="M673" i="100"/>
  <c r="N673" i="100"/>
  <c r="P673" i="100" s="1"/>
  <c r="O673" i="100"/>
  <c r="M674" i="100"/>
  <c r="N674" i="100"/>
  <c r="P674" i="100" s="1"/>
  <c r="O674" i="100"/>
  <c r="M675" i="100"/>
  <c r="N675" i="100"/>
  <c r="P675" i="100" s="1"/>
  <c r="O675" i="100"/>
  <c r="M676" i="100"/>
  <c r="N676" i="100"/>
  <c r="P676" i="100" s="1"/>
  <c r="O676" i="100"/>
  <c r="M677" i="100"/>
  <c r="N677" i="100"/>
  <c r="P677" i="100" s="1"/>
  <c r="O677" i="100"/>
  <c r="M678" i="100"/>
  <c r="N678" i="100"/>
  <c r="P678" i="100" s="1"/>
  <c r="O678" i="100"/>
  <c r="M679" i="100"/>
  <c r="N679" i="100"/>
  <c r="P679" i="100" s="1"/>
  <c r="O679" i="100"/>
  <c r="M680" i="100"/>
  <c r="N680" i="100"/>
  <c r="P680" i="100" s="1"/>
  <c r="O680" i="100"/>
  <c r="M681" i="100"/>
  <c r="N681" i="100"/>
  <c r="O681" i="100"/>
  <c r="M682" i="100"/>
  <c r="N682" i="100"/>
  <c r="P682" i="100" s="1"/>
  <c r="O682" i="100"/>
  <c r="M683" i="100"/>
  <c r="N683" i="100"/>
  <c r="O683" i="100"/>
  <c r="M684" i="100"/>
  <c r="N684" i="100"/>
  <c r="O684" i="100"/>
  <c r="M685" i="100"/>
  <c r="N685" i="100"/>
  <c r="P685" i="100" s="1"/>
  <c r="O685" i="100"/>
  <c r="M686" i="100"/>
  <c r="N686" i="100"/>
  <c r="P686" i="100" s="1"/>
  <c r="O686" i="100"/>
  <c r="M687" i="100"/>
  <c r="N687" i="100"/>
  <c r="P687" i="100" s="1"/>
  <c r="O687" i="100"/>
  <c r="M688" i="100"/>
  <c r="N688" i="100"/>
  <c r="P688" i="100" s="1"/>
  <c r="O688" i="100"/>
  <c r="M689" i="100"/>
  <c r="N689" i="100"/>
  <c r="P689" i="100" s="1"/>
  <c r="O689" i="100"/>
  <c r="M690" i="100"/>
  <c r="N690" i="100"/>
  <c r="P690" i="100" s="1"/>
  <c r="O690" i="100"/>
  <c r="M691" i="100"/>
  <c r="N691" i="100"/>
  <c r="O691" i="100"/>
  <c r="M692" i="100"/>
  <c r="N692" i="100"/>
  <c r="P692" i="100" s="1"/>
  <c r="O692" i="100"/>
  <c r="M693" i="100"/>
  <c r="N693" i="100"/>
  <c r="P693" i="100" s="1"/>
  <c r="O693" i="100"/>
  <c r="M694" i="100"/>
  <c r="N694" i="100"/>
  <c r="P694" i="100" s="1"/>
  <c r="O694" i="100"/>
  <c r="M695" i="100"/>
  <c r="N695" i="100"/>
  <c r="P695" i="100" s="1"/>
  <c r="O695" i="100"/>
  <c r="M696" i="100"/>
  <c r="N696" i="100"/>
  <c r="O696" i="100"/>
  <c r="M697" i="100"/>
  <c r="N697" i="100"/>
  <c r="P697" i="100" s="1"/>
  <c r="O697" i="100"/>
  <c r="M698" i="100"/>
  <c r="N698" i="100"/>
  <c r="P698" i="100" s="1"/>
  <c r="O698" i="100"/>
  <c r="M699" i="100"/>
  <c r="N699" i="100"/>
  <c r="P699" i="100" s="1"/>
  <c r="O699" i="100"/>
  <c r="M700" i="100"/>
  <c r="N700" i="100"/>
  <c r="P700" i="100" s="1"/>
  <c r="O700" i="100"/>
  <c r="M701" i="100"/>
  <c r="N701" i="100"/>
  <c r="P701" i="100" s="1"/>
  <c r="O701" i="100"/>
  <c r="M702" i="100"/>
  <c r="N702" i="100"/>
  <c r="P702" i="100" s="1"/>
  <c r="O702" i="100"/>
  <c r="M703" i="100"/>
  <c r="N703" i="100"/>
  <c r="P703" i="100" s="1"/>
  <c r="O703" i="100"/>
  <c r="M704" i="100"/>
  <c r="N704" i="100"/>
  <c r="P704" i="100" s="1"/>
  <c r="O704" i="100"/>
  <c r="M705" i="100"/>
  <c r="N705" i="100"/>
  <c r="P705" i="100" s="1"/>
  <c r="O705" i="100"/>
  <c r="M706" i="100"/>
  <c r="N706" i="100"/>
  <c r="P706" i="100" s="1"/>
  <c r="O706" i="100"/>
  <c r="M707" i="100"/>
  <c r="N707" i="100"/>
  <c r="P707" i="100" s="1"/>
  <c r="O707" i="100"/>
  <c r="M708" i="100"/>
  <c r="N708" i="100"/>
  <c r="P708" i="100" s="1"/>
  <c r="O708" i="100"/>
  <c r="M709" i="100"/>
  <c r="N709" i="100"/>
  <c r="P709" i="100" s="1"/>
  <c r="O709" i="100"/>
  <c r="M710" i="100"/>
  <c r="N710" i="100"/>
  <c r="P710" i="100" s="1"/>
  <c r="O710" i="100"/>
  <c r="M711" i="100"/>
  <c r="N711" i="100"/>
  <c r="P711" i="100" s="1"/>
  <c r="O711" i="100"/>
  <c r="M712" i="100"/>
  <c r="N712" i="100"/>
  <c r="P712" i="100" s="1"/>
  <c r="O712" i="100"/>
  <c r="M713" i="100"/>
  <c r="N713" i="100"/>
  <c r="P713" i="100" s="1"/>
  <c r="O713" i="100"/>
  <c r="M714" i="100"/>
  <c r="N714" i="100"/>
  <c r="P714" i="100" s="1"/>
  <c r="O714" i="100"/>
  <c r="M715" i="100"/>
  <c r="N715" i="100"/>
  <c r="P715" i="100" s="1"/>
  <c r="O715" i="100"/>
  <c r="M716" i="100"/>
  <c r="N716" i="100"/>
  <c r="P716" i="100" s="1"/>
  <c r="O716" i="100"/>
  <c r="M717" i="100"/>
  <c r="N717" i="100"/>
  <c r="P717" i="100" s="1"/>
  <c r="O717" i="100"/>
  <c r="M718" i="100"/>
  <c r="N718" i="100"/>
  <c r="P718" i="100" s="1"/>
  <c r="O718" i="100"/>
  <c r="M719" i="100"/>
  <c r="N719" i="100"/>
  <c r="P719" i="100" s="1"/>
  <c r="O719" i="100"/>
  <c r="M720" i="100"/>
  <c r="N720" i="100"/>
  <c r="P720" i="100" s="1"/>
  <c r="O720" i="100"/>
  <c r="M721" i="100"/>
  <c r="N721" i="100"/>
  <c r="P721" i="100" s="1"/>
  <c r="O721" i="100"/>
  <c r="M722" i="100"/>
  <c r="N722" i="100"/>
  <c r="P722" i="100" s="1"/>
  <c r="O722" i="100"/>
  <c r="M723" i="100"/>
  <c r="N723" i="100"/>
  <c r="P723" i="100" s="1"/>
  <c r="O723" i="100"/>
  <c r="M724" i="100"/>
  <c r="N724" i="100"/>
  <c r="P724" i="100" s="1"/>
  <c r="O724" i="100"/>
  <c r="M725" i="100"/>
  <c r="N725" i="100"/>
  <c r="P725" i="100" s="1"/>
  <c r="O725" i="100"/>
  <c r="M726" i="100"/>
  <c r="N726" i="100"/>
  <c r="P726" i="100" s="1"/>
  <c r="O726" i="100"/>
  <c r="M727" i="100"/>
  <c r="N727" i="100"/>
  <c r="P727" i="100" s="1"/>
  <c r="O727" i="100"/>
  <c r="M728" i="100"/>
  <c r="N728" i="100"/>
  <c r="P728" i="100" s="1"/>
  <c r="O728" i="100"/>
  <c r="M729" i="100"/>
  <c r="N729" i="100"/>
  <c r="P729" i="100" s="1"/>
  <c r="O729" i="100"/>
  <c r="M730" i="100"/>
  <c r="N730" i="100"/>
  <c r="P730" i="100" s="1"/>
  <c r="O730" i="100"/>
  <c r="M731" i="100"/>
  <c r="N731" i="100"/>
  <c r="P731" i="100" s="1"/>
  <c r="O731" i="100"/>
  <c r="M732" i="100"/>
  <c r="N732" i="100"/>
  <c r="P732" i="100" s="1"/>
  <c r="O732" i="100"/>
  <c r="M733" i="100"/>
  <c r="N733" i="100"/>
  <c r="P733" i="100" s="1"/>
  <c r="O733" i="100"/>
  <c r="N49" i="80"/>
  <c r="N50" i="80"/>
  <c r="N51" i="80"/>
  <c r="N52" i="80"/>
  <c r="N47" i="80"/>
  <c r="N48" i="80"/>
  <c r="R6" i="48" a="1"/>
  <c r="R6" i="48" s="1"/>
  <c r="T6" i="48"/>
  <c r="V6" i="48" a="1"/>
  <c r="V6" i="48" s="1"/>
  <c r="R7" i="48" a="1"/>
  <c r="R7" i="48" s="1"/>
  <c r="T7" i="48"/>
  <c r="V7" i="48" a="1"/>
  <c r="V7" i="48" s="1"/>
  <c r="R8" i="48" a="1"/>
  <c r="R8" i="48" s="1"/>
  <c r="T8" i="48"/>
  <c r="V8" i="48" a="1"/>
  <c r="V8" i="48" s="1"/>
  <c r="R9" i="48" a="1"/>
  <c r="R9" i="48" s="1"/>
  <c r="T9" i="48"/>
  <c r="V9" i="48" a="1"/>
  <c r="V9" i="48" s="1"/>
  <c r="W4" i="48" a="1"/>
  <c r="W4" i="48" s="1"/>
  <c r="W10" i="48" a="1"/>
  <c r="W10" i="48" s="1"/>
  <c r="W11" i="48" a="1"/>
  <c r="W11" i="48" s="1"/>
  <c r="W12" i="48" a="1"/>
  <c r="W12" i="48" s="1"/>
  <c r="W13" i="48" a="1"/>
  <c r="W13" i="48" s="1"/>
  <c r="W14" i="48" a="1"/>
  <c r="W14" i="48" s="1"/>
  <c r="W15" i="48" a="1"/>
  <c r="W15" i="48" s="1"/>
  <c r="W16" i="48" a="1"/>
  <c r="W16" i="48" s="1"/>
  <c r="W17" i="48" a="1"/>
  <c r="W17" i="48" s="1"/>
  <c r="W18" i="48" a="1"/>
  <c r="W18" i="48" s="1"/>
  <c r="W19" i="48" a="1"/>
  <c r="W19" i="48" s="1"/>
  <c r="W20" i="48" a="1"/>
  <c r="W20" i="48" s="1"/>
  <c r="W21" i="48" a="1"/>
  <c r="W21" i="48" s="1"/>
  <c r="W22" i="48" a="1"/>
  <c r="W22" i="48" s="1"/>
  <c r="W23" i="48" a="1"/>
  <c r="W23" i="48" s="1"/>
  <c r="W24" i="48" a="1"/>
  <c r="W24" i="48" s="1"/>
  <c r="W25" i="48" a="1"/>
  <c r="W25" i="48" s="1"/>
  <c r="W26" i="48" a="1"/>
  <c r="W26" i="48" s="1"/>
  <c r="W27" i="48" a="1"/>
  <c r="W27" i="48" s="1"/>
  <c r="W28" i="48" a="1"/>
  <c r="W28" i="48" s="1"/>
  <c r="W29" i="48" a="1"/>
  <c r="W29" i="48" s="1"/>
  <c r="W30" i="48" a="1"/>
  <c r="W30" i="48" s="1"/>
  <c r="W31" i="48" a="1"/>
  <c r="W31" i="48" s="1"/>
  <c r="W32" i="48" a="1"/>
  <c r="W32" i="48" s="1"/>
  <c r="W33" i="48" a="1"/>
  <c r="W33" i="48" s="1"/>
  <c r="W34" i="48" a="1"/>
  <c r="W34" i="48" s="1"/>
  <c r="W35" i="48" a="1"/>
  <c r="W35" i="48" s="1"/>
  <c r="W36" i="48" a="1"/>
  <c r="W36" i="48" s="1"/>
  <c r="W37" i="48" a="1"/>
  <c r="W37" i="48" s="1"/>
  <c r="W38" i="48" a="1"/>
  <c r="W38" i="48" s="1"/>
  <c r="W39" i="48" a="1"/>
  <c r="W39" i="48" s="1"/>
  <c r="W40" i="48" a="1"/>
  <c r="W40" i="48" s="1"/>
  <c r="W41" i="48" a="1"/>
  <c r="W41" i="48" s="1"/>
  <c r="W42" i="48" a="1"/>
  <c r="W42" i="48" s="1"/>
  <c r="W43" i="48" a="1"/>
  <c r="W43" i="48" s="1"/>
  <c r="W44" i="48" a="1"/>
  <c r="W44" i="48" s="1"/>
  <c r="W45" i="48" a="1"/>
  <c r="W45" i="48" s="1"/>
  <c r="W46" i="48" a="1"/>
  <c r="W46" i="48" s="1"/>
  <c r="W47" i="48" a="1"/>
  <c r="W47" i="48" s="1"/>
  <c r="W48" i="48" a="1"/>
  <c r="W48" i="48" s="1"/>
  <c r="B6" i="48"/>
  <c r="B7" i="48"/>
  <c r="B8" i="48"/>
  <c r="B9" i="48"/>
  <c r="T11" i="73"/>
  <c r="V11" i="73"/>
  <c r="T17" i="73"/>
  <c r="V17" i="73"/>
  <c r="X17" i="73"/>
  <c r="T12" i="73"/>
  <c r="V12" i="73"/>
  <c r="X12" i="73"/>
  <c r="T7" i="73"/>
  <c r="V7" i="73"/>
  <c r="X7" i="73"/>
  <c r="T3" i="73"/>
  <c r="V3" i="73"/>
  <c r="X3" i="73"/>
  <c r="T8" i="73"/>
  <c r="V8" i="73"/>
  <c r="X8" i="73"/>
  <c r="T18" i="73"/>
  <c r="V18" i="73"/>
  <c r="X18" i="73"/>
  <c r="T13" i="73"/>
  <c r="V13" i="73"/>
  <c r="X13" i="73"/>
  <c r="T4" i="73"/>
  <c r="V4" i="73"/>
  <c r="X4" i="73"/>
  <c r="T19" i="73"/>
  <c r="V19" i="73"/>
  <c r="X19" i="73"/>
  <c r="T5" i="73"/>
  <c r="V5" i="73"/>
  <c r="X5" i="73"/>
  <c r="T14" i="73"/>
  <c r="V14" i="73"/>
  <c r="X14" i="73"/>
  <c r="T9" i="73"/>
  <c r="V9" i="73"/>
  <c r="X9" i="73"/>
  <c r="T23" i="73"/>
  <c r="V23" i="73"/>
  <c r="X23" i="73"/>
  <c r="T15" i="73"/>
  <c r="V15" i="73"/>
  <c r="X15" i="73"/>
  <c r="T10" i="73"/>
  <c r="V10" i="73"/>
  <c r="X10" i="73"/>
  <c r="T20" i="73"/>
  <c r="V20" i="73"/>
  <c r="X20" i="73"/>
  <c r="N11" i="73"/>
  <c r="N17" i="73"/>
  <c r="N12" i="73"/>
  <c r="N7" i="73"/>
  <c r="N3" i="73"/>
  <c r="N8" i="73"/>
  <c r="N18" i="73"/>
  <c r="N13" i="73"/>
  <c r="N4" i="73"/>
  <c r="N19" i="73"/>
  <c r="N5" i="73"/>
  <c r="N14" i="73"/>
  <c r="N9" i="73"/>
  <c r="N23" i="73"/>
  <c r="N15" i="73"/>
  <c r="N10" i="73"/>
  <c r="N20" i="73"/>
  <c r="I4" i="83"/>
  <c r="I5" i="83"/>
  <c r="I6" i="83"/>
  <c r="I7" i="83"/>
  <c r="W6" i="47" l="1"/>
  <c r="AS8" i="48"/>
  <c r="W4" i="47"/>
  <c r="AS6" i="48"/>
  <c r="W218" i="47"/>
  <c r="AS220" i="48"/>
  <c r="W200" i="47"/>
  <c r="AS202" i="48"/>
  <c r="W198" i="47"/>
  <c r="AS200" i="48"/>
  <c r="W188" i="47"/>
  <c r="AS190" i="48"/>
  <c r="W172" i="47"/>
  <c r="AS174" i="48"/>
  <c r="W168" i="47"/>
  <c r="AS170" i="48"/>
  <c r="W166" i="47"/>
  <c r="AS168" i="48"/>
  <c r="W156" i="47"/>
  <c r="AS158" i="48"/>
  <c r="W148" i="47"/>
  <c r="AS150" i="48"/>
  <c r="W144" i="47"/>
  <c r="AS146" i="48"/>
  <c r="W140" i="47"/>
  <c r="AS142" i="48"/>
  <c r="W126" i="47"/>
  <c r="AS128" i="48"/>
  <c r="W122" i="47"/>
  <c r="AS124" i="48"/>
  <c r="W116" i="47"/>
  <c r="AS118" i="48"/>
  <c r="W108" i="47"/>
  <c r="AS110" i="48"/>
  <c r="W106" i="47"/>
  <c r="AS108" i="48"/>
  <c r="W100" i="47"/>
  <c r="AS102" i="48"/>
  <c r="W98" i="47"/>
  <c r="AS100" i="48"/>
  <c r="W72" i="47"/>
  <c r="AS74" i="48"/>
  <c r="W66" i="47"/>
  <c r="AS68" i="48"/>
  <c r="W64" i="47"/>
  <c r="AS66" i="48"/>
  <c r="W58" i="47"/>
  <c r="AS60" i="48"/>
  <c r="W56" i="47"/>
  <c r="AS58" i="48"/>
  <c r="W50" i="47"/>
  <c r="AS52" i="48"/>
  <c r="W48" i="47"/>
  <c r="AS50" i="48"/>
  <c r="W7" i="47"/>
  <c r="AS9" i="48"/>
  <c r="W5" i="47"/>
  <c r="AS7" i="48"/>
  <c r="W217" i="47"/>
  <c r="AS219" i="48"/>
  <c r="W215" i="47"/>
  <c r="AS217" i="48"/>
  <c r="W213" i="47"/>
  <c r="AS215" i="48"/>
  <c r="W197" i="47"/>
  <c r="AS199" i="48"/>
  <c r="W195" i="47"/>
  <c r="AS197" i="48"/>
  <c r="W189" i="47"/>
  <c r="AS191" i="48"/>
  <c r="W181" i="47"/>
  <c r="AS183" i="48"/>
  <c r="W177" i="47"/>
  <c r="AS179" i="48"/>
  <c r="W173" i="47"/>
  <c r="AS175" i="48"/>
  <c r="W169" i="47"/>
  <c r="AS171" i="48"/>
  <c r="W165" i="47"/>
  <c r="AS167" i="48"/>
  <c r="W163" i="47"/>
  <c r="AS165" i="48"/>
  <c r="W157" i="47"/>
  <c r="AS159" i="48"/>
  <c r="W149" i="47"/>
  <c r="AS151" i="48"/>
  <c r="W145" i="47"/>
  <c r="AS147" i="48"/>
  <c r="W139" i="47"/>
  <c r="AS141" i="48"/>
  <c r="W131" i="47"/>
  <c r="AS133" i="48"/>
  <c r="W127" i="47"/>
  <c r="AS129" i="48"/>
  <c r="W123" i="47"/>
  <c r="AS125" i="48"/>
  <c r="W121" i="47"/>
  <c r="AS123" i="48"/>
  <c r="W115" i="47"/>
  <c r="AS117" i="48"/>
  <c r="W107" i="47"/>
  <c r="AS109" i="48"/>
  <c r="W103" i="47"/>
  <c r="AS105" i="48"/>
  <c r="W99" i="47"/>
  <c r="AS101" i="48"/>
  <c r="W93" i="47"/>
  <c r="AS95" i="48"/>
  <c r="W91" i="47"/>
  <c r="AS93" i="48"/>
  <c r="W87" i="47"/>
  <c r="AS89" i="48"/>
  <c r="W83" i="47"/>
  <c r="AS85" i="48"/>
  <c r="W79" i="47"/>
  <c r="AS81" i="48"/>
  <c r="W73" i="47"/>
  <c r="AS75" i="48"/>
  <c r="W71" i="47"/>
  <c r="AS73" i="48"/>
  <c r="W67" i="47"/>
  <c r="AS69" i="48"/>
  <c r="W65" i="47"/>
  <c r="AS67" i="48"/>
  <c r="W61" i="47"/>
  <c r="AS63" i="48"/>
  <c r="W59" i="47"/>
  <c r="AS61" i="48"/>
  <c r="W57" i="47"/>
  <c r="AS59" i="48"/>
  <c r="W53" i="47"/>
  <c r="AS55" i="48"/>
  <c r="W51" i="47"/>
  <c r="AS53" i="48"/>
  <c r="W49" i="47"/>
  <c r="AS51" i="48"/>
  <c r="W47" i="47"/>
  <c r="AS49" i="48"/>
  <c r="AR75" i="48"/>
  <c r="V73" i="47" s="1"/>
  <c r="AR73" i="48"/>
  <c r="V71" i="47" s="1"/>
  <c r="AR71" i="48"/>
  <c r="V69" i="47" s="1"/>
  <c r="AR69" i="48"/>
  <c r="V67" i="47" s="1"/>
  <c r="AR67" i="48"/>
  <c r="V65" i="47" s="1"/>
  <c r="AR65" i="48"/>
  <c r="V63" i="47" s="1"/>
  <c r="AR63" i="48"/>
  <c r="V61" i="47" s="1"/>
  <c r="AR61" i="48"/>
  <c r="V59" i="47" s="1"/>
  <c r="AR59" i="48"/>
  <c r="V57" i="47" s="1"/>
  <c r="AR57" i="48"/>
  <c r="V55" i="47" s="1"/>
  <c r="AR55" i="48"/>
  <c r="V53" i="47" s="1"/>
  <c r="AR53" i="48"/>
  <c r="V51" i="47" s="1"/>
  <c r="AR51" i="48"/>
  <c r="V49" i="47" s="1"/>
  <c r="AR49" i="48"/>
  <c r="V47" i="47" s="1"/>
  <c r="N198" i="47"/>
  <c r="O198" i="47" s="1"/>
  <c r="N151" i="47"/>
  <c r="O151" i="47" s="1"/>
  <c r="N136" i="47"/>
  <c r="O136" i="47" s="1"/>
  <c r="V218" i="48" a="1"/>
  <c r="V218" i="48" s="1"/>
  <c r="W216" i="47"/>
  <c r="V216" i="48" a="1"/>
  <c r="V216" i="48" s="1"/>
  <c r="W214" i="47"/>
  <c r="V214" i="48" a="1"/>
  <c r="V214" i="48" s="1"/>
  <c r="W212" i="47"/>
  <c r="V213" i="48" a="1"/>
  <c r="V213" i="48" s="1"/>
  <c r="W211" i="47"/>
  <c r="V212" i="48" a="1"/>
  <c r="V212" i="48" s="1"/>
  <c r="W210" i="47"/>
  <c r="V211" i="48" a="1"/>
  <c r="V211" i="48" s="1"/>
  <c r="W209" i="47"/>
  <c r="V210" i="48" a="1"/>
  <c r="V210" i="48" s="1"/>
  <c r="W208" i="47"/>
  <c r="V209" i="48" a="1"/>
  <c r="V209" i="48" s="1"/>
  <c r="W207" i="47"/>
  <c r="V208" i="48" a="1"/>
  <c r="V208" i="48" s="1"/>
  <c r="W206" i="47"/>
  <c r="V207" i="48" a="1"/>
  <c r="V207" i="48" s="1"/>
  <c r="W205" i="47"/>
  <c r="V206" i="48" a="1"/>
  <c r="V206" i="48" s="1"/>
  <c r="W204" i="47"/>
  <c r="V205" i="48" a="1"/>
  <c r="V205" i="48" s="1"/>
  <c r="W203" i="47"/>
  <c r="V204" i="48" a="1"/>
  <c r="V204" i="48" s="1"/>
  <c r="W202" i="47"/>
  <c r="V203" i="48" a="1"/>
  <c r="V203" i="48" s="1"/>
  <c r="W201" i="47"/>
  <c r="V201" i="48" a="1"/>
  <c r="V201" i="48" s="1"/>
  <c r="W199" i="47"/>
  <c r="V198" i="48" a="1"/>
  <c r="V198" i="48" s="1"/>
  <c r="W196" i="47"/>
  <c r="V196" i="48" a="1"/>
  <c r="V196" i="48" s="1"/>
  <c r="W194" i="47"/>
  <c r="V195" i="48" a="1"/>
  <c r="V195" i="48" s="1"/>
  <c r="W193" i="47"/>
  <c r="V194" i="48" a="1"/>
  <c r="V194" i="48" s="1"/>
  <c r="W192" i="47"/>
  <c r="V193" i="48" a="1"/>
  <c r="V193" i="48" s="1"/>
  <c r="W191" i="47"/>
  <c r="V192" i="48" a="1"/>
  <c r="V192" i="48" s="1"/>
  <c r="W190" i="47"/>
  <c r="V189" i="48" a="1"/>
  <c r="V189" i="48" s="1"/>
  <c r="W187" i="47"/>
  <c r="V188" i="48" a="1"/>
  <c r="V188" i="48" s="1"/>
  <c r="W186" i="47"/>
  <c r="V187" i="48" a="1"/>
  <c r="V187" i="48" s="1"/>
  <c r="W185" i="47"/>
  <c r="V186" i="48" a="1"/>
  <c r="V186" i="48" s="1"/>
  <c r="W184" i="47"/>
  <c r="V185" i="48" a="1"/>
  <c r="V185" i="48" s="1"/>
  <c r="W183" i="47"/>
  <c r="V184" i="48" a="1"/>
  <c r="V184" i="48" s="1"/>
  <c r="W182" i="47"/>
  <c r="V182" i="48" a="1"/>
  <c r="V182" i="48" s="1"/>
  <c r="W180" i="47"/>
  <c r="V181" i="48" a="1"/>
  <c r="V181" i="48" s="1"/>
  <c r="W179" i="47"/>
  <c r="V180" i="48" a="1"/>
  <c r="V180" i="48" s="1"/>
  <c r="W178" i="47"/>
  <c r="V178" i="48" a="1"/>
  <c r="V178" i="48" s="1"/>
  <c r="W176" i="47"/>
  <c r="V177" i="48" a="1"/>
  <c r="V177" i="48" s="1"/>
  <c r="W175" i="47"/>
  <c r="V176" i="48" a="1"/>
  <c r="V176" i="48" s="1"/>
  <c r="W174" i="47"/>
  <c r="V173" i="48" a="1"/>
  <c r="V173" i="48" s="1"/>
  <c r="W171" i="47"/>
  <c r="V172" i="48" a="1"/>
  <c r="V172" i="48" s="1"/>
  <c r="W170" i="47"/>
  <c r="V169" i="48" a="1"/>
  <c r="V169" i="48" s="1"/>
  <c r="W167" i="47"/>
  <c r="V166" i="48" a="1"/>
  <c r="V166" i="48" s="1"/>
  <c r="W164" i="47"/>
  <c r="V164" i="48" a="1"/>
  <c r="V164" i="48" s="1"/>
  <c r="W162" i="47"/>
  <c r="V163" i="48" a="1"/>
  <c r="V163" i="48" s="1"/>
  <c r="W161" i="47"/>
  <c r="V162" i="48" a="1"/>
  <c r="V162" i="48" s="1"/>
  <c r="W160" i="47"/>
  <c r="V161" i="48" a="1"/>
  <c r="V161" i="48" s="1"/>
  <c r="W159" i="47"/>
  <c r="V160" i="48" a="1"/>
  <c r="V160" i="48" s="1"/>
  <c r="W158" i="47"/>
  <c r="V157" i="48" a="1"/>
  <c r="V157" i="48" s="1"/>
  <c r="W155" i="47"/>
  <c r="V156" i="48" a="1"/>
  <c r="V156" i="48" s="1"/>
  <c r="W154" i="47"/>
  <c r="V155" i="48" a="1"/>
  <c r="V155" i="48" s="1"/>
  <c r="W153" i="47"/>
  <c r="V154" i="48" a="1"/>
  <c r="V154" i="48" s="1"/>
  <c r="W152" i="47"/>
  <c r="V153" i="48" a="1"/>
  <c r="V153" i="48" s="1"/>
  <c r="W151" i="47"/>
  <c r="V152" i="48" a="1"/>
  <c r="V152" i="48" s="1"/>
  <c r="W150" i="47"/>
  <c r="V149" i="48" a="1"/>
  <c r="V149" i="48" s="1"/>
  <c r="W147" i="47"/>
  <c r="V148" i="48" a="1"/>
  <c r="V148" i="48" s="1"/>
  <c r="W146" i="47"/>
  <c r="V145" i="48" a="1"/>
  <c r="V145" i="48" s="1"/>
  <c r="W143" i="47"/>
  <c r="V144" i="48" a="1"/>
  <c r="V144" i="48" s="1"/>
  <c r="W142" i="47"/>
  <c r="V143" i="48" a="1"/>
  <c r="V143" i="48" s="1"/>
  <c r="W141" i="47"/>
  <c r="V140" i="48" a="1"/>
  <c r="V140" i="48" s="1"/>
  <c r="W138" i="47"/>
  <c r="V139" i="48" a="1"/>
  <c r="V139" i="48" s="1"/>
  <c r="W137" i="47"/>
  <c r="V138" i="48" a="1"/>
  <c r="V138" i="48" s="1"/>
  <c r="W136" i="47"/>
  <c r="V137" i="48" a="1"/>
  <c r="V137" i="48" s="1"/>
  <c r="W135" i="47"/>
  <c r="V136" i="48" a="1"/>
  <c r="V136" i="48" s="1"/>
  <c r="W134" i="47"/>
  <c r="V135" i="48" a="1"/>
  <c r="V135" i="48" s="1"/>
  <c r="W133" i="47"/>
  <c r="V134" i="48" a="1"/>
  <c r="V134" i="48" s="1"/>
  <c r="W132" i="47"/>
  <c r="V132" i="48" a="1"/>
  <c r="V132" i="48" s="1"/>
  <c r="W130" i="47"/>
  <c r="V131" i="48" a="1"/>
  <c r="V131" i="48" s="1"/>
  <c r="W129" i="47"/>
  <c r="V130" i="48" a="1"/>
  <c r="V130" i="48" s="1"/>
  <c r="W128" i="47"/>
  <c r="V127" i="48" a="1"/>
  <c r="V127" i="48" s="1"/>
  <c r="W125" i="47"/>
  <c r="V126" i="48" a="1"/>
  <c r="V126" i="48" s="1"/>
  <c r="W124" i="47"/>
  <c r="V122" i="48" a="1"/>
  <c r="V122" i="48" s="1"/>
  <c r="W120" i="47"/>
  <c r="V121" i="48" a="1"/>
  <c r="V121" i="48" s="1"/>
  <c r="W119" i="47"/>
  <c r="V120" i="48" a="1"/>
  <c r="V120" i="48" s="1"/>
  <c r="W118" i="47"/>
  <c r="V119" i="48" a="1"/>
  <c r="V119" i="48" s="1"/>
  <c r="W117" i="47"/>
  <c r="V116" i="48" a="1"/>
  <c r="V116" i="48" s="1"/>
  <c r="W114" i="47"/>
  <c r="V115" i="48" a="1"/>
  <c r="V115" i="48" s="1"/>
  <c r="W113" i="47"/>
  <c r="V114" i="48" a="1"/>
  <c r="V114" i="48" s="1"/>
  <c r="W112" i="47"/>
  <c r="V113" i="48" a="1"/>
  <c r="V113" i="48" s="1"/>
  <c r="W111" i="47"/>
  <c r="V112" i="48" a="1"/>
  <c r="V112" i="48" s="1"/>
  <c r="W110" i="47"/>
  <c r="V111" i="48" a="1"/>
  <c r="V111" i="48" s="1"/>
  <c r="W109" i="47"/>
  <c r="V107" i="48" a="1"/>
  <c r="V107" i="48" s="1"/>
  <c r="W105" i="47"/>
  <c r="V106" i="48" a="1"/>
  <c r="V106" i="48" s="1"/>
  <c r="W104" i="47"/>
  <c r="V104" i="48" a="1"/>
  <c r="V104" i="48" s="1"/>
  <c r="W102" i="47"/>
  <c r="V103" i="48" a="1"/>
  <c r="V103" i="48" s="1"/>
  <c r="W101" i="47"/>
  <c r="V99" i="48" a="1"/>
  <c r="V99" i="48" s="1"/>
  <c r="W97" i="47"/>
  <c r="V98" i="48" a="1"/>
  <c r="V98" i="48" s="1"/>
  <c r="W96" i="47"/>
  <c r="V97" i="48" a="1"/>
  <c r="V97" i="48" s="1"/>
  <c r="W95" i="47"/>
  <c r="V96" i="48" a="1"/>
  <c r="V96" i="48" s="1"/>
  <c r="W94" i="47"/>
  <c r="V94" i="48" a="1"/>
  <c r="V94" i="48" s="1"/>
  <c r="W92" i="47"/>
  <c r="V92" i="48" a="1"/>
  <c r="V92" i="48" s="1"/>
  <c r="W90" i="47"/>
  <c r="V91" i="48" a="1"/>
  <c r="V91" i="48" s="1"/>
  <c r="W89" i="47"/>
  <c r="V90" i="48" a="1"/>
  <c r="V90" i="48" s="1"/>
  <c r="W88" i="47"/>
  <c r="V88" i="48" a="1"/>
  <c r="V88" i="48" s="1"/>
  <c r="W86" i="47"/>
  <c r="V87" i="48" a="1"/>
  <c r="V87" i="48" s="1"/>
  <c r="W85" i="47"/>
  <c r="V86" i="48" a="1"/>
  <c r="V86" i="48" s="1"/>
  <c r="W84" i="47"/>
  <c r="V84" i="48" a="1"/>
  <c r="V84" i="48" s="1"/>
  <c r="W82" i="47"/>
  <c r="V83" i="48" a="1"/>
  <c r="V83" i="48" s="1"/>
  <c r="W81" i="47"/>
  <c r="V82" i="48" a="1"/>
  <c r="V82" i="48" s="1"/>
  <c r="W80" i="47"/>
  <c r="V80" i="48" a="1"/>
  <c r="V80" i="48" s="1"/>
  <c r="W78" i="47"/>
  <c r="V79" i="48" a="1"/>
  <c r="V79" i="48" s="1"/>
  <c r="W77" i="47"/>
  <c r="V78" i="48" a="1"/>
  <c r="V78" i="48" s="1"/>
  <c r="W76" i="47"/>
  <c r="V77" i="48" a="1"/>
  <c r="V77" i="48" s="1"/>
  <c r="W75" i="47"/>
  <c r="V76" i="48" a="1"/>
  <c r="V76" i="48" s="1"/>
  <c r="W74" i="47"/>
  <c r="V72" i="48" a="1"/>
  <c r="V72" i="48" s="1"/>
  <c r="W70" i="47"/>
  <c r="V71" i="48" a="1"/>
  <c r="V71" i="48" s="1"/>
  <c r="W69" i="47"/>
  <c r="V70" i="48" a="1"/>
  <c r="V70" i="48" s="1"/>
  <c r="W68" i="47"/>
  <c r="V65" i="48" a="1"/>
  <c r="V65" i="48" s="1"/>
  <c r="W63" i="47"/>
  <c r="V64" i="48" a="1"/>
  <c r="V64" i="48" s="1"/>
  <c r="W62" i="47"/>
  <c r="V62" i="48" a="1"/>
  <c r="V62" i="48" s="1"/>
  <c r="W60" i="47"/>
  <c r="V57" i="48" a="1"/>
  <c r="V57" i="48" s="1"/>
  <c r="W55" i="47"/>
  <c r="V56" i="48" a="1"/>
  <c r="V56" i="48" s="1"/>
  <c r="W54" i="47"/>
  <c r="V54" i="48" a="1"/>
  <c r="V54" i="48" s="1"/>
  <c r="W52" i="47"/>
  <c r="AR219" i="48"/>
  <c r="V217" i="47" s="1"/>
  <c r="AR217" i="48"/>
  <c r="V215" i="47" s="1"/>
  <c r="AR215" i="48"/>
  <c r="V213" i="47" s="1"/>
  <c r="AR213" i="48"/>
  <c r="V211" i="47" s="1"/>
  <c r="AR211" i="48"/>
  <c r="V209" i="47" s="1"/>
  <c r="AR209" i="48"/>
  <c r="V207" i="47" s="1"/>
  <c r="AR207" i="48"/>
  <c r="V205" i="47" s="1"/>
  <c r="AR205" i="48"/>
  <c r="V203" i="47" s="1"/>
  <c r="AR203" i="48"/>
  <c r="V201" i="47" s="1"/>
  <c r="AR201" i="48"/>
  <c r="V199" i="47" s="1"/>
  <c r="AR199" i="48"/>
  <c r="V197" i="47" s="1"/>
  <c r="AR197" i="48"/>
  <c r="V195" i="47" s="1"/>
  <c r="AR195" i="48"/>
  <c r="V193" i="47" s="1"/>
  <c r="AR193" i="48"/>
  <c r="V191" i="47" s="1"/>
  <c r="AR191" i="48"/>
  <c r="V189" i="47" s="1"/>
  <c r="AR189" i="48"/>
  <c r="V187" i="47" s="1"/>
  <c r="AR187" i="48"/>
  <c r="V185" i="47" s="1"/>
  <c r="AR185" i="48"/>
  <c r="V183" i="47" s="1"/>
  <c r="AR183" i="48"/>
  <c r="V181" i="47" s="1"/>
  <c r="AR181" i="48"/>
  <c r="V179" i="47" s="1"/>
  <c r="AR220" i="48"/>
  <c r="V218" i="47" s="1"/>
  <c r="AR179" i="48"/>
  <c r="V177" i="47" s="1"/>
  <c r="AR177" i="48"/>
  <c r="V175" i="47" s="1"/>
  <c r="AR175" i="48"/>
  <c r="V173" i="47" s="1"/>
  <c r="AR173" i="48"/>
  <c r="V171" i="47" s="1"/>
  <c r="AR171" i="48"/>
  <c r="V169" i="47" s="1"/>
  <c r="AR169" i="48"/>
  <c r="V167" i="47" s="1"/>
  <c r="AR167" i="48"/>
  <c r="V165" i="47" s="1"/>
  <c r="AR165" i="48"/>
  <c r="V163" i="47" s="1"/>
  <c r="AR163" i="48"/>
  <c r="V161" i="47" s="1"/>
  <c r="AR161" i="48"/>
  <c r="V159" i="47" s="1"/>
  <c r="AR159" i="48"/>
  <c r="V157" i="47" s="1"/>
  <c r="AR157" i="48"/>
  <c r="V155" i="47" s="1"/>
  <c r="AR155" i="48"/>
  <c r="V153" i="47" s="1"/>
  <c r="AR153" i="48"/>
  <c r="V151" i="47" s="1"/>
  <c r="AR151" i="48"/>
  <c r="V149" i="47" s="1"/>
  <c r="AR149" i="48"/>
  <c r="V147" i="47" s="1"/>
  <c r="AR147" i="48"/>
  <c r="V145" i="47" s="1"/>
  <c r="AR145" i="48"/>
  <c r="V143" i="47" s="1"/>
  <c r="AR143" i="48"/>
  <c r="V141" i="47" s="1"/>
  <c r="AR141" i="48"/>
  <c r="V139" i="47" s="1"/>
  <c r="AR139" i="48"/>
  <c r="V137" i="47" s="1"/>
  <c r="AR137" i="48"/>
  <c r="V135" i="47" s="1"/>
  <c r="AR135" i="48"/>
  <c r="V133" i="47" s="1"/>
  <c r="AR133" i="48"/>
  <c r="V131" i="47" s="1"/>
  <c r="AR131" i="48"/>
  <c r="V129" i="47" s="1"/>
  <c r="AR129" i="48"/>
  <c r="V127" i="47" s="1"/>
  <c r="AR127" i="48"/>
  <c r="V125" i="47" s="1"/>
  <c r="AR125" i="48"/>
  <c r="V123" i="47" s="1"/>
  <c r="AR123" i="48"/>
  <c r="V121" i="47" s="1"/>
  <c r="AR121" i="48"/>
  <c r="V119" i="47" s="1"/>
  <c r="AR119" i="48"/>
  <c r="V117" i="47" s="1"/>
  <c r="AR117" i="48"/>
  <c r="V115" i="47" s="1"/>
  <c r="AR115" i="48"/>
  <c r="V113" i="47" s="1"/>
  <c r="AR113" i="48"/>
  <c r="V111" i="47" s="1"/>
  <c r="AR111" i="48"/>
  <c r="V109" i="47" s="1"/>
  <c r="AR109" i="48"/>
  <c r="V107" i="47" s="1"/>
  <c r="AR107" i="48"/>
  <c r="V105" i="47" s="1"/>
  <c r="AR105" i="48"/>
  <c r="V103" i="47" s="1"/>
  <c r="AR103" i="48"/>
  <c r="V101" i="47" s="1"/>
  <c r="AR101" i="48"/>
  <c r="V99" i="47" s="1"/>
  <c r="AR99" i="48"/>
  <c r="V97" i="47" s="1"/>
  <c r="AR97" i="48"/>
  <c r="V95" i="47" s="1"/>
  <c r="AR95" i="48"/>
  <c r="V93" i="47" s="1"/>
  <c r="AR93" i="48"/>
  <c r="V91" i="47" s="1"/>
  <c r="AR91" i="48"/>
  <c r="V89" i="47" s="1"/>
  <c r="AR89" i="48"/>
  <c r="V87" i="47" s="1"/>
  <c r="AR87" i="48"/>
  <c r="V85" i="47" s="1"/>
  <c r="AR85" i="48"/>
  <c r="V83" i="47" s="1"/>
  <c r="AR83" i="48"/>
  <c r="V81" i="47" s="1"/>
  <c r="AR81" i="48"/>
  <c r="V79" i="47" s="1"/>
  <c r="AR79" i="48"/>
  <c r="V77" i="47" s="1"/>
  <c r="AR77" i="48"/>
  <c r="V75" i="47" s="1"/>
  <c r="AR218" i="48"/>
  <c r="V216" i="47" s="1"/>
  <c r="AR216" i="48"/>
  <c r="V214" i="47" s="1"/>
  <c r="AR214" i="48"/>
  <c r="V212" i="47" s="1"/>
  <c r="AR212" i="48"/>
  <c r="V210" i="47" s="1"/>
  <c r="AR210" i="48"/>
  <c r="V208" i="47" s="1"/>
  <c r="AR208" i="48"/>
  <c r="V206" i="47" s="1"/>
  <c r="AR206" i="48"/>
  <c r="V204" i="47" s="1"/>
  <c r="AR204" i="48"/>
  <c r="V202" i="47" s="1"/>
  <c r="AR202" i="48"/>
  <c r="V200" i="47" s="1"/>
  <c r="AR200" i="48"/>
  <c r="V198" i="47" s="1"/>
  <c r="AR198" i="48"/>
  <c r="V196" i="47" s="1"/>
  <c r="AR196" i="48"/>
  <c r="V194" i="47" s="1"/>
  <c r="AR194" i="48"/>
  <c r="V192" i="47" s="1"/>
  <c r="AR192" i="48"/>
  <c r="V190" i="47" s="1"/>
  <c r="AR190" i="48"/>
  <c r="V188" i="47" s="1"/>
  <c r="AR188" i="48"/>
  <c r="V186" i="47" s="1"/>
  <c r="AR186" i="48"/>
  <c r="V184" i="47" s="1"/>
  <c r="AR184" i="48"/>
  <c r="V182" i="47" s="1"/>
  <c r="AR182" i="48"/>
  <c r="V180" i="47" s="1"/>
  <c r="AR180" i="48"/>
  <c r="V178" i="47" s="1"/>
  <c r="AR178" i="48"/>
  <c r="V176" i="47" s="1"/>
  <c r="AR176" i="48"/>
  <c r="V174" i="47" s="1"/>
  <c r="AR174" i="48"/>
  <c r="V172" i="47" s="1"/>
  <c r="AR172" i="48"/>
  <c r="V170" i="47" s="1"/>
  <c r="AR170" i="48"/>
  <c r="V168" i="47" s="1"/>
  <c r="AR168" i="48"/>
  <c r="V166" i="47" s="1"/>
  <c r="AR166" i="48"/>
  <c r="V164" i="47" s="1"/>
  <c r="AR164" i="48"/>
  <c r="V162" i="47" s="1"/>
  <c r="AR162" i="48"/>
  <c r="V160" i="47" s="1"/>
  <c r="AR160" i="48"/>
  <c r="V158" i="47" s="1"/>
  <c r="AR158" i="48"/>
  <c r="V156" i="47" s="1"/>
  <c r="AR156" i="48"/>
  <c r="V154" i="47" s="1"/>
  <c r="AR154" i="48"/>
  <c r="V152" i="47" s="1"/>
  <c r="AR152" i="48"/>
  <c r="V150" i="47" s="1"/>
  <c r="AR150" i="48"/>
  <c r="V148" i="47" s="1"/>
  <c r="AR148" i="48"/>
  <c r="V146" i="47" s="1"/>
  <c r="AR146" i="48"/>
  <c r="V144" i="47" s="1"/>
  <c r="AR144" i="48"/>
  <c r="V142" i="47" s="1"/>
  <c r="AR142" i="48"/>
  <c r="V140" i="47" s="1"/>
  <c r="AR140" i="48"/>
  <c r="V138" i="47" s="1"/>
  <c r="AR138" i="48"/>
  <c r="V136" i="47" s="1"/>
  <c r="AR136" i="48"/>
  <c r="V134" i="47" s="1"/>
  <c r="AR134" i="48"/>
  <c r="V132" i="47" s="1"/>
  <c r="AR132" i="48"/>
  <c r="V130" i="47" s="1"/>
  <c r="AR130" i="48"/>
  <c r="V128" i="47" s="1"/>
  <c r="AR128" i="48"/>
  <c r="V126" i="47" s="1"/>
  <c r="AR126" i="48"/>
  <c r="V124" i="47" s="1"/>
  <c r="AR124" i="48"/>
  <c r="V122" i="47" s="1"/>
  <c r="AR122" i="48"/>
  <c r="V120" i="47" s="1"/>
  <c r="AR120" i="48"/>
  <c r="V118" i="47" s="1"/>
  <c r="AR118" i="48"/>
  <c r="V116" i="47" s="1"/>
  <c r="AR116" i="48"/>
  <c r="V114" i="47" s="1"/>
  <c r="AR114" i="48"/>
  <c r="V112" i="47" s="1"/>
  <c r="AR112" i="48"/>
  <c r="V110" i="47" s="1"/>
  <c r="AR110" i="48"/>
  <c r="V108" i="47" s="1"/>
  <c r="AR108" i="48"/>
  <c r="V106" i="47" s="1"/>
  <c r="AR106" i="48"/>
  <c r="V104" i="47" s="1"/>
  <c r="AR104" i="48"/>
  <c r="V102" i="47" s="1"/>
  <c r="AR102" i="48"/>
  <c r="V100" i="47" s="1"/>
  <c r="AR100" i="48"/>
  <c r="V98" i="47" s="1"/>
  <c r="AR98" i="48"/>
  <c r="V96" i="47" s="1"/>
  <c r="AR96" i="48"/>
  <c r="V94" i="47" s="1"/>
  <c r="AR94" i="48"/>
  <c r="V92" i="47" s="1"/>
  <c r="AR92" i="48"/>
  <c r="V90" i="47" s="1"/>
  <c r="AR90" i="48"/>
  <c r="V88" i="47" s="1"/>
  <c r="AR88" i="48"/>
  <c r="V86" i="47" s="1"/>
  <c r="AR86" i="48"/>
  <c r="V84" i="47" s="1"/>
  <c r="AR84" i="48"/>
  <c r="V82" i="47" s="1"/>
  <c r="AR82" i="48"/>
  <c r="V80" i="47" s="1"/>
  <c r="AR80" i="48"/>
  <c r="V78" i="47" s="1"/>
  <c r="AR78" i="48"/>
  <c r="V76" i="47" s="1"/>
  <c r="AR76" i="48"/>
  <c r="V74" i="47" s="1"/>
  <c r="AR74" i="48"/>
  <c r="V72" i="47" s="1"/>
  <c r="AR72" i="48"/>
  <c r="V70" i="47" s="1"/>
  <c r="AR70" i="48"/>
  <c r="V68" i="47" s="1"/>
  <c r="AR68" i="48"/>
  <c r="V66" i="47" s="1"/>
  <c r="AR66" i="48"/>
  <c r="V64" i="47" s="1"/>
  <c r="AR64" i="48"/>
  <c r="V62" i="47" s="1"/>
  <c r="AR62" i="48"/>
  <c r="V60" i="47" s="1"/>
  <c r="AR60" i="48"/>
  <c r="V58" i="47" s="1"/>
  <c r="AR58" i="48"/>
  <c r="V56" i="47" s="1"/>
  <c r="AR56" i="48"/>
  <c r="V54" i="47" s="1"/>
  <c r="AR54" i="48"/>
  <c r="V52" i="47" s="1"/>
  <c r="AR52" i="48"/>
  <c r="V50" i="47" s="1"/>
  <c r="AR50" i="48"/>
  <c r="V48" i="47" s="1"/>
  <c r="AJ172" i="48" a="1"/>
  <c r="AJ172" i="48" s="1"/>
  <c r="B22" i="107" a="1"/>
  <c r="B22" i="107" s="1"/>
  <c r="AJ196" i="48" a="1"/>
  <c r="AJ196" i="48" s="1"/>
  <c r="AJ184" i="48" a="1"/>
  <c r="AJ184" i="48" s="1"/>
  <c r="AQ147" i="48" a="1"/>
  <c r="AQ147" i="48" s="1"/>
  <c r="Q3" i="47"/>
  <c r="Q7" i="47"/>
  <c r="Q5" i="47"/>
  <c r="Q4" i="47"/>
  <c r="AJ169" i="48" a="1"/>
  <c r="AJ169" i="48" s="1"/>
  <c r="AJ143" i="48" a="1"/>
  <c r="AJ143" i="48" s="1"/>
  <c r="AJ205" i="48" a="1"/>
  <c r="AJ205" i="48" s="1"/>
  <c r="AJ156" i="48" a="1"/>
  <c r="AJ156" i="48" s="1"/>
  <c r="AJ212" i="48" a="1"/>
  <c r="AJ212" i="48" s="1"/>
  <c r="AQ179" i="48" a="1"/>
  <c r="AQ179" i="48" s="1"/>
  <c r="AJ149" i="48" a="1"/>
  <c r="AJ149" i="48" s="1"/>
  <c r="AQ171" i="48" a="1"/>
  <c r="AQ171" i="48" s="1"/>
  <c r="AQ151" i="48" a="1"/>
  <c r="AQ151" i="48" s="1"/>
  <c r="J218" i="80"/>
  <c r="Q218" i="47"/>
  <c r="J217" i="80"/>
  <c r="J216" i="80"/>
  <c r="J215" i="80"/>
  <c r="Q215" i="47"/>
  <c r="J214" i="80"/>
  <c r="J213" i="80"/>
  <c r="Q213" i="47"/>
  <c r="J212" i="80"/>
  <c r="Q212" i="47"/>
  <c r="J211" i="80"/>
  <c r="J210" i="80"/>
  <c r="Q210" i="47"/>
  <c r="J209" i="80"/>
  <c r="J208" i="80"/>
  <c r="Q208" i="47"/>
  <c r="J207" i="80"/>
  <c r="J206" i="80"/>
  <c r="J205" i="80"/>
  <c r="J204" i="80"/>
  <c r="Q204" i="47"/>
  <c r="J203" i="80"/>
  <c r="J202" i="80"/>
  <c r="Q202" i="47"/>
  <c r="J201" i="80"/>
  <c r="Q201" i="47"/>
  <c r="J200" i="80"/>
  <c r="J199" i="80"/>
  <c r="J198" i="80"/>
  <c r="J197" i="80"/>
  <c r="J196" i="80"/>
  <c r="J195" i="80"/>
  <c r="J194" i="80"/>
  <c r="J193" i="80"/>
  <c r="Q193" i="47"/>
  <c r="J192" i="80"/>
  <c r="Q192" i="47"/>
  <c r="J191" i="80"/>
  <c r="J190" i="80"/>
  <c r="Q190" i="47"/>
  <c r="J189" i="80"/>
  <c r="J188" i="80"/>
  <c r="Q188" i="47"/>
  <c r="J187" i="80"/>
  <c r="J186" i="80"/>
  <c r="J185" i="80"/>
  <c r="Q185" i="47"/>
  <c r="J184" i="80"/>
  <c r="Q184" i="47"/>
  <c r="J183" i="80"/>
  <c r="Q183" i="47"/>
  <c r="J182" i="80"/>
  <c r="Q182" i="47"/>
  <c r="J181" i="80"/>
  <c r="Q181" i="47"/>
  <c r="J180" i="80"/>
  <c r="J179" i="80"/>
  <c r="J178" i="80"/>
  <c r="Q178" i="47"/>
  <c r="J177" i="80"/>
  <c r="Q177" i="47"/>
  <c r="J176" i="80"/>
  <c r="Q176" i="47"/>
  <c r="J175" i="80"/>
  <c r="J174" i="80"/>
  <c r="Q174" i="47"/>
  <c r="J173" i="80"/>
  <c r="J172" i="80"/>
  <c r="C173" i="48"/>
  <c r="J171" i="80"/>
  <c r="J170" i="80"/>
  <c r="Q170" i="47"/>
  <c r="J169" i="80"/>
  <c r="J168" i="80"/>
  <c r="Q168" i="47"/>
  <c r="J167" i="80"/>
  <c r="J166" i="80"/>
  <c r="J165" i="80"/>
  <c r="Q165" i="47"/>
  <c r="AB166" i="48"/>
  <c r="J164" i="80"/>
  <c r="Q164" i="47"/>
  <c r="J163" i="80"/>
  <c r="J162" i="80"/>
  <c r="Q162" i="47"/>
  <c r="J161" i="80"/>
  <c r="Q161" i="47"/>
  <c r="J160" i="80"/>
  <c r="Q160" i="47"/>
  <c r="J159" i="80"/>
  <c r="J158" i="80"/>
  <c r="J157" i="80"/>
  <c r="Q157" i="47"/>
  <c r="J156" i="80"/>
  <c r="Q156" i="47"/>
  <c r="J155" i="80"/>
  <c r="Q155" i="47"/>
  <c r="C156" i="48"/>
  <c r="J154" i="80"/>
  <c r="Q154" i="47"/>
  <c r="J153" i="80"/>
  <c r="Q153" i="47"/>
  <c r="J152" i="80"/>
  <c r="Q152" i="47"/>
  <c r="J151" i="80"/>
  <c r="J150" i="80"/>
  <c r="Q150" i="47"/>
  <c r="J149" i="80"/>
  <c r="Q149" i="47"/>
  <c r="J148" i="80"/>
  <c r="Q148" i="47"/>
  <c r="J147" i="80"/>
  <c r="C148" i="48"/>
  <c r="J146" i="80"/>
  <c r="Q146" i="47"/>
  <c r="C147" i="48"/>
  <c r="J145" i="80"/>
  <c r="Q145" i="47"/>
  <c r="J144" i="80"/>
  <c r="Q144" i="47"/>
  <c r="J143" i="80"/>
  <c r="J142" i="80"/>
  <c r="J141" i="80"/>
  <c r="Q141" i="47"/>
  <c r="AB142" i="48"/>
  <c r="J140" i="80"/>
  <c r="Q140" i="47"/>
  <c r="J139" i="80"/>
  <c r="J138" i="80"/>
  <c r="Q138" i="47"/>
  <c r="J137" i="80"/>
  <c r="Q137" i="47"/>
  <c r="J136" i="80"/>
  <c r="Q136" i="47"/>
  <c r="J135" i="80"/>
  <c r="J134" i="80"/>
  <c r="Q134" i="47"/>
  <c r="C135" i="48"/>
  <c r="J133" i="80"/>
  <c r="Q133" i="47"/>
  <c r="C134" i="48"/>
  <c r="J132" i="80"/>
  <c r="Q132" i="47"/>
  <c r="J131" i="80"/>
  <c r="AN132" i="48"/>
  <c r="J130" i="80"/>
  <c r="Q130" i="47"/>
  <c r="J129" i="80"/>
  <c r="J128" i="80"/>
  <c r="Q128" i="47"/>
  <c r="J127" i="80"/>
  <c r="J126" i="80"/>
  <c r="Q126" i="47"/>
  <c r="J125" i="80"/>
  <c r="Q125" i="47"/>
  <c r="J124" i="80"/>
  <c r="J123" i="80"/>
  <c r="Q123" i="47"/>
  <c r="J122" i="80"/>
  <c r="J121" i="80"/>
  <c r="Q121" i="47"/>
  <c r="J120" i="80"/>
  <c r="Q120" i="47"/>
  <c r="J119" i="80"/>
  <c r="J118" i="80"/>
  <c r="AI119" i="48"/>
  <c r="J117" i="80"/>
  <c r="Q117" i="47"/>
  <c r="J116" i="80"/>
  <c r="J115" i="80"/>
  <c r="J114" i="80"/>
  <c r="Q114" i="47"/>
  <c r="J113" i="80"/>
  <c r="Q113" i="47"/>
  <c r="J112" i="80"/>
  <c r="Q112" i="47"/>
  <c r="J111" i="80"/>
  <c r="J110" i="80"/>
  <c r="C111" i="48"/>
  <c r="J109" i="80"/>
  <c r="Q109" i="47"/>
  <c r="J108" i="80"/>
  <c r="J107" i="80"/>
  <c r="J106" i="80"/>
  <c r="Q106" i="47"/>
  <c r="J105" i="80"/>
  <c r="J104" i="80"/>
  <c r="J103" i="80"/>
  <c r="Z104" i="48"/>
  <c r="J102" i="80"/>
  <c r="Q102" i="47"/>
  <c r="J101" i="80"/>
  <c r="Q101" i="47"/>
  <c r="J100" i="80"/>
  <c r="Q100" i="47"/>
  <c r="J99" i="80"/>
  <c r="J98" i="80"/>
  <c r="Q98" i="47"/>
  <c r="J97" i="80"/>
  <c r="Q97" i="47"/>
  <c r="J96" i="80"/>
  <c r="Q96" i="47"/>
  <c r="J95" i="80"/>
  <c r="J94" i="80"/>
  <c r="J93" i="80"/>
  <c r="J92" i="80"/>
  <c r="Q92" i="47"/>
  <c r="J91" i="80"/>
  <c r="Q91" i="47"/>
  <c r="J90" i="80"/>
  <c r="J89" i="80"/>
  <c r="J88" i="80"/>
  <c r="Q88" i="47"/>
  <c r="J87" i="80"/>
  <c r="Q87" i="47"/>
  <c r="J86" i="80"/>
  <c r="Q86" i="47"/>
  <c r="J85" i="80"/>
  <c r="Q85" i="47"/>
  <c r="J84" i="80"/>
  <c r="Q84" i="47"/>
  <c r="J83" i="80"/>
  <c r="J82" i="80"/>
  <c r="Q82" i="47"/>
  <c r="J81" i="80"/>
  <c r="Q81" i="47"/>
  <c r="J80" i="80"/>
  <c r="Q80" i="47"/>
  <c r="J79" i="80"/>
  <c r="C80" i="48"/>
  <c r="J78" i="80"/>
  <c r="Q78" i="47"/>
  <c r="J77" i="80"/>
  <c r="J76" i="80"/>
  <c r="Q76" i="47"/>
  <c r="J75" i="80"/>
  <c r="J74" i="80"/>
  <c r="Z75" i="48"/>
  <c r="J73" i="80"/>
  <c r="Q73" i="47"/>
  <c r="J72" i="80"/>
  <c r="Q72" i="47"/>
  <c r="J71" i="80"/>
  <c r="J70" i="80"/>
  <c r="Q70" i="47"/>
  <c r="J69" i="80"/>
  <c r="Q69" i="47"/>
  <c r="J68" i="80"/>
  <c r="Q68" i="47"/>
  <c r="C177" i="48"/>
  <c r="X150" i="48"/>
  <c r="AB151" i="48"/>
  <c r="C192" i="48"/>
  <c r="AJ141" i="48" a="1"/>
  <c r="AJ141" i="48" s="1"/>
  <c r="AQ167" i="48" a="1"/>
  <c r="AQ167" i="48" s="1"/>
  <c r="AJ218" i="48" a="1"/>
  <c r="AJ218" i="48" s="1"/>
  <c r="AJ206" i="48" a="1"/>
  <c r="AJ206" i="48" s="1"/>
  <c r="AJ202" i="48" a="1"/>
  <c r="AJ202" i="48" s="1"/>
  <c r="AJ188" i="48" a="1"/>
  <c r="AJ188" i="48" s="1"/>
  <c r="AJ180" i="48" a="1"/>
  <c r="AJ180" i="48" s="1"/>
  <c r="AQ170" i="48" a="1"/>
  <c r="AQ170" i="48" s="1"/>
  <c r="AJ168" i="48" a="1"/>
  <c r="AJ168" i="48" s="1"/>
  <c r="AJ160" i="48" a="1"/>
  <c r="AJ160" i="48" s="1"/>
  <c r="AJ152" i="48" a="1"/>
  <c r="AJ152" i="48" s="1"/>
  <c r="AQ215" i="48" a="1"/>
  <c r="AQ215" i="48" s="1"/>
  <c r="AC215" i="48" a="1"/>
  <c r="AC215" i="48" s="1"/>
  <c r="AQ191" i="48" a="1"/>
  <c r="AQ191" i="48" s="1"/>
  <c r="AJ215" i="48" a="1"/>
  <c r="AJ215" i="48" s="1"/>
  <c r="AJ211" i="48" a="1"/>
  <c r="AJ211" i="48" s="1"/>
  <c r="AJ200" i="48" a="1"/>
  <c r="AJ200" i="48" s="1"/>
  <c r="AJ186" i="48" a="1"/>
  <c r="AJ186" i="48" s="1"/>
  <c r="AQ158" i="48" a="1"/>
  <c r="AQ158" i="48" s="1"/>
  <c r="AJ217" i="48" a="1"/>
  <c r="AJ217" i="48" s="1"/>
  <c r="C206" i="48"/>
  <c r="AI193" i="48"/>
  <c r="AN178" i="48"/>
  <c r="S190" i="48"/>
  <c r="C179" i="48"/>
  <c r="C205" i="48"/>
  <c r="Q2" i="47"/>
  <c r="AC218" i="48" a="1"/>
  <c r="AC218" i="48" s="1"/>
  <c r="AJ193" i="48" a="1"/>
  <c r="AJ193" i="48" s="1"/>
  <c r="AJ209" i="48" a="1"/>
  <c r="AJ209" i="48" s="1"/>
  <c r="AQ207" i="48" a="1"/>
  <c r="AQ207" i="48" s="1"/>
  <c r="AJ219" i="48" a="1"/>
  <c r="AJ219" i="48" s="1"/>
  <c r="AC205" i="48" a="1"/>
  <c r="AC205" i="48" s="1"/>
  <c r="AQ216" i="48" a="1"/>
  <c r="AQ216" i="48" s="1"/>
  <c r="AJ210" i="48" a="1"/>
  <c r="AJ210" i="48" s="1"/>
  <c r="AQ211" i="48" a="1"/>
  <c r="AQ211" i="48" s="1"/>
  <c r="AJ201" i="48" a="1"/>
  <c r="AJ201" i="48" s="1"/>
  <c r="AQ219" i="48" a="1"/>
  <c r="AQ219" i="48" s="1"/>
  <c r="AC207" i="48" a="1"/>
  <c r="AC207" i="48" s="1"/>
  <c r="AJ220" i="48" a="1"/>
  <c r="AJ220" i="48" s="1"/>
  <c r="AQ208" i="48" a="1"/>
  <c r="AQ208" i="48" s="1"/>
  <c r="AJ207" i="48" a="1"/>
  <c r="AJ207" i="48" s="1"/>
  <c r="AQ205" i="48" a="1"/>
  <c r="AQ205" i="48" s="1"/>
  <c r="AJ204" i="48" a="1"/>
  <c r="AJ204" i="48" s="1"/>
  <c r="AJ197" i="48" a="1"/>
  <c r="AJ197" i="48" s="1"/>
  <c r="AJ194" i="48" a="1"/>
  <c r="AJ194" i="48" s="1"/>
  <c r="AJ189" i="48" a="1"/>
  <c r="AJ189" i="48" s="1"/>
  <c r="AQ186" i="48" a="1"/>
  <c r="AQ186" i="48" s="1"/>
  <c r="AC186" i="48" a="1"/>
  <c r="AC186" i="48" s="1"/>
  <c r="AJ164" i="48" a="1"/>
  <c r="AJ164" i="48" s="1"/>
  <c r="AJ162" i="48" a="1"/>
  <c r="AJ162" i="48" s="1"/>
  <c r="AC160" i="48" a="1"/>
  <c r="AC160" i="48" s="1"/>
  <c r="AJ157" i="48" a="1"/>
  <c r="AJ157" i="48" s="1"/>
  <c r="AQ210" i="48" a="1"/>
  <c r="AQ210" i="48" s="1"/>
  <c r="AQ201" i="48" a="1"/>
  <c r="AQ201" i="48" s="1"/>
  <c r="AQ200" i="48" a="1"/>
  <c r="AQ200" i="48" s="1"/>
  <c r="AQ196" i="48" a="1"/>
  <c r="AQ196" i="48" s="1"/>
  <c r="AJ185" i="48" a="1"/>
  <c r="AJ185" i="48" s="1"/>
  <c r="AJ176" i="48" a="1"/>
  <c r="AJ176" i="48" s="1"/>
  <c r="AQ165" i="48" a="1"/>
  <c r="AQ165" i="48" s="1"/>
  <c r="AC158" i="48" a="1"/>
  <c r="AC158" i="48" s="1"/>
  <c r="AQ142" i="48" a="1"/>
  <c r="AQ142" i="48" s="1"/>
  <c r="AQ139" i="48" a="1"/>
  <c r="AQ139" i="48" s="1"/>
  <c r="AC206" i="48" a="1"/>
  <c r="AC206" i="48" s="1"/>
  <c r="AQ202" i="48" a="1"/>
  <c r="AQ202" i="48" s="1"/>
  <c r="AC200" i="48" a="1"/>
  <c r="AC200" i="48" s="1"/>
  <c r="AJ199" i="48" a="1"/>
  <c r="AJ199" i="48" s="1"/>
  <c r="AC196" i="48" a="1"/>
  <c r="AC196" i="48" s="1"/>
  <c r="AQ193" i="48" a="1"/>
  <c r="AQ193" i="48" s="1"/>
  <c r="AJ192" i="48" a="1"/>
  <c r="AJ192" i="48" s="1"/>
  <c r="AJ191" i="48" a="1"/>
  <c r="AJ191" i="48" s="1"/>
  <c r="AJ190" i="48" a="1"/>
  <c r="AJ190" i="48" s="1"/>
  <c r="AQ187" i="48" a="1"/>
  <c r="AQ187" i="48" s="1"/>
  <c r="AQ183" i="48" a="1"/>
  <c r="AQ183" i="48" s="1"/>
  <c r="AC172" i="48" a="1"/>
  <c r="AC172" i="48" s="1"/>
  <c r="AC167" i="48" a="1"/>
  <c r="AC167" i="48" s="1"/>
  <c r="AJ159" i="48" a="1"/>
  <c r="AJ159" i="48" s="1"/>
  <c r="AJ153" i="48" a="1"/>
  <c r="AJ153" i="48" s="1"/>
  <c r="AC151" i="48" a="1"/>
  <c r="AC151" i="48" s="1"/>
  <c r="AJ140" i="48" a="1"/>
  <c r="AJ140" i="48" s="1"/>
  <c r="AJ214" i="48" a="1"/>
  <c r="AJ214" i="48" s="1"/>
  <c r="AC209" i="48" a="1"/>
  <c r="AC209" i="48" s="1"/>
  <c r="AQ204" i="48" a="1"/>
  <c r="AQ204" i="48" s="1"/>
  <c r="AC202" i="48" a="1"/>
  <c r="AC202" i="48" s="1"/>
  <c r="AQ197" i="48" a="1"/>
  <c r="AQ197" i="48" s="1"/>
  <c r="AQ189" i="48" a="1"/>
  <c r="AQ189" i="48" s="1"/>
  <c r="AC184" i="48" a="1"/>
  <c r="AC184" i="48" s="1"/>
  <c r="AQ175" i="48" a="1"/>
  <c r="AQ175" i="48" s="1"/>
  <c r="AQ169" i="48" a="1"/>
  <c r="AQ169" i="48" s="1"/>
  <c r="AQ162" i="48" a="1"/>
  <c r="AQ162" i="48" s="1"/>
  <c r="AJ150" i="48" a="1"/>
  <c r="AJ150" i="48" s="1"/>
  <c r="AQ146" i="48" a="1"/>
  <c r="AQ146" i="48" s="1"/>
  <c r="AQ198" i="48" a="1"/>
  <c r="AQ198" i="48" s="1"/>
  <c r="AQ194" i="48" a="1"/>
  <c r="AQ194" i="48" s="1"/>
  <c r="AJ182" i="48" a="1"/>
  <c r="AJ182" i="48" s="1"/>
  <c r="AC179" i="48" a="1"/>
  <c r="AC179" i="48" s="1"/>
  <c r="AJ178" i="48" a="1"/>
  <c r="AJ178" i="48" s="1"/>
  <c r="AQ172" i="48" a="1"/>
  <c r="AQ172" i="48" s="1"/>
  <c r="AC169" i="48" a="1"/>
  <c r="AC169" i="48" s="1"/>
  <c r="AC141" i="48" a="1"/>
  <c r="AC141" i="48" s="1"/>
  <c r="AQ220" i="48" a="1"/>
  <c r="AQ220" i="48" s="1"/>
  <c r="AQ212" i="48" a="1"/>
  <c r="AQ212" i="48" s="1"/>
  <c r="AJ208" i="48" a="1"/>
  <c r="AJ208" i="48" s="1"/>
  <c r="AQ190" i="48" a="1"/>
  <c r="AQ190" i="48" s="1"/>
  <c r="AJ173" i="48" a="1"/>
  <c r="AJ173" i="48" s="1"/>
  <c r="AC171" i="48" a="1"/>
  <c r="AC171" i="48" s="1"/>
  <c r="AQ159" i="48" a="1"/>
  <c r="AQ159" i="48" s="1"/>
  <c r="AJ144" i="48" a="1"/>
  <c r="AJ144" i="48" s="1"/>
  <c r="AQ141" i="48" a="1"/>
  <c r="AQ141" i="48" s="1"/>
  <c r="AC188" i="48" a="1"/>
  <c r="AC188" i="48" s="1"/>
  <c r="AJ167" i="48" a="1"/>
  <c r="AJ167" i="48" s="1"/>
  <c r="AQ166" i="48" a="1"/>
  <c r="AQ166" i="48" s="1"/>
  <c r="AC156" i="48" a="1"/>
  <c r="AC156" i="48" s="1"/>
  <c r="AQ153" i="48" a="1"/>
  <c r="AQ153" i="48" s="1"/>
  <c r="AC152" i="48" a="1"/>
  <c r="AC152" i="48" s="1"/>
  <c r="AJ151" i="48" a="1"/>
  <c r="AJ151" i="48" s="1"/>
  <c r="AJ187" i="48" a="1"/>
  <c r="AJ187" i="48" s="1"/>
  <c r="AQ218" i="48" a="1"/>
  <c r="AQ218" i="48" s="1"/>
  <c r="AJ216" i="48" a="1"/>
  <c r="AJ216" i="48" s="1"/>
  <c r="AQ214" i="48" a="1"/>
  <c r="AQ214" i="48" s="1"/>
  <c r="AQ206" i="48" a="1"/>
  <c r="AQ206" i="48" s="1"/>
  <c r="AQ199" i="48" a="1"/>
  <c r="AQ199" i="48" s="1"/>
  <c r="AJ181" i="48" a="1"/>
  <c r="AJ181" i="48" s="1"/>
  <c r="AC180" i="48" a="1"/>
  <c r="AC180" i="48" s="1"/>
  <c r="AJ175" i="48" a="1"/>
  <c r="AJ175" i="48" s="1"/>
  <c r="AC170" i="48" a="1"/>
  <c r="AC170" i="48" s="1"/>
  <c r="AC168" i="48" a="1"/>
  <c r="AC168" i="48" s="1"/>
  <c r="AQ156" i="48" a="1"/>
  <c r="AQ156" i="48" s="1"/>
  <c r="AJ137" i="48" a="1"/>
  <c r="AJ137" i="48" s="1"/>
  <c r="AC182" i="48" a="1"/>
  <c r="AC182" i="48" s="1"/>
  <c r="AQ182" i="48" a="1"/>
  <c r="AQ182" i="48" s="1"/>
  <c r="AC178" i="48" a="1"/>
  <c r="AC178" i="48" s="1"/>
  <c r="AQ178" i="48" a="1"/>
  <c r="AQ178" i="48" s="1"/>
  <c r="AJ177" i="48" a="1"/>
  <c r="AJ177" i="48" s="1"/>
  <c r="AC177" i="48" a="1"/>
  <c r="AC177" i="48" s="1"/>
  <c r="AC174" i="48" a="1"/>
  <c r="AC174" i="48" s="1"/>
  <c r="AQ174" i="48" a="1"/>
  <c r="AQ174" i="48" s="1"/>
  <c r="AQ155" i="48" a="1"/>
  <c r="AQ155" i="48" s="1"/>
  <c r="AJ155" i="48" a="1"/>
  <c r="AJ155" i="48" s="1"/>
  <c r="AC154" i="48" a="1"/>
  <c r="AC154" i="48" s="1"/>
  <c r="AQ154" i="48" a="1"/>
  <c r="AQ154" i="48" s="1"/>
  <c r="AC150" i="48" a="1"/>
  <c r="AC150" i="48" s="1"/>
  <c r="AQ150" i="48" a="1"/>
  <c r="AQ150" i="48" s="1"/>
  <c r="AC149" i="48" a="1"/>
  <c r="AC149" i="48" s="1"/>
  <c r="AQ149" i="48" a="1"/>
  <c r="AQ149" i="48" s="1"/>
  <c r="AJ148" i="48" a="1"/>
  <c r="AJ148" i="48" s="1"/>
  <c r="AC148" i="48" a="1"/>
  <c r="AC148" i="48" s="1"/>
  <c r="AJ147" i="48" a="1"/>
  <c r="AJ147" i="48" s="1"/>
  <c r="AC147" i="48" a="1"/>
  <c r="AC147" i="48" s="1"/>
  <c r="AQ145" i="48" a="1"/>
  <c r="AQ145" i="48" s="1"/>
  <c r="AJ145" i="48" a="1"/>
  <c r="AJ145" i="48" s="1"/>
  <c r="AC143" i="48" a="1"/>
  <c r="AC143" i="48" s="1"/>
  <c r="AQ143" i="48" a="1"/>
  <c r="AQ143" i="48" s="1"/>
  <c r="AJ139" i="48" a="1"/>
  <c r="AJ139" i="48" s="1"/>
  <c r="AC139" i="48" a="1"/>
  <c r="AC139" i="48" s="1"/>
  <c r="AJ136" i="48" a="1"/>
  <c r="AJ136" i="48" s="1"/>
  <c r="AC136" i="48" a="1"/>
  <c r="AC136" i="48" s="1"/>
  <c r="AQ136" i="48" a="1"/>
  <c r="AQ136" i="48" s="1"/>
  <c r="AC135" i="48" a="1"/>
  <c r="AC135" i="48" s="1"/>
  <c r="AQ135" i="48" a="1"/>
  <c r="AQ135" i="48" s="1"/>
  <c r="AJ135" i="48" a="1"/>
  <c r="AJ135" i="48" s="1"/>
  <c r="AJ134" i="48" a="1"/>
  <c r="AJ134" i="48" s="1"/>
  <c r="AC134" i="48" a="1"/>
  <c r="AC134" i="48" s="1"/>
  <c r="AC133" i="48" a="1"/>
  <c r="AC133" i="48" s="1"/>
  <c r="AQ133" i="48" a="1"/>
  <c r="AQ133" i="48" s="1"/>
  <c r="AC132" i="48" a="1"/>
  <c r="AC132" i="48" s="1"/>
  <c r="AQ132" i="48" a="1"/>
  <c r="AQ132" i="48" s="1"/>
  <c r="AC131" i="48" a="1"/>
  <c r="AC131" i="48" s="1"/>
  <c r="AJ131" i="48" a="1"/>
  <c r="AJ131" i="48" s="1"/>
  <c r="AC130" i="48" a="1"/>
  <c r="AC130" i="48" s="1"/>
  <c r="AJ130" i="48" a="1"/>
  <c r="AJ130" i="48" s="1"/>
  <c r="AJ129" i="48" a="1"/>
  <c r="AJ129" i="48" s="1"/>
  <c r="AC129" i="48" a="1"/>
  <c r="AC129" i="48" s="1"/>
  <c r="AQ129" i="48" a="1"/>
  <c r="AQ129" i="48" s="1"/>
  <c r="AC128" i="48" a="1"/>
  <c r="AC128" i="48" s="1"/>
  <c r="AQ128" i="48" a="1"/>
  <c r="AQ128" i="48" s="1"/>
  <c r="AQ127" i="48" a="1"/>
  <c r="AQ127" i="48" s="1"/>
  <c r="AJ127" i="48" a="1"/>
  <c r="AJ127" i="48" s="1"/>
  <c r="AC127" i="48" a="1"/>
  <c r="AC127" i="48" s="1"/>
  <c r="AC126" i="48" a="1"/>
  <c r="AC126" i="48" s="1"/>
  <c r="AJ126" i="48" a="1"/>
  <c r="AJ126" i="48" s="1"/>
  <c r="AC125" i="48" a="1"/>
  <c r="AC125" i="48" s="1"/>
  <c r="AQ125" i="48" a="1"/>
  <c r="AQ125" i="48" s="1"/>
  <c r="AC124" i="48" a="1"/>
  <c r="AC124" i="48" s="1"/>
  <c r="AQ124" i="48" a="1"/>
  <c r="AQ124" i="48" s="1"/>
  <c r="AC123" i="48" a="1"/>
  <c r="AC123" i="48" s="1"/>
  <c r="AJ123" i="48" a="1"/>
  <c r="AJ123" i="48" s="1"/>
  <c r="AJ119" i="48" a="1"/>
  <c r="AJ119" i="48" s="1"/>
  <c r="AC119" i="48" a="1"/>
  <c r="AC119" i="48" s="1"/>
  <c r="AC118" i="48" a="1"/>
  <c r="AC118" i="48" s="1"/>
  <c r="AJ118" i="48" a="1"/>
  <c r="AJ118" i="48" s="1"/>
  <c r="AC117" i="48" a="1"/>
  <c r="AC117" i="48" s="1"/>
  <c r="AQ117" i="48" a="1"/>
  <c r="AQ117" i="48" s="1"/>
  <c r="AJ116" i="48" a="1"/>
  <c r="AJ116" i="48" s="1"/>
  <c r="AC116" i="48" a="1"/>
  <c r="AC116" i="48" s="1"/>
  <c r="AQ116" i="48" a="1"/>
  <c r="AQ116" i="48" s="1"/>
  <c r="AQ114" i="48" a="1"/>
  <c r="AQ114" i="48" s="1"/>
  <c r="AC114" i="48" a="1"/>
  <c r="AC114" i="48" s="1"/>
  <c r="AQ113" i="48" a="1"/>
  <c r="AQ113" i="48" s="1"/>
  <c r="AC113" i="48" a="1"/>
  <c r="AC113" i="48" s="1"/>
  <c r="AC112" i="48" a="1"/>
  <c r="AC112" i="48" s="1"/>
  <c r="AJ112" i="48" a="1"/>
  <c r="AJ112" i="48" s="1"/>
  <c r="AC111" i="48" a="1"/>
  <c r="AC111" i="48" s="1"/>
  <c r="AQ111" i="48" a="1"/>
  <c r="AQ111" i="48" s="1"/>
  <c r="AJ111" i="48" a="1"/>
  <c r="AJ111" i="48" s="1"/>
  <c r="AJ110" i="48" a="1"/>
  <c r="AJ110" i="48" s="1"/>
  <c r="AC110" i="48" a="1"/>
  <c r="AC110" i="48" s="1"/>
  <c r="AC109" i="48" a="1"/>
  <c r="AC109" i="48" s="1"/>
  <c r="AQ109" i="48" a="1"/>
  <c r="AQ109" i="48" s="1"/>
  <c r="AQ108" i="48" a="1"/>
  <c r="AQ108" i="48" s="1"/>
  <c r="AJ108" i="48" a="1"/>
  <c r="AJ108" i="48" s="1"/>
  <c r="AC108" i="48" a="1"/>
  <c r="AC108" i="48" s="1"/>
  <c r="AJ107" i="48" a="1"/>
  <c r="AJ107" i="48" s="1"/>
  <c r="AC107" i="48" a="1"/>
  <c r="AC107" i="48" s="1"/>
  <c r="AC106" i="48" a="1"/>
  <c r="AC106" i="48" s="1"/>
  <c r="AQ106" i="48" a="1"/>
  <c r="AQ106" i="48" s="1"/>
  <c r="AC105" i="48" a="1"/>
  <c r="AC105" i="48" s="1"/>
  <c r="AQ105" i="48" a="1"/>
  <c r="AQ105" i="48" s="1"/>
  <c r="AJ103" i="48" a="1"/>
  <c r="AJ103" i="48" s="1"/>
  <c r="AC103" i="48" a="1"/>
  <c r="AC103" i="48" s="1"/>
  <c r="AJ102" i="48" a="1"/>
  <c r="AJ102" i="48" s="1"/>
  <c r="AC102" i="48" a="1"/>
  <c r="AC102" i="48" s="1"/>
  <c r="AQ101" i="48" a="1"/>
  <c r="AQ101" i="48" s="1"/>
  <c r="AJ101" i="48" a="1"/>
  <c r="AJ101" i="48" s="1"/>
  <c r="AC101" i="48" a="1"/>
  <c r="AC101" i="48" s="1"/>
  <c r="AQ100" i="48" a="1"/>
  <c r="AQ100" i="48" s="1"/>
  <c r="AJ100" i="48" a="1"/>
  <c r="AJ100" i="48" s="1"/>
  <c r="AC100" i="48" a="1"/>
  <c r="AC100" i="48" s="1"/>
  <c r="AC99" i="48" a="1"/>
  <c r="AC99" i="48" s="1"/>
  <c r="AQ99" i="48" a="1"/>
  <c r="AQ99" i="48" s="1"/>
  <c r="AQ98" i="48" a="1"/>
  <c r="AQ98" i="48" s="1"/>
  <c r="AC98" i="48" a="1"/>
  <c r="AC98" i="48" s="1"/>
  <c r="AC97" i="48" a="1"/>
  <c r="AC97" i="48" s="1"/>
  <c r="AJ97" i="48" a="1"/>
  <c r="AJ97" i="48" s="1"/>
  <c r="AC96" i="48" a="1"/>
  <c r="AC96" i="48" s="1"/>
  <c r="AJ96" i="48" a="1"/>
  <c r="AJ96" i="48" s="1"/>
  <c r="AJ95" i="48" a="1"/>
  <c r="AJ95" i="48" s="1"/>
  <c r="AC95" i="48" a="1"/>
  <c r="AC95" i="48" s="1"/>
  <c r="AQ95" i="48" a="1"/>
  <c r="AQ95" i="48" s="1"/>
  <c r="AJ94" i="48" a="1"/>
  <c r="AJ94" i="48" s="1"/>
  <c r="AC94" i="48" a="1"/>
  <c r="AC94" i="48" s="1"/>
  <c r="AQ94" i="48" a="1"/>
  <c r="AQ94" i="48" s="1"/>
  <c r="AJ93" i="48" a="1"/>
  <c r="AJ93" i="48" s="1"/>
  <c r="AC93" i="48" a="1"/>
  <c r="AC93" i="48" s="1"/>
  <c r="AQ93" i="48" a="1"/>
  <c r="AQ93" i="48" s="1"/>
  <c r="AJ92" i="48" a="1"/>
  <c r="AJ92" i="48" s="1"/>
  <c r="AC92" i="48" a="1"/>
  <c r="AC92" i="48" s="1"/>
  <c r="AQ92" i="48" a="1"/>
  <c r="AQ92" i="48" s="1"/>
  <c r="AQ91" i="48" a="1"/>
  <c r="AQ91" i="48" s="1"/>
  <c r="AJ91" i="48" a="1"/>
  <c r="AJ91" i="48" s="1"/>
  <c r="AC91" i="48" a="1"/>
  <c r="AC91" i="48" s="1"/>
  <c r="AC90" i="48" a="1"/>
  <c r="AC90" i="48" s="1"/>
  <c r="AQ90" i="48" a="1"/>
  <c r="AQ90" i="48" s="1"/>
  <c r="AC89" i="48" a="1"/>
  <c r="AC89" i="48" s="1"/>
  <c r="AQ89" i="48" a="1"/>
  <c r="AQ89" i="48" s="1"/>
  <c r="AJ88" i="48" a="1"/>
  <c r="AJ88" i="48" s="1"/>
  <c r="AC88" i="48" a="1"/>
  <c r="AC88" i="48" s="1"/>
  <c r="AC87" i="48" a="1"/>
  <c r="AC87" i="48" s="1"/>
  <c r="AJ87" i="48" a="1"/>
  <c r="AJ87" i="48" s="1"/>
  <c r="AC86" i="48" a="1"/>
  <c r="AC86" i="48" s="1"/>
  <c r="AQ86" i="48" a="1"/>
  <c r="AQ86" i="48" s="1"/>
  <c r="AJ86" i="48" a="1"/>
  <c r="AJ86" i="48" s="1"/>
  <c r="AC85" i="48" a="1"/>
  <c r="AC85" i="48" s="1"/>
  <c r="AQ85" i="48" a="1"/>
  <c r="AQ85" i="48" s="1"/>
  <c r="AJ84" i="48" a="1"/>
  <c r="AJ84" i="48" s="1"/>
  <c r="AC84" i="48" a="1"/>
  <c r="AC84" i="48" s="1"/>
  <c r="AQ84" i="48" a="1"/>
  <c r="AQ84" i="48" s="1"/>
  <c r="AC83" i="48" a="1"/>
  <c r="AC83" i="48" s="1"/>
  <c r="AJ83" i="48" a="1"/>
  <c r="AJ83" i="48" s="1"/>
  <c r="AC82" i="48" a="1"/>
  <c r="AC82" i="48" s="1"/>
  <c r="AQ82" i="48" a="1"/>
  <c r="AQ82" i="48" s="1"/>
  <c r="AC81" i="48" a="1"/>
  <c r="AC81" i="48" s="1"/>
  <c r="AQ81" i="48" a="1"/>
  <c r="AQ81" i="48" s="1"/>
  <c r="AJ80" i="48" a="1"/>
  <c r="AJ80" i="48" s="1"/>
  <c r="AC80" i="48" a="1"/>
  <c r="AC80" i="48" s="1"/>
  <c r="AC79" i="48" a="1"/>
  <c r="AC79" i="48" s="1"/>
  <c r="AJ79" i="48" a="1"/>
  <c r="AJ79" i="48" s="1"/>
  <c r="AC78" i="48" a="1"/>
  <c r="AC78" i="48" s="1"/>
  <c r="AQ78" i="48" a="1"/>
  <c r="AQ78" i="48" s="1"/>
  <c r="AJ78" i="48" a="1"/>
  <c r="AJ78" i="48" s="1"/>
  <c r="AC77" i="48" a="1"/>
  <c r="AC77" i="48" s="1"/>
  <c r="AQ77" i="48" a="1"/>
  <c r="AQ77" i="48" s="1"/>
  <c r="AJ76" i="48" a="1"/>
  <c r="AJ76" i="48" s="1"/>
  <c r="AC76" i="48" a="1"/>
  <c r="AC76" i="48" s="1"/>
  <c r="AQ76" i="48" a="1"/>
  <c r="AQ76" i="48" s="1"/>
  <c r="AC75" i="48" a="1"/>
  <c r="AC75" i="48" s="1"/>
  <c r="AJ75" i="48" a="1"/>
  <c r="AJ75" i="48" s="1"/>
  <c r="AC74" i="48" a="1"/>
  <c r="AC74" i="48" s="1"/>
  <c r="AQ74" i="48" a="1"/>
  <c r="AQ74" i="48" s="1"/>
  <c r="AJ74" i="48" a="1"/>
  <c r="AJ74" i="48" s="1"/>
  <c r="AC73" i="48" a="1"/>
  <c r="AC73" i="48" s="1"/>
  <c r="AQ73" i="48" a="1"/>
  <c r="AQ73" i="48" s="1"/>
  <c r="AC72" i="48" a="1"/>
  <c r="AC72" i="48" s="1"/>
  <c r="AQ72" i="48" a="1"/>
  <c r="AQ72" i="48" s="1"/>
  <c r="AJ70" i="48" a="1"/>
  <c r="AJ70" i="48" s="1"/>
  <c r="AC70" i="48" a="1"/>
  <c r="AC70" i="48" s="1"/>
  <c r="AC69" i="48" a="1"/>
  <c r="AC69" i="48" s="1"/>
  <c r="AJ69" i="48" a="1"/>
  <c r="AJ69" i="48" s="1"/>
  <c r="AC68" i="48" a="1"/>
  <c r="AC68" i="48" s="1"/>
  <c r="AQ68" i="48" a="1"/>
  <c r="AQ68" i="48" s="1"/>
  <c r="AJ68" i="48" a="1"/>
  <c r="AJ68" i="48" s="1"/>
  <c r="AJ67" i="48" a="1"/>
  <c r="AJ67" i="48" s="1"/>
  <c r="AC67" i="48" a="1"/>
  <c r="AC67" i="48" s="1"/>
  <c r="AQ67" i="48" a="1"/>
  <c r="AQ67" i="48" s="1"/>
  <c r="AJ66" i="48" a="1"/>
  <c r="AJ66" i="48" s="1"/>
  <c r="AC66" i="48" a="1"/>
  <c r="AC66" i="48" s="1"/>
  <c r="AQ66" i="48" a="1"/>
  <c r="AQ66" i="48" s="1"/>
  <c r="AJ65" i="48" a="1"/>
  <c r="AJ65" i="48" s="1"/>
  <c r="AC65" i="48" a="1"/>
  <c r="AC65" i="48" s="1"/>
  <c r="AQ65" i="48" a="1"/>
  <c r="AQ65" i="48" s="1"/>
  <c r="AC64" i="48" a="1"/>
  <c r="AC64" i="48" s="1"/>
  <c r="AQ64" i="48" a="1"/>
  <c r="AQ64" i="48" s="1"/>
  <c r="AJ64" i="48" a="1"/>
  <c r="AJ64" i="48" s="1"/>
  <c r="AC63" i="48" a="1"/>
  <c r="AC63" i="48" s="1"/>
  <c r="AQ63" i="48" a="1"/>
  <c r="AQ63" i="48" s="1"/>
  <c r="AJ62" i="48" a="1"/>
  <c r="AJ62" i="48" s="1"/>
  <c r="AC62" i="48" a="1"/>
  <c r="AC62" i="48" s="1"/>
  <c r="AQ62" i="48" a="1"/>
  <c r="AQ62" i="48" s="1"/>
  <c r="AC61" i="48" a="1"/>
  <c r="AC61" i="48" s="1"/>
  <c r="AJ61" i="48" a="1"/>
  <c r="AJ61" i="48" s="1"/>
  <c r="AJ60" i="48" a="1"/>
  <c r="AJ60" i="48" s="1"/>
  <c r="AC60" i="48" a="1"/>
  <c r="AC60" i="48" s="1"/>
  <c r="AQ60" i="48" a="1"/>
  <c r="AQ60" i="48" s="1"/>
  <c r="AQ59" i="48" a="1"/>
  <c r="AQ59" i="48" s="1"/>
  <c r="AC59" i="48" a="1"/>
  <c r="AC59" i="48" s="1"/>
  <c r="AC58" i="48" a="1"/>
  <c r="AC58" i="48" s="1"/>
  <c r="AQ58" i="48" a="1"/>
  <c r="AQ58" i="48" s="1"/>
  <c r="AJ58" i="48" a="1"/>
  <c r="AJ58" i="48" s="1"/>
  <c r="AJ57" i="48" a="1"/>
  <c r="AJ57" i="48" s="1"/>
  <c r="AC57" i="48" a="1"/>
  <c r="AC57" i="48" s="1"/>
  <c r="AQ56" i="48" a="1"/>
  <c r="AQ56" i="48" s="1"/>
  <c r="AJ56" i="48" a="1"/>
  <c r="AJ56" i="48" s="1"/>
  <c r="AC56" i="48" a="1"/>
  <c r="AC56" i="48" s="1"/>
  <c r="AC55" i="48" a="1"/>
  <c r="AC55" i="48" s="1"/>
  <c r="AQ55" i="48" a="1"/>
  <c r="AQ55" i="48" s="1"/>
  <c r="AJ54" i="48" a="1"/>
  <c r="AJ54" i="48" s="1"/>
  <c r="AC54" i="48" a="1"/>
  <c r="AC54" i="48" s="1"/>
  <c r="AQ54" i="48" a="1"/>
  <c r="AQ54" i="48" s="1"/>
  <c r="AC53" i="48" a="1"/>
  <c r="AC53" i="48" s="1"/>
  <c r="AJ53" i="48" a="1"/>
  <c r="AJ53" i="48" s="1"/>
  <c r="AC52" i="48" a="1"/>
  <c r="AC52" i="48" s="1"/>
  <c r="AQ52" i="48" a="1"/>
  <c r="AQ52" i="48" s="1"/>
  <c r="AJ52" i="48" a="1"/>
  <c r="AJ52" i="48" s="1"/>
  <c r="AJ51" i="48" a="1"/>
  <c r="AJ51" i="48" s="1"/>
  <c r="AC51" i="48" a="1"/>
  <c r="AC51" i="48" s="1"/>
  <c r="AQ51" i="48" a="1"/>
  <c r="AQ51" i="48" s="1"/>
  <c r="AJ50" i="48" a="1"/>
  <c r="AJ50" i="48" s="1"/>
  <c r="AC50" i="48" a="1"/>
  <c r="AC50" i="48" s="1"/>
  <c r="AQ50" i="48" a="1"/>
  <c r="AQ50" i="48" s="1"/>
  <c r="AQ49" i="48" a="1"/>
  <c r="AQ49" i="48" s="1"/>
  <c r="AC49" i="48" a="1"/>
  <c r="AC49" i="48" s="1"/>
  <c r="AJ183" i="48" a="1"/>
  <c r="AJ183" i="48" s="1"/>
  <c r="AJ174" i="48" a="1"/>
  <c r="AJ174" i="48" s="1"/>
  <c r="AJ158" i="48" a="1"/>
  <c r="AJ158" i="48" s="1"/>
  <c r="AQ157" i="48" a="1"/>
  <c r="AQ157" i="48" s="1"/>
  <c r="AJ154" i="48" a="1"/>
  <c r="AJ154" i="48" s="1"/>
  <c r="AJ121" i="48" a="1"/>
  <c r="AJ121" i="48" s="1"/>
  <c r="AJ104" i="48" a="1"/>
  <c r="AJ104" i="48" s="1"/>
  <c r="AQ88" i="48" a="1"/>
  <c r="AQ88" i="48" s="1"/>
  <c r="AJ82" i="48" a="1"/>
  <c r="AJ82" i="48" s="1"/>
  <c r="AQ161" i="48" a="1"/>
  <c r="AQ161" i="48" s="1"/>
  <c r="AJ99" i="48" a="1"/>
  <c r="AJ99" i="48" s="1"/>
  <c r="AJ90" i="48" a="1"/>
  <c r="AJ90" i="48" s="1"/>
  <c r="AJ165" i="48" a="1"/>
  <c r="AJ165" i="48" s="1"/>
  <c r="AQ164" i="48" a="1"/>
  <c r="AQ164" i="48" s="1"/>
  <c r="AJ98" i="48" a="1"/>
  <c r="AJ98" i="48" s="1"/>
  <c r="AJ49" i="48" a="1"/>
  <c r="AJ49" i="48" s="1"/>
  <c r="AJ146" i="48" a="1"/>
  <c r="AJ146" i="48" s="1"/>
  <c r="AQ121" i="48" a="1"/>
  <c r="AQ121" i="48" s="1"/>
  <c r="AQ96" i="48" a="1"/>
  <c r="AQ96" i="48" s="1"/>
  <c r="AJ142" i="48" a="1"/>
  <c r="AJ142" i="48" s="1"/>
  <c r="AJ132" i="48" a="1"/>
  <c r="AJ132" i="48" s="1"/>
  <c r="AJ109" i="48" a="1"/>
  <c r="AJ109" i="48" s="1"/>
  <c r="AJ72" i="48" a="1"/>
  <c r="AJ72" i="48" s="1"/>
  <c r="AJ59" i="48" a="1"/>
  <c r="AJ59" i="48" s="1"/>
  <c r="AQ118" i="48" a="1"/>
  <c r="AQ118" i="48" s="1"/>
  <c r="AJ133" i="48" a="1"/>
  <c r="AJ133" i="48" s="1"/>
  <c r="AJ128" i="48" a="1"/>
  <c r="AJ128" i="48" s="1"/>
  <c r="AJ120" i="48" a="1"/>
  <c r="AJ120" i="48" s="1"/>
  <c r="AJ117" i="48" a="1"/>
  <c r="AJ117" i="48" s="1"/>
  <c r="AQ115" i="48" a="1"/>
  <c r="AQ115" i="48" s="1"/>
  <c r="AQ80" i="48" a="1"/>
  <c r="AQ80" i="48" s="1"/>
  <c r="AJ73" i="48" a="1"/>
  <c r="AJ73" i="48" s="1"/>
  <c r="X122" i="48"/>
  <c r="U70" i="48"/>
  <c r="C220" i="48"/>
  <c r="C209" i="48"/>
  <c r="X185" i="48"/>
  <c r="AL182" i="48"/>
  <c r="X169" i="48"/>
  <c r="U163" i="48"/>
  <c r="AN149" i="48"/>
  <c r="S146" i="48"/>
  <c r="C116" i="48"/>
  <c r="C109" i="48"/>
  <c r="S86" i="48"/>
  <c r="P684" i="100"/>
  <c r="P642" i="100"/>
  <c r="P600" i="100"/>
  <c r="P592" i="100"/>
  <c r="P476" i="100"/>
  <c r="P407" i="100"/>
  <c r="P338" i="100"/>
  <c r="P229" i="100"/>
  <c r="P221" i="100"/>
  <c r="P109" i="100"/>
  <c r="P610" i="100"/>
  <c r="P573" i="100"/>
  <c r="P438" i="100"/>
  <c r="P207" i="100"/>
  <c r="P691" i="100"/>
  <c r="P683" i="100"/>
  <c r="P583" i="100"/>
  <c r="P570" i="100"/>
  <c r="P546" i="100"/>
  <c r="P451" i="100"/>
  <c r="P406" i="100"/>
  <c r="P273" i="100"/>
  <c r="P265" i="100"/>
  <c r="P220" i="100"/>
  <c r="P212" i="100"/>
  <c r="C218" i="48"/>
  <c r="C181" i="48"/>
  <c r="P696" i="100"/>
  <c r="P604" i="100"/>
  <c r="P496" i="100"/>
  <c r="P310" i="100"/>
  <c r="P270" i="100"/>
  <c r="C213" i="48"/>
  <c r="P586" i="100"/>
  <c r="P635" i="100"/>
  <c r="P551" i="100"/>
  <c r="P485" i="100"/>
  <c r="P453" i="100"/>
  <c r="P429" i="100"/>
  <c r="P392" i="100"/>
  <c r="P371" i="100"/>
  <c r="P339" i="100"/>
  <c r="P323" i="100"/>
  <c r="P307" i="100"/>
  <c r="P299" i="100"/>
  <c r="P246" i="100"/>
  <c r="P190" i="100"/>
  <c r="P174" i="100"/>
  <c r="P126" i="100"/>
  <c r="P118" i="100"/>
  <c r="P681" i="100"/>
  <c r="P223" i="100"/>
  <c r="P656" i="100"/>
  <c r="P577" i="100"/>
  <c r="P434" i="100"/>
  <c r="P389" i="100"/>
  <c r="V219" i="48" a="1"/>
  <c r="V219" i="48" s="1"/>
  <c r="V217" i="48" a="1"/>
  <c r="V217" i="48" s="1"/>
  <c r="AQ209" i="48" a="1"/>
  <c r="AQ209" i="48" s="1"/>
  <c r="V220" i="48" a="1"/>
  <c r="V220" i="48" s="1"/>
  <c r="AQ217" i="48" a="1"/>
  <c r="AQ217" i="48" s="1"/>
  <c r="V215" i="48" a="1"/>
  <c r="V215" i="48" s="1"/>
  <c r="AQ213" i="48" a="1"/>
  <c r="AQ213" i="48" s="1"/>
  <c r="AJ213" i="48" a="1"/>
  <c r="AJ213" i="48" s="1"/>
  <c r="AQ203" i="48" a="1"/>
  <c r="AQ203" i="48" s="1"/>
  <c r="AJ203" i="48" a="1"/>
  <c r="AJ203" i="48" s="1"/>
  <c r="V202" i="48" a="1"/>
  <c r="V202" i="48" s="1"/>
  <c r="V200" i="48" a="1"/>
  <c r="V200" i="48" s="1"/>
  <c r="V199" i="48" a="1"/>
  <c r="V199" i="48" s="1"/>
  <c r="AJ198" i="48" a="1"/>
  <c r="AJ198" i="48" s="1"/>
  <c r="V197" i="48" a="1"/>
  <c r="V197" i="48" s="1"/>
  <c r="AQ195" i="48" a="1"/>
  <c r="AQ195" i="48" s="1"/>
  <c r="AJ195" i="48" a="1"/>
  <c r="AJ195" i="48" s="1"/>
  <c r="AQ192" i="48" a="1"/>
  <c r="AQ192" i="48" s="1"/>
  <c r="V191" i="48" a="1"/>
  <c r="V191" i="48" s="1"/>
  <c r="V190" i="48" a="1"/>
  <c r="V190" i="48" s="1"/>
  <c r="AQ188" i="48" a="1"/>
  <c r="AQ188" i="48" s="1"/>
  <c r="AQ185" i="48" a="1"/>
  <c r="AQ185" i="48" s="1"/>
  <c r="AQ180" i="48" a="1"/>
  <c r="AQ180" i="48" s="1"/>
  <c r="AJ166" i="48" a="1"/>
  <c r="AJ166" i="48" s="1"/>
  <c r="AJ171" i="48" a="1"/>
  <c r="AJ171" i="48" s="1"/>
  <c r="V170" i="48" a="1"/>
  <c r="V170" i="48" s="1"/>
  <c r="V179" i="48" a="1"/>
  <c r="V179" i="48" s="1"/>
  <c r="V174" i="48" a="1"/>
  <c r="V174" i="48" s="1"/>
  <c r="AQ181" i="48" a="1"/>
  <c r="AQ181" i="48" s="1"/>
  <c r="AQ168" i="48" a="1"/>
  <c r="AQ168" i="48" s="1"/>
  <c r="AQ163" i="48" a="1"/>
  <c r="AQ163" i="48" s="1"/>
  <c r="V158" i="48" a="1"/>
  <c r="V158" i="48" s="1"/>
  <c r="AQ184" i="48" a="1"/>
  <c r="AQ184" i="48" s="1"/>
  <c r="V183" i="48" a="1"/>
  <c r="V183" i="48" s="1"/>
  <c r="AJ179" i="48" a="1"/>
  <c r="AJ179" i="48" s="1"/>
  <c r="AQ177" i="48" a="1"/>
  <c r="AQ177" i="48" s="1"/>
  <c r="V175" i="48" a="1"/>
  <c r="V175" i="48" s="1"/>
  <c r="AJ170" i="48" a="1"/>
  <c r="AJ170" i="48" s="1"/>
  <c r="V167" i="48" a="1"/>
  <c r="V167" i="48" s="1"/>
  <c r="V159" i="48" a="1"/>
  <c r="V159" i="48" s="1"/>
  <c r="AQ176" i="48" a="1"/>
  <c r="AQ176" i="48" s="1"/>
  <c r="V168" i="48" a="1"/>
  <c r="V168" i="48" s="1"/>
  <c r="V165" i="48" a="1"/>
  <c r="V165" i="48" s="1"/>
  <c r="AJ163" i="48" a="1"/>
  <c r="AJ163" i="48" s="1"/>
  <c r="V146" i="48" a="1"/>
  <c r="V146" i="48" s="1"/>
  <c r="AQ173" i="48" a="1"/>
  <c r="AQ173" i="48" s="1"/>
  <c r="V171" i="48" a="1"/>
  <c r="V171" i="48" s="1"/>
  <c r="AJ161" i="48" a="1"/>
  <c r="AJ161" i="48" s="1"/>
  <c r="AQ152" i="48" a="1"/>
  <c r="AQ152" i="48" s="1"/>
  <c r="AQ160" i="48" a="1"/>
  <c r="AQ160" i="48" s="1"/>
  <c r="V151" i="48" a="1"/>
  <c r="V151" i="48" s="1"/>
  <c r="V150" i="48" a="1"/>
  <c r="V150" i="48" s="1"/>
  <c r="AQ148" i="48" a="1"/>
  <c r="AQ148" i="48" s="1"/>
  <c r="AQ140" i="48" a="1"/>
  <c r="AQ140" i="48" s="1"/>
  <c r="V141" i="48" a="1"/>
  <c r="V141" i="48" s="1"/>
  <c r="V124" i="48" a="1"/>
  <c r="V124" i="48" s="1"/>
  <c r="V147" i="48" a="1"/>
  <c r="V147" i="48" s="1"/>
  <c r="AQ134" i="48" a="1"/>
  <c r="AQ134" i="48" s="1"/>
  <c r="V133" i="48" a="1"/>
  <c r="V133" i="48" s="1"/>
  <c r="AQ144" i="48" a="1"/>
  <c r="AQ144" i="48" s="1"/>
  <c r="V142" i="48" a="1"/>
  <c r="V142" i="48" s="1"/>
  <c r="AQ138" i="48" a="1"/>
  <c r="AQ138" i="48" s="1"/>
  <c r="V128" i="48" a="1"/>
  <c r="V128" i="48" s="1"/>
  <c r="AJ138" i="48" a="1"/>
  <c r="AJ138" i="48" s="1"/>
  <c r="AQ137" i="48" a="1"/>
  <c r="AQ137" i="48" s="1"/>
  <c r="AQ130" i="48" a="1"/>
  <c r="AQ130" i="48" s="1"/>
  <c r="V129" i="48" a="1"/>
  <c r="V129" i="48" s="1"/>
  <c r="AQ126" i="48" a="1"/>
  <c r="AQ126" i="48" s="1"/>
  <c r="AQ131" i="48" a="1"/>
  <c r="AQ131" i="48" s="1"/>
  <c r="AJ125" i="48" a="1"/>
  <c r="AJ125" i="48" s="1"/>
  <c r="AQ123" i="48" a="1"/>
  <c r="AQ123" i="48" s="1"/>
  <c r="AQ120" i="48" a="1"/>
  <c r="AQ120" i="48" s="1"/>
  <c r="AJ114" i="48" a="1"/>
  <c r="AJ114" i="48" s="1"/>
  <c r="V117" i="48" a="1"/>
  <c r="V117" i="48" s="1"/>
  <c r="AQ103" i="48" a="1"/>
  <c r="AQ103" i="48" s="1"/>
  <c r="AJ115" i="48" a="1"/>
  <c r="AJ115" i="48" s="1"/>
  <c r="V110" i="48" a="1"/>
  <c r="V110" i="48" s="1"/>
  <c r="V125" i="48" a="1"/>
  <c r="V125" i="48" s="1"/>
  <c r="AJ113" i="48" a="1"/>
  <c r="AJ113" i="48" s="1"/>
  <c r="AQ110" i="48" a="1"/>
  <c r="AQ110" i="48" s="1"/>
  <c r="V108" i="48" a="1"/>
  <c r="V108" i="48" s="1"/>
  <c r="AJ124" i="48" a="1"/>
  <c r="AJ124" i="48" s="1"/>
  <c r="V123" i="48" a="1"/>
  <c r="V123" i="48" s="1"/>
  <c r="AQ122" i="48" a="1"/>
  <c r="AQ122" i="48" s="1"/>
  <c r="V109" i="48" a="1"/>
  <c r="V109" i="48" s="1"/>
  <c r="AJ122" i="48" a="1"/>
  <c r="AJ122" i="48" s="1"/>
  <c r="AQ119" i="48" a="1"/>
  <c r="AQ119" i="48" s="1"/>
  <c r="V118" i="48" a="1"/>
  <c r="V118" i="48" s="1"/>
  <c r="AQ112" i="48" a="1"/>
  <c r="AQ112" i="48" s="1"/>
  <c r="AJ105" i="48" a="1"/>
  <c r="AJ105" i="48" s="1"/>
  <c r="V101" i="48" a="1"/>
  <c r="V101" i="48" s="1"/>
  <c r="AJ106" i="48" a="1"/>
  <c r="AJ106" i="48" s="1"/>
  <c r="AQ104" i="48" a="1"/>
  <c r="AQ104" i="48" s="1"/>
  <c r="V102" i="48" a="1"/>
  <c r="V102" i="48" s="1"/>
  <c r="AQ107" i="48" a="1"/>
  <c r="AQ107" i="48" s="1"/>
  <c r="V105" i="48" a="1"/>
  <c r="V105" i="48" s="1"/>
  <c r="AQ102" i="48" a="1"/>
  <c r="AQ102" i="48" s="1"/>
  <c r="V100" i="48" a="1"/>
  <c r="V100" i="48" s="1"/>
  <c r="V95" i="48" a="1"/>
  <c r="V95" i="48" s="1"/>
  <c r="AQ97" i="48" a="1"/>
  <c r="AQ97" i="48" s="1"/>
  <c r="V93" i="48" a="1"/>
  <c r="V93" i="48" s="1"/>
  <c r="AJ89" i="48" a="1"/>
  <c r="AJ89" i="48" s="1"/>
  <c r="V89" i="48" a="1"/>
  <c r="V89" i="48" s="1"/>
  <c r="AQ87" i="48" a="1"/>
  <c r="AQ87" i="48" s="1"/>
  <c r="AJ85" i="48" a="1"/>
  <c r="AJ85" i="48" s="1"/>
  <c r="V85" i="48" a="1"/>
  <c r="V85" i="48" s="1"/>
  <c r="AQ83" i="48" a="1"/>
  <c r="AQ83" i="48" s="1"/>
  <c r="AJ81" i="48" a="1"/>
  <c r="AJ81" i="48" s="1"/>
  <c r="V81" i="48" a="1"/>
  <c r="V81" i="48" s="1"/>
  <c r="AQ79" i="48" a="1"/>
  <c r="AQ79" i="48" s="1"/>
  <c r="AQ70" i="48" a="1"/>
  <c r="AQ70" i="48" s="1"/>
  <c r="AJ71" i="48" a="1"/>
  <c r="AJ71" i="48" s="1"/>
  <c r="AJ77" i="48" a="1"/>
  <c r="AJ77" i="48" s="1"/>
  <c r="AQ75" i="48" a="1"/>
  <c r="AQ75" i="48" s="1"/>
  <c r="V75" i="48" a="1"/>
  <c r="V75" i="48" s="1"/>
  <c r="AQ69" i="48" a="1"/>
  <c r="AQ69" i="48" s="1"/>
  <c r="V67" i="48" a="1"/>
  <c r="V67" i="48" s="1"/>
  <c r="V74" i="48" a="1"/>
  <c r="V74" i="48" s="1"/>
  <c r="V73" i="48" a="1"/>
  <c r="V73" i="48" s="1"/>
  <c r="V68" i="48" a="1"/>
  <c r="V68" i="48" s="1"/>
  <c r="AJ63" i="48" a="1"/>
  <c r="AJ63" i="48" s="1"/>
  <c r="AQ61" i="48" a="1"/>
  <c r="AQ61" i="48" s="1"/>
  <c r="V59" i="48" a="1"/>
  <c r="V59" i="48" s="1"/>
  <c r="AJ55" i="48" a="1"/>
  <c r="AJ55" i="48" s="1"/>
  <c r="AQ53" i="48" a="1"/>
  <c r="AQ53" i="48" s="1"/>
  <c r="V51" i="48" a="1"/>
  <c r="V51" i="48" s="1"/>
  <c r="V60" i="48" a="1"/>
  <c r="V60" i="48" s="1"/>
  <c r="V52" i="48" a="1"/>
  <c r="V52" i="48" s="1"/>
  <c r="V63" i="48" a="1"/>
  <c r="V63" i="48" s="1"/>
  <c r="AQ57" i="48" a="1"/>
  <c r="AQ57" i="48" s="1"/>
  <c r="V55" i="48" a="1"/>
  <c r="V55" i="48" s="1"/>
  <c r="V66" i="48" a="1"/>
  <c r="V66" i="48" s="1"/>
  <c r="V58" i="48" a="1"/>
  <c r="V58" i="48" s="1"/>
  <c r="V50" i="48" a="1"/>
  <c r="V50" i="48" s="1"/>
  <c r="AQ71" i="48" a="1"/>
  <c r="AQ71" i="48" s="1"/>
  <c r="V69" i="48" a="1"/>
  <c r="V69" i="48" s="1"/>
  <c r="V61" i="48" a="1"/>
  <c r="V61" i="48" s="1"/>
  <c r="V53" i="48" a="1"/>
  <c r="V53" i="48" s="1"/>
  <c r="D6" i="68"/>
  <c r="G6" i="68"/>
  <c r="E6" i="68"/>
  <c r="F6" i="68"/>
  <c r="Q14" i="73"/>
  <c r="Q12" i="73"/>
  <c r="Q10" i="73"/>
  <c r="Q23" i="73"/>
  <c r="Q9" i="73"/>
  <c r="Q7" i="73"/>
  <c r="Q5" i="73"/>
  <c r="Q19" i="73"/>
  <c r="Q17" i="73"/>
  <c r="Q18" i="73"/>
  <c r="Q13" i="73"/>
  <c r="Q15" i="73"/>
  <c r="Q8" i="73"/>
  <c r="Q3" i="73"/>
  <c r="Q20" i="73"/>
  <c r="Q4" i="73"/>
  <c r="Q11" i="73"/>
  <c r="P2" i="47" l="1"/>
  <c r="K68" i="80"/>
  <c r="L68" i="80"/>
  <c r="M68" i="80"/>
  <c r="K69" i="80"/>
  <c r="L69" i="80"/>
  <c r="M69" i="80"/>
  <c r="K70" i="80"/>
  <c r="M70" i="80"/>
  <c r="L70" i="80"/>
  <c r="K71" i="80"/>
  <c r="M71" i="80"/>
  <c r="L71" i="80"/>
  <c r="K72" i="80"/>
  <c r="L72" i="80"/>
  <c r="M72" i="80"/>
  <c r="K73" i="80"/>
  <c r="L73" i="80"/>
  <c r="M73" i="80"/>
  <c r="K74" i="80"/>
  <c r="M74" i="80"/>
  <c r="L74" i="80"/>
  <c r="K75" i="80"/>
  <c r="L75" i="80"/>
  <c r="M75" i="80"/>
  <c r="K76" i="80"/>
  <c r="L76" i="80"/>
  <c r="M76" i="80"/>
  <c r="K77" i="80"/>
  <c r="L77" i="80"/>
  <c r="M77" i="80"/>
  <c r="K78" i="80"/>
  <c r="M78" i="80"/>
  <c r="L78" i="80"/>
  <c r="K79" i="80"/>
  <c r="M79" i="80"/>
  <c r="L79" i="80"/>
  <c r="K80" i="80"/>
  <c r="L80" i="80"/>
  <c r="M80" i="80"/>
  <c r="K81" i="80"/>
  <c r="L81" i="80"/>
  <c r="M81" i="80"/>
  <c r="K82" i="80"/>
  <c r="M82" i="80"/>
  <c r="L82" i="80"/>
  <c r="K83" i="80"/>
  <c r="L83" i="80"/>
  <c r="M83" i="80"/>
  <c r="K84" i="80"/>
  <c r="L84" i="80"/>
  <c r="M84" i="80"/>
  <c r="K85" i="80"/>
  <c r="L85" i="80"/>
  <c r="M85" i="80"/>
  <c r="K86" i="80"/>
  <c r="M86" i="80"/>
  <c r="L86" i="80"/>
  <c r="K87" i="80"/>
  <c r="M87" i="80"/>
  <c r="L87" i="80"/>
  <c r="K88" i="80"/>
  <c r="L88" i="80"/>
  <c r="M88" i="80"/>
  <c r="K89" i="80"/>
  <c r="L89" i="80"/>
  <c r="M89" i="80"/>
  <c r="K90" i="80"/>
  <c r="M90" i="80"/>
  <c r="L90" i="80"/>
  <c r="K91" i="80"/>
  <c r="L91" i="80"/>
  <c r="M91" i="80"/>
  <c r="K92" i="80"/>
  <c r="L92" i="80"/>
  <c r="M92" i="80"/>
  <c r="K93" i="80"/>
  <c r="L93" i="80"/>
  <c r="M93" i="80"/>
  <c r="K94" i="80"/>
  <c r="M94" i="80"/>
  <c r="L94" i="80"/>
  <c r="K95" i="80"/>
  <c r="M95" i="80"/>
  <c r="L95" i="80"/>
  <c r="K96" i="80"/>
  <c r="L96" i="80"/>
  <c r="M96" i="80"/>
  <c r="K97" i="80"/>
  <c r="L97" i="80"/>
  <c r="M97" i="80"/>
  <c r="K98" i="80"/>
  <c r="M98" i="80"/>
  <c r="L98" i="80"/>
  <c r="K99" i="80"/>
  <c r="M99" i="80"/>
  <c r="L99" i="80"/>
  <c r="K100" i="80"/>
  <c r="L100" i="80"/>
  <c r="M100" i="80"/>
  <c r="K101" i="80"/>
  <c r="L101" i="80"/>
  <c r="M101" i="80"/>
  <c r="K102" i="80"/>
  <c r="M102" i="80"/>
  <c r="L102" i="80"/>
  <c r="K103" i="80"/>
  <c r="M103" i="80"/>
  <c r="L103" i="80"/>
  <c r="K104" i="80"/>
  <c r="L104" i="80"/>
  <c r="M104" i="80"/>
  <c r="K105" i="80"/>
  <c r="L105" i="80"/>
  <c r="M105" i="80"/>
  <c r="K106" i="80"/>
  <c r="M106" i="80"/>
  <c r="L106" i="80"/>
  <c r="K107" i="80"/>
  <c r="L107" i="80"/>
  <c r="M107" i="80"/>
  <c r="K108" i="80"/>
  <c r="L108" i="80"/>
  <c r="M108" i="80"/>
  <c r="K109" i="80"/>
  <c r="L109" i="80"/>
  <c r="M109" i="80"/>
  <c r="K110" i="80"/>
  <c r="M110" i="80"/>
  <c r="L110" i="80"/>
  <c r="K111" i="80"/>
  <c r="M111" i="80"/>
  <c r="L111" i="80"/>
  <c r="K112" i="80"/>
  <c r="L112" i="80"/>
  <c r="M112" i="80"/>
  <c r="K113" i="80"/>
  <c r="L113" i="80"/>
  <c r="M113" i="80"/>
  <c r="K114" i="80"/>
  <c r="M114" i="80"/>
  <c r="L114" i="80"/>
  <c r="K115" i="80"/>
  <c r="L115" i="80"/>
  <c r="M115" i="80"/>
  <c r="K116" i="80"/>
  <c r="L116" i="80"/>
  <c r="M116" i="80"/>
  <c r="K117" i="80"/>
  <c r="L117" i="80"/>
  <c r="M117" i="80"/>
  <c r="K118" i="80"/>
  <c r="M118" i="80"/>
  <c r="L118" i="80"/>
  <c r="K119" i="80"/>
  <c r="M119" i="80"/>
  <c r="L119" i="80"/>
  <c r="K120" i="80"/>
  <c r="L120" i="80"/>
  <c r="M120" i="80"/>
  <c r="K121" i="80"/>
  <c r="L121" i="80"/>
  <c r="M121" i="80"/>
  <c r="K122" i="80"/>
  <c r="M122" i="80"/>
  <c r="L122" i="80"/>
  <c r="K123" i="80"/>
  <c r="L123" i="80"/>
  <c r="M123" i="80"/>
  <c r="K124" i="80"/>
  <c r="L124" i="80"/>
  <c r="M124" i="80"/>
  <c r="K125" i="80"/>
  <c r="L125" i="80"/>
  <c r="M125" i="80"/>
  <c r="K126" i="80"/>
  <c r="M126" i="80"/>
  <c r="L126" i="80"/>
  <c r="K127" i="80"/>
  <c r="M127" i="80"/>
  <c r="L127" i="80"/>
  <c r="K128" i="80"/>
  <c r="L128" i="80"/>
  <c r="M128" i="80"/>
  <c r="K129" i="80"/>
  <c r="L129" i="80"/>
  <c r="M129" i="80"/>
  <c r="K130" i="80"/>
  <c r="M130" i="80"/>
  <c r="L130" i="80"/>
  <c r="K131" i="80"/>
  <c r="M131" i="80"/>
  <c r="L131" i="80"/>
  <c r="K132" i="80"/>
  <c r="L132" i="80"/>
  <c r="M132" i="80"/>
  <c r="K133" i="80"/>
  <c r="L133" i="80"/>
  <c r="M133" i="80"/>
  <c r="K134" i="80"/>
  <c r="M134" i="80"/>
  <c r="L134" i="80"/>
  <c r="K135" i="80"/>
  <c r="M135" i="80"/>
  <c r="L135" i="80"/>
  <c r="K136" i="80"/>
  <c r="L136" i="80"/>
  <c r="M136" i="80"/>
  <c r="K137" i="80"/>
  <c r="L137" i="80"/>
  <c r="M137" i="80"/>
  <c r="K138" i="80"/>
  <c r="M138" i="80"/>
  <c r="L138" i="80"/>
  <c r="K139" i="80"/>
  <c r="L139" i="80"/>
  <c r="M139" i="80"/>
  <c r="K140" i="80"/>
  <c r="L140" i="80"/>
  <c r="M140" i="80"/>
  <c r="K141" i="80"/>
  <c r="L141" i="80"/>
  <c r="M141" i="80"/>
  <c r="K142" i="80"/>
  <c r="M142" i="80"/>
  <c r="L142" i="80"/>
  <c r="K143" i="80"/>
  <c r="M143" i="80"/>
  <c r="L143" i="80"/>
  <c r="K144" i="80"/>
  <c r="L144" i="80"/>
  <c r="M144" i="80"/>
  <c r="K145" i="80"/>
  <c r="L145" i="80"/>
  <c r="M145" i="80"/>
  <c r="K146" i="80"/>
  <c r="M146" i="80"/>
  <c r="L146" i="80"/>
  <c r="K147" i="80"/>
  <c r="L147" i="80"/>
  <c r="M147" i="80"/>
  <c r="K148" i="80"/>
  <c r="L148" i="80"/>
  <c r="M148" i="80"/>
  <c r="K149" i="80"/>
  <c r="L149" i="80"/>
  <c r="M149" i="80"/>
  <c r="K150" i="80"/>
  <c r="M150" i="80"/>
  <c r="L150" i="80"/>
  <c r="K151" i="80"/>
  <c r="M151" i="80"/>
  <c r="L151" i="80"/>
  <c r="K152" i="80"/>
  <c r="L152" i="80"/>
  <c r="M152" i="80"/>
  <c r="K153" i="80"/>
  <c r="L153" i="80"/>
  <c r="M153" i="80"/>
  <c r="K154" i="80"/>
  <c r="M154" i="80"/>
  <c r="L154" i="80"/>
  <c r="K155" i="80"/>
  <c r="L155" i="80"/>
  <c r="M155" i="80"/>
  <c r="K156" i="80"/>
  <c r="L156" i="80"/>
  <c r="M156" i="80"/>
  <c r="K157" i="80"/>
  <c r="L157" i="80"/>
  <c r="M157" i="80"/>
  <c r="K158" i="80"/>
  <c r="M158" i="80"/>
  <c r="L158" i="80"/>
  <c r="K159" i="80"/>
  <c r="M159" i="80"/>
  <c r="L159" i="80"/>
  <c r="K160" i="80"/>
  <c r="L160" i="80"/>
  <c r="M160" i="80"/>
  <c r="K161" i="80"/>
  <c r="L161" i="80"/>
  <c r="M161" i="80"/>
  <c r="K162" i="80"/>
  <c r="M162" i="80"/>
  <c r="L162" i="80"/>
  <c r="K163" i="80"/>
  <c r="M163" i="80"/>
  <c r="L163" i="80"/>
  <c r="K164" i="80"/>
  <c r="L164" i="80"/>
  <c r="M164" i="80"/>
  <c r="K165" i="80"/>
  <c r="L165" i="80"/>
  <c r="M165" i="80"/>
  <c r="K166" i="80"/>
  <c r="M166" i="80"/>
  <c r="L166" i="80"/>
  <c r="K167" i="80"/>
  <c r="M167" i="80"/>
  <c r="L167" i="80"/>
  <c r="K168" i="80"/>
  <c r="L168" i="80"/>
  <c r="M168" i="80"/>
  <c r="K169" i="80"/>
  <c r="L169" i="80"/>
  <c r="M169" i="80"/>
  <c r="K170" i="80"/>
  <c r="M170" i="80"/>
  <c r="L170" i="80"/>
  <c r="K171" i="80"/>
  <c r="L171" i="80"/>
  <c r="M171" i="80"/>
  <c r="K172" i="80"/>
  <c r="L172" i="80"/>
  <c r="M172" i="80"/>
  <c r="K173" i="80"/>
  <c r="L173" i="80"/>
  <c r="M173" i="80"/>
  <c r="K174" i="80"/>
  <c r="M174" i="80"/>
  <c r="L174" i="80"/>
  <c r="K175" i="80"/>
  <c r="M175" i="80"/>
  <c r="L175" i="80"/>
  <c r="K176" i="80"/>
  <c r="L176" i="80"/>
  <c r="M176" i="80"/>
  <c r="K177" i="80"/>
  <c r="L177" i="80"/>
  <c r="M177" i="80"/>
  <c r="K178" i="80"/>
  <c r="M178" i="80"/>
  <c r="L178" i="80"/>
  <c r="K179" i="80"/>
  <c r="L179" i="80"/>
  <c r="M179" i="80"/>
  <c r="K180" i="80"/>
  <c r="L180" i="80"/>
  <c r="M180" i="80"/>
  <c r="K181" i="80"/>
  <c r="L181" i="80"/>
  <c r="M181" i="80"/>
  <c r="K182" i="80"/>
  <c r="M182" i="80"/>
  <c r="L182" i="80"/>
  <c r="K183" i="80"/>
  <c r="M183" i="80"/>
  <c r="L183" i="80"/>
  <c r="K184" i="80"/>
  <c r="L184" i="80"/>
  <c r="M184" i="80"/>
  <c r="K185" i="80"/>
  <c r="L185" i="80"/>
  <c r="M185" i="80"/>
  <c r="K186" i="80"/>
  <c r="M186" i="80"/>
  <c r="L186" i="80"/>
  <c r="K187" i="80"/>
  <c r="L187" i="80"/>
  <c r="M187" i="80"/>
  <c r="K188" i="80"/>
  <c r="L188" i="80"/>
  <c r="M188" i="80"/>
  <c r="K189" i="80"/>
  <c r="L189" i="80"/>
  <c r="M189" i="80"/>
  <c r="K190" i="80"/>
  <c r="M190" i="80"/>
  <c r="L190" i="80"/>
  <c r="K191" i="80"/>
  <c r="M191" i="80"/>
  <c r="L191" i="80"/>
  <c r="K192" i="80"/>
  <c r="L192" i="80"/>
  <c r="M192" i="80"/>
  <c r="K193" i="80"/>
  <c r="L193" i="80"/>
  <c r="M193" i="80"/>
  <c r="K194" i="80"/>
  <c r="M194" i="80"/>
  <c r="L194" i="80"/>
  <c r="K195" i="80"/>
  <c r="M195" i="80"/>
  <c r="L195" i="80"/>
  <c r="K196" i="80"/>
  <c r="L196" i="80"/>
  <c r="M196" i="80"/>
  <c r="K197" i="80"/>
  <c r="L197" i="80"/>
  <c r="M197" i="80"/>
  <c r="K198" i="80"/>
  <c r="M198" i="80"/>
  <c r="L198" i="80"/>
  <c r="K199" i="80"/>
  <c r="M199" i="80"/>
  <c r="L199" i="80"/>
  <c r="K200" i="80"/>
  <c r="L200" i="80"/>
  <c r="M200" i="80"/>
  <c r="K201" i="80"/>
  <c r="L201" i="80"/>
  <c r="M201" i="80"/>
  <c r="K202" i="80"/>
  <c r="M202" i="80"/>
  <c r="L202" i="80"/>
  <c r="K203" i="80"/>
  <c r="L203" i="80"/>
  <c r="M203" i="80"/>
  <c r="K204" i="80"/>
  <c r="L204" i="80"/>
  <c r="M204" i="80"/>
  <c r="K205" i="80"/>
  <c r="L205" i="80"/>
  <c r="M205" i="80"/>
  <c r="K206" i="80"/>
  <c r="M206" i="80"/>
  <c r="L206" i="80"/>
  <c r="K207" i="80"/>
  <c r="M207" i="80"/>
  <c r="L207" i="80"/>
  <c r="K208" i="80"/>
  <c r="L208" i="80"/>
  <c r="M208" i="80"/>
  <c r="K209" i="80"/>
  <c r="L209" i="80"/>
  <c r="M209" i="80"/>
  <c r="K210" i="80"/>
  <c r="M210" i="80"/>
  <c r="L210" i="80"/>
  <c r="K211" i="80"/>
  <c r="L211" i="80"/>
  <c r="M211" i="80"/>
  <c r="K212" i="80"/>
  <c r="L212" i="80"/>
  <c r="M212" i="80"/>
  <c r="K213" i="80"/>
  <c r="L213" i="80"/>
  <c r="M213" i="80"/>
  <c r="K214" i="80"/>
  <c r="M214" i="80"/>
  <c r="L214" i="80"/>
  <c r="K215" i="80"/>
  <c r="M215" i="80"/>
  <c r="L215" i="80"/>
  <c r="K216" i="80"/>
  <c r="L216" i="80"/>
  <c r="M216" i="80"/>
  <c r="K217" i="80"/>
  <c r="L217" i="80"/>
  <c r="M217" i="80"/>
  <c r="K218" i="80"/>
  <c r="M218" i="80"/>
  <c r="L218" i="80"/>
  <c r="D77" i="48"/>
  <c r="D81" i="48"/>
  <c r="D92" i="48"/>
  <c r="D95" i="48"/>
  <c r="D106" i="48"/>
  <c r="D113" i="48"/>
  <c r="D118" i="48"/>
  <c r="D120" i="48"/>
  <c r="D126" i="48"/>
  <c r="D131" i="48"/>
  <c r="D153" i="48"/>
  <c r="D174" i="48"/>
  <c r="D196" i="48"/>
  <c r="D198" i="48"/>
  <c r="D144" i="48"/>
  <c r="O144" i="48" s="1"/>
  <c r="D207" i="48"/>
  <c r="D202" i="48"/>
  <c r="D107" i="48"/>
  <c r="D79" i="48"/>
  <c r="B23" i="107"/>
  <c r="Q6" i="47"/>
  <c r="Q74" i="47"/>
  <c r="Q89" i="47"/>
  <c r="Q108" i="47"/>
  <c r="Q110" i="47"/>
  <c r="Q122" i="47"/>
  <c r="Q143" i="47"/>
  <c r="Q166" i="47"/>
  <c r="Q167" i="47"/>
  <c r="Q169" i="47"/>
  <c r="Q180" i="47"/>
  <c r="Q187" i="47"/>
  <c r="Q199" i="47"/>
  <c r="Q206" i="47"/>
  <c r="Q207" i="47"/>
  <c r="Q214" i="47"/>
  <c r="Q216" i="47"/>
  <c r="Q217" i="47"/>
  <c r="AL173" i="48"/>
  <c r="Q191" i="47"/>
  <c r="C142" i="48"/>
  <c r="C119" i="48"/>
  <c r="AB134" i="48"/>
  <c r="AE147" i="48"/>
  <c r="Q211" i="47"/>
  <c r="U96" i="48"/>
  <c r="C193" i="48"/>
  <c r="S148" i="48"/>
  <c r="AN135" i="48"/>
  <c r="Q131" i="47"/>
  <c r="C132" i="48"/>
  <c r="C104" i="48"/>
  <c r="U80" i="48"/>
  <c r="Q139" i="47"/>
  <c r="AB156" i="48"/>
  <c r="C166" i="48"/>
  <c r="C75" i="48"/>
  <c r="Q99" i="47"/>
  <c r="U177" i="48"/>
  <c r="Q95" i="47"/>
  <c r="Q115" i="47"/>
  <c r="Q171" i="47"/>
  <c r="Q127" i="47"/>
  <c r="C151" i="48"/>
  <c r="Q103" i="47"/>
  <c r="AP111" i="48"/>
  <c r="Q119" i="47"/>
  <c r="C123" i="48"/>
  <c r="U164" i="48"/>
  <c r="Q147" i="47"/>
  <c r="C150" i="48"/>
  <c r="Q163" i="47"/>
  <c r="AE192" i="48"/>
  <c r="X133" i="48"/>
  <c r="Q135" i="47"/>
  <c r="Q107" i="47"/>
  <c r="AG179" i="48"/>
  <c r="C190" i="48"/>
  <c r="C178" i="48"/>
  <c r="Q206" i="48"/>
  <c r="C169" i="48"/>
  <c r="AB109" i="48"/>
  <c r="C182" i="48"/>
  <c r="C122" i="48"/>
  <c r="Q205" i="48"/>
  <c r="C70" i="48"/>
  <c r="AP116" i="48"/>
  <c r="C163" i="48"/>
  <c r="AG209" i="48"/>
  <c r="C86" i="48"/>
  <c r="AN220" i="48"/>
  <c r="C149" i="48"/>
  <c r="C146" i="48"/>
  <c r="AN122" i="48"/>
  <c r="C185" i="48"/>
  <c r="U182" i="48"/>
  <c r="Q75" i="48"/>
  <c r="AI150" i="48"/>
  <c r="AI178" i="48"/>
  <c r="Q122" i="48"/>
  <c r="AG182" i="48"/>
  <c r="U132" i="48"/>
  <c r="AB75" i="48"/>
  <c r="AB132" i="48"/>
  <c r="S132" i="48"/>
  <c r="AI182" i="48"/>
  <c r="AG132" i="48"/>
  <c r="AI122" i="48"/>
  <c r="X132" i="48"/>
  <c r="AI132" i="48"/>
  <c r="AP75" i="48"/>
  <c r="AL132" i="48"/>
  <c r="AL122" i="48"/>
  <c r="U122" i="48"/>
  <c r="U75" i="48"/>
  <c r="Q178" i="48"/>
  <c r="AI149" i="48"/>
  <c r="AP149" i="48"/>
  <c r="AE149" i="48"/>
  <c r="AG149" i="48"/>
  <c r="U149" i="48"/>
  <c r="AL149" i="48"/>
  <c r="X149" i="48"/>
  <c r="Q149" i="48"/>
  <c r="S149" i="48"/>
  <c r="Z149" i="48"/>
  <c r="AB149" i="48"/>
  <c r="Z169" i="48"/>
  <c r="AN169" i="48"/>
  <c r="AL190" i="48"/>
  <c r="Z178" i="48"/>
  <c r="Q119" i="48"/>
  <c r="S75" i="48"/>
  <c r="Z122" i="48"/>
  <c r="S122" i="48"/>
  <c r="AP122" i="48"/>
  <c r="AB182" i="48"/>
  <c r="AG75" i="48"/>
  <c r="Z150" i="48"/>
  <c r="U150" i="48"/>
  <c r="AG119" i="48"/>
  <c r="X119" i="48"/>
  <c r="AN119" i="48"/>
  <c r="Q193" i="48"/>
  <c r="Q86" i="48"/>
  <c r="AE70" i="48"/>
  <c r="AL70" i="48"/>
  <c r="AP86" i="48"/>
  <c r="U190" i="48"/>
  <c r="Z86" i="48"/>
  <c r="AG70" i="48"/>
  <c r="X190" i="48"/>
  <c r="AG86" i="48"/>
  <c r="AP70" i="48"/>
  <c r="Z190" i="48"/>
  <c r="Q169" i="48"/>
  <c r="AG190" i="48"/>
  <c r="AB70" i="48"/>
  <c r="AN86" i="48"/>
  <c r="AB169" i="48"/>
  <c r="Z70" i="48"/>
  <c r="AG169" i="48"/>
  <c r="AE190" i="48"/>
  <c r="AN190" i="48"/>
  <c r="AI70" i="48"/>
  <c r="AE86" i="48"/>
  <c r="AI169" i="48"/>
  <c r="AP190" i="48"/>
  <c r="AP169" i="48"/>
  <c r="U169" i="48"/>
  <c r="AP142" i="48"/>
  <c r="Q181" i="48"/>
  <c r="Q70" i="48"/>
  <c r="AL169" i="48"/>
  <c r="S169" i="48"/>
  <c r="AE169" i="48"/>
  <c r="Q185" i="48"/>
  <c r="S185" i="48"/>
  <c r="AG213" i="48"/>
  <c r="S119" i="48"/>
  <c r="AG122" i="48"/>
  <c r="S178" i="48"/>
  <c r="AL119" i="48"/>
  <c r="AP178" i="48"/>
  <c r="U218" i="48"/>
  <c r="AP166" i="48"/>
  <c r="U166" i="48"/>
  <c r="Z166" i="48"/>
  <c r="U151" i="48"/>
  <c r="S163" i="48"/>
  <c r="AP151" i="48"/>
  <c r="AI151" i="48"/>
  <c r="S104" i="48"/>
  <c r="AE151" i="48"/>
  <c r="Z151" i="48"/>
  <c r="AL104" i="48"/>
  <c r="AE104" i="48"/>
  <c r="AE142" i="48"/>
  <c r="AI185" i="48"/>
  <c r="AL146" i="48"/>
  <c r="X142" i="48"/>
  <c r="AL185" i="48"/>
  <c r="AB146" i="48"/>
  <c r="AP185" i="48"/>
  <c r="U142" i="48"/>
  <c r="AG163" i="48"/>
  <c r="Q163" i="48"/>
  <c r="AI86" i="48"/>
  <c r="Q146" i="48"/>
  <c r="AN166" i="48"/>
  <c r="AL193" i="48"/>
  <c r="S142" i="48"/>
  <c r="AG142" i="48"/>
  <c r="AI146" i="48"/>
  <c r="AB185" i="48"/>
  <c r="Q142" i="48"/>
  <c r="S70" i="48"/>
  <c r="AN104" i="48"/>
  <c r="AI163" i="48"/>
  <c r="AP163" i="48"/>
  <c r="AG185" i="48"/>
  <c r="X86" i="48"/>
  <c r="X104" i="48"/>
  <c r="AL142" i="48"/>
  <c r="AL86" i="48"/>
  <c r="S151" i="48"/>
  <c r="Z163" i="48"/>
  <c r="Z146" i="48"/>
  <c r="AG166" i="48"/>
  <c r="AN163" i="48"/>
  <c r="AB193" i="48"/>
  <c r="AN146" i="48"/>
  <c r="AE185" i="48"/>
  <c r="AI104" i="48"/>
  <c r="AI166" i="48"/>
  <c r="Z185" i="48"/>
  <c r="AG104" i="48"/>
  <c r="AN151" i="48"/>
  <c r="AL163" i="48"/>
  <c r="X193" i="48"/>
  <c r="Z193" i="48"/>
  <c r="U86" i="48"/>
  <c r="AE146" i="48"/>
  <c r="AE193" i="48"/>
  <c r="Q104" i="48"/>
  <c r="U146" i="48"/>
  <c r="U185" i="48"/>
  <c r="U193" i="48"/>
  <c r="AN70" i="48"/>
  <c r="X146" i="48"/>
  <c r="AG146" i="48"/>
  <c r="X166" i="48"/>
  <c r="Z142" i="48"/>
  <c r="S193" i="48"/>
  <c r="X70" i="48"/>
  <c r="AB86" i="48"/>
  <c r="U104" i="48"/>
  <c r="AP146" i="48"/>
  <c r="X163" i="48"/>
  <c r="AN185" i="48"/>
  <c r="AG193" i="48"/>
  <c r="AN142" i="48"/>
  <c r="AP104" i="48"/>
  <c r="AB104" i="48"/>
  <c r="AP193" i="48"/>
  <c r="X151" i="48"/>
  <c r="AN193" i="48"/>
  <c r="AL151" i="48"/>
  <c r="AI142" i="48"/>
  <c r="AG151" i="48"/>
  <c r="AE166" i="48"/>
  <c r="Q151" i="48"/>
  <c r="AB163" i="48"/>
  <c r="S166" i="48"/>
  <c r="AE163" i="48"/>
  <c r="Q166" i="48"/>
  <c r="C208" i="48"/>
  <c r="C195" i="48"/>
  <c r="C165" i="48"/>
  <c r="C89" i="48"/>
  <c r="C217" i="48"/>
  <c r="C137" i="48"/>
  <c r="C114" i="48"/>
  <c r="C101" i="48"/>
  <c r="C136" i="48"/>
  <c r="C210" i="48"/>
  <c r="C215" i="48"/>
  <c r="C161" i="48"/>
  <c r="C219" i="48"/>
  <c r="C154" i="48"/>
  <c r="C152" i="48"/>
  <c r="C214" i="48"/>
  <c r="C212" i="48"/>
  <c r="C158" i="48"/>
  <c r="C180" i="48"/>
  <c r="C105" i="48"/>
  <c r="C94" i="48"/>
  <c r="C87" i="48"/>
  <c r="C117" i="48"/>
  <c r="C160" i="48"/>
  <c r="C167" i="48"/>
  <c r="C203" i="48"/>
  <c r="C216" i="48"/>
  <c r="C184" i="48"/>
  <c r="C159" i="48"/>
  <c r="C115" i="48"/>
  <c r="C170" i="48"/>
  <c r="C83" i="48"/>
  <c r="C139" i="48"/>
  <c r="C183" i="48"/>
  <c r="C72" i="48"/>
  <c r="C199" i="48"/>
  <c r="C176" i="48"/>
  <c r="C175" i="48"/>
  <c r="C201" i="48"/>
  <c r="C186" i="48"/>
  <c r="C211" i="48"/>
  <c r="C157" i="48"/>
  <c r="C189" i="48"/>
  <c r="Z119" i="48"/>
  <c r="AB119" i="48"/>
  <c r="AP119" i="48"/>
  <c r="U119" i="48"/>
  <c r="AE119" i="48"/>
  <c r="S150" i="48"/>
  <c r="AP150" i="48"/>
  <c r="AG150" i="48"/>
  <c r="AL150" i="48"/>
  <c r="Q150" i="48"/>
  <c r="AN150" i="48"/>
  <c r="AB150" i="48"/>
  <c r="AE150" i="48"/>
  <c r="Q182" i="48"/>
  <c r="AE182" i="48"/>
  <c r="X182" i="48"/>
  <c r="AP182" i="48"/>
  <c r="Z182" i="48"/>
  <c r="S182" i="48"/>
  <c r="AN182" i="48"/>
  <c r="AL75" i="48"/>
  <c r="AE75" i="48"/>
  <c r="X75" i="48"/>
  <c r="AN75" i="48"/>
  <c r="AI75" i="48"/>
  <c r="AB122" i="48"/>
  <c r="AE122" i="48"/>
  <c r="AB178" i="48"/>
  <c r="AL178" i="48"/>
  <c r="U178" i="48"/>
  <c r="AE178" i="48"/>
  <c r="X178" i="48"/>
  <c r="AG178" i="48"/>
  <c r="AE132" i="48"/>
  <c r="AP132" i="48"/>
  <c r="Z132" i="48"/>
  <c r="Q132" i="48"/>
  <c r="C197" i="48"/>
  <c r="C130" i="48"/>
  <c r="C84" i="48"/>
  <c r="C204" i="48"/>
  <c r="C85" i="48"/>
  <c r="C124" i="48"/>
  <c r="C112" i="48"/>
  <c r="C108" i="48"/>
  <c r="C78" i="48"/>
  <c r="C187" i="48"/>
  <c r="C172" i="48"/>
  <c r="C99" i="48"/>
  <c r="AL166" i="48"/>
  <c r="AI190" i="48"/>
  <c r="Q190" i="48"/>
  <c r="AB190" i="48"/>
  <c r="N18" i="80"/>
  <c r="L2" i="80"/>
  <c r="M2" i="80"/>
  <c r="N2" i="80"/>
  <c r="N17" i="80"/>
  <c r="N14" i="80"/>
  <c r="L5" i="80"/>
  <c r="M5" i="80"/>
  <c r="N5" i="80"/>
  <c r="N11" i="80"/>
  <c r="N9" i="80"/>
  <c r="N19" i="80"/>
  <c r="N10" i="80"/>
  <c r="N12" i="80"/>
  <c r="L7" i="80"/>
  <c r="M7" i="80"/>
  <c r="N7" i="80"/>
  <c r="N13" i="80"/>
  <c r="L3" i="80"/>
  <c r="M3" i="80"/>
  <c r="N3" i="80"/>
  <c r="N8" i="80"/>
  <c r="L4" i="80"/>
  <c r="M4" i="80"/>
  <c r="N4" i="80"/>
  <c r="N20" i="80"/>
  <c r="N16" i="80"/>
  <c r="L6" i="80"/>
  <c r="M6" i="80"/>
  <c r="N6" i="80"/>
  <c r="N21" i="80"/>
  <c r="N15" i="80"/>
  <c r="N46" i="80"/>
  <c r="O3" i="100"/>
  <c r="O4" i="100"/>
  <c r="O5" i="100"/>
  <c r="O6" i="100"/>
  <c r="O7" i="100"/>
  <c r="O8" i="100"/>
  <c r="O9" i="100"/>
  <c r="O10" i="100"/>
  <c r="O11" i="100"/>
  <c r="O12" i="100"/>
  <c r="O13" i="100"/>
  <c r="O14" i="100"/>
  <c r="O15" i="100"/>
  <c r="O16" i="100"/>
  <c r="O17" i="100"/>
  <c r="O18" i="100"/>
  <c r="O19" i="100"/>
  <c r="O20" i="100"/>
  <c r="O21" i="100"/>
  <c r="O22" i="100"/>
  <c r="O23" i="100"/>
  <c r="O24" i="100"/>
  <c r="O25" i="100"/>
  <c r="O26" i="100"/>
  <c r="O27" i="100"/>
  <c r="O28" i="100"/>
  <c r="O29" i="100"/>
  <c r="O30" i="100"/>
  <c r="O31" i="100"/>
  <c r="O32" i="100"/>
  <c r="O33" i="100"/>
  <c r="O34" i="100"/>
  <c r="O35" i="100"/>
  <c r="O36" i="100"/>
  <c r="O37" i="100"/>
  <c r="O38" i="100"/>
  <c r="O39" i="100"/>
  <c r="O40" i="100"/>
  <c r="O41" i="100"/>
  <c r="O42" i="100"/>
  <c r="O43" i="100"/>
  <c r="O44" i="100"/>
  <c r="O45" i="100"/>
  <c r="O46" i="100"/>
  <c r="O47" i="100"/>
  <c r="O48" i="100"/>
  <c r="O49" i="100"/>
  <c r="O50" i="100"/>
  <c r="O51" i="100"/>
  <c r="O52" i="100"/>
  <c r="O53" i="100"/>
  <c r="O54" i="100"/>
  <c r="O55" i="100"/>
  <c r="O56" i="100"/>
  <c r="O57" i="100"/>
  <c r="O58" i="100"/>
  <c r="O59" i="100"/>
  <c r="O60" i="100"/>
  <c r="O61" i="100"/>
  <c r="O62" i="100"/>
  <c r="O63" i="100"/>
  <c r="O64" i="100"/>
  <c r="O65" i="100"/>
  <c r="O66" i="100"/>
  <c r="O67" i="100"/>
  <c r="O68" i="100"/>
  <c r="O69" i="100"/>
  <c r="O70" i="100"/>
  <c r="O71" i="100"/>
  <c r="O72" i="100"/>
  <c r="O73" i="100"/>
  <c r="O74" i="100"/>
  <c r="O75" i="100"/>
  <c r="O76" i="100"/>
  <c r="O77" i="100"/>
  <c r="O78" i="100"/>
  <c r="O79" i="100"/>
  <c r="O80" i="100"/>
  <c r="O81" i="100"/>
  <c r="O82" i="100"/>
  <c r="O2" i="100"/>
  <c r="N3" i="100"/>
  <c r="N4" i="100"/>
  <c r="N5" i="100"/>
  <c r="N6" i="100"/>
  <c r="N7" i="100"/>
  <c r="N8" i="100"/>
  <c r="N9" i="100"/>
  <c r="N10" i="100"/>
  <c r="N11" i="100"/>
  <c r="N12" i="100"/>
  <c r="N13" i="100"/>
  <c r="N14" i="100"/>
  <c r="N15" i="100"/>
  <c r="N16" i="100"/>
  <c r="N17" i="100"/>
  <c r="N18" i="100"/>
  <c r="N19" i="100"/>
  <c r="N20" i="100"/>
  <c r="N21" i="100"/>
  <c r="N22" i="100"/>
  <c r="N23" i="100"/>
  <c r="N24" i="100"/>
  <c r="N25" i="100"/>
  <c r="N26" i="100"/>
  <c r="N27" i="100"/>
  <c r="N28" i="100"/>
  <c r="N29" i="100"/>
  <c r="N30" i="100"/>
  <c r="N31" i="100"/>
  <c r="N32" i="100"/>
  <c r="N33" i="100"/>
  <c r="N34" i="100"/>
  <c r="N35" i="100"/>
  <c r="N36" i="100"/>
  <c r="N37" i="100"/>
  <c r="N38" i="100"/>
  <c r="N39" i="100"/>
  <c r="N40" i="100"/>
  <c r="N41" i="100"/>
  <c r="N42" i="100"/>
  <c r="N43" i="100"/>
  <c r="N44" i="100"/>
  <c r="N45" i="100"/>
  <c r="N46" i="100"/>
  <c r="N47" i="100"/>
  <c r="N48" i="100"/>
  <c r="N49" i="100"/>
  <c r="N50" i="100"/>
  <c r="N51" i="100"/>
  <c r="N52" i="100"/>
  <c r="N53" i="100"/>
  <c r="N54" i="100"/>
  <c r="N55" i="100"/>
  <c r="N56" i="100"/>
  <c r="N57" i="100"/>
  <c r="N58" i="100"/>
  <c r="N59" i="100"/>
  <c r="N60" i="100"/>
  <c r="N61" i="100"/>
  <c r="N62" i="100"/>
  <c r="N63" i="100"/>
  <c r="N64" i="100"/>
  <c r="N65" i="100"/>
  <c r="N66" i="100"/>
  <c r="N67" i="100"/>
  <c r="N68" i="100"/>
  <c r="N69" i="100"/>
  <c r="N70" i="100"/>
  <c r="N71" i="100"/>
  <c r="N72" i="100"/>
  <c r="N73" i="100"/>
  <c r="N74" i="100"/>
  <c r="N75" i="100"/>
  <c r="N76" i="100"/>
  <c r="N77" i="100"/>
  <c r="N78" i="100"/>
  <c r="N79" i="100"/>
  <c r="N80" i="100"/>
  <c r="N81" i="100"/>
  <c r="N82" i="100"/>
  <c r="M3" i="100"/>
  <c r="M4" i="100"/>
  <c r="M5" i="100"/>
  <c r="M6" i="100"/>
  <c r="M7" i="100"/>
  <c r="M8" i="100"/>
  <c r="M9" i="100"/>
  <c r="M10" i="100"/>
  <c r="M11" i="100"/>
  <c r="M12" i="100"/>
  <c r="M13" i="100"/>
  <c r="M14" i="100"/>
  <c r="M15" i="100"/>
  <c r="M16" i="100"/>
  <c r="M17" i="100"/>
  <c r="M18" i="100"/>
  <c r="M19" i="100"/>
  <c r="M20" i="100"/>
  <c r="M21" i="100"/>
  <c r="M22" i="100"/>
  <c r="M23" i="100"/>
  <c r="M24" i="100"/>
  <c r="M25" i="100"/>
  <c r="M26" i="100"/>
  <c r="M27" i="100"/>
  <c r="M28" i="100"/>
  <c r="M29" i="100"/>
  <c r="M30" i="100"/>
  <c r="M31" i="100"/>
  <c r="M32" i="100"/>
  <c r="M33" i="100"/>
  <c r="M34" i="100"/>
  <c r="M35" i="100"/>
  <c r="M36" i="100"/>
  <c r="M37" i="100"/>
  <c r="M38" i="100"/>
  <c r="M39" i="100"/>
  <c r="M40" i="100"/>
  <c r="M41" i="100"/>
  <c r="M42" i="100"/>
  <c r="M43" i="100"/>
  <c r="M44" i="100"/>
  <c r="M45" i="100"/>
  <c r="M46" i="100"/>
  <c r="M47" i="100"/>
  <c r="M48" i="100"/>
  <c r="M49" i="100"/>
  <c r="M50" i="100"/>
  <c r="M51" i="100"/>
  <c r="M52" i="100"/>
  <c r="M53" i="100"/>
  <c r="M54" i="100"/>
  <c r="M55" i="100"/>
  <c r="M56" i="100"/>
  <c r="M57" i="100"/>
  <c r="M58" i="100"/>
  <c r="M59" i="100"/>
  <c r="M60" i="100"/>
  <c r="M61" i="100"/>
  <c r="M62" i="100"/>
  <c r="M63" i="100"/>
  <c r="M64" i="100"/>
  <c r="M65" i="100"/>
  <c r="M66" i="100"/>
  <c r="M67" i="100"/>
  <c r="M68" i="100"/>
  <c r="M69" i="100"/>
  <c r="M70" i="100"/>
  <c r="M71" i="100"/>
  <c r="M72" i="100"/>
  <c r="M73" i="100"/>
  <c r="M74" i="100"/>
  <c r="M75" i="100"/>
  <c r="M76" i="100"/>
  <c r="M77" i="100"/>
  <c r="M78" i="100"/>
  <c r="M79" i="100"/>
  <c r="M80" i="100"/>
  <c r="M81" i="100"/>
  <c r="M82" i="100"/>
  <c r="N2" i="100"/>
  <c r="N8" i="47"/>
  <c r="O8" i="47" s="1"/>
  <c r="R194" i="47" l="1"/>
  <c r="Q194" i="47" s="1"/>
  <c r="O196" i="48"/>
  <c r="AB196" i="48" s="1"/>
  <c r="R104" i="47"/>
  <c r="Q104" i="47" s="1"/>
  <c r="O106" i="48"/>
  <c r="X106" i="48" s="1"/>
  <c r="C79" i="48"/>
  <c r="O79" i="48"/>
  <c r="AE79" i="48" s="1"/>
  <c r="R151" i="47"/>
  <c r="Q151" i="47" s="1"/>
  <c r="O153" i="48"/>
  <c r="R90" i="47"/>
  <c r="U90" i="47" s="1"/>
  <c r="O92" i="48"/>
  <c r="AG92" i="48" s="1"/>
  <c r="O107" i="48"/>
  <c r="U107" i="48" s="1"/>
  <c r="R129" i="47"/>
  <c r="Q129" i="47" s="1"/>
  <c r="O131" i="48"/>
  <c r="R79" i="47"/>
  <c r="Q79" i="47" s="1"/>
  <c r="O81" i="48"/>
  <c r="O202" i="48"/>
  <c r="X202" i="48" s="1"/>
  <c r="R124" i="47"/>
  <c r="U124" i="47" s="1"/>
  <c r="O126" i="48"/>
  <c r="AE126" i="48" s="1"/>
  <c r="R75" i="47"/>
  <c r="Q75" i="47" s="1"/>
  <c r="O77" i="48"/>
  <c r="X77" i="48" s="1"/>
  <c r="R116" i="47"/>
  <c r="U116" i="47" s="1"/>
  <c r="O118" i="48"/>
  <c r="R196" i="47"/>
  <c r="U196" i="47" s="1"/>
  <c r="O198" i="48"/>
  <c r="AE198" i="48" s="1"/>
  <c r="R111" i="47"/>
  <c r="U111" i="47" s="1"/>
  <c r="O113" i="48"/>
  <c r="Z113" i="48" s="1"/>
  <c r="O207" i="48"/>
  <c r="AN207" i="48" s="1"/>
  <c r="R118" i="47"/>
  <c r="U118" i="47" s="1"/>
  <c r="O120" i="48"/>
  <c r="AL120" i="48" s="1"/>
  <c r="R172" i="47"/>
  <c r="Q172" i="47" s="1"/>
  <c r="O174" i="48"/>
  <c r="AN174" i="48" s="1"/>
  <c r="R93" i="47"/>
  <c r="O95" i="48"/>
  <c r="C196" i="48"/>
  <c r="C120" i="48"/>
  <c r="C106" i="48"/>
  <c r="C113" i="48"/>
  <c r="C198" i="48"/>
  <c r="C92" i="48"/>
  <c r="C77" i="48"/>
  <c r="C126" i="48"/>
  <c r="R77" i="47"/>
  <c r="U77" i="47" s="1"/>
  <c r="C107" i="48"/>
  <c r="R105" i="47"/>
  <c r="C202" i="48"/>
  <c r="R200" i="47"/>
  <c r="C207" i="48"/>
  <c r="R205" i="47"/>
  <c r="C144" i="48"/>
  <c r="R142" i="47"/>
  <c r="AI144" i="48"/>
  <c r="C174" i="48"/>
  <c r="Q71" i="47"/>
  <c r="Q203" i="47"/>
  <c r="Q195" i="47"/>
  <c r="Q179" i="47"/>
  <c r="Q175" i="47"/>
  <c r="Q83" i="47"/>
  <c r="Q209" i="47"/>
  <c r="Q189" i="47"/>
  <c r="Q173" i="47"/>
  <c r="Q158" i="47"/>
  <c r="Q198" i="47"/>
  <c r="Q197" i="47"/>
  <c r="Q186" i="47"/>
  <c r="Q94" i="47"/>
  <c r="Q159" i="47"/>
  <c r="S173" i="48"/>
  <c r="X147" i="48"/>
  <c r="AN147" i="48"/>
  <c r="U147" i="48"/>
  <c r="AN173" i="48"/>
  <c r="AB173" i="48"/>
  <c r="AB147" i="48"/>
  <c r="AP173" i="48"/>
  <c r="X173" i="48"/>
  <c r="Z173" i="48"/>
  <c r="AL147" i="48"/>
  <c r="AG147" i="48"/>
  <c r="AI135" i="48"/>
  <c r="AE173" i="48"/>
  <c r="Q173" i="48"/>
  <c r="AG173" i="48"/>
  <c r="AI173" i="48"/>
  <c r="U173" i="48"/>
  <c r="S147" i="48"/>
  <c r="Z147" i="48"/>
  <c r="AP147" i="48"/>
  <c r="Q147" i="48"/>
  <c r="AI147" i="48"/>
  <c r="AI134" i="48"/>
  <c r="X156" i="48"/>
  <c r="Q135" i="48"/>
  <c r="AB135" i="48"/>
  <c r="Q134" i="48"/>
  <c r="AE134" i="48"/>
  <c r="AN134" i="48"/>
  <c r="U134" i="48"/>
  <c r="AG134" i="48"/>
  <c r="Z134" i="48"/>
  <c r="AP134" i="48"/>
  <c r="AL134" i="48"/>
  <c r="X134" i="48"/>
  <c r="S134" i="48"/>
  <c r="Z135" i="48"/>
  <c r="AG96" i="48"/>
  <c r="Q96" i="48"/>
  <c r="AB80" i="48"/>
  <c r="X96" i="48"/>
  <c r="Z96" i="48"/>
  <c r="AE96" i="48"/>
  <c r="C96" i="48"/>
  <c r="AN96" i="48"/>
  <c r="S96" i="48"/>
  <c r="AL96" i="48"/>
  <c r="AI96" i="48"/>
  <c r="AB96" i="48"/>
  <c r="AP96" i="48"/>
  <c r="AG135" i="48"/>
  <c r="AN156" i="48"/>
  <c r="AE156" i="48"/>
  <c r="AE135" i="48"/>
  <c r="Q156" i="48"/>
  <c r="S156" i="48"/>
  <c r="AL135" i="48"/>
  <c r="U156" i="48"/>
  <c r="AL156" i="48"/>
  <c r="Z156" i="48"/>
  <c r="S135" i="48"/>
  <c r="U135" i="48"/>
  <c r="X135" i="48"/>
  <c r="AP135" i="48"/>
  <c r="AG156" i="48"/>
  <c r="AI156" i="48"/>
  <c r="AP156" i="48"/>
  <c r="X148" i="48"/>
  <c r="AB148" i="48"/>
  <c r="AP148" i="48"/>
  <c r="AE148" i="48"/>
  <c r="AN148" i="48"/>
  <c r="AG148" i="48"/>
  <c r="AI148" i="48"/>
  <c r="AL148" i="48"/>
  <c r="Z148" i="48"/>
  <c r="Q148" i="48"/>
  <c r="U148" i="48"/>
  <c r="AN80" i="48"/>
  <c r="Q80" i="48"/>
  <c r="S80" i="48"/>
  <c r="AI80" i="48"/>
  <c r="AE80" i="48"/>
  <c r="AP80" i="48"/>
  <c r="AG80" i="48"/>
  <c r="Z80" i="48"/>
  <c r="X80" i="48"/>
  <c r="AL80" i="48"/>
  <c r="AI177" i="48"/>
  <c r="Z177" i="48"/>
  <c r="AG177" i="48"/>
  <c r="X177" i="48"/>
  <c r="AN177" i="48"/>
  <c r="AB177" i="48"/>
  <c r="AE177" i="48"/>
  <c r="Q177" i="48"/>
  <c r="AP177" i="48"/>
  <c r="S177" i="48"/>
  <c r="AL177" i="48"/>
  <c r="AL179" i="48"/>
  <c r="X179" i="48"/>
  <c r="AN179" i="48"/>
  <c r="AE179" i="48"/>
  <c r="AI111" i="48"/>
  <c r="AB111" i="48"/>
  <c r="AE111" i="48"/>
  <c r="S111" i="48"/>
  <c r="AN111" i="48"/>
  <c r="Q111" i="48"/>
  <c r="U111" i="48"/>
  <c r="X111" i="48"/>
  <c r="AL111" i="48"/>
  <c r="Z111" i="48"/>
  <c r="AG111" i="48"/>
  <c r="AG133" i="48"/>
  <c r="Q179" i="48"/>
  <c r="Q192" i="48"/>
  <c r="Z179" i="48"/>
  <c r="AL192" i="48"/>
  <c r="X192" i="48"/>
  <c r="C121" i="48"/>
  <c r="S192" i="48"/>
  <c r="C118" i="48"/>
  <c r="Z164" i="48"/>
  <c r="Z133" i="48"/>
  <c r="AE133" i="48"/>
  <c r="Q133" i="48"/>
  <c r="AB133" i="48"/>
  <c r="U133" i="48"/>
  <c r="Z192" i="48"/>
  <c r="AN133" i="48"/>
  <c r="AB192" i="48"/>
  <c r="C200" i="48"/>
  <c r="AP133" i="48"/>
  <c r="AI133" i="48"/>
  <c r="C133" i="48"/>
  <c r="S133" i="48"/>
  <c r="C188" i="48"/>
  <c r="S164" i="48"/>
  <c r="AI164" i="48"/>
  <c r="AL164" i="48"/>
  <c r="AP164" i="48"/>
  <c r="C164" i="48"/>
  <c r="X164" i="48"/>
  <c r="AE164" i="48"/>
  <c r="AN123" i="48"/>
  <c r="AB164" i="48"/>
  <c r="Q164" i="48"/>
  <c r="AN164" i="48"/>
  <c r="AG164" i="48"/>
  <c r="C110" i="48"/>
  <c r="C97" i="48"/>
  <c r="C81" i="48"/>
  <c r="C100" i="48"/>
  <c r="U179" i="48"/>
  <c r="S179" i="48"/>
  <c r="AI179" i="48"/>
  <c r="AB179" i="48"/>
  <c r="AP179" i="48"/>
  <c r="C168" i="48"/>
  <c r="C98" i="48"/>
  <c r="C162" i="48"/>
  <c r="C140" i="48"/>
  <c r="C191" i="48"/>
  <c r="C153" i="48"/>
  <c r="C141" i="48"/>
  <c r="C138" i="48"/>
  <c r="C95" i="48"/>
  <c r="C155" i="48"/>
  <c r="C125" i="48"/>
  <c r="C76" i="48"/>
  <c r="C194" i="48"/>
  <c r="C91" i="48"/>
  <c r="C88" i="48"/>
  <c r="C143" i="48"/>
  <c r="C82" i="48"/>
  <c r="C131" i="48"/>
  <c r="C145" i="48"/>
  <c r="AN192" i="48"/>
  <c r="AI192" i="48"/>
  <c r="C73" i="48"/>
  <c r="C129" i="48"/>
  <c r="C128" i="48"/>
  <c r="AL133" i="48"/>
  <c r="AG192" i="48"/>
  <c r="C93" i="48"/>
  <c r="C103" i="48"/>
  <c r="C171" i="48"/>
  <c r="C90" i="48"/>
  <c r="C74" i="48"/>
  <c r="C127" i="48"/>
  <c r="C71" i="48"/>
  <c r="AP192" i="48"/>
  <c r="U192" i="48"/>
  <c r="C102" i="48"/>
  <c r="J8" i="80"/>
  <c r="Z109" i="48"/>
  <c r="U116" i="48"/>
  <c r="AN116" i="48"/>
  <c r="AI109" i="48"/>
  <c r="S116" i="48"/>
  <c r="X116" i="48"/>
  <c r="S109" i="48"/>
  <c r="AN109" i="48"/>
  <c r="Z116" i="48"/>
  <c r="AG116" i="48"/>
  <c r="Q116" i="48"/>
  <c r="X109" i="48"/>
  <c r="U109" i="48"/>
  <c r="AE109" i="48"/>
  <c r="AP109" i="48"/>
  <c r="AI116" i="48"/>
  <c r="AB116" i="48"/>
  <c r="AL109" i="48"/>
  <c r="Q109" i="48"/>
  <c r="AE116" i="48"/>
  <c r="AG109" i="48"/>
  <c r="AL116" i="48"/>
  <c r="AL206" i="48"/>
  <c r="AN206" i="48"/>
  <c r="AE206" i="48"/>
  <c r="X206" i="48"/>
  <c r="U206" i="48"/>
  <c r="AP206" i="48"/>
  <c r="AG206" i="48"/>
  <c r="AI206" i="48"/>
  <c r="AB206" i="48"/>
  <c r="S206" i="48"/>
  <c r="Z206" i="48"/>
  <c r="AL209" i="48"/>
  <c r="U205" i="48"/>
  <c r="AE205" i="48"/>
  <c r="X205" i="48"/>
  <c r="AN205" i="48"/>
  <c r="AP205" i="48"/>
  <c r="AE181" i="48"/>
  <c r="AB205" i="48"/>
  <c r="Z205" i="48"/>
  <c r="AG205" i="48"/>
  <c r="S205" i="48"/>
  <c r="AL205" i="48"/>
  <c r="AI205" i="48"/>
  <c r="AB220" i="48"/>
  <c r="AL220" i="48"/>
  <c r="AE209" i="48"/>
  <c r="AB209" i="48"/>
  <c r="X209" i="48"/>
  <c r="AN209" i="48"/>
  <c r="AP209" i="48"/>
  <c r="Q209" i="48"/>
  <c r="AI209" i="48"/>
  <c r="Z209" i="48"/>
  <c r="U209" i="48"/>
  <c r="S209" i="48"/>
  <c r="U213" i="48"/>
  <c r="S220" i="48"/>
  <c r="AP220" i="48"/>
  <c r="Z181" i="48"/>
  <c r="AI220" i="48"/>
  <c r="U181" i="48"/>
  <c r="U220" i="48"/>
  <c r="Z220" i="48"/>
  <c r="AE220" i="48"/>
  <c r="Q220" i="48"/>
  <c r="X181" i="48"/>
  <c r="AG220" i="48"/>
  <c r="X220" i="48"/>
  <c r="AI181" i="48"/>
  <c r="AG181" i="48"/>
  <c r="AL181" i="48"/>
  <c r="AL213" i="48"/>
  <c r="Z213" i="48"/>
  <c r="X213" i="48"/>
  <c r="AE213" i="48"/>
  <c r="S213" i="48"/>
  <c r="AI213" i="48"/>
  <c r="AP213" i="48"/>
  <c r="Q213" i="48"/>
  <c r="Z218" i="48"/>
  <c r="X218" i="48"/>
  <c r="S181" i="48"/>
  <c r="AN181" i="48"/>
  <c r="AB181" i="48"/>
  <c r="AP181" i="48"/>
  <c r="AB213" i="48"/>
  <c r="AN213" i="48"/>
  <c r="AG218" i="48"/>
  <c r="AN218" i="48"/>
  <c r="S218" i="48"/>
  <c r="AB218" i="48"/>
  <c r="AE218" i="48"/>
  <c r="AP218" i="48"/>
  <c r="Q218" i="48"/>
  <c r="AI218" i="48"/>
  <c r="AL218" i="48"/>
  <c r="X108" i="48"/>
  <c r="AE108" i="48"/>
  <c r="AN108" i="48"/>
  <c r="AI108" i="48"/>
  <c r="AG108" i="48"/>
  <c r="AP108" i="48"/>
  <c r="Z108" i="48"/>
  <c r="Q108" i="48"/>
  <c r="S108" i="48"/>
  <c r="AL108" i="48"/>
  <c r="AB108" i="48"/>
  <c r="U108" i="48"/>
  <c r="AP197" i="48"/>
  <c r="Z197" i="48"/>
  <c r="Q197" i="48"/>
  <c r="AG197" i="48"/>
  <c r="AI197" i="48"/>
  <c r="AB197" i="48"/>
  <c r="AN197" i="48"/>
  <c r="AL197" i="48"/>
  <c r="AE197" i="48"/>
  <c r="S197" i="48"/>
  <c r="X197" i="48"/>
  <c r="U197" i="48"/>
  <c r="U189" i="48"/>
  <c r="S189" i="48"/>
  <c r="AN189" i="48"/>
  <c r="AL189" i="48"/>
  <c r="AI189" i="48"/>
  <c r="Z189" i="48"/>
  <c r="AE189" i="48"/>
  <c r="Q189" i="48"/>
  <c r="AP189" i="48"/>
  <c r="AG189" i="48"/>
  <c r="X189" i="48"/>
  <c r="AB189" i="48"/>
  <c r="X201" i="48"/>
  <c r="Q201" i="48"/>
  <c r="Z201" i="48"/>
  <c r="AP201" i="48"/>
  <c r="AL201" i="48"/>
  <c r="AB201" i="48"/>
  <c r="AG201" i="48"/>
  <c r="AN201" i="48"/>
  <c r="U201" i="48"/>
  <c r="S201" i="48"/>
  <c r="AE201" i="48"/>
  <c r="AI201" i="48"/>
  <c r="AI199" i="48"/>
  <c r="Q199" i="48"/>
  <c r="S199" i="48"/>
  <c r="AL199" i="48"/>
  <c r="AP199" i="48"/>
  <c r="X199" i="48"/>
  <c r="AE199" i="48"/>
  <c r="AB199" i="48"/>
  <c r="Z199" i="48"/>
  <c r="AG199" i="48"/>
  <c r="AN199" i="48"/>
  <c r="U199" i="48"/>
  <c r="AL83" i="48"/>
  <c r="X83" i="48"/>
  <c r="AI83" i="48"/>
  <c r="Z83" i="48"/>
  <c r="AB83" i="48"/>
  <c r="AN83" i="48"/>
  <c r="AG83" i="48"/>
  <c r="S83" i="48"/>
  <c r="AE83" i="48"/>
  <c r="U83" i="48"/>
  <c r="Q83" i="48"/>
  <c r="AP83" i="48"/>
  <c r="AL167" i="48"/>
  <c r="AE167" i="48"/>
  <c r="AB167" i="48"/>
  <c r="AP167" i="48"/>
  <c r="Z167" i="48"/>
  <c r="AI167" i="48"/>
  <c r="Q167" i="48"/>
  <c r="AN167" i="48"/>
  <c r="S167" i="48"/>
  <c r="AG167" i="48"/>
  <c r="U167" i="48"/>
  <c r="X167" i="48"/>
  <c r="AL87" i="48"/>
  <c r="AP87" i="48"/>
  <c r="AN87" i="48"/>
  <c r="AG87" i="48"/>
  <c r="AE87" i="48"/>
  <c r="X87" i="48"/>
  <c r="AI87" i="48"/>
  <c r="U87" i="48"/>
  <c r="AB87" i="48"/>
  <c r="Z87" i="48"/>
  <c r="S87" i="48"/>
  <c r="Q87" i="48"/>
  <c r="AB152" i="48"/>
  <c r="Z152" i="48"/>
  <c r="X152" i="48"/>
  <c r="AE152" i="48"/>
  <c r="AG152" i="48"/>
  <c r="U152" i="48"/>
  <c r="AI152" i="48"/>
  <c r="AL152" i="48"/>
  <c r="Q152" i="48"/>
  <c r="AP152" i="48"/>
  <c r="AN152" i="48"/>
  <c r="S152" i="48"/>
  <c r="AN114" i="48"/>
  <c r="AP114" i="48"/>
  <c r="AB114" i="48"/>
  <c r="S114" i="48"/>
  <c r="U114" i="48"/>
  <c r="AL114" i="48"/>
  <c r="AG114" i="48"/>
  <c r="X114" i="48"/>
  <c r="AI114" i="48"/>
  <c r="Z114" i="48"/>
  <c r="Q114" i="48"/>
  <c r="AE114" i="48"/>
  <c r="Q89" i="48"/>
  <c r="AE89" i="48"/>
  <c r="AB89" i="48"/>
  <c r="AN89" i="48"/>
  <c r="S89" i="48"/>
  <c r="AI89" i="48"/>
  <c r="AL89" i="48"/>
  <c r="Z89" i="48"/>
  <c r="AG89" i="48"/>
  <c r="U89" i="48"/>
  <c r="AP89" i="48"/>
  <c r="X89" i="48"/>
  <c r="AL204" i="48"/>
  <c r="Q204" i="48"/>
  <c r="Z204" i="48"/>
  <c r="AG204" i="48"/>
  <c r="S204" i="48"/>
  <c r="AP204" i="48"/>
  <c r="AB204" i="48"/>
  <c r="U204" i="48"/>
  <c r="AN204" i="48"/>
  <c r="X204" i="48"/>
  <c r="AE204" i="48"/>
  <c r="AI204" i="48"/>
  <c r="AE159" i="48"/>
  <c r="AI159" i="48"/>
  <c r="AG159" i="48"/>
  <c r="X159" i="48"/>
  <c r="S159" i="48"/>
  <c r="AB159" i="48"/>
  <c r="AL159" i="48"/>
  <c r="AN159" i="48"/>
  <c r="Q159" i="48"/>
  <c r="Z159" i="48"/>
  <c r="U159" i="48"/>
  <c r="AP159" i="48"/>
  <c r="X210" i="48"/>
  <c r="AI210" i="48"/>
  <c r="AB210" i="48"/>
  <c r="AN210" i="48"/>
  <c r="AP210" i="48"/>
  <c r="AL210" i="48"/>
  <c r="Q210" i="48"/>
  <c r="Z210" i="48"/>
  <c r="AE210" i="48"/>
  <c r="U210" i="48"/>
  <c r="S210" i="48"/>
  <c r="AG210" i="48"/>
  <c r="X215" i="48"/>
  <c r="AI215" i="48"/>
  <c r="Q215" i="48"/>
  <c r="Z215" i="48"/>
  <c r="AP215" i="48"/>
  <c r="AG215" i="48"/>
  <c r="AN215" i="48"/>
  <c r="S215" i="48"/>
  <c r="U215" i="48"/>
  <c r="AL215" i="48"/>
  <c r="AB215" i="48"/>
  <c r="AE215" i="48"/>
  <c r="AG187" i="48"/>
  <c r="AP187" i="48"/>
  <c r="AB187" i="48"/>
  <c r="AE187" i="48"/>
  <c r="Q187" i="48"/>
  <c r="Z187" i="48"/>
  <c r="AN187" i="48"/>
  <c r="U187" i="48"/>
  <c r="S187" i="48"/>
  <c r="X187" i="48"/>
  <c r="AI187" i="48"/>
  <c r="AL187" i="48"/>
  <c r="Z112" i="48"/>
  <c r="AB112" i="48"/>
  <c r="AN112" i="48"/>
  <c r="AG112" i="48"/>
  <c r="AE112" i="48"/>
  <c r="U112" i="48"/>
  <c r="S112" i="48"/>
  <c r="Q112" i="48"/>
  <c r="X112" i="48"/>
  <c r="AL112" i="48"/>
  <c r="AP112" i="48"/>
  <c r="AI112" i="48"/>
  <c r="U157" i="48"/>
  <c r="AG157" i="48"/>
  <c r="X157" i="48"/>
  <c r="AL157" i="48"/>
  <c r="S157" i="48"/>
  <c r="AN157" i="48"/>
  <c r="AP157" i="48"/>
  <c r="Z157" i="48"/>
  <c r="AI157" i="48"/>
  <c r="AE157" i="48"/>
  <c r="AB157" i="48"/>
  <c r="Q157" i="48"/>
  <c r="AP175" i="48"/>
  <c r="AL175" i="48"/>
  <c r="AE175" i="48"/>
  <c r="X175" i="48"/>
  <c r="AB175" i="48"/>
  <c r="S175" i="48"/>
  <c r="AG175" i="48"/>
  <c r="AI175" i="48"/>
  <c r="AN175" i="48"/>
  <c r="Z175" i="48"/>
  <c r="Q175" i="48"/>
  <c r="U175" i="48"/>
  <c r="Q72" i="48"/>
  <c r="AN72" i="48"/>
  <c r="AE72" i="48"/>
  <c r="S72" i="48"/>
  <c r="AB72" i="48"/>
  <c r="U72" i="48"/>
  <c r="AP72" i="48"/>
  <c r="AL72" i="48"/>
  <c r="AG72" i="48"/>
  <c r="Z72" i="48"/>
  <c r="X72" i="48"/>
  <c r="AI72" i="48"/>
  <c r="AP170" i="48"/>
  <c r="Z170" i="48"/>
  <c r="AB170" i="48"/>
  <c r="AN170" i="48"/>
  <c r="S170" i="48"/>
  <c r="AL170" i="48"/>
  <c r="AE170" i="48"/>
  <c r="Q170" i="48"/>
  <c r="U170" i="48"/>
  <c r="X170" i="48"/>
  <c r="AI170" i="48"/>
  <c r="AG170" i="48"/>
  <c r="AB184" i="48"/>
  <c r="X184" i="48"/>
  <c r="AE184" i="48"/>
  <c r="U184" i="48"/>
  <c r="AL184" i="48"/>
  <c r="Z184" i="48"/>
  <c r="Q184" i="48"/>
  <c r="AG184" i="48"/>
  <c r="AN184" i="48"/>
  <c r="AI184" i="48"/>
  <c r="AP184" i="48"/>
  <c r="S184" i="48"/>
  <c r="AI94" i="48"/>
  <c r="AP94" i="48"/>
  <c r="AE94" i="48"/>
  <c r="S94" i="48"/>
  <c r="Z94" i="48"/>
  <c r="U94" i="48"/>
  <c r="AB94" i="48"/>
  <c r="Q94" i="48"/>
  <c r="AG94" i="48"/>
  <c r="AN94" i="48"/>
  <c r="AL94" i="48"/>
  <c r="X94" i="48"/>
  <c r="AN158" i="48"/>
  <c r="AB158" i="48"/>
  <c r="X158" i="48"/>
  <c r="AP158" i="48"/>
  <c r="Q158" i="48"/>
  <c r="AG158" i="48"/>
  <c r="S158" i="48"/>
  <c r="AL158" i="48"/>
  <c r="U158" i="48"/>
  <c r="AE158" i="48"/>
  <c r="AI158" i="48"/>
  <c r="Z158" i="48"/>
  <c r="AG154" i="48"/>
  <c r="AP154" i="48"/>
  <c r="Q154" i="48"/>
  <c r="AE154" i="48"/>
  <c r="X154" i="48"/>
  <c r="U154" i="48"/>
  <c r="Z154" i="48"/>
  <c r="S154" i="48"/>
  <c r="AL154" i="48"/>
  <c r="AI154" i="48"/>
  <c r="AB154" i="48"/>
  <c r="AN154" i="48"/>
  <c r="AG137" i="48"/>
  <c r="AB137" i="48"/>
  <c r="AI137" i="48"/>
  <c r="S137" i="48"/>
  <c r="U137" i="48"/>
  <c r="AE137" i="48"/>
  <c r="AL137" i="48"/>
  <c r="Z137" i="48"/>
  <c r="X137" i="48"/>
  <c r="AN137" i="48"/>
  <c r="Q137" i="48"/>
  <c r="AP137" i="48"/>
  <c r="AP165" i="48"/>
  <c r="Q165" i="48"/>
  <c r="AN165" i="48"/>
  <c r="AE165" i="48"/>
  <c r="AG165" i="48"/>
  <c r="X165" i="48"/>
  <c r="Z165" i="48"/>
  <c r="AI165" i="48"/>
  <c r="AB165" i="48"/>
  <c r="U165" i="48"/>
  <c r="AL165" i="48"/>
  <c r="S165" i="48"/>
  <c r="Z211" i="48"/>
  <c r="X211" i="48"/>
  <c r="AI211" i="48"/>
  <c r="AB211" i="48"/>
  <c r="AE211" i="48"/>
  <c r="AG211" i="48"/>
  <c r="AL211" i="48"/>
  <c r="AP211" i="48"/>
  <c r="U211" i="48"/>
  <c r="Q211" i="48"/>
  <c r="S211" i="48"/>
  <c r="AN211" i="48"/>
  <c r="U216" i="48"/>
  <c r="S216" i="48"/>
  <c r="AE216" i="48"/>
  <c r="AP216" i="48"/>
  <c r="AB216" i="48"/>
  <c r="AG216" i="48"/>
  <c r="AL216" i="48"/>
  <c r="Z216" i="48"/>
  <c r="AN216" i="48"/>
  <c r="X216" i="48"/>
  <c r="Q216" i="48"/>
  <c r="AI216" i="48"/>
  <c r="AI212" i="48"/>
  <c r="AP212" i="48"/>
  <c r="AN212" i="48"/>
  <c r="Z212" i="48"/>
  <c r="AL212" i="48"/>
  <c r="Q212" i="48"/>
  <c r="AG212" i="48"/>
  <c r="AB212" i="48"/>
  <c r="X212" i="48"/>
  <c r="U212" i="48"/>
  <c r="AE212" i="48"/>
  <c r="S212" i="48"/>
  <c r="AB219" i="48"/>
  <c r="AP219" i="48"/>
  <c r="AN219" i="48"/>
  <c r="AG219" i="48"/>
  <c r="AE219" i="48"/>
  <c r="X219" i="48"/>
  <c r="AL219" i="48"/>
  <c r="U219" i="48"/>
  <c r="Q219" i="48"/>
  <c r="AI219" i="48"/>
  <c r="S219" i="48"/>
  <c r="Z219" i="48"/>
  <c r="AG99" i="48"/>
  <c r="AN99" i="48"/>
  <c r="AI99" i="48"/>
  <c r="AP99" i="48"/>
  <c r="AL99" i="48"/>
  <c r="AE99" i="48"/>
  <c r="Q99" i="48"/>
  <c r="U99" i="48"/>
  <c r="AB99" i="48"/>
  <c r="Z99" i="48"/>
  <c r="S99" i="48"/>
  <c r="X99" i="48"/>
  <c r="AB78" i="48"/>
  <c r="AG78" i="48"/>
  <c r="AP78" i="48"/>
  <c r="U78" i="48"/>
  <c r="Z78" i="48"/>
  <c r="S78" i="48"/>
  <c r="X78" i="48"/>
  <c r="Q78" i="48"/>
  <c r="AI78" i="48"/>
  <c r="AN78" i="48"/>
  <c r="AL78" i="48"/>
  <c r="AE78" i="48"/>
  <c r="AP124" i="48"/>
  <c r="Z124" i="48"/>
  <c r="AE124" i="48"/>
  <c r="AN124" i="48"/>
  <c r="AI124" i="48"/>
  <c r="AL124" i="48"/>
  <c r="AG124" i="48"/>
  <c r="S124" i="48"/>
  <c r="U124" i="48"/>
  <c r="X124" i="48"/>
  <c r="AB124" i="48"/>
  <c r="Q124" i="48"/>
  <c r="AN84" i="48"/>
  <c r="AB84" i="48"/>
  <c r="U84" i="48"/>
  <c r="AP84" i="48"/>
  <c r="AE84" i="48"/>
  <c r="AI84" i="48"/>
  <c r="X84" i="48"/>
  <c r="Q84" i="48"/>
  <c r="Z84" i="48"/>
  <c r="AG84" i="48"/>
  <c r="AL84" i="48"/>
  <c r="S84" i="48"/>
  <c r="AB176" i="48"/>
  <c r="AN176" i="48"/>
  <c r="X176" i="48"/>
  <c r="AG176" i="48"/>
  <c r="AL176" i="48"/>
  <c r="U176" i="48"/>
  <c r="Z176" i="48"/>
  <c r="Q176" i="48"/>
  <c r="AI176" i="48"/>
  <c r="S176" i="48"/>
  <c r="AE176" i="48"/>
  <c r="AP176" i="48"/>
  <c r="Q183" i="48"/>
  <c r="AB183" i="48"/>
  <c r="AN183" i="48"/>
  <c r="AG183" i="48"/>
  <c r="AL183" i="48"/>
  <c r="AP183" i="48"/>
  <c r="Z183" i="48"/>
  <c r="S183" i="48"/>
  <c r="AE183" i="48"/>
  <c r="U183" i="48"/>
  <c r="X183" i="48"/>
  <c r="AI183" i="48"/>
  <c r="AP115" i="48"/>
  <c r="U115" i="48"/>
  <c r="Q115" i="48"/>
  <c r="X115" i="48"/>
  <c r="AG115" i="48"/>
  <c r="AB115" i="48"/>
  <c r="S115" i="48"/>
  <c r="AI115" i="48"/>
  <c r="Z115" i="48"/>
  <c r="AL115" i="48"/>
  <c r="AN115" i="48"/>
  <c r="AE115" i="48"/>
  <c r="U160" i="48"/>
  <c r="AL160" i="48"/>
  <c r="AI160" i="48"/>
  <c r="AP160" i="48"/>
  <c r="Z160" i="48"/>
  <c r="AE160" i="48"/>
  <c r="Q160" i="48"/>
  <c r="AN160" i="48"/>
  <c r="AB160" i="48"/>
  <c r="X160" i="48"/>
  <c r="S160" i="48"/>
  <c r="AG160" i="48"/>
  <c r="AN105" i="48"/>
  <c r="AP105" i="48"/>
  <c r="AE105" i="48"/>
  <c r="Q105" i="48"/>
  <c r="X105" i="48"/>
  <c r="S105" i="48"/>
  <c r="AL105" i="48"/>
  <c r="Z105" i="48"/>
  <c r="AB105" i="48"/>
  <c r="U105" i="48"/>
  <c r="AG105" i="48"/>
  <c r="AI105" i="48"/>
  <c r="AI136" i="48"/>
  <c r="AE136" i="48"/>
  <c r="AB136" i="48"/>
  <c r="Z136" i="48"/>
  <c r="AP136" i="48"/>
  <c r="AG136" i="48"/>
  <c r="U136" i="48"/>
  <c r="AL136" i="48"/>
  <c r="X136" i="48"/>
  <c r="S136" i="48"/>
  <c r="AN136" i="48"/>
  <c r="Q136" i="48"/>
  <c r="AB195" i="48"/>
  <c r="X195" i="48"/>
  <c r="AN195" i="48"/>
  <c r="AL195" i="48"/>
  <c r="AE195" i="48"/>
  <c r="Z195" i="48"/>
  <c r="AG195" i="48"/>
  <c r="S195" i="48"/>
  <c r="Q195" i="48"/>
  <c r="U195" i="48"/>
  <c r="AI195" i="48"/>
  <c r="AP195" i="48"/>
  <c r="AE85" i="48"/>
  <c r="Z85" i="48"/>
  <c r="Q85" i="48"/>
  <c r="AB85" i="48"/>
  <c r="AP85" i="48"/>
  <c r="AL85" i="48"/>
  <c r="AI85" i="48"/>
  <c r="AG85" i="48"/>
  <c r="U85" i="48"/>
  <c r="AN85" i="48"/>
  <c r="X85" i="48"/>
  <c r="S85" i="48"/>
  <c r="Z214" i="48"/>
  <c r="U214" i="48"/>
  <c r="AP214" i="48"/>
  <c r="AG214" i="48"/>
  <c r="AE214" i="48"/>
  <c r="AB214" i="48"/>
  <c r="S214" i="48"/>
  <c r="AN214" i="48"/>
  <c r="AI214" i="48"/>
  <c r="X214" i="48"/>
  <c r="Q214" i="48"/>
  <c r="AL214" i="48"/>
  <c r="AG217" i="48"/>
  <c r="AI217" i="48"/>
  <c r="Q217" i="48"/>
  <c r="U217" i="48"/>
  <c r="AL217" i="48"/>
  <c r="AN217" i="48"/>
  <c r="AE217" i="48"/>
  <c r="Z217" i="48"/>
  <c r="S217" i="48"/>
  <c r="AB217" i="48"/>
  <c r="X217" i="48"/>
  <c r="AP217" i="48"/>
  <c r="AE208" i="48"/>
  <c r="AL208" i="48"/>
  <c r="Z208" i="48"/>
  <c r="S208" i="48"/>
  <c r="AG208" i="48"/>
  <c r="AB208" i="48"/>
  <c r="X208" i="48"/>
  <c r="Q208" i="48"/>
  <c r="U208" i="48"/>
  <c r="AN208" i="48"/>
  <c r="AI208" i="48"/>
  <c r="AP208" i="48"/>
  <c r="AI172" i="48"/>
  <c r="X172" i="48"/>
  <c r="U172" i="48"/>
  <c r="S172" i="48"/>
  <c r="Z172" i="48"/>
  <c r="AG172" i="48"/>
  <c r="AE172" i="48"/>
  <c r="AL172" i="48"/>
  <c r="Q172" i="48"/>
  <c r="AB172" i="48"/>
  <c r="AP172" i="48"/>
  <c r="AN172" i="48"/>
  <c r="AL130" i="48"/>
  <c r="X130" i="48"/>
  <c r="Z130" i="48"/>
  <c r="U130" i="48"/>
  <c r="AG130" i="48"/>
  <c r="AB130" i="48"/>
  <c r="AI130" i="48"/>
  <c r="AE130" i="48"/>
  <c r="Q130" i="48"/>
  <c r="AP130" i="48"/>
  <c r="AN130" i="48"/>
  <c r="S130" i="48"/>
  <c r="AP186" i="48"/>
  <c r="AI186" i="48"/>
  <c r="AB186" i="48"/>
  <c r="X186" i="48"/>
  <c r="AE186" i="48"/>
  <c r="AN186" i="48"/>
  <c r="AL186" i="48"/>
  <c r="S186" i="48"/>
  <c r="Q186" i="48"/>
  <c r="AG186" i="48"/>
  <c r="Z186" i="48"/>
  <c r="U186" i="48"/>
  <c r="Z139" i="48"/>
  <c r="U139" i="48"/>
  <c r="AG139" i="48"/>
  <c r="Q139" i="48"/>
  <c r="AB139" i="48"/>
  <c r="S139" i="48"/>
  <c r="X139" i="48"/>
  <c r="AP139" i="48"/>
  <c r="AN139" i="48"/>
  <c r="AI139" i="48"/>
  <c r="AL139" i="48"/>
  <c r="AE139" i="48"/>
  <c r="X203" i="48"/>
  <c r="AE203" i="48"/>
  <c r="Z203" i="48"/>
  <c r="AG203" i="48"/>
  <c r="AB203" i="48"/>
  <c r="U203" i="48"/>
  <c r="S203" i="48"/>
  <c r="Q203" i="48"/>
  <c r="AL203" i="48"/>
  <c r="AI203" i="48"/>
  <c r="AN203" i="48"/>
  <c r="AP203" i="48"/>
  <c r="AP117" i="48"/>
  <c r="AE117" i="48"/>
  <c r="X117" i="48"/>
  <c r="AN117" i="48"/>
  <c r="Z117" i="48"/>
  <c r="U117" i="48"/>
  <c r="AG117" i="48"/>
  <c r="AI117" i="48"/>
  <c r="AB117" i="48"/>
  <c r="Q117" i="48"/>
  <c r="S117" i="48"/>
  <c r="AL117" i="48"/>
  <c r="AI180" i="48"/>
  <c r="S180" i="48"/>
  <c r="AB180" i="48"/>
  <c r="AE180" i="48"/>
  <c r="X180" i="48"/>
  <c r="AG180" i="48"/>
  <c r="U180" i="48"/>
  <c r="Z180" i="48"/>
  <c r="Q180" i="48"/>
  <c r="AL180" i="48"/>
  <c r="AN180" i="48"/>
  <c r="AP180" i="48"/>
  <c r="AI161" i="48"/>
  <c r="X161" i="48"/>
  <c r="AG161" i="48"/>
  <c r="AN161" i="48"/>
  <c r="AE161" i="48"/>
  <c r="S161" i="48"/>
  <c r="AB161" i="48"/>
  <c r="AL161" i="48"/>
  <c r="Q161" i="48"/>
  <c r="Z161" i="48"/>
  <c r="AP161" i="48"/>
  <c r="U161" i="48"/>
  <c r="Z101" i="48"/>
  <c r="AG101" i="48"/>
  <c r="AP101" i="48"/>
  <c r="S101" i="48"/>
  <c r="AI101" i="48"/>
  <c r="X101" i="48"/>
  <c r="AE101" i="48"/>
  <c r="U101" i="48"/>
  <c r="AL101" i="48"/>
  <c r="AN101" i="48"/>
  <c r="Q101" i="48"/>
  <c r="AB101" i="48"/>
  <c r="AD31" i="48" a="1"/>
  <c r="AD31" i="48" s="1"/>
  <c r="AF31" i="48" a="1"/>
  <c r="AF31" i="48" s="1"/>
  <c r="AH31" i="48"/>
  <c r="AK31" i="48" a="1"/>
  <c r="AK31" i="48" s="1"/>
  <c r="AM31" i="48" a="1"/>
  <c r="AM31" i="48" s="1"/>
  <c r="AO31" i="48"/>
  <c r="AD32" i="48" a="1"/>
  <c r="AD32" i="48" s="1"/>
  <c r="AF32" i="48" a="1"/>
  <c r="AF32" i="48" s="1"/>
  <c r="AH32" i="48"/>
  <c r="AK32" i="48" a="1"/>
  <c r="AK32" i="48" s="1"/>
  <c r="AM32" i="48" a="1"/>
  <c r="AM32" i="48" s="1"/>
  <c r="AO32" i="48"/>
  <c r="AD33" i="48" a="1"/>
  <c r="AD33" i="48" s="1"/>
  <c r="AF33" i="48" a="1"/>
  <c r="AF33" i="48" s="1"/>
  <c r="AH33" i="48"/>
  <c r="AK33" i="48" a="1"/>
  <c r="AK33" i="48" s="1"/>
  <c r="AM33" i="48" a="1"/>
  <c r="AM33" i="48" s="1"/>
  <c r="AO33" i="48"/>
  <c r="AD34" i="48" a="1"/>
  <c r="AD34" i="48" s="1"/>
  <c r="AF34" i="48" a="1"/>
  <c r="AF34" i="48" s="1"/>
  <c r="AH34" i="48"/>
  <c r="AK34" i="48" a="1"/>
  <c r="AK34" i="48" s="1"/>
  <c r="AM34" i="48" a="1"/>
  <c r="AM34" i="48" s="1"/>
  <c r="AO34" i="48"/>
  <c r="AD35" i="48" a="1"/>
  <c r="AD35" i="48" s="1"/>
  <c r="AF35" i="48" a="1"/>
  <c r="AF35" i="48" s="1"/>
  <c r="AH35" i="48"/>
  <c r="AK35" i="48" a="1"/>
  <c r="AK35" i="48" s="1"/>
  <c r="AM35" i="48" a="1"/>
  <c r="AM35" i="48" s="1"/>
  <c r="AO35" i="48"/>
  <c r="AD36" i="48" a="1"/>
  <c r="AD36" i="48" s="1"/>
  <c r="AF36" i="48" a="1"/>
  <c r="AF36" i="48" s="1"/>
  <c r="AH36" i="48"/>
  <c r="AK36" i="48" a="1"/>
  <c r="AK36" i="48" s="1"/>
  <c r="AM36" i="48" a="1"/>
  <c r="AM36" i="48" s="1"/>
  <c r="AO36" i="48"/>
  <c r="AD37" i="48" a="1"/>
  <c r="AD37" i="48" s="1"/>
  <c r="AF37" i="48" a="1"/>
  <c r="AF37" i="48" s="1"/>
  <c r="AH37" i="48"/>
  <c r="AK37" i="48" a="1"/>
  <c r="AK37" i="48" s="1"/>
  <c r="AM37" i="48" a="1"/>
  <c r="AM37" i="48" s="1"/>
  <c r="AO37" i="48"/>
  <c r="AD38" i="48" a="1"/>
  <c r="AD38" i="48" s="1"/>
  <c r="AF38" i="48" a="1"/>
  <c r="AF38" i="48" s="1"/>
  <c r="AH38" i="48"/>
  <c r="AK38" i="48" a="1"/>
  <c r="AK38" i="48" s="1"/>
  <c r="AM38" i="48" a="1"/>
  <c r="AM38" i="48" s="1"/>
  <c r="AO38" i="48"/>
  <c r="AD39" i="48" a="1"/>
  <c r="AD39" i="48" s="1"/>
  <c r="AF39" i="48" a="1"/>
  <c r="AF39" i="48" s="1"/>
  <c r="AH39" i="48"/>
  <c r="AK39" i="48" a="1"/>
  <c r="AK39" i="48" s="1"/>
  <c r="AM39" i="48" a="1"/>
  <c r="AM39" i="48" s="1"/>
  <c r="AO39" i="48"/>
  <c r="AD40" i="48" a="1"/>
  <c r="AD40" i="48" s="1"/>
  <c r="AF40" i="48" a="1"/>
  <c r="AF40" i="48" s="1"/>
  <c r="AH40" i="48"/>
  <c r="AK40" i="48" a="1"/>
  <c r="AK40" i="48" s="1"/>
  <c r="AM40" i="48" a="1"/>
  <c r="AM40" i="48" s="1"/>
  <c r="AO40" i="48"/>
  <c r="AD41" i="48" a="1"/>
  <c r="AD41" i="48" s="1"/>
  <c r="AF41" i="48" a="1"/>
  <c r="AF41" i="48" s="1"/>
  <c r="AH41" i="48"/>
  <c r="AK41" i="48" a="1"/>
  <c r="AK41" i="48" s="1"/>
  <c r="AM41" i="48" a="1"/>
  <c r="AM41" i="48" s="1"/>
  <c r="AO41" i="48"/>
  <c r="AD42" i="48" a="1"/>
  <c r="AD42" i="48" s="1"/>
  <c r="AF42" i="48" a="1"/>
  <c r="AF42" i="48" s="1"/>
  <c r="AH42" i="48"/>
  <c r="AK42" i="48" a="1"/>
  <c r="AK42" i="48" s="1"/>
  <c r="AM42" i="48" a="1"/>
  <c r="AM42" i="48" s="1"/>
  <c r="AO42" i="48"/>
  <c r="AD43" i="48" a="1"/>
  <c r="AD43" i="48" s="1"/>
  <c r="AF43" i="48" a="1"/>
  <c r="AF43" i="48" s="1"/>
  <c r="AH43" i="48"/>
  <c r="AK43" i="48" a="1"/>
  <c r="AK43" i="48" s="1"/>
  <c r="AM43" i="48" a="1"/>
  <c r="AM43" i="48" s="1"/>
  <c r="AO43" i="48"/>
  <c r="AD44" i="48" a="1"/>
  <c r="AD44" i="48" s="1"/>
  <c r="AF44" i="48" a="1"/>
  <c r="AF44" i="48" s="1"/>
  <c r="AH44" i="48"/>
  <c r="AK44" i="48" a="1"/>
  <c r="AK44" i="48" s="1"/>
  <c r="AM44" i="48" a="1"/>
  <c r="AM44" i="48" s="1"/>
  <c r="AO44" i="48"/>
  <c r="AD45" i="48" a="1"/>
  <c r="AD45" i="48" s="1"/>
  <c r="AF45" i="48" a="1"/>
  <c r="AF45" i="48" s="1"/>
  <c r="AH45" i="48"/>
  <c r="AK45" i="48" a="1"/>
  <c r="AK45" i="48" s="1"/>
  <c r="AM45" i="48" a="1"/>
  <c r="AM45" i="48" s="1"/>
  <c r="AO45" i="48"/>
  <c r="AD46" i="48" a="1"/>
  <c r="AD46" i="48" s="1"/>
  <c r="AF46" i="48" a="1"/>
  <c r="AF46" i="48" s="1"/>
  <c r="AH46" i="48"/>
  <c r="AK46" i="48" a="1"/>
  <c r="AK46" i="48" s="1"/>
  <c r="AM46" i="48" a="1"/>
  <c r="AM46" i="48" s="1"/>
  <c r="AO46" i="48"/>
  <c r="AD47" i="48" a="1"/>
  <c r="AD47" i="48" s="1"/>
  <c r="AF47" i="48" a="1"/>
  <c r="AF47" i="48" s="1"/>
  <c r="AH47" i="48"/>
  <c r="AK47" i="48" a="1"/>
  <c r="AK47" i="48" s="1"/>
  <c r="AM47" i="48" a="1"/>
  <c r="AM47" i="48" s="1"/>
  <c r="AO47" i="48"/>
  <c r="AD48" i="48" a="1"/>
  <c r="AD48" i="48" s="1"/>
  <c r="AF48" i="48" a="1"/>
  <c r="AF48" i="48" s="1"/>
  <c r="AH48" i="48"/>
  <c r="AK48" i="48" a="1"/>
  <c r="AK48" i="48" s="1"/>
  <c r="AM48" i="48" a="1"/>
  <c r="AM48" i="48" s="1"/>
  <c r="AO48" i="48"/>
  <c r="Y31" i="48" a="1"/>
  <c r="Y31" i="48" s="1"/>
  <c r="AA31" i="48"/>
  <c r="Y32" i="48" a="1"/>
  <c r="Y32" i="48" s="1"/>
  <c r="AA32" i="48"/>
  <c r="Y33" i="48" a="1"/>
  <c r="Y33" i="48" s="1"/>
  <c r="AA33" i="48"/>
  <c r="Y34" i="48" a="1"/>
  <c r="Y34" i="48" s="1"/>
  <c r="AA34" i="48"/>
  <c r="Y35" i="48" a="1"/>
  <c r="Y35" i="48" s="1"/>
  <c r="AA35" i="48"/>
  <c r="Y36" i="48" a="1"/>
  <c r="Y36" i="48" s="1"/>
  <c r="AA36" i="48"/>
  <c r="Y37" i="48" a="1"/>
  <c r="Y37" i="48" s="1"/>
  <c r="AA37" i="48"/>
  <c r="Y38" i="48" a="1"/>
  <c r="Y38" i="48" s="1"/>
  <c r="AA38" i="48"/>
  <c r="Y39" i="48" a="1"/>
  <c r="Y39" i="48" s="1"/>
  <c r="AA39" i="48"/>
  <c r="Y40" i="48" a="1"/>
  <c r="Y40" i="48" s="1"/>
  <c r="AA40" i="48"/>
  <c r="Y41" i="48" a="1"/>
  <c r="Y41" i="48" s="1"/>
  <c r="AA41" i="48"/>
  <c r="Y42" i="48" a="1"/>
  <c r="Y42" i="48" s="1"/>
  <c r="AA42" i="48"/>
  <c r="Y43" i="48" a="1"/>
  <c r="Y43" i="48" s="1"/>
  <c r="AA43" i="48"/>
  <c r="Y44" i="48" a="1"/>
  <c r="Y44" i="48" s="1"/>
  <c r="AA44" i="48"/>
  <c r="Y45" i="48" a="1"/>
  <c r="Y45" i="48" s="1"/>
  <c r="AA45" i="48"/>
  <c r="Y46" i="48" a="1"/>
  <c r="Y46" i="48" s="1"/>
  <c r="AA46" i="48"/>
  <c r="Y47" i="48" a="1"/>
  <c r="Y47" i="48" s="1"/>
  <c r="AA47" i="48"/>
  <c r="Y48" i="48" a="1"/>
  <c r="Y48" i="48" s="1"/>
  <c r="AA48" i="48"/>
  <c r="H11" i="48"/>
  <c r="H12" i="48"/>
  <c r="H13" i="48"/>
  <c r="H14" i="48"/>
  <c r="H15" i="48"/>
  <c r="H16" i="48"/>
  <c r="H17" i="48"/>
  <c r="H18" i="48"/>
  <c r="H19" i="48"/>
  <c r="H20" i="48"/>
  <c r="H21" i="48"/>
  <c r="H4" i="48"/>
  <c r="H22" i="48"/>
  <c r="H23" i="48"/>
  <c r="H24" i="48"/>
  <c r="H25" i="48"/>
  <c r="H26" i="48"/>
  <c r="H27" i="48"/>
  <c r="H28" i="48"/>
  <c r="H29" i="48"/>
  <c r="H30" i="48"/>
  <c r="H31" i="48"/>
  <c r="H32" i="48"/>
  <c r="H33" i="48"/>
  <c r="H34" i="48"/>
  <c r="H35" i="48"/>
  <c r="H36" i="48"/>
  <c r="H37" i="48"/>
  <c r="H38" i="48"/>
  <c r="H39" i="48"/>
  <c r="H40" i="48"/>
  <c r="H41" i="48"/>
  <c r="H42" i="48"/>
  <c r="H43" i="48"/>
  <c r="H44" i="48"/>
  <c r="H45" i="48"/>
  <c r="H46" i="48"/>
  <c r="H47" i="48"/>
  <c r="H48" i="48"/>
  <c r="H10" i="48"/>
  <c r="G11" i="48"/>
  <c r="G12" i="48"/>
  <c r="G13" i="48"/>
  <c r="G14" i="48"/>
  <c r="G15" i="48"/>
  <c r="G16" i="48"/>
  <c r="G17" i="48"/>
  <c r="G18" i="48"/>
  <c r="G19" i="48"/>
  <c r="G20" i="48"/>
  <c r="G21" i="48"/>
  <c r="G4" i="48"/>
  <c r="G22" i="48"/>
  <c r="G23" i="48"/>
  <c r="G24" i="48"/>
  <c r="G25" i="48"/>
  <c r="G26" i="48"/>
  <c r="G27" i="48"/>
  <c r="G28" i="48"/>
  <c r="G29" i="48"/>
  <c r="G30" i="48"/>
  <c r="G31" i="48"/>
  <c r="G32" i="48"/>
  <c r="G33" i="48"/>
  <c r="G34" i="48"/>
  <c r="G35" i="48"/>
  <c r="G36" i="48"/>
  <c r="G37" i="48"/>
  <c r="G38" i="48"/>
  <c r="G39" i="48"/>
  <c r="G40" i="48"/>
  <c r="G41" i="48"/>
  <c r="G42" i="48"/>
  <c r="G43" i="48"/>
  <c r="G44" i="48"/>
  <c r="G45" i="48"/>
  <c r="G46" i="48"/>
  <c r="G47" i="48"/>
  <c r="G48" i="48"/>
  <c r="G10" i="48"/>
  <c r="F11" i="48"/>
  <c r="F12" i="48"/>
  <c r="F13" i="48"/>
  <c r="F14" i="48"/>
  <c r="F15" i="48"/>
  <c r="F16" i="48"/>
  <c r="F17" i="48"/>
  <c r="F18" i="48"/>
  <c r="F19" i="48"/>
  <c r="F20" i="48"/>
  <c r="F21" i="48"/>
  <c r="F4" i="48"/>
  <c r="F22" i="48"/>
  <c r="F23" i="48"/>
  <c r="F24" i="48"/>
  <c r="F25" i="48"/>
  <c r="F26" i="48"/>
  <c r="F27" i="48"/>
  <c r="F28" i="48"/>
  <c r="F29" i="48"/>
  <c r="F30" i="48"/>
  <c r="F31" i="48"/>
  <c r="F32" i="48"/>
  <c r="F33" i="48"/>
  <c r="F34" i="48"/>
  <c r="F35" i="48"/>
  <c r="F36" i="48"/>
  <c r="F37" i="48"/>
  <c r="F38" i="48"/>
  <c r="F39" i="48"/>
  <c r="F40" i="48"/>
  <c r="F41" i="48"/>
  <c r="F42" i="48"/>
  <c r="F43" i="48"/>
  <c r="F44" i="48"/>
  <c r="F45" i="48"/>
  <c r="F46" i="48"/>
  <c r="F47" i="48"/>
  <c r="F48" i="48"/>
  <c r="F10" i="48"/>
  <c r="N9" i="47"/>
  <c r="O9" i="47" s="1"/>
  <c r="N10" i="47"/>
  <c r="O10" i="47" s="1"/>
  <c r="N11" i="47"/>
  <c r="O11" i="47" s="1"/>
  <c r="N12" i="47"/>
  <c r="O12" i="47" s="1"/>
  <c r="N13" i="47"/>
  <c r="O13" i="47" s="1"/>
  <c r="N14" i="47"/>
  <c r="O14" i="47" s="1"/>
  <c r="N15" i="47"/>
  <c r="O15" i="47" s="1"/>
  <c r="N16" i="47"/>
  <c r="O16" i="47" s="1"/>
  <c r="N17" i="47"/>
  <c r="O17" i="47" s="1"/>
  <c r="N18" i="47"/>
  <c r="O18" i="47" s="1"/>
  <c r="N19" i="47"/>
  <c r="O19" i="47" s="1"/>
  <c r="N20" i="47"/>
  <c r="O20" i="47" s="1"/>
  <c r="N21" i="47"/>
  <c r="O21" i="47" s="1"/>
  <c r="N22" i="47"/>
  <c r="O22" i="47" s="1"/>
  <c r="N23" i="47"/>
  <c r="O23" i="47" s="1"/>
  <c r="N24" i="47"/>
  <c r="O24" i="47" s="1"/>
  <c r="N25" i="47"/>
  <c r="O25" i="47" s="1"/>
  <c r="N26" i="47"/>
  <c r="O26" i="47" s="1"/>
  <c r="N27" i="47"/>
  <c r="O27" i="47" s="1"/>
  <c r="N28" i="47"/>
  <c r="O28" i="47" s="1"/>
  <c r="N29" i="47"/>
  <c r="O29" i="47" s="1"/>
  <c r="N30" i="47"/>
  <c r="O30" i="47" s="1"/>
  <c r="N31" i="47"/>
  <c r="O31" i="47" s="1"/>
  <c r="N32" i="47"/>
  <c r="O32" i="47" s="1"/>
  <c r="N33" i="47"/>
  <c r="O33" i="47" s="1"/>
  <c r="N34" i="47"/>
  <c r="O34" i="47" s="1"/>
  <c r="N35" i="47"/>
  <c r="O35" i="47" s="1"/>
  <c r="N36" i="47"/>
  <c r="O36" i="47" s="1"/>
  <c r="N37" i="47"/>
  <c r="O37" i="47" s="1"/>
  <c r="N38" i="47"/>
  <c r="O38" i="47" s="1"/>
  <c r="N39" i="47"/>
  <c r="O39" i="47" s="1"/>
  <c r="N40" i="47"/>
  <c r="O40" i="47" s="1"/>
  <c r="N41" i="47"/>
  <c r="O41" i="47" s="1"/>
  <c r="N42" i="47"/>
  <c r="O42" i="47" s="1"/>
  <c r="N43" i="47"/>
  <c r="O43" i="47" s="1"/>
  <c r="N44" i="47"/>
  <c r="O44" i="47" s="1"/>
  <c r="N45" i="47"/>
  <c r="O45" i="47" s="1"/>
  <c r="N46" i="47"/>
  <c r="O46" i="47" s="1"/>
  <c r="N47" i="47"/>
  <c r="O47" i="47" s="1"/>
  <c r="N48" i="47"/>
  <c r="O48" i="47" s="1"/>
  <c r="N49" i="47"/>
  <c r="O49" i="47" s="1"/>
  <c r="N50" i="47"/>
  <c r="O50" i="47" s="1"/>
  <c r="N51" i="47"/>
  <c r="O51" i="47" s="1"/>
  <c r="N52" i="47"/>
  <c r="O52" i="47" s="1"/>
  <c r="N53" i="47"/>
  <c r="O53" i="47" s="1"/>
  <c r="N54" i="47"/>
  <c r="O54" i="47" s="1"/>
  <c r="N55" i="47"/>
  <c r="O55" i="47" s="1"/>
  <c r="N56" i="47"/>
  <c r="O56" i="47" s="1"/>
  <c r="N57" i="47"/>
  <c r="O57" i="47" s="1"/>
  <c r="N58" i="47"/>
  <c r="O58" i="47" s="1"/>
  <c r="N59" i="47"/>
  <c r="O59" i="47" s="1"/>
  <c r="N60" i="47"/>
  <c r="O60" i="47" s="1"/>
  <c r="N61" i="47"/>
  <c r="O61" i="47" s="1"/>
  <c r="N62" i="47"/>
  <c r="O62" i="47" s="1"/>
  <c r="N63" i="47"/>
  <c r="O63" i="47" s="1"/>
  <c r="N64" i="47"/>
  <c r="O64" i="47" s="1"/>
  <c r="N65" i="47"/>
  <c r="O65" i="47" s="1"/>
  <c r="N66" i="47"/>
  <c r="O66" i="47" s="1"/>
  <c r="N67" i="47"/>
  <c r="O67" i="47" s="1"/>
  <c r="Y34" i="101"/>
  <c r="Y56" i="101"/>
  <c r="Y50" i="101"/>
  <c r="Y19" i="101"/>
  <c r="Y20" i="101"/>
  <c r="Y55" i="101"/>
  <c r="Y29" i="101"/>
  <c r="Y13" i="101"/>
  <c r="Y45" i="101"/>
  <c r="Y3" i="101"/>
  <c r="Y39" i="101"/>
  <c r="Y35" i="101"/>
  <c r="Y57" i="101"/>
  <c r="Y9" i="101"/>
  <c r="Y4" i="101"/>
  <c r="Y2" i="101"/>
  <c r="Y51" i="101"/>
  <c r="Y46" i="101"/>
  <c r="Y21" i="101"/>
  <c r="Y14" i="101"/>
  <c r="Y40" i="101"/>
  <c r="Y44" i="101"/>
  <c r="Y30" i="101"/>
  <c r="Y22" i="101"/>
  <c r="Y10" i="101"/>
  <c r="Y31" i="101"/>
  <c r="Y23" i="101"/>
  <c r="Y58" i="101"/>
  <c r="Y52" i="101"/>
  <c r="Y47" i="101"/>
  <c r="Y5" i="101"/>
  <c r="Y41" i="101"/>
  <c r="Y24" i="101"/>
  <c r="Y36" i="101"/>
  <c r="Y15" i="101"/>
  <c r="Y18" i="101"/>
  <c r="Y16" i="101"/>
  <c r="Y53" i="101"/>
  <c r="Y61" i="101"/>
  <c r="Y25" i="101"/>
  <c r="Y26" i="101"/>
  <c r="Y48" i="101"/>
  <c r="Y11" i="101"/>
  <c r="Y6" i="101"/>
  <c r="Y42" i="101"/>
  <c r="Y37" i="101"/>
  <c r="Y32" i="101"/>
  <c r="Y38" i="101"/>
  <c r="Y60" i="101"/>
  <c r="Y17" i="101"/>
  <c r="Y43" i="101"/>
  <c r="Y33" i="101"/>
  <c r="Y62" i="101"/>
  <c r="Y49" i="101"/>
  <c r="Y12" i="101"/>
  <c r="Y54" i="101"/>
  <c r="Y7" i="101"/>
  <c r="Y27" i="101"/>
  <c r="Y28" i="101"/>
  <c r="AN92" i="48" l="1"/>
  <c r="AR37" i="48"/>
  <c r="V35" i="47" s="1"/>
  <c r="AR33" i="48"/>
  <c r="V31" i="47" s="1"/>
  <c r="AE107" i="48"/>
  <c r="AP207" i="48"/>
  <c r="AE207" i="48"/>
  <c r="X107" i="48"/>
  <c r="AE92" i="48"/>
  <c r="Q196" i="48"/>
  <c r="AR31" i="48"/>
  <c r="V29" i="47" s="1"/>
  <c r="Q107" i="48"/>
  <c r="S107" i="48"/>
  <c r="Q111" i="47"/>
  <c r="Q90" i="47"/>
  <c r="U194" i="47"/>
  <c r="Q124" i="47"/>
  <c r="AP92" i="48"/>
  <c r="Z92" i="48"/>
  <c r="AI92" i="48"/>
  <c r="AG196" i="48"/>
  <c r="Q92" i="48"/>
  <c r="X92" i="48"/>
  <c r="U92" i="48"/>
  <c r="S92" i="48"/>
  <c r="AB92" i="48"/>
  <c r="AL92" i="48"/>
  <c r="AI202" i="48"/>
  <c r="Q202" i="48"/>
  <c r="AE202" i="48"/>
  <c r="U202" i="48"/>
  <c r="Z202" i="48"/>
  <c r="AG202" i="48"/>
  <c r="AG198" i="48"/>
  <c r="AL207" i="48"/>
  <c r="AG107" i="48"/>
  <c r="Q116" i="47"/>
  <c r="AI207" i="48"/>
  <c r="AI107" i="48"/>
  <c r="U104" i="47"/>
  <c r="AN107" i="48"/>
  <c r="AP107" i="48"/>
  <c r="AL107" i="48"/>
  <c r="AB107" i="48"/>
  <c r="Q118" i="47"/>
  <c r="Z207" i="48"/>
  <c r="Z107" i="48"/>
  <c r="U129" i="47"/>
  <c r="U79" i="47"/>
  <c r="AI198" i="48"/>
  <c r="AP198" i="48"/>
  <c r="Q198" i="48"/>
  <c r="U174" i="48"/>
  <c r="AE174" i="48"/>
  <c r="AG174" i="48"/>
  <c r="AL174" i="48"/>
  <c r="Q174" i="48"/>
  <c r="Q196" i="47"/>
  <c r="Z174" i="48"/>
  <c r="U198" i="48"/>
  <c r="S174" i="48"/>
  <c r="AB207" i="48"/>
  <c r="U207" i="48"/>
  <c r="Q207" i="48"/>
  <c r="AL202" i="48"/>
  <c r="S202" i="48"/>
  <c r="Z198" i="48"/>
  <c r="AL198" i="48"/>
  <c r="X174" i="48"/>
  <c r="AG207" i="48"/>
  <c r="X207" i="48"/>
  <c r="AP202" i="48"/>
  <c r="AI174" i="48"/>
  <c r="AP174" i="48"/>
  <c r="AN202" i="48"/>
  <c r="S207" i="48"/>
  <c r="AB174" i="48"/>
  <c r="AB202" i="48"/>
  <c r="U151" i="47"/>
  <c r="U172" i="47"/>
  <c r="AP120" i="48"/>
  <c r="AG120" i="48"/>
  <c r="U75" i="47"/>
  <c r="U93" i="47"/>
  <c r="Q93" i="47"/>
  <c r="AI120" i="48"/>
  <c r="AP196" i="48"/>
  <c r="AI196" i="48"/>
  <c r="AL196" i="48"/>
  <c r="U196" i="48"/>
  <c r="Z196" i="48"/>
  <c r="X196" i="48"/>
  <c r="AR39" i="48"/>
  <c r="V37" i="47" s="1"/>
  <c r="AR35" i="48"/>
  <c r="V33" i="47" s="1"/>
  <c r="S196" i="48"/>
  <c r="AN196" i="48"/>
  <c r="Z144" i="48"/>
  <c r="S198" i="48"/>
  <c r="AI106" i="48"/>
  <c r="AB198" i="48"/>
  <c r="X113" i="48"/>
  <c r="AN198" i="48"/>
  <c r="Q106" i="48"/>
  <c r="AE113" i="48"/>
  <c r="X198" i="48"/>
  <c r="AE196" i="48"/>
  <c r="Q142" i="47"/>
  <c r="U142" i="47"/>
  <c r="Q205" i="47"/>
  <c r="U205" i="47"/>
  <c r="Q200" i="47"/>
  <c r="U200" i="47"/>
  <c r="Q105" i="47"/>
  <c r="U105" i="47"/>
  <c r="AI113" i="48"/>
  <c r="AN113" i="48"/>
  <c r="S106" i="48"/>
  <c r="AG113" i="48"/>
  <c r="AG106" i="48"/>
  <c r="AL106" i="48"/>
  <c r="S120" i="48"/>
  <c r="AN106" i="48"/>
  <c r="AE106" i="48"/>
  <c r="Z120" i="48"/>
  <c r="U120" i="48"/>
  <c r="Q113" i="48"/>
  <c r="AP113" i="48"/>
  <c r="U106" i="48"/>
  <c r="Q120" i="48"/>
  <c r="AB113" i="48"/>
  <c r="S113" i="48"/>
  <c r="AE120" i="48"/>
  <c r="AL113" i="48"/>
  <c r="Z106" i="48"/>
  <c r="AN120" i="48"/>
  <c r="AB106" i="48"/>
  <c r="AP106" i="48"/>
  <c r="X120" i="48"/>
  <c r="AB120" i="48"/>
  <c r="U113" i="48"/>
  <c r="AR47" i="48"/>
  <c r="V45" i="47" s="1"/>
  <c r="AR43" i="48"/>
  <c r="V41" i="47" s="1"/>
  <c r="X144" i="48"/>
  <c r="AG144" i="48"/>
  <c r="AL144" i="48"/>
  <c r="AP144" i="48"/>
  <c r="AR45" i="48"/>
  <c r="V43" i="47" s="1"/>
  <c r="AR41" i="48"/>
  <c r="V39" i="47" s="1"/>
  <c r="AR44" i="48"/>
  <c r="V42" i="47" s="1"/>
  <c r="AR40" i="48"/>
  <c r="V38" i="47" s="1"/>
  <c r="AR36" i="48"/>
  <c r="V34" i="47" s="1"/>
  <c r="AR32" i="48"/>
  <c r="V30" i="47" s="1"/>
  <c r="AR48" i="48"/>
  <c r="V46" i="47" s="1"/>
  <c r="AR42" i="48"/>
  <c r="V40" i="47" s="1"/>
  <c r="AR38" i="48"/>
  <c r="V36" i="47" s="1"/>
  <c r="AR34" i="48"/>
  <c r="V32" i="47" s="1"/>
  <c r="AR46" i="48"/>
  <c r="V44" i="47" s="1"/>
  <c r="AN144" i="48"/>
  <c r="AB144" i="48"/>
  <c r="Q144" i="48"/>
  <c r="Z79" i="48"/>
  <c r="S79" i="48"/>
  <c r="U79" i="48"/>
  <c r="AG79" i="48"/>
  <c r="AB79" i="48"/>
  <c r="Q77" i="47"/>
  <c r="AN79" i="48"/>
  <c r="AL79" i="48"/>
  <c r="AI79" i="48"/>
  <c r="AP79" i="48"/>
  <c r="Q79" i="48"/>
  <c r="X79" i="48"/>
  <c r="S144" i="48"/>
  <c r="U144" i="48"/>
  <c r="AE144" i="48"/>
  <c r="AN126" i="48"/>
  <c r="AP126" i="48"/>
  <c r="S126" i="48"/>
  <c r="AB126" i="48"/>
  <c r="Z126" i="48"/>
  <c r="AI126" i="48"/>
  <c r="AL126" i="48"/>
  <c r="AG126" i="48"/>
  <c r="Q126" i="48"/>
  <c r="X126" i="48"/>
  <c r="U126" i="48"/>
  <c r="AB77" i="48"/>
  <c r="AL123" i="48"/>
  <c r="Q123" i="48"/>
  <c r="AP77" i="48"/>
  <c r="Z77" i="48"/>
  <c r="Q77" i="48"/>
  <c r="AN77" i="48"/>
  <c r="AE77" i="48"/>
  <c r="S123" i="48"/>
  <c r="AI188" i="48"/>
  <c r="Q188" i="48"/>
  <c r="AP188" i="48"/>
  <c r="AE188" i="48"/>
  <c r="Z188" i="48"/>
  <c r="X188" i="48"/>
  <c r="AB188" i="48"/>
  <c r="U188" i="48"/>
  <c r="S188" i="48"/>
  <c r="AN188" i="48"/>
  <c r="AG188" i="48"/>
  <c r="AL188" i="48"/>
  <c r="X123" i="48"/>
  <c r="AI123" i="48"/>
  <c r="AN118" i="48"/>
  <c r="AI118" i="48"/>
  <c r="U118" i="48"/>
  <c r="X118" i="48"/>
  <c r="AL118" i="48"/>
  <c r="Q118" i="48"/>
  <c r="AE118" i="48"/>
  <c r="AB118" i="48"/>
  <c r="Z118" i="48"/>
  <c r="AP118" i="48"/>
  <c r="S118" i="48"/>
  <c r="AG118" i="48"/>
  <c r="AE123" i="48"/>
  <c r="U123" i="48"/>
  <c r="AP123" i="48"/>
  <c r="AB123" i="48"/>
  <c r="AI121" i="48"/>
  <c r="AG121" i="48"/>
  <c r="AP121" i="48"/>
  <c r="AE121" i="48"/>
  <c r="Z121" i="48"/>
  <c r="AL121" i="48"/>
  <c r="Q121" i="48"/>
  <c r="AB121" i="48"/>
  <c r="U121" i="48"/>
  <c r="X121" i="48"/>
  <c r="AN121" i="48"/>
  <c r="S121" i="48"/>
  <c r="Z123" i="48"/>
  <c r="AG123" i="48"/>
  <c r="AP200" i="48"/>
  <c r="S200" i="48"/>
  <c r="Z200" i="48"/>
  <c r="AG200" i="48"/>
  <c r="AL200" i="48"/>
  <c r="AI200" i="48"/>
  <c r="U200" i="48"/>
  <c r="AB200" i="48"/>
  <c r="AN200" i="48"/>
  <c r="Q200" i="48"/>
  <c r="X200" i="48"/>
  <c r="AE200" i="48"/>
  <c r="AL77" i="48"/>
  <c r="S77" i="48"/>
  <c r="AG77" i="48"/>
  <c r="AI77" i="48"/>
  <c r="U77" i="48"/>
  <c r="AN81" i="48"/>
  <c r="AB81" i="48"/>
  <c r="AP81" i="48"/>
  <c r="AE81" i="48"/>
  <c r="S81" i="48"/>
  <c r="AI81" i="48"/>
  <c r="AL81" i="48"/>
  <c r="Q81" i="48"/>
  <c r="Z81" i="48"/>
  <c r="X81" i="48"/>
  <c r="U81" i="48"/>
  <c r="AG81" i="48"/>
  <c r="X168" i="48"/>
  <c r="AL168" i="48"/>
  <c r="Q168" i="48"/>
  <c r="AG168" i="48"/>
  <c r="AE168" i="48"/>
  <c r="Z168" i="48"/>
  <c r="S168" i="48"/>
  <c r="AI168" i="48"/>
  <c r="AB168" i="48"/>
  <c r="AN168" i="48"/>
  <c r="AP168" i="48"/>
  <c r="U168" i="48"/>
  <c r="AE97" i="48"/>
  <c r="AP97" i="48"/>
  <c r="AG97" i="48"/>
  <c r="AN97" i="48"/>
  <c r="AB97" i="48"/>
  <c r="AI97" i="48"/>
  <c r="Q97" i="48"/>
  <c r="Z97" i="48"/>
  <c r="U97" i="48"/>
  <c r="X97" i="48"/>
  <c r="S97" i="48"/>
  <c r="AL97" i="48"/>
  <c r="AN100" i="48"/>
  <c r="Q100" i="48"/>
  <c r="AE100" i="48"/>
  <c r="U100" i="48"/>
  <c r="X100" i="48"/>
  <c r="AL100" i="48"/>
  <c r="AI100" i="48"/>
  <c r="AB100" i="48"/>
  <c r="AG100" i="48"/>
  <c r="Z100" i="48"/>
  <c r="AP100" i="48"/>
  <c r="S100" i="48"/>
  <c r="AG110" i="48"/>
  <c r="U110" i="48"/>
  <c r="AN110" i="48"/>
  <c r="AL110" i="48"/>
  <c r="AB110" i="48"/>
  <c r="X110" i="48"/>
  <c r="AP110" i="48"/>
  <c r="S110" i="48"/>
  <c r="Z110" i="48"/>
  <c r="AI110" i="48"/>
  <c r="AE110" i="48"/>
  <c r="Q110" i="48"/>
  <c r="AG76" i="48"/>
  <c r="Q76" i="48"/>
  <c r="AE76" i="48"/>
  <c r="U76" i="48"/>
  <c r="AL76" i="48"/>
  <c r="AI76" i="48"/>
  <c r="Z76" i="48"/>
  <c r="X76" i="48"/>
  <c r="AP76" i="48"/>
  <c r="S76" i="48"/>
  <c r="AB76" i="48"/>
  <c r="AN76" i="48"/>
  <c r="AN138" i="48"/>
  <c r="X138" i="48"/>
  <c r="Z138" i="48"/>
  <c r="AG138" i="48"/>
  <c r="S138" i="48"/>
  <c r="AE138" i="48"/>
  <c r="AI138" i="48"/>
  <c r="Q138" i="48"/>
  <c r="AP138" i="48"/>
  <c r="U138" i="48"/>
  <c r="AB138" i="48"/>
  <c r="AL138" i="48"/>
  <c r="AG191" i="48"/>
  <c r="AP191" i="48"/>
  <c r="AB191" i="48"/>
  <c r="AN191" i="48"/>
  <c r="AE191" i="48"/>
  <c r="U191" i="48"/>
  <c r="AL191" i="48"/>
  <c r="S191" i="48"/>
  <c r="AI191" i="48"/>
  <c r="X191" i="48"/>
  <c r="Z191" i="48"/>
  <c r="Q191" i="48"/>
  <c r="S141" i="48"/>
  <c r="Q141" i="48"/>
  <c r="AN141" i="48"/>
  <c r="U141" i="48"/>
  <c r="AI141" i="48"/>
  <c r="AB141" i="48"/>
  <c r="AL141" i="48"/>
  <c r="Z141" i="48"/>
  <c r="X141" i="48"/>
  <c r="AE141" i="48"/>
  <c r="AP141" i="48"/>
  <c r="AG141" i="48"/>
  <c r="AP125" i="48"/>
  <c r="Q125" i="48"/>
  <c r="AL125" i="48"/>
  <c r="U125" i="48"/>
  <c r="AB125" i="48"/>
  <c r="AG125" i="48"/>
  <c r="AN125" i="48"/>
  <c r="Z125" i="48"/>
  <c r="S125" i="48"/>
  <c r="X125" i="48"/>
  <c r="AE125" i="48"/>
  <c r="AI125" i="48"/>
  <c r="AP140" i="48"/>
  <c r="AL140" i="48"/>
  <c r="U140" i="48"/>
  <c r="Q140" i="48"/>
  <c r="AB140" i="48"/>
  <c r="S140" i="48"/>
  <c r="X140" i="48"/>
  <c r="AG140" i="48"/>
  <c r="AE140" i="48"/>
  <c r="AN140" i="48"/>
  <c r="Z140" i="48"/>
  <c r="AI140" i="48"/>
  <c r="AI155" i="48"/>
  <c r="Z155" i="48"/>
  <c r="AP155" i="48"/>
  <c r="U155" i="48"/>
  <c r="AL155" i="48"/>
  <c r="S155" i="48"/>
  <c r="Q155" i="48"/>
  <c r="X155" i="48"/>
  <c r="AB155" i="48"/>
  <c r="AE155" i="48"/>
  <c r="AN155" i="48"/>
  <c r="AG155" i="48"/>
  <c r="AI162" i="48"/>
  <c r="U162" i="48"/>
  <c r="AB162" i="48"/>
  <c r="X162" i="48"/>
  <c r="AG162" i="48"/>
  <c r="AN162" i="48"/>
  <c r="Q162" i="48"/>
  <c r="Z162" i="48"/>
  <c r="AL162" i="48"/>
  <c r="S162" i="48"/>
  <c r="AE162" i="48"/>
  <c r="AP162" i="48"/>
  <c r="AP153" i="48"/>
  <c r="Z153" i="48"/>
  <c r="U153" i="48"/>
  <c r="AL153" i="48"/>
  <c r="S153" i="48"/>
  <c r="AN153" i="48"/>
  <c r="AE153" i="48"/>
  <c r="AI153" i="48"/>
  <c r="AG153" i="48"/>
  <c r="AB153" i="48"/>
  <c r="Q153" i="48"/>
  <c r="X153" i="48"/>
  <c r="AP194" i="48"/>
  <c r="U194" i="48"/>
  <c r="Z194" i="48"/>
  <c r="Q194" i="48"/>
  <c r="AG194" i="48"/>
  <c r="AE194" i="48"/>
  <c r="AB194" i="48"/>
  <c r="S194" i="48"/>
  <c r="AL194" i="48"/>
  <c r="AN194" i="48"/>
  <c r="X194" i="48"/>
  <c r="AI194" i="48"/>
  <c r="AE95" i="48"/>
  <c r="AP95" i="48"/>
  <c r="U95" i="48"/>
  <c r="AI95" i="48"/>
  <c r="Q95" i="48"/>
  <c r="X95" i="48"/>
  <c r="S95" i="48"/>
  <c r="AG95" i="48"/>
  <c r="AB95" i="48"/>
  <c r="AL95" i="48"/>
  <c r="AN95" i="48"/>
  <c r="Z95" i="48"/>
  <c r="AN98" i="48"/>
  <c r="AI98" i="48"/>
  <c r="Q98" i="48"/>
  <c r="AE98" i="48"/>
  <c r="AP98" i="48"/>
  <c r="AG98" i="48"/>
  <c r="Z98" i="48"/>
  <c r="AB98" i="48"/>
  <c r="AL98" i="48"/>
  <c r="U98" i="48"/>
  <c r="S98" i="48"/>
  <c r="X98" i="48"/>
  <c r="AG102" i="48"/>
  <c r="U102" i="48"/>
  <c r="AP102" i="48"/>
  <c r="AE102" i="48"/>
  <c r="AB102" i="48"/>
  <c r="Z102" i="48"/>
  <c r="AI102" i="48"/>
  <c r="X102" i="48"/>
  <c r="AL102" i="48"/>
  <c r="Q102" i="48"/>
  <c r="S102" i="48"/>
  <c r="AN102" i="48"/>
  <c r="AI74" i="48"/>
  <c r="AP74" i="48"/>
  <c r="Q74" i="48"/>
  <c r="S74" i="48"/>
  <c r="X74" i="48"/>
  <c r="Z74" i="48"/>
  <c r="AN74" i="48"/>
  <c r="AG74" i="48"/>
  <c r="AE74" i="48"/>
  <c r="AL74" i="48"/>
  <c r="AB74" i="48"/>
  <c r="U74" i="48"/>
  <c r="AI93" i="48"/>
  <c r="Z93" i="48"/>
  <c r="Q93" i="48"/>
  <c r="AN93" i="48"/>
  <c r="AL93" i="48"/>
  <c r="S93" i="48"/>
  <c r="AG93" i="48"/>
  <c r="AB93" i="48"/>
  <c r="AE93" i="48"/>
  <c r="X93" i="48"/>
  <c r="U93" i="48"/>
  <c r="AP93" i="48"/>
  <c r="AB73" i="48"/>
  <c r="Z73" i="48"/>
  <c r="AI73" i="48"/>
  <c r="Q73" i="48"/>
  <c r="U73" i="48"/>
  <c r="AG73" i="48"/>
  <c r="AL73" i="48"/>
  <c r="X73" i="48"/>
  <c r="AN73" i="48"/>
  <c r="AE73" i="48"/>
  <c r="S73" i="48"/>
  <c r="AP73" i="48"/>
  <c r="AG82" i="48"/>
  <c r="AL82" i="48"/>
  <c r="X82" i="48"/>
  <c r="S82" i="48"/>
  <c r="AP82" i="48"/>
  <c r="Q82" i="48"/>
  <c r="AN82" i="48"/>
  <c r="Z82" i="48"/>
  <c r="AE82" i="48"/>
  <c r="AB82" i="48"/>
  <c r="U82" i="48"/>
  <c r="AI82" i="48"/>
  <c r="X143" i="48"/>
  <c r="AB143" i="48"/>
  <c r="S143" i="48"/>
  <c r="AG143" i="48"/>
  <c r="AP143" i="48"/>
  <c r="U143" i="48"/>
  <c r="AI143" i="48"/>
  <c r="AE143" i="48"/>
  <c r="AL143" i="48"/>
  <c r="Z143" i="48"/>
  <c r="AN143" i="48"/>
  <c r="Q143" i="48"/>
  <c r="AG90" i="48"/>
  <c r="X90" i="48"/>
  <c r="S90" i="48"/>
  <c r="AB90" i="48"/>
  <c r="AI90" i="48"/>
  <c r="U90" i="48"/>
  <c r="AN90" i="48"/>
  <c r="Z90" i="48"/>
  <c r="AP90" i="48"/>
  <c r="AE90" i="48"/>
  <c r="AL90" i="48"/>
  <c r="Q90" i="48"/>
  <c r="AB71" i="48"/>
  <c r="AN71" i="48"/>
  <c r="AP71" i="48"/>
  <c r="AG71" i="48"/>
  <c r="Z71" i="48"/>
  <c r="S71" i="48"/>
  <c r="AI71" i="48"/>
  <c r="AL71" i="48"/>
  <c r="U71" i="48"/>
  <c r="AE71" i="48"/>
  <c r="X71" i="48"/>
  <c r="Q71" i="48"/>
  <c r="AI128" i="48"/>
  <c r="AE128" i="48"/>
  <c r="AB128" i="48"/>
  <c r="S128" i="48"/>
  <c r="Z128" i="48"/>
  <c r="AN128" i="48"/>
  <c r="Q128" i="48"/>
  <c r="AL128" i="48"/>
  <c r="AP128" i="48"/>
  <c r="AG128" i="48"/>
  <c r="U128" i="48"/>
  <c r="X128" i="48"/>
  <c r="AN171" i="48"/>
  <c r="AI171" i="48"/>
  <c r="AE171" i="48"/>
  <c r="AP171" i="48"/>
  <c r="AL171" i="48"/>
  <c r="Q171" i="48"/>
  <c r="X171" i="48"/>
  <c r="AB171" i="48"/>
  <c r="S171" i="48"/>
  <c r="U171" i="48"/>
  <c r="Z171" i="48"/>
  <c r="AG171" i="48"/>
  <c r="AI145" i="48"/>
  <c r="Z145" i="48"/>
  <c r="AG145" i="48"/>
  <c r="AN145" i="48"/>
  <c r="X145" i="48"/>
  <c r="AP145" i="48"/>
  <c r="Q145" i="48"/>
  <c r="AL145" i="48"/>
  <c r="AB145" i="48"/>
  <c r="AE145" i="48"/>
  <c r="U145" i="48"/>
  <c r="S145" i="48"/>
  <c r="AN88" i="48"/>
  <c r="S88" i="48"/>
  <c r="AB88" i="48"/>
  <c r="AL88" i="48"/>
  <c r="AI88" i="48"/>
  <c r="AG88" i="48"/>
  <c r="U88" i="48"/>
  <c r="Z88" i="48"/>
  <c r="AE88" i="48"/>
  <c r="AP88" i="48"/>
  <c r="Q88" i="48"/>
  <c r="X88" i="48"/>
  <c r="AI127" i="48"/>
  <c r="AE127" i="48"/>
  <c r="X127" i="48"/>
  <c r="AG127" i="48"/>
  <c r="U127" i="48"/>
  <c r="S127" i="48"/>
  <c r="Q127" i="48"/>
  <c r="AP127" i="48"/>
  <c r="AL127" i="48"/>
  <c r="AN127" i="48"/>
  <c r="Z127" i="48"/>
  <c r="AB127" i="48"/>
  <c r="AG103" i="48"/>
  <c r="U103" i="48"/>
  <c r="AI103" i="48"/>
  <c r="AP103" i="48"/>
  <c r="Z103" i="48"/>
  <c r="X103" i="48"/>
  <c r="AE103" i="48"/>
  <c r="AN103" i="48"/>
  <c r="AL103" i="48"/>
  <c r="S103" i="48"/>
  <c r="Q103" i="48"/>
  <c r="AB103" i="48"/>
  <c r="Z129" i="48"/>
  <c r="Q129" i="48"/>
  <c r="AN129" i="48"/>
  <c r="U129" i="48"/>
  <c r="AG129" i="48"/>
  <c r="S129" i="48"/>
  <c r="X129" i="48"/>
  <c r="AI129" i="48"/>
  <c r="AP129" i="48"/>
  <c r="AL129" i="48"/>
  <c r="AE129" i="48"/>
  <c r="AB129" i="48"/>
  <c r="U131" i="48"/>
  <c r="AB131" i="48"/>
  <c r="Q131" i="48"/>
  <c r="AP131" i="48"/>
  <c r="X131" i="48"/>
  <c r="AG131" i="48"/>
  <c r="AL131" i="48"/>
  <c r="S131" i="48"/>
  <c r="Z131" i="48"/>
  <c r="AE131" i="48"/>
  <c r="AI131" i="48"/>
  <c r="AN131" i="48"/>
  <c r="AE91" i="48"/>
  <c r="AI91" i="48"/>
  <c r="S91" i="48"/>
  <c r="AG91" i="48"/>
  <c r="AN91" i="48"/>
  <c r="X91" i="48"/>
  <c r="Q91" i="48"/>
  <c r="AP91" i="48"/>
  <c r="Z91" i="48"/>
  <c r="AB91" i="48"/>
  <c r="U91" i="48"/>
  <c r="AL91" i="48"/>
  <c r="Q8" i="47"/>
  <c r="K8" i="80"/>
  <c r="M8" i="80"/>
  <c r="L8" i="80"/>
  <c r="J67" i="80"/>
  <c r="J66" i="80"/>
  <c r="J65" i="80"/>
  <c r="J64" i="80"/>
  <c r="J63" i="80"/>
  <c r="J62" i="80"/>
  <c r="J61" i="80"/>
  <c r="J60" i="80"/>
  <c r="J59" i="80"/>
  <c r="J58" i="80"/>
  <c r="J57" i="80"/>
  <c r="J56" i="80"/>
  <c r="J55" i="80"/>
  <c r="J54" i="80"/>
  <c r="J53" i="80"/>
  <c r="J52" i="80"/>
  <c r="J51" i="80"/>
  <c r="K51" i="80" s="1"/>
  <c r="J50" i="80"/>
  <c r="J49" i="80"/>
  <c r="K49" i="80" s="1"/>
  <c r="J48" i="80"/>
  <c r="J47" i="80"/>
  <c r="K47" i="80" s="1"/>
  <c r="J46" i="80"/>
  <c r="J45" i="80"/>
  <c r="K45" i="80" s="1"/>
  <c r="J44" i="80"/>
  <c r="K44" i="80" s="1"/>
  <c r="J43" i="80"/>
  <c r="K43" i="80" s="1"/>
  <c r="J42" i="80"/>
  <c r="K42" i="80" s="1"/>
  <c r="J41" i="80"/>
  <c r="K41" i="80" s="1"/>
  <c r="J40" i="80"/>
  <c r="K40" i="80" s="1"/>
  <c r="J39" i="80"/>
  <c r="K39" i="80" s="1"/>
  <c r="J38" i="80"/>
  <c r="K38" i="80" s="1"/>
  <c r="J37" i="80"/>
  <c r="K37" i="80" s="1"/>
  <c r="J36" i="80"/>
  <c r="K36" i="80" s="1"/>
  <c r="J35" i="80"/>
  <c r="K35" i="80" s="1"/>
  <c r="J34" i="80"/>
  <c r="K34" i="80" s="1"/>
  <c r="J33" i="80"/>
  <c r="K33" i="80" s="1"/>
  <c r="J32" i="80"/>
  <c r="K32" i="80" s="1"/>
  <c r="J31" i="80"/>
  <c r="K31" i="80" s="1"/>
  <c r="J30" i="80"/>
  <c r="K30" i="80" s="1"/>
  <c r="J29" i="80"/>
  <c r="K29" i="80" s="1"/>
  <c r="J28" i="80"/>
  <c r="K28" i="80" s="1"/>
  <c r="J27" i="80"/>
  <c r="K27" i="80" s="1"/>
  <c r="J26" i="80"/>
  <c r="K26" i="80" s="1"/>
  <c r="J25" i="80"/>
  <c r="K25" i="80" s="1"/>
  <c r="J24" i="80"/>
  <c r="K24" i="80" s="1"/>
  <c r="J23" i="80"/>
  <c r="K23" i="80" s="1"/>
  <c r="J22" i="80"/>
  <c r="K22" i="80" s="1"/>
  <c r="J21" i="80"/>
  <c r="J20" i="80"/>
  <c r="J19" i="80"/>
  <c r="J18" i="80"/>
  <c r="J17" i="80"/>
  <c r="J16" i="80"/>
  <c r="J15" i="80"/>
  <c r="J14" i="80"/>
  <c r="J13" i="80"/>
  <c r="J12" i="80"/>
  <c r="J11" i="80"/>
  <c r="J10" i="80"/>
  <c r="J9" i="80"/>
  <c r="M2" i="100"/>
  <c r="N16" i="73"/>
  <c r="N2" i="73"/>
  <c r="N21" i="73"/>
  <c r="N6" i="73"/>
  <c r="N22" i="73"/>
  <c r="K53" i="80" l="1"/>
  <c r="L53" i="80"/>
  <c r="M53" i="80"/>
  <c r="K54" i="80"/>
  <c r="M54" i="80"/>
  <c r="L54" i="80"/>
  <c r="K55" i="80"/>
  <c r="M55" i="80"/>
  <c r="L55" i="80"/>
  <c r="K56" i="80"/>
  <c r="L56" i="80"/>
  <c r="M56" i="80"/>
  <c r="K57" i="80"/>
  <c r="L57" i="80"/>
  <c r="M57" i="80"/>
  <c r="K58" i="80"/>
  <c r="M58" i="80"/>
  <c r="L58" i="80"/>
  <c r="K59" i="80"/>
  <c r="L59" i="80"/>
  <c r="M59" i="80"/>
  <c r="K60" i="80"/>
  <c r="L60" i="80"/>
  <c r="M60" i="80"/>
  <c r="K61" i="80"/>
  <c r="L61" i="80"/>
  <c r="M61" i="80"/>
  <c r="K62" i="80"/>
  <c r="M62" i="80"/>
  <c r="L62" i="80"/>
  <c r="K63" i="80"/>
  <c r="M63" i="80"/>
  <c r="L63" i="80"/>
  <c r="K64" i="80"/>
  <c r="L64" i="80"/>
  <c r="M64" i="80"/>
  <c r="K65" i="80"/>
  <c r="L65" i="80"/>
  <c r="M65" i="80"/>
  <c r="K66" i="80"/>
  <c r="M66" i="80"/>
  <c r="L66" i="80"/>
  <c r="K67" i="80"/>
  <c r="M67" i="80"/>
  <c r="L67" i="80"/>
  <c r="D16" i="48"/>
  <c r="D21" i="48"/>
  <c r="D33" i="48"/>
  <c r="D36" i="48"/>
  <c r="D38" i="48"/>
  <c r="D40" i="48"/>
  <c r="D41" i="48"/>
  <c r="D47" i="48"/>
  <c r="D56" i="48"/>
  <c r="D67" i="48"/>
  <c r="B14" i="107" a="1"/>
  <c r="B14" i="107" s="1"/>
  <c r="E14" i="107" s="1"/>
  <c r="F14" i="107" s="1"/>
  <c r="G14" i="107" a="1"/>
  <c r="G14" i="107" s="1"/>
  <c r="I14" i="107" s="1"/>
  <c r="H14" i="107" a="1"/>
  <c r="H14" i="107" s="1"/>
  <c r="J14" i="107" s="1"/>
  <c r="G11" i="107" a="1"/>
  <c r="G11" i="107" s="1"/>
  <c r="I11" i="107" s="1"/>
  <c r="H11" i="107" a="1"/>
  <c r="H11" i="107" s="1"/>
  <c r="J11" i="107" s="1"/>
  <c r="B11" i="107" a="1"/>
  <c r="B11" i="107" s="1"/>
  <c r="E11" i="107" s="1"/>
  <c r="F11" i="107" s="1"/>
  <c r="G12" i="107" a="1"/>
  <c r="G12" i="107" s="1"/>
  <c r="I12" i="107" s="1"/>
  <c r="H12" i="107" a="1"/>
  <c r="H12" i="107" s="1"/>
  <c r="J12" i="107" s="1"/>
  <c r="G13" i="107" a="1"/>
  <c r="G13" i="107" s="1"/>
  <c r="I13" i="107" s="1"/>
  <c r="H13" i="107" a="1"/>
  <c r="H13" i="107" s="1"/>
  <c r="J13" i="107" s="1"/>
  <c r="B13" i="107" a="1"/>
  <c r="B13" i="107" s="1"/>
  <c r="E13" i="107" s="1"/>
  <c r="F13" i="107" s="1"/>
  <c r="B12" i="107" a="1"/>
  <c r="B12" i="107" s="1"/>
  <c r="E12" i="107" s="1"/>
  <c r="F12" i="107" s="1"/>
  <c r="G10" i="107" a="1"/>
  <c r="G10" i="107" s="1"/>
  <c r="I10" i="107" s="1"/>
  <c r="H10" i="107" a="1"/>
  <c r="H10" i="107" s="1"/>
  <c r="J10" i="107" s="1"/>
  <c r="B10" i="107" a="1"/>
  <c r="B10" i="107" s="1"/>
  <c r="E10" i="107" s="1"/>
  <c r="F10" i="107" s="1"/>
  <c r="B15" i="107" a="1"/>
  <c r="B15" i="107" s="1"/>
  <c r="B8" i="107" a="1"/>
  <c r="B8" i="107" s="1"/>
  <c r="B7" i="107" a="1"/>
  <c r="B7" i="107" s="1"/>
  <c r="E7" i="107" s="1"/>
  <c r="B9" i="107" a="1"/>
  <c r="B9" i="107" s="1"/>
  <c r="B5" i="107" a="1"/>
  <c r="B5" i="107" s="1"/>
  <c r="B4" i="107" a="1"/>
  <c r="B4" i="107" s="1"/>
  <c r="G15" i="107" a="1"/>
  <c r="G15" i="107" s="1"/>
  <c r="I15" i="107" s="1"/>
  <c r="H15" i="107" a="1"/>
  <c r="H15" i="107" s="1"/>
  <c r="J15" i="107" s="1"/>
  <c r="K13" i="80"/>
  <c r="L13" i="80"/>
  <c r="M13" i="80"/>
  <c r="Q16" i="47"/>
  <c r="Q26" i="47"/>
  <c r="Q50" i="47"/>
  <c r="Q58" i="47"/>
  <c r="Q11" i="47"/>
  <c r="K16" i="80"/>
  <c r="L16" i="80"/>
  <c r="M16" i="80"/>
  <c r="Q21" i="47"/>
  <c r="Q29" i="47"/>
  <c r="Q41" i="47"/>
  <c r="K11" i="80"/>
  <c r="L11" i="80"/>
  <c r="M11" i="80"/>
  <c r="K19" i="80"/>
  <c r="L19" i="80"/>
  <c r="M19" i="80"/>
  <c r="K21" i="80"/>
  <c r="L21" i="80"/>
  <c r="M21" i="80"/>
  <c r="Q24" i="47"/>
  <c r="Q32" i="47"/>
  <c r="Q44" i="47"/>
  <c r="Q48" i="47"/>
  <c r="Q56" i="47"/>
  <c r="K14" i="80"/>
  <c r="L14" i="80"/>
  <c r="M14" i="80"/>
  <c r="Q17" i="47"/>
  <c r="Q27" i="47"/>
  <c r="Q35" i="47"/>
  <c r="Q37" i="47"/>
  <c r="Q51" i="47"/>
  <c r="Q59" i="47"/>
  <c r="Q61" i="47"/>
  <c r="Q63" i="47"/>
  <c r="Q9" i="47"/>
  <c r="Q12" i="47"/>
  <c r="K17" i="80"/>
  <c r="L17" i="80"/>
  <c r="M17" i="80"/>
  <c r="Q20" i="47"/>
  <c r="Q22" i="47"/>
  <c r="Q30" i="47"/>
  <c r="Q42" i="47"/>
  <c r="Q46" i="47"/>
  <c r="Q53" i="47"/>
  <c r="Q67" i="47"/>
  <c r="K9" i="80"/>
  <c r="M9" i="80"/>
  <c r="L9" i="80"/>
  <c r="K12" i="80"/>
  <c r="L12" i="80"/>
  <c r="M12" i="80"/>
  <c r="Q15" i="47"/>
  <c r="K20" i="80"/>
  <c r="L20" i="80"/>
  <c r="M20" i="80"/>
  <c r="Q25" i="47"/>
  <c r="Q33" i="47"/>
  <c r="K46" i="80"/>
  <c r="L46" i="80"/>
  <c r="M46" i="80"/>
  <c r="Q49" i="47"/>
  <c r="Q57" i="47"/>
  <c r="Q10" i="47"/>
  <c r="K15" i="80"/>
  <c r="L15" i="80"/>
  <c r="M15" i="80"/>
  <c r="Q18" i="47"/>
  <c r="Q28" i="47"/>
  <c r="Q40" i="47"/>
  <c r="Q52" i="47"/>
  <c r="Q60" i="47"/>
  <c r="Q62" i="47"/>
  <c r="Q64" i="47"/>
  <c r="Q66" i="47"/>
  <c r="K10" i="80"/>
  <c r="L10" i="80"/>
  <c r="M10" i="80"/>
  <c r="Q13" i="47"/>
  <c r="K18" i="80"/>
  <c r="L18" i="80"/>
  <c r="M18" i="80"/>
  <c r="Q23" i="47"/>
  <c r="Q43" i="47"/>
  <c r="Q47" i="47"/>
  <c r="Q55" i="47"/>
  <c r="K48" i="80"/>
  <c r="M48" i="80"/>
  <c r="L48" i="80"/>
  <c r="K50" i="80"/>
  <c r="M50" i="80"/>
  <c r="L50" i="80"/>
  <c r="K52" i="80"/>
  <c r="L52" i="80"/>
  <c r="M52" i="80"/>
  <c r="P2" i="100"/>
  <c r="AO15" i="48"/>
  <c r="AO16" i="48"/>
  <c r="AO17" i="48"/>
  <c r="AO18" i="48"/>
  <c r="AO19" i="48"/>
  <c r="AO20" i="48"/>
  <c r="AO21" i="48"/>
  <c r="AO4" i="48"/>
  <c r="AO22" i="48"/>
  <c r="AO23" i="48"/>
  <c r="AO24" i="48"/>
  <c r="AO25" i="48"/>
  <c r="AO26" i="48"/>
  <c r="AO27" i="48"/>
  <c r="AO28" i="48"/>
  <c r="AO29" i="48"/>
  <c r="AO30" i="48"/>
  <c r="AM15" i="48" a="1"/>
  <c r="AM15" i="48" s="1"/>
  <c r="AM16" i="48" a="1"/>
  <c r="AM16" i="48" s="1"/>
  <c r="AM17" i="48" a="1"/>
  <c r="AM17" i="48" s="1"/>
  <c r="AM18" i="48" a="1"/>
  <c r="AM18" i="48" s="1"/>
  <c r="AM19" i="48" a="1"/>
  <c r="AM19" i="48" s="1"/>
  <c r="AM20" i="48" a="1"/>
  <c r="AM20" i="48" s="1"/>
  <c r="AM21" i="48" a="1"/>
  <c r="AM21" i="48" s="1"/>
  <c r="AM22" i="48" a="1"/>
  <c r="AM22" i="48" s="1"/>
  <c r="AM23" i="48" a="1"/>
  <c r="AM23" i="48" s="1"/>
  <c r="AM24" i="48" a="1"/>
  <c r="AM24" i="48" s="1"/>
  <c r="AM25" i="48" a="1"/>
  <c r="AM25" i="48" s="1"/>
  <c r="AM26" i="48" a="1"/>
  <c r="AM26" i="48" s="1"/>
  <c r="AM27" i="48" a="1"/>
  <c r="AM27" i="48" s="1"/>
  <c r="AM28" i="48" a="1"/>
  <c r="AM28" i="48" s="1"/>
  <c r="AM29" i="48" a="1"/>
  <c r="AM29" i="48" s="1"/>
  <c r="AM30" i="48" a="1"/>
  <c r="AM30" i="48" s="1"/>
  <c r="AK15" i="48" a="1"/>
  <c r="AK15" i="48" s="1"/>
  <c r="AK16" i="48" a="1"/>
  <c r="AK16" i="48" s="1"/>
  <c r="AK17" i="48" a="1"/>
  <c r="AK17" i="48" s="1"/>
  <c r="AK18" i="48" a="1"/>
  <c r="AK18" i="48" s="1"/>
  <c r="AK19" i="48" a="1"/>
  <c r="AK19" i="48" s="1"/>
  <c r="AK20" i="48" a="1"/>
  <c r="AK20" i="48" s="1"/>
  <c r="AK21" i="48" a="1"/>
  <c r="AK21" i="48" s="1"/>
  <c r="AK4" i="48" a="1"/>
  <c r="AK4" i="48" s="1"/>
  <c r="AK22" i="48" a="1"/>
  <c r="AK22" i="48" s="1"/>
  <c r="AK23" i="48" a="1"/>
  <c r="AK23" i="48" s="1"/>
  <c r="AK24" i="48" a="1"/>
  <c r="AK24" i="48" s="1"/>
  <c r="AK25" i="48" a="1"/>
  <c r="AK25" i="48" s="1"/>
  <c r="AK26" i="48" a="1"/>
  <c r="AK26" i="48" s="1"/>
  <c r="AK27" i="48" a="1"/>
  <c r="AK27" i="48" s="1"/>
  <c r="AK28" i="48" a="1"/>
  <c r="AK28" i="48" s="1"/>
  <c r="AK29" i="48" a="1"/>
  <c r="AK29" i="48" s="1"/>
  <c r="AK30" i="48" a="1"/>
  <c r="AK30" i="48" s="1"/>
  <c r="AH15" i="48"/>
  <c r="AH16" i="48"/>
  <c r="AH17" i="48"/>
  <c r="AH18" i="48"/>
  <c r="AH19" i="48"/>
  <c r="AH20" i="48"/>
  <c r="AH21" i="48"/>
  <c r="AH4" i="48"/>
  <c r="AH22" i="48"/>
  <c r="AH23" i="48"/>
  <c r="AH24" i="48"/>
  <c r="AH25" i="48"/>
  <c r="AH26" i="48"/>
  <c r="AH27" i="48"/>
  <c r="AH28" i="48"/>
  <c r="AH29" i="48"/>
  <c r="AH30" i="48"/>
  <c r="AF15" i="48" a="1"/>
  <c r="AF15" i="48" s="1"/>
  <c r="AF16" i="48" a="1"/>
  <c r="AF16" i="48" s="1"/>
  <c r="AF17" i="48" a="1"/>
  <c r="AF17" i="48" s="1"/>
  <c r="AF18" i="48" a="1"/>
  <c r="AF18" i="48" s="1"/>
  <c r="AF19" i="48" a="1"/>
  <c r="AF19" i="48" s="1"/>
  <c r="AF20" i="48" a="1"/>
  <c r="AF20" i="48" s="1"/>
  <c r="AF21" i="48" a="1"/>
  <c r="AF21" i="48" s="1"/>
  <c r="AF22" i="48" a="1"/>
  <c r="AF22" i="48" s="1"/>
  <c r="AF23" i="48" a="1"/>
  <c r="AF23" i="48" s="1"/>
  <c r="AF24" i="48" a="1"/>
  <c r="AF24" i="48" s="1"/>
  <c r="AF25" i="48" a="1"/>
  <c r="AF25" i="48" s="1"/>
  <c r="AF26" i="48" a="1"/>
  <c r="AF26" i="48" s="1"/>
  <c r="AF27" i="48" a="1"/>
  <c r="AF27" i="48" s="1"/>
  <c r="AF28" i="48" a="1"/>
  <c r="AF28" i="48" s="1"/>
  <c r="AF29" i="48" a="1"/>
  <c r="AF29" i="48" s="1"/>
  <c r="AF30" i="48" a="1"/>
  <c r="AF30" i="48" s="1"/>
  <c r="AD15" i="48" a="1"/>
  <c r="AD15" i="48" s="1"/>
  <c r="AD16" i="48" a="1"/>
  <c r="AD16" i="48" s="1"/>
  <c r="AD17" i="48" a="1"/>
  <c r="AD17" i="48" s="1"/>
  <c r="AD18" i="48" a="1"/>
  <c r="AD18" i="48" s="1"/>
  <c r="AD19" i="48" a="1"/>
  <c r="AD19" i="48" s="1"/>
  <c r="AD20" i="48" a="1"/>
  <c r="AD20" i="48" s="1"/>
  <c r="AD21" i="48" a="1"/>
  <c r="AD21" i="48" s="1"/>
  <c r="AD4" i="48" a="1"/>
  <c r="AD4" i="48" s="1"/>
  <c r="AD22" i="48" a="1"/>
  <c r="AD22" i="48" s="1"/>
  <c r="AD23" i="48" a="1"/>
  <c r="AD23" i="48" s="1"/>
  <c r="AD24" i="48" a="1"/>
  <c r="AD24" i="48" s="1"/>
  <c r="AD25" i="48" a="1"/>
  <c r="AD25" i="48" s="1"/>
  <c r="AD26" i="48" a="1"/>
  <c r="AD26" i="48" s="1"/>
  <c r="AD27" i="48" a="1"/>
  <c r="AD27" i="48" s="1"/>
  <c r="AD28" i="48" a="1"/>
  <c r="AD28" i="48" s="1"/>
  <c r="AD29" i="48" a="1"/>
  <c r="AD29" i="48" s="1"/>
  <c r="AD30" i="48" a="1"/>
  <c r="AD30" i="48" s="1"/>
  <c r="AA15" i="48"/>
  <c r="AA16" i="48"/>
  <c r="AA17" i="48"/>
  <c r="AA18" i="48"/>
  <c r="AA19" i="48"/>
  <c r="AA20" i="48"/>
  <c r="AA21" i="48"/>
  <c r="AA4" i="48"/>
  <c r="AA22" i="48"/>
  <c r="AA23" i="48"/>
  <c r="AA24" i="48"/>
  <c r="AA25" i="48"/>
  <c r="AA26" i="48"/>
  <c r="AA27" i="48"/>
  <c r="AA28" i="48"/>
  <c r="AA29" i="48"/>
  <c r="AA30" i="48"/>
  <c r="Y15" i="48" a="1"/>
  <c r="Y15" i="48" s="1"/>
  <c r="Y16" i="48" a="1"/>
  <c r="Y16" i="48" s="1"/>
  <c r="Y17" i="48" a="1"/>
  <c r="Y17" i="48" s="1"/>
  <c r="Y18" i="48" a="1"/>
  <c r="Y18" i="48" s="1"/>
  <c r="Y19" i="48" a="1"/>
  <c r="Y19" i="48" s="1"/>
  <c r="Y20" i="48" a="1"/>
  <c r="Y20" i="48" s="1"/>
  <c r="Y21" i="48" a="1"/>
  <c r="Y21" i="48" s="1"/>
  <c r="Y22" i="48" a="1"/>
  <c r="Y22" i="48" s="1"/>
  <c r="Y23" i="48" a="1"/>
  <c r="Y23" i="48" s="1"/>
  <c r="Y24" i="48" a="1"/>
  <c r="Y24" i="48" s="1"/>
  <c r="Y25" i="48" a="1"/>
  <c r="Y25" i="48" s="1"/>
  <c r="Y26" i="48" a="1"/>
  <c r="Y26" i="48" s="1"/>
  <c r="Y27" i="48" a="1"/>
  <c r="Y27" i="48" s="1"/>
  <c r="Y28" i="48" a="1"/>
  <c r="Y28" i="48" s="1"/>
  <c r="Y29" i="48" a="1"/>
  <c r="Y29" i="48" s="1"/>
  <c r="Y30" i="48" a="1"/>
  <c r="Y30" i="48" s="1"/>
  <c r="T31" i="48"/>
  <c r="AS31" i="48" s="1"/>
  <c r="T32" i="48"/>
  <c r="AS32" i="48" s="1"/>
  <c r="T33" i="48"/>
  <c r="AS33" i="48" s="1"/>
  <c r="T34" i="48"/>
  <c r="AS34" i="48" s="1"/>
  <c r="T35" i="48"/>
  <c r="AS35" i="48" s="1"/>
  <c r="T36" i="48"/>
  <c r="AS36" i="48" s="1"/>
  <c r="T37" i="48"/>
  <c r="AS37" i="48" s="1"/>
  <c r="T38" i="48"/>
  <c r="AS38" i="48" s="1"/>
  <c r="T39" i="48"/>
  <c r="AS39" i="48" s="1"/>
  <c r="T40" i="48"/>
  <c r="AS40" i="48" s="1"/>
  <c r="T41" i="48"/>
  <c r="AS41" i="48" s="1"/>
  <c r="T42" i="48"/>
  <c r="AS42" i="48" s="1"/>
  <c r="T43" i="48"/>
  <c r="AS43" i="48" s="1"/>
  <c r="T44" i="48"/>
  <c r="T45" i="48"/>
  <c r="T46" i="48"/>
  <c r="T47" i="48"/>
  <c r="AS47" i="48" s="1"/>
  <c r="T48" i="48"/>
  <c r="AS48" i="48" s="1"/>
  <c r="T5" i="48"/>
  <c r="AS5" i="48" s="1"/>
  <c r="R31" i="48" a="1"/>
  <c r="R31" i="48" s="1"/>
  <c r="R32" i="48" a="1"/>
  <c r="R32" i="48" s="1"/>
  <c r="R33" i="48" a="1"/>
  <c r="R33" i="48" s="1"/>
  <c r="R34" i="48" a="1"/>
  <c r="R34" i="48" s="1"/>
  <c r="R35" i="48" a="1"/>
  <c r="R35" i="48" s="1"/>
  <c r="R36" i="48" a="1"/>
  <c r="R36" i="48" s="1"/>
  <c r="R37" i="48" a="1"/>
  <c r="R37" i="48" s="1"/>
  <c r="R38" i="48" a="1"/>
  <c r="R38" i="48" s="1"/>
  <c r="R39" i="48" a="1"/>
  <c r="R39" i="48" s="1"/>
  <c r="R40" i="48" a="1"/>
  <c r="R40" i="48" s="1"/>
  <c r="R41" i="48" a="1"/>
  <c r="R41" i="48" s="1"/>
  <c r="R42" i="48" a="1"/>
  <c r="R42" i="48" s="1"/>
  <c r="R43" i="48" a="1"/>
  <c r="R43" i="48" s="1"/>
  <c r="R44" i="48" a="1"/>
  <c r="R44" i="48" s="1"/>
  <c r="R45" i="48" a="1"/>
  <c r="R45" i="48" s="1"/>
  <c r="R46" i="48" a="1"/>
  <c r="R46" i="48" s="1"/>
  <c r="R47" i="48" a="1"/>
  <c r="R47" i="48" s="1"/>
  <c r="R48" i="48" a="1"/>
  <c r="R48" i="48" s="1"/>
  <c r="R5" i="48" a="1"/>
  <c r="R5" i="48" s="1"/>
  <c r="T11" i="48"/>
  <c r="AS11" i="48" s="1"/>
  <c r="T12" i="48"/>
  <c r="AS12" i="48" s="1"/>
  <c r="T13" i="48"/>
  <c r="AS13" i="48" s="1"/>
  <c r="T14" i="48"/>
  <c r="AS14" i="48" s="1"/>
  <c r="T15" i="48"/>
  <c r="AS15" i="48" s="1"/>
  <c r="T16" i="48"/>
  <c r="AS16" i="48" s="1"/>
  <c r="T17" i="48"/>
  <c r="AS17" i="48" s="1"/>
  <c r="T18" i="48"/>
  <c r="AS18" i="48" s="1"/>
  <c r="T19" i="48"/>
  <c r="AS19" i="48" s="1"/>
  <c r="T20" i="48"/>
  <c r="AS20" i="48" s="1"/>
  <c r="T21" i="48"/>
  <c r="AS21" i="48" s="1"/>
  <c r="T4" i="48"/>
  <c r="AS4" i="48" s="1"/>
  <c r="T22" i="48"/>
  <c r="AS22" i="48" s="1"/>
  <c r="T23" i="48"/>
  <c r="AS23" i="48" s="1"/>
  <c r="T24" i="48"/>
  <c r="AS24" i="48" s="1"/>
  <c r="T25" i="48"/>
  <c r="AS25" i="48" s="1"/>
  <c r="T26" i="48"/>
  <c r="AS26" i="48" s="1"/>
  <c r="T27" i="48"/>
  <c r="AS27" i="48" s="1"/>
  <c r="T28" i="48"/>
  <c r="AS28" i="48" s="1"/>
  <c r="T29" i="48"/>
  <c r="AS29" i="48" s="1"/>
  <c r="T30" i="48"/>
  <c r="AS30" i="48" s="1"/>
  <c r="R11" i="48" a="1"/>
  <c r="R11" i="48" s="1"/>
  <c r="R12" i="48" a="1"/>
  <c r="R12" i="48" s="1"/>
  <c r="R13" i="48" a="1"/>
  <c r="R13" i="48" s="1"/>
  <c r="R14" i="48" a="1"/>
  <c r="R14" i="48" s="1"/>
  <c r="R15" i="48" a="1"/>
  <c r="R15" i="48" s="1"/>
  <c r="R16" i="48" a="1"/>
  <c r="R16" i="48" s="1"/>
  <c r="R17" i="48" a="1"/>
  <c r="R17" i="48" s="1"/>
  <c r="R18" i="48" a="1"/>
  <c r="R18" i="48" s="1"/>
  <c r="R19" i="48" a="1"/>
  <c r="R19" i="48" s="1"/>
  <c r="R20" i="48" a="1"/>
  <c r="R20" i="48" s="1"/>
  <c r="R21" i="48" a="1"/>
  <c r="R21" i="48" s="1"/>
  <c r="R4" i="48" a="1"/>
  <c r="R4" i="48" s="1"/>
  <c r="R22" i="48" a="1"/>
  <c r="R22" i="48" s="1"/>
  <c r="R23" i="48" a="1"/>
  <c r="R23" i="48" s="1"/>
  <c r="R24" i="48" a="1"/>
  <c r="R24" i="48" s="1"/>
  <c r="R25" i="48" a="1"/>
  <c r="R25" i="48" s="1"/>
  <c r="R26" i="48" a="1"/>
  <c r="R26" i="48" s="1"/>
  <c r="R27" i="48" a="1"/>
  <c r="R27" i="48" s="1"/>
  <c r="R28" i="48" a="1"/>
  <c r="R28" i="48" s="1"/>
  <c r="R29" i="48" a="1"/>
  <c r="R29" i="48" s="1"/>
  <c r="R30" i="48" a="1"/>
  <c r="R30" i="48" s="1"/>
  <c r="B31" i="48"/>
  <c r="B32" i="48"/>
  <c r="B33" i="48"/>
  <c r="B34" i="48"/>
  <c r="B35" i="48"/>
  <c r="B36" i="48"/>
  <c r="B37" i="48"/>
  <c r="B38" i="48"/>
  <c r="B39" i="48"/>
  <c r="B40" i="48"/>
  <c r="B41" i="48"/>
  <c r="B42" i="48"/>
  <c r="B43" i="48"/>
  <c r="B44" i="48"/>
  <c r="B45" i="48"/>
  <c r="B46" i="48"/>
  <c r="B47" i="48"/>
  <c r="B48" i="48"/>
  <c r="B5" i="48"/>
  <c r="N26" i="80"/>
  <c r="N27" i="80"/>
  <c r="N22" i="80"/>
  <c r="N23" i="80"/>
  <c r="N31" i="80"/>
  <c r="N35" i="80"/>
  <c r="N32" i="80"/>
  <c r="N41" i="80"/>
  <c r="N24" i="80"/>
  <c r="N42" i="80"/>
  <c r="N30" i="80"/>
  <c r="N33" i="80"/>
  <c r="N25" i="80"/>
  <c r="M26" i="80"/>
  <c r="M27" i="80"/>
  <c r="M23" i="80"/>
  <c r="M31" i="80"/>
  <c r="M35" i="80"/>
  <c r="M32" i="80"/>
  <c r="M41" i="80"/>
  <c r="M24" i="80"/>
  <c r="M42" i="80"/>
  <c r="M30" i="80"/>
  <c r="M33" i="80"/>
  <c r="M25" i="80"/>
  <c r="L26" i="80"/>
  <c r="L27" i="80"/>
  <c r="L23" i="80"/>
  <c r="L31" i="80"/>
  <c r="L35" i="80"/>
  <c r="L32" i="80"/>
  <c r="L41" i="80"/>
  <c r="L24" i="80"/>
  <c r="L42" i="80"/>
  <c r="L30" i="80"/>
  <c r="L33" i="80"/>
  <c r="L25" i="80"/>
  <c r="N40" i="80"/>
  <c r="N38" i="80"/>
  <c r="N36" i="80"/>
  <c r="N45" i="80"/>
  <c r="N43" i="80"/>
  <c r="N34" i="80"/>
  <c r="N28" i="80"/>
  <c r="N37" i="80"/>
  <c r="N29" i="80"/>
  <c r="N44" i="80"/>
  <c r="N39" i="80"/>
  <c r="M40" i="80"/>
  <c r="M38" i="80"/>
  <c r="M36" i="80"/>
  <c r="M45" i="80"/>
  <c r="M43" i="80"/>
  <c r="M34" i="80"/>
  <c r="M28" i="80"/>
  <c r="M37" i="80"/>
  <c r="M29" i="80"/>
  <c r="M44" i="80"/>
  <c r="M39" i="80"/>
  <c r="L40" i="80"/>
  <c r="L38" i="80"/>
  <c r="L36" i="80"/>
  <c r="L45" i="80"/>
  <c r="L43" i="80"/>
  <c r="L34" i="80"/>
  <c r="L28" i="80"/>
  <c r="L37" i="80"/>
  <c r="L29" i="80"/>
  <c r="L44" i="80"/>
  <c r="L39" i="80"/>
  <c r="P33" i="100"/>
  <c r="P3" i="100"/>
  <c r="P63" i="100"/>
  <c r="P36" i="100"/>
  <c r="P28" i="100"/>
  <c r="P18" i="100"/>
  <c r="P68" i="100"/>
  <c r="P79" i="100"/>
  <c r="P39" i="100"/>
  <c r="P73" i="100"/>
  <c r="P9" i="100"/>
  <c r="P65" i="100"/>
  <c r="P25" i="100"/>
  <c r="P57" i="100"/>
  <c r="P75" i="100"/>
  <c r="P74" i="100"/>
  <c r="P4" i="100"/>
  <c r="P67" i="100"/>
  <c r="P81" i="100"/>
  <c r="P17" i="100"/>
  <c r="P32" i="100"/>
  <c r="P34" i="100"/>
  <c r="P13" i="100"/>
  <c r="P77" i="100"/>
  <c r="P11" i="100"/>
  <c r="P80" i="100"/>
  <c r="P37" i="100"/>
  <c r="P49" i="100"/>
  <c r="P62" i="100"/>
  <c r="P26" i="100"/>
  <c r="P72" i="100"/>
  <c r="P31" i="100"/>
  <c r="P53" i="100"/>
  <c r="P38" i="100"/>
  <c r="P59" i="100"/>
  <c r="P16" i="100"/>
  <c r="P51" i="100"/>
  <c r="P15" i="100"/>
  <c r="P19" i="100"/>
  <c r="P14" i="100"/>
  <c r="P76" i="100"/>
  <c r="P69" i="100"/>
  <c r="P82" i="100"/>
  <c r="P61" i="100"/>
  <c r="P45" i="100"/>
  <c r="P78" i="100"/>
  <c r="P71" i="100"/>
  <c r="P52" i="100"/>
  <c r="P24" i="100"/>
  <c r="P41" i="100"/>
  <c r="P20" i="100"/>
  <c r="P50" i="100"/>
  <c r="P12" i="100"/>
  <c r="P23" i="100"/>
  <c r="P42" i="100"/>
  <c r="P40" i="100"/>
  <c r="P8" i="100"/>
  <c r="P43" i="100"/>
  <c r="P5" i="100"/>
  <c r="P48" i="100"/>
  <c r="P66" i="100"/>
  <c r="P60" i="100"/>
  <c r="P54" i="100"/>
  <c r="P35" i="100"/>
  <c r="P29" i="100"/>
  <c r="P56" i="100"/>
  <c r="P30" i="100"/>
  <c r="P21" i="100"/>
  <c r="P10" i="100"/>
  <c r="P64" i="100"/>
  <c r="P27" i="100"/>
  <c r="P44" i="100"/>
  <c r="P6" i="100"/>
  <c r="P70" i="100"/>
  <c r="P46" i="100"/>
  <c r="P47" i="100"/>
  <c r="P22" i="100"/>
  <c r="P55" i="100"/>
  <c r="P7" i="100"/>
  <c r="P58" i="100"/>
  <c r="B11" i="48"/>
  <c r="B12" i="48"/>
  <c r="B13" i="48"/>
  <c r="B14" i="48"/>
  <c r="B15" i="48"/>
  <c r="AC15" i="48" s="1" a="1"/>
  <c r="AC15" i="48" s="1"/>
  <c r="B16" i="48"/>
  <c r="B17" i="48"/>
  <c r="AC17" i="48" s="1" a="1"/>
  <c r="AC17" i="48" s="1"/>
  <c r="B18" i="48"/>
  <c r="AC18" i="48" s="1" a="1"/>
  <c r="AC18" i="48" s="1"/>
  <c r="B19" i="48"/>
  <c r="B20" i="48"/>
  <c r="B21" i="48"/>
  <c r="B22" i="48"/>
  <c r="B23" i="48"/>
  <c r="B24" i="48"/>
  <c r="B25" i="48"/>
  <c r="B26" i="48"/>
  <c r="B27" i="48"/>
  <c r="B28" i="48"/>
  <c r="B29" i="48"/>
  <c r="B30" i="48"/>
  <c r="B10" i="48"/>
  <c r="R31" i="47" l="1"/>
  <c r="O33" i="48"/>
  <c r="R65" i="47"/>
  <c r="U65" i="47" s="1"/>
  <c r="O67" i="48"/>
  <c r="R19" i="47"/>
  <c r="O21" i="48"/>
  <c r="W43" i="47"/>
  <c r="AS45" i="48"/>
  <c r="R54" i="47"/>
  <c r="U54" i="47" s="1"/>
  <c r="O56" i="48"/>
  <c r="R14" i="47"/>
  <c r="U14" i="47" s="1"/>
  <c r="O16" i="48"/>
  <c r="W44" i="47"/>
  <c r="AS46" i="48"/>
  <c r="R45" i="47"/>
  <c r="O47" i="48"/>
  <c r="R39" i="47"/>
  <c r="U39" i="47" s="1"/>
  <c r="O41" i="48"/>
  <c r="R38" i="47"/>
  <c r="Q38" i="47" s="1"/>
  <c r="O40" i="48"/>
  <c r="R36" i="47"/>
  <c r="U36" i="47" s="1"/>
  <c r="O38" i="48"/>
  <c r="W42" i="47"/>
  <c r="AS44" i="48"/>
  <c r="R34" i="47"/>
  <c r="O36" i="48"/>
  <c r="AR25" i="48"/>
  <c r="V23" i="47" s="1"/>
  <c r="AR18" i="48"/>
  <c r="V16" i="47" s="1"/>
  <c r="AR24" i="48"/>
  <c r="V22" i="47" s="1"/>
  <c r="AR17" i="48"/>
  <c r="V15" i="47" s="1"/>
  <c r="V30" i="48" a="1"/>
  <c r="V30" i="48" s="1"/>
  <c r="W28" i="47"/>
  <c r="V29" i="48" a="1"/>
  <c r="V29" i="48" s="1"/>
  <c r="W27" i="47"/>
  <c r="V28" i="48" a="1"/>
  <c r="V28" i="48" s="1"/>
  <c r="W26" i="47"/>
  <c r="V27" i="48" a="1"/>
  <c r="V27" i="48" s="1"/>
  <c r="W25" i="47"/>
  <c r="V26" i="48" a="1"/>
  <c r="V26" i="48" s="1"/>
  <c r="W24" i="47"/>
  <c r="V25" i="48" a="1"/>
  <c r="V25" i="48" s="1"/>
  <c r="W23" i="47"/>
  <c r="V24" i="48" a="1"/>
  <c r="V24" i="48" s="1"/>
  <c r="W22" i="47"/>
  <c r="V23" i="48" a="1"/>
  <c r="V23" i="48" s="1"/>
  <c r="W21" i="47"/>
  <c r="V22" i="48" a="1"/>
  <c r="V22" i="48" s="1"/>
  <c r="W20" i="47"/>
  <c r="V4" i="48" a="1"/>
  <c r="V4" i="48" s="1"/>
  <c r="W2" i="47"/>
  <c r="V21" i="48" a="1"/>
  <c r="V21" i="48" s="1"/>
  <c r="W19" i="47"/>
  <c r="V20" i="48" a="1"/>
  <c r="V20" i="48" s="1"/>
  <c r="W18" i="47"/>
  <c r="V19" i="48" a="1"/>
  <c r="V19" i="48" s="1"/>
  <c r="W17" i="47"/>
  <c r="V18" i="48" a="1"/>
  <c r="V18" i="48" s="1"/>
  <c r="W16" i="47"/>
  <c r="V17" i="48" a="1"/>
  <c r="V17" i="48" s="1"/>
  <c r="W15" i="47"/>
  <c r="V16" i="48" a="1"/>
  <c r="V16" i="48" s="1"/>
  <c r="W14" i="47"/>
  <c r="V15" i="48" a="1"/>
  <c r="V15" i="48" s="1"/>
  <c r="W13" i="47"/>
  <c r="V14" i="48" a="1"/>
  <c r="V14" i="48" s="1"/>
  <c r="W12" i="47"/>
  <c r="V13" i="48" a="1"/>
  <c r="V13" i="48" s="1"/>
  <c r="W11" i="47"/>
  <c r="V12" i="48" a="1"/>
  <c r="V12" i="48" s="1"/>
  <c r="W10" i="47"/>
  <c r="V11" i="48" a="1"/>
  <c r="V11" i="48" s="1"/>
  <c r="W9" i="47"/>
  <c r="V5" i="48" a="1"/>
  <c r="V5" i="48" s="1"/>
  <c r="W3" i="47"/>
  <c r="V48" i="48" a="1"/>
  <c r="V48" i="48" s="1"/>
  <c r="W46" i="47"/>
  <c r="V47" i="48" a="1"/>
  <c r="V47" i="48" s="1"/>
  <c r="W45" i="47"/>
  <c r="V43" i="48" a="1"/>
  <c r="V43" i="48" s="1"/>
  <c r="W41" i="47"/>
  <c r="V42" i="48" a="1"/>
  <c r="V42" i="48" s="1"/>
  <c r="W40" i="47"/>
  <c r="V41" i="48" a="1"/>
  <c r="V41" i="48" s="1"/>
  <c r="W39" i="47"/>
  <c r="V40" i="48" a="1"/>
  <c r="V40" i="48" s="1"/>
  <c r="W38" i="47"/>
  <c r="V39" i="48" a="1"/>
  <c r="V39" i="48" s="1"/>
  <c r="W37" i="47"/>
  <c r="V38" i="48" a="1"/>
  <c r="V38" i="48" s="1"/>
  <c r="W36" i="47"/>
  <c r="V37" i="48" a="1"/>
  <c r="V37" i="48" s="1"/>
  <c r="W35" i="47"/>
  <c r="V36" i="48" a="1"/>
  <c r="V36" i="48" s="1"/>
  <c r="W34" i="47"/>
  <c r="V35" i="48" a="1"/>
  <c r="V35" i="48" s="1"/>
  <c r="W33" i="47"/>
  <c r="V34" i="48" a="1"/>
  <c r="V34" i="48" s="1"/>
  <c r="W32" i="47"/>
  <c r="V33" i="48" a="1"/>
  <c r="V33" i="48" s="1"/>
  <c r="W31" i="47"/>
  <c r="V32" i="48" a="1"/>
  <c r="V32" i="48" s="1"/>
  <c r="W30" i="47"/>
  <c r="V31" i="48" a="1"/>
  <c r="V31" i="48" s="1"/>
  <c r="W29" i="47"/>
  <c r="AR30" i="48"/>
  <c r="V28" i="47" s="1"/>
  <c r="AR22" i="48"/>
  <c r="V20" i="47" s="1"/>
  <c r="AR15" i="48"/>
  <c r="V13" i="47" s="1"/>
  <c r="AR4" i="48"/>
  <c r="V2" i="47" s="1"/>
  <c r="AR28" i="48"/>
  <c r="V26" i="47" s="1"/>
  <c r="AR21" i="48"/>
  <c r="V19" i="47" s="1"/>
  <c r="AR27" i="48"/>
  <c r="V25" i="47" s="1"/>
  <c r="AR20" i="48"/>
  <c r="V18" i="47" s="1"/>
  <c r="AR26" i="48"/>
  <c r="V24" i="47" s="1"/>
  <c r="AR19" i="48"/>
  <c r="V17" i="47" s="1"/>
  <c r="AR23" i="48"/>
  <c r="V21" i="47" s="1"/>
  <c r="AR16" i="48"/>
  <c r="V14" i="47" s="1"/>
  <c r="AR29" i="48"/>
  <c r="V27" i="47" s="1"/>
  <c r="AC4" i="48" a="1"/>
  <c r="AC4" i="48" s="1"/>
  <c r="E15" i="107"/>
  <c r="F15" i="107" s="1"/>
  <c r="C38" i="48"/>
  <c r="C54" i="48"/>
  <c r="C53" i="48"/>
  <c r="C52" i="48"/>
  <c r="C67" i="48"/>
  <c r="C66" i="48"/>
  <c r="C65" i="48"/>
  <c r="AJ21" i="48" a="1"/>
  <c r="AJ21" i="48" s="1"/>
  <c r="AJ16" i="48" a="1"/>
  <c r="AJ16" i="48" s="1"/>
  <c r="AJ31" i="48" a="1"/>
  <c r="AJ31" i="48" s="1"/>
  <c r="AC31" i="48" a="1"/>
  <c r="AC31" i="48" s="1"/>
  <c r="AQ31" i="48" a="1"/>
  <c r="AQ31" i="48" s="1"/>
  <c r="AQ48" i="48" a="1"/>
  <c r="AQ48" i="48" s="1"/>
  <c r="AC48" i="48" a="1"/>
  <c r="AC48" i="48" s="1"/>
  <c r="AJ48" i="48" a="1"/>
  <c r="AJ48" i="48" s="1"/>
  <c r="AC46" i="48" a="1"/>
  <c r="AC46" i="48" s="1"/>
  <c r="AJ46" i="48" a="1"/>
  <c r="AJ46" i="48" s="1"/>
  <c r="AQ46" i="48" a="1"/>
  <c r="AQ46" i="48" s="1"/>
  <c r="AQ45" i="48" a="1"/>
  <c r="AQ45" i="48" s="1"/>
  <c r="AC45" i="48" a="1"/>
  <c r="AC45" i="48" s="1"/>
  <c r="AJ45" i="48" a="1"/>
  <c r="AJ45" i="48" s="1"/>
  <c r="AJ43" i="48" a="1"/>
  <c r="AJ43" i="48" s="1"/>
  <c r="AQ43" i="48" a="1"/>
  <c r="AQ43" i="48" s="1"/>
  <c r="AC43" i="48" a="1"/>
  <c r="AC43" i="48" s="1"/>
  <c r="AQ42" i="48" a="1"/>
  <c r="AQ42" i="48" s="1"/>
  <c r="AC42" i="48" a="1"/>
  <c r="AC42" i="48" s="1"/>
  <c r="AJ42" i="48" a="1"/>
  <c r="AJ42" i="48" s="1"/>
  <c r="AC41" i="48" a="1"/>
  <c r="AC41" i="48" s="1"/>
  <c r="AJ41" i="48" a="1"/>
  <c r="AJ41" i="48" s="1"/>
  <c r="AQ41" i="48" a="1"/>
  <c r="AQ41" i="48" s="1"/>
  <c r="AC47" i="48" a="1"/>
  <c r="AC47" i="48" s="1"/>
  <c r="AJ47" i="48" a="1"/>
  <c r="AJ47" i="48" s="1"/>
  <c r="AQ47" i="48" a="1"/>
  <c r="AQ47" i="48" s="1"/>
  <c r="AJ39" i="48" a="1"/>
  <c r="AJ39" i="48" s="1"/>
  <c r="AC39" i="48" a="1"/>
  <c r="AC39" i="48" s="1"/>
  <c r="AQ39" i="48" a="1"/>
  <c r="AQ39" i="48" s="1"/>
  <c r="AC40" i="48" a="1"/>
  <c r="AC40" i="48" s="1"/>
  <c r="AJ40" i="48" a="1"/>
  <c r="AJ40" i="48" s="1"/>
  <c r="AQ40" i="48" a="1"/>
  <c r="AQ40" i="48" s="1"/>
  <c r="AQ37" i="48" a="1"/>
  <c r="AQ37" i="48" s="1"/>
  <c r="AC37" i="48" a="1"/>
  <c r="AC37" i="48" s="1"/>
  <c r="AJ37" i="48" a="1"/>
  <c r="AJ37" i="48" s="1"/>
  <c r="AJ38" i="48" a="1"/>
  <c r="AJ38" i="48" s="1"/>
  <c r="AC38" i="48" a="1"/>
  <c r="AC38" i="48" s="1"/>
  <c r="AQ38" i="48" a="1"/>
  <c r="AQ38" i="48" s="1"/>
  <c r="AC36" i="48" a="1"/>
  <c r="AC36" i="48" s="1"/>
  <c r="AQ36" i="48" a="1"/>
  <c r="AQ36" i="48" s="1"/>
  <c r="AJ36" i="48" a="1"/>
  <c r="AJ36" i="48" s="1"/>
  <c r="AJ44" i="48" a="1"/>
  <c r="AJ44" i="48" s="1"/>
  <c r="AQ44" i="48" a="1"/>
  <c r="AQ44" i="48" s="1"/>
  <c r="AC44" i="48" a="1"/>
  <c r="AC44" i="48" s="1"/>
  <c r="AC35" i="48" a="1"/>
  <c r="AC35" i="48" s="1"/>
  <c r="AJ35" i="48" a="1"/>
  <c r="AJ35" i="48" s="1"/>
  <c r="AQ35" i="48" a="1"/>
  <c r="AQ35" i="48" s="1"/>
  <c r="AJ34" i="48" a="1"/>
  <c r="AJ34" i="48" s="1"/>
  <c r="AQ34" i="48" a="1"/>
  <c r="AQ34" i="48" s="1"/>
  <c r="AC34" i="48" a="1"/>
  <c r="AC34" i="48" s="1"/>
  <c r="AQ33" i="48" a="1"/>
  <c r="AQ33" i="48" s="1"/>
  <c r="AJ33" i="48" a="1"/>
  <c r="AJ33" i="48" s="1"/>
  <c r="AC33" i="48" a="1"/>
  <c r="AC33" i="48" s="1"/>
  <c r="AJ32" i="48" a="1"/>
  <c r="AJ32" i="48" s="1"/>
  <c r="AQ32" i="48" a="1"/>
  <c r="AQ32" i="48" s="1"/>
  <c r="AC32" i="48" a="1"/>
  <c r="AC32" i="48" s="1"/>
  <c r="V46" i="48" a="1"/>
  <c r="V46" i="48" s="1"/>
  <c r="V45" i="48" a="1"/>
  <c r="V45" i="48" s="1"/>
  <c r="V44" i="48" a="1"/>
  <c r="V44" i="48" s="1"/>
  <c r="AC21" i="48" a="1"/>
  <c r="AC21" i="48" s="1"/>
  <c r="AJ18" i="48" a="1"/>
  <c r="AJ18" i="48" s="1"/>
  <c r="AJ17" i="48" a="1"/>
  <c r="AJ17" i="48" s="1"/>
  <c r="AC16" i="48" a="1"/>
  <c r="AC16" i="48" s="1"/>
  <c r="AJ30" i="48" a="1"/>
  <c r="AJ30" i="48" s="1"/>
  <c r="AJ29" i="48" a="1"/>
  <c r="AJ29" i="48" s="1"/>
  <c r="AJ28" i="48" a="1"/>
  <c r="AJ28" i="48" s="1"/>
  <c r="AJ27" i="48" a="1"/>
  <c r="AJ27" i="48" s="1"/>
  <c r="AJ25" i="48" a="1"/>
  <c r="AJ25" i="48" s="1"/>
  <c r="AJ15" i="48" a="1"/>
  <c r="AJ15" i="48" s="1"/>
  <c r="AJ24" i="48" a="1"/>
  <c r="AJ24" i="48" s="1"/>
  <c r="AJ23" i="48" a="1"/>
  <c r="AJ23" i="48" s="1"/>
  <c r="AJ4" i="48" a="1"/>
  <c r="AJ4" i="48" s="1"/>
  <c r="AJ20" i="48" a="1"/>
  <c r="AJ20" i="48" s="1"/>
  <c r="AJ22" i="48" a="1"/>
  <c r="AJ22" i="48" s="1"/>
  <c r="AJ19" i="48" a="1"/>
  <c r="AJ19" i="48" s="1"/>
  <c r="AJ26" i="48" a="1"/>
  <c r="AJ26" i="48" s="1"/>
  <c r="AC30" i="48" a="1"/>
  <c r="AC30" i="48" s="1"/>
  <c r="AC26" i="48" a="1"/>
  <c r="AC26" i="48" s="1"/>
  <c r="AC25" i="48" a="1"/>
  <c r="AC25" i="48" s="1"/>
  <c r="AC24" i="48" a="1"/>
  <c r="AC24" i="48" s="1"/>
  <c r="AC23" i="48" a="1"/>
  <c r="AC23" i="48" s="1"/>
  <c r="AC28" i="48" a="1"/>
  <c r="AC28" i="48" s="1"/>
  <c r="AC27" i="48" a="1"/>
  <c r="AC27" i="48" s="1"/>
  <c r="AC29" i="48" a="1"/>
  <c r="AC29" i="48" s="1"/>
  <c r="AC22" i="48" a="1"/>
  <c r="AC22" i="48" s="1"/>
  <c r="AC20" i="48" a="1"/>
  <c r="AC20" i="48" s="1"/>
  <c r="AC19" i="48" a="1"/>
  <c r="AC19" i="48" s="1"/>
  <c r="Y8" i="101"/>
  <c r="U38" i="47" l="1"/>
  <c r="Q54" i="47"/>
  <c r="Q14" i="47"/>
  <c r="Q36" i="47"/>
  <c r="Q65" i="47"/>
  <c r="Q39" i="47"/>
  <c r="U19" i="47"/>
  <c r="Q19" i="47"/>
  <c r="U45" i="47"/>
  <c r="Q45" i="47"/>
  <c r="U34" i="47"/>
  <c r="Q34" i="47"/>
  <c r="U31" i="47"/>
  <c r="Q31" i="47"/>
  <c r="B16" i="107"/>
  <c r="Q38" i="48"/>
  <c r="C42" i="48"/>
  <c r="S48" i="48"/>
  <c r="C32" i="48"/>
  <c r="C55" i="48"/>
  <c r="C59" i="48"/>
  <c r="C64" i="48"/>
  <c r="C51" i="48"/>
  <c r="C56" i="48"/>
  <c r="AI65" i="48"/>
  <c r="X65" i="48"/>
  <c r="AN65" i="48"/>
  <c r="U65" i="48"/>
  <c r="AG65" i="48"/>
  <c r="S65" i="48"/>
  <c r="AB65" i="48"/>
  <c r="Z65" i="48"/>
  <c r="Q65" i="48"/>
  <c r="AE65" i="48"/>
  <c r="AP65" i="48"/>
  <c r="AL65" i="48"/>
  <c r="H3" i="107" a="1"/>
  <c r="H3" i="107" s="1"/>
  <c r="J3" i="107" s="1"/>
  <c r="G8" i="107" a="1"/>
  <c r="G8" i="107" s="1"/>
  <c r="I8" i="107" s="1"/>
  <c r="G4" i="107" a="1"/>
  <c r="G4" i="107" s="1"/>
  <c r="I4" i="107" s="1"/>
  <c r="H4" i="107" a="1"/>
  <c r="H4" i="107" s="1"/>
  <c r="J4" i="107" s="1"/>
  <c r="H8" i="107" a="1"/>
  <c r="H8" i="107" s="1"/>
  <c r="J8" i="107" s="1"/>
  <c r="G3" i="107" a="1"/>
  <c r="G3" i="107" s="1"/>
  <c r="I3" i="107" s="1"/>
  <c r="G5" i="107" a="1"/>
  <c r="G5" i="107" s="1"/>
  <c r="I5" i="107" s="1"/>
  <c r="G7" i="107" a="1"/>
  <c r="G7" i="107" s="1"/>
  <c r="I7" i="107" s="1"/>
  <c r="G9" i="107" a="1"/>
  <c r="G9" i="107" s="1"/>
  <c r="I9" i="107" s="1"/>
  <c r="H5" i="107" a="1"/>
  <c r="H5" i="107" s="1"/>
  <c r="J5" i="107" s="1"/>
  <c r="H7" i="107" a="1"/>
  <c r="H7" i="107" s="1"/>
  <c r="J7" i="107" s="1"/>
  <c r="H9" i="107" a="1"/>
  <c r="H9" i="107" s="1"/>
  <c r="J9" i="107" s="1"/>
  <c r="C60" i="48"/>
  <c r="S52" i="48"/>
  <c r="Z52" i="48"/>
  <c r="AP52" i="48"/>
  <c r="X52" i="48"/>
  <c r="AL52" i="48"/>
  <c r="Q52" i="48"/>
  <c r="AE52" i="48"/>
  <c r="AN52" i="48"/>
  <c r="U52" i="48"/>
  <c r="AB52" i="48"/>
  <c r="AI52" i="48"/>
  <c r="AG52" i="48"/>
  <c r="C45" i="48"/>
  <c r="C57" i="48"/>
  <c r="C61" i="48"/>
  <c r="S53" i="48"/>
  <c r="Z53" i="48"/>
  <c r="AE53" i="48"/>
  <c r="AL53" i="48"/>
  <c r="Q53" i="48"/>
  <c r="AG53" i="48"/>
  <c r="AP53" i="48"/>
  <c r="AN53" i="48"/>
  <c r="U53" i="48"/>
  <c r="AB53" i="48"/>
  <c r="AI53" i="48"/>
  <c r="X53" i="48"/>
  <c r="C33" i="48"/>
  <c r="AI66" i="48"/>
  <c r="AB66" i="48"/>
  <c r="AG66" i="48"/>
  <c r="AP66" i="48"/>
  <c r="Z66" i="48"/>
  <c r="X66" i="48"/>
  <c r="AE66" i="48"/>
  <c r="AN66" i="48"/>
  <c r="AL66" i="48"/>
  <c r="U66" i="48"/>
  <c r="S66" i="48"/>
  <c r="Q66" i="48"/>
  <c r="C63" i="48"/>
  <c r="C35" i="48"/>
  <c r="C50" i="48"/>
  <c r="C58" i="48"/>
  <c r="C62" i="48"/>
  <c r="C47" i="48"/>
  <c r="C68" i="48"/>
  <c r="C69" i="48"/>
  <c r="C36" i="48"/>
  <c r="AB67" i="48"/>
  <c r="AI67" i="48"/>
  <c r="AE67" i="48"/>
  <c r="AG67" i="48"/>
  <c r="AP67" i="48"/>
  <c r="AN67" i="48"/>
  <c r="Q67" i="48"/>
  <c r="X67" i="48"/>
  <c r="U67" i="48"/>
  <c r="Z67" i="48"/>
  <c r="AL67" i="48"/>
  <c r="S67" i="48"/>
  <c r="Z54" i="48"/>
  <c r="AI54" i="48"/>
  <c r="U54" i="48"/>
  <c r="AL54" i="48"/>
  <c r="AB54" i="48"/>
  <c r="AP54" i="48"/>
  <c r="S54" i="48"/>
  <c r="X54" i="48"/>
  <c r="AN54" i="48"/>
  <c r="Q54" i="48"/>
  <c r="AE54" i="48"/>
  <c r="AG54" i="48"/>
  <c r="C37" i="48"/>
  <c r="C5" i="48"/>
  <c r="C40" i="48"/>
  <c r="C39" i="48"/>
  <c r="C31" i="48"/>
  <c r="C41" i="48" l="1"/>
  <c r="AB32" i="48"/>
  <c r="C43" i="48"/>
  <c r="C48" i="48"/>
  <c r="AN38" i="48"/>
  <c r="AG38" i="48"/>
  <c r="AE38" i="48"/>
  <c r="AB38" i="48"/>
  <c r="AI38" i="48"/>
  <c r="Z38" i="48"/>
  <c r="C44" i="48"/>
  <c r="AL38" i="48"/>
  <c r="S38" i="48"/>
  <c r="X38" i="48"/>
  <c r="U38" i="48"/>
  <c r="AP38" i="48"/>
  <c r="AE36" i="48"/>
  <c r="AE42" i="48"/>
  <c r="S47" i="48"/>
  <c r="C34" i="48"/>
  <c r="AI35" i="48"/>
  <c r="AG51" i="48"/>
  <c r="AB51" i="48"/>
  <c r="AI51" i="48"/>
  <c r="AE51" i="48"/>
  <c r="Z51" i="48"/>
  <c r="S51" i="48"/>
  <c r="AL51" i="48"/>
  <c r="U51" i="48"/>
  <c r="Q51" i="48"/>
  <c r="X51" i="48"/>
  <c r="AP51" i="48"/>
  <c r="AN51" i="48"/>
  <c r="AG33" i="48"/>
  <c r="Q63" i="48"/>
  <c r="AB63" i="48"/>
  <c r="Z63" i="48"/>
  <c r="AI63" i="48"/>
  <c r="AG63" i="48"/>
  <c r="S63" i="48"/>
  <c r="X63" i="48"/>
  <c r="U63" i="48"/>
  <c r="AP63" i="48"/>
  <c r="AN63" i="48"/>
  <c r="AL63" i="48"/>
  <c r="AE63" i="48"/>
  <c r="Z62" i="48"/>
  <c r="U62" i="48"/>
  <c r="AI62" i="48"/>
  <c r="AP62" i="48"/>
  <c r="X62" i="48"/>
  <c r="AG62" i="48"/>
  <c r="AN62" i="48"/>
  <c r="Q62" i="48"/>
  <c r="AE62" i="48"/>
  <c r="AL62" i="48"/>
  <c r="AB62" i="48"/>
  <c r="S62" i="48"/>
  <c r="AI45" i="48"/>
  <c r="AG61" i="48"/>
  <c r="Z61" i="48"/>
  <c r="AE61" i="48"/>
  <c r="AL61" i="48"/>
  <c r="Q61" i="48"/>
  <c r="AP61" i="48"/>
  <c r="AN61" i="48"/>
  <c r="S61" i="48"/>
  <c r="U61" i="48"/>
  <c r="AI61" i="48"/>
  <c r="AB61" i="48"/>
  <c r="X61" i="48"/>
  <c r="U69" i="48"/>
  <c r="Z69" i="48"/>
  <c r="S69" i="48"/>
  <c r="Q69" i="48"/>
  <c r="AP69" i="48"/>
  <c r="AN69" i="48"/>
  <c r="AE69" i="48"/>
  <c r="AL69" i="48"/>
  <c r="AG69" i="48"/>
  <c r="X69" i="48"/>
  <c r="AI69" i="48"/>
  <c r="AB69" i="48"/>
  <c r="AI58" i="48"/>
  <c r="S58" i="48"/>
  <c r="AL58" i="48"/>
  <c r="AP58" i="48"/>
  <c r="AE58" i="48"/>
  <c r="AB58" i="48"/>
  <c r="X58" i="48"/>
  <c r="U58" i="48"/>
  <c r="Q58" i="48"/>
  <c r="AG58" i="48"/>
  <c r="Z58" i="48"/>
  <c r="AN58" i="48"/>
  <c r="X64" i="48"/>
  <c r="Q64" i="48"/>
  <c r="Z64" i="48"/>
  <c r="U64" i="48"/>
  <c r="AE64" i="48"/>
  <c r="AL64" i="48"/>
  <c r="AG64" i="48"/>
  <c r="AN64" i="48"/>
  <c r="S64" i="48"/>
  <c r="AB64" i="48"/>
  <c r="AP64" i="48"/>
  <c r="AI64" i="48"/>
  <c r="AI50" i="48"/>
  <c r="AN50" i="48"/>
  <c r="AL50" i="48"/>
  <c r="Z50" i="48"/>
  <c r="S50" i="48"/>
  <c r="Q50" i="48"/>
  <c r="AB50" i="48"/>
  <c r="U50" i="48"/>
  <c r="AG50" i="48"/>
  <c r="AP50" i="48"/>
  <c r="X50" i="48"/>
  <c r="AE50" i="48"/>
  <c r="AL68" i="48"/>
  <c r="AP68" i="48"/>
  <c r="S68" i="48"/>
  <c r="X68" i="48"/>
  <c r="U68" i="48"/>
  <c r="Q68" i="48"/>
  <c r="AE68" i="48"/>
  <c r="AG68" i="48"/>
  <c r="AB68" i="48"/>
  <c r="AI68" i="48"/>
  <c r="AN68" i="48"/>
  <c r="Z68" i="48"/>
  <c r="C49" i="48"/>
  <c r="AI57" i="48"/>
  <c r="AN57" i="48"/>
  <c r="AP57" i="48"/>
  <c r="U57" i="48"/>
  <c r="Q57" i="48"/>
  <c r="AE57" i="48"/>
  <c r="Z57" i="48"/>
  <c r="AL57" i="48"/>
  <c r="X57" i="48"/>
  <c r="S57" i="48"/>
  <c r="AG57" i="48"/>
  <c r="AB57" i="48"/>
  <c r="AN60" i="48"/>
  <c r="Q60" i="48"/>
  <c r="AL60" i="48"/>
  <c r="S60" i="48"/>
  <c r="AP60" i="48"/>
  <c r="AE60" i="48"/>
  <c r="Z60" i="48"/>
  <c r="X60" i="48"/>
  <c r="AB60" i="48"/>
  <c r="AG60" i="48"/>
  <c r="AI60" i="48"/>
  <c r="U60" i="48"/>
  <c r="AN56" i="48"/>
  <c r="Z56" i="48"/>
  <c r="U56" i="48"/>
  <c r="X56" i="48"/>
  <c r="Q56" i="48"/>
  <c r="AL56" i="48"/>
  <c r="S56" i="48"/>
  <c r="AE56" i="48"/>
  <c r="AG56" i="48"/>
  <c r="AP56" i="48"/>
  <c r="AB56" i="48"/>
  <c r="AI56" i="48"/>
  <c r="AP59" i="48"/>
  <c r="Z59" i="48"/>
  <c r="S59" i="48"/>
  <c r="AE59" i="48"/>
  <c r="U59" i="48"/>
  <c r="AG59" i="48"/>
  <c r="AN59" i="48"/>
  <c r="AL59" i="48"/>
  <c r="X59" i="48"/>
  <c r="Q59" i="48"/>
  <c r="AI59" i="48"/>
  <c r="AB59" i="48"/>
  <c r="C46" i="48"/>
  <c r="AB55" i="48"/>
  <c r="Q55" i="48"/>
  <c r="U55" i="48"/>
  <c r="AE55" i="48"/>
  <c r="S55" i="48"/>
  <c r="AL55" i="48"/>
  <c r="AI55" i="48"/>
  <c r="AN55" i="48"/>
  <c r="X55" i="48"/>
  <c r="AP55" i="48"/>
  <c r="AG55" i="48"/>
  <c r="Z55" i="48"/>
  <c r="F7" i="107"/>
  <c r="E8" i="107"/>
  <c r="F8" i="107" s="1"/>
  <c r="E5" i="107"/>
  <c r="F5" i="107" s="1"/>
  <c r="E4" i="107"/>
  <c r="F4" i="107" s="1"/>
  <c r="E9" i="107"/>
  <c r="F9" i="107" s="1"/>
  <c r="U37" i="48"/>
  <c r="U48" i="48"/>
  <c r="Z48" i="48"/>
  <c r="AE48" i="48"/>
  <c r="AI48" i="48"/>
  <c r="AP48" i="48"/>
  <c r="AL31" i="48"/>
  <c r="Q48" i="48"/>
  <c r="AL48" i="48"/>
  <c r="AG48" i="48"/>
  <c r="AN48" i="48"/>
  <c r="X48" i="48"/>
  <c r="AB48" i="48"/>
  <c r="AL40" i="48"/>
  <c r="AB39" i="48"/>
  <c r="AL44" i="48"/>
  <c r="X44" i="48"/>
  <c r="AG44" i="48"/>
  <c r="Z44" i="48"/>
  <c r="AB44" i="48"/>
  <c r="AP44" i="48"/>
  <c r="AI44" i="48"/>
  <c r="AN44" i="48"/>
  <c r="AE44" i="48"/>
  <c r="S44" i="48"/>
  <c r="U44" i="48"/>
  <c r="Q44" i="48"/>
  <c r="AE41" i="48"/>
  <c r="AN41" i="48"/>
  <c r="AI41" i="48"/>
  <c r="AP41" i="48"/>
  <c r="AB41" i="48"/>
  <c r="X41" i="48"/>
  <c r="AG41" i="48"/>
  <c r="AL41" i="48"/>
  <c r="Z41" i="48"/>
  <c r="S41" i="48"/>
  <c r="Q41" i="48"/>
  <c r="U41" i="48"/>
  <c r="AE34" i="48"/>
  <c r="AN34" i="48"/>
  <c r="AG34" i="48"/>
  <c r="AB34" i="48"/>
  <c r="AI34" i="48"/>
  <c r="AP34" i="48"/>
  <c r="X34" i="48"/>
  <c r="Z34" i="48"/>
  <c r="AL34" i="48"/>
  <c r="S34" i="48"/>
  <c r="U34" i="48"/>
  <c r="Q34" i="48"/>
  <c r="AE43" i="48"/>
  <c r="AL43" i="48"/>
  <c r="AB43" i="48"/>
  <c r="AI43" i="48"/>
  <c r="AN43" i="48"/>
  <c r="Z43" i="48"/>
  <c r="AG43" i="48"/>
  <c r="AP43" i="48"/>
  <c r="X43" i="48"/>
  <c r="U43" i="48"/>
  <c r="S43" i="48"/>
  <c r="Q43" i="48"/>
  <c r="E15" i="68"/>
  <c r="E13" i="68"/>
  <c r="AL33" i="48" l="1"/>
  <c r="AI32" i="48"/>
  <c r="U32" i="48"/>
  <c r="AB35" i="48"/>
  <c r="AN35" i="48"/>
  <c r="AL35" i="48"/>
  <c r="AI33" i="48"/>
  <c r="S42" i="48"/>
  <c r="X42" i="48"/>
  <c r="AP32" i="48"/>
  <c r="AN33" i="48"/>
  <c r="AL32" i="48"/>
  <c r="AI42" i="48"/>
  <c r="AN42" i="48"/>
  <c r="Q33" i="48"/>
  <c r="S32" i="48"/>
  <c r="Q42" i="48"/>
  <c r="AG42" i="48"/>
  <c r="AP33" i="48"/>
  <c r="AE32" i="48"/>
  <c r="Z47" i="48"/>
  <c r="Z42" i="48"/>
  <c r="X33" i="48"/>
  <c r="AG32" i="48"/>
  <c r="AE35" i="48"/>
  <c r="U42" i="48"/>
  <c r="AP42" i="48"/>
  <c r="X32" i="48"/>
  <c r="AB42" i="48"/>
  <c r="S33" i="48"/>
  <c r="Z32" i="48"/>
  <c r="AG47" i="48"/>
  <c r="Q45" i="48"/>
  <c r="AL42" i="48"/>
  <c r="U33" i="48"/>
  <c r="Q32" i="48"/>
  <c r="AN32" i="48"/>
  <c r="AE45" i="48"/>
  <c r="AI47" i="48"/>
  <c r="AN47" i="48"/>
  <c r="Q36" i="48"/>
  <c r="Q35" i="48"/>
  <c r="AB33" i="48"/>
  <c r="AE33" i="48"/>
  <c r="U35" i="48"/>
  <c r="Z33" i="48"/>
  <c r="AB47" i="48"/>
  <c r="X47" i="48"/>
  <c r="AN36" i="48"/>
  <c r="AL47" i="48"/>
  <c r="AB36" i="48"/>
  <c r="X45" i="48"/>
  <c r="AP45" i="48"/>
  <c r="AP36" i="48"/>
  <c r="AP47" i="48"/>
  <c r="AI36" i="48"/>
  <c r="AG45" i="48"/>
  <c r="Q47" i="48"/>
  <c r="AG36" i="48"/>
  <c r="U45" i="48"/>
  <c r="AE47" i="48"/>
  <c r="U47" i="48"/>
  <c r="U36" i="48"/>
  <c r="S36" i="48"/>
  <c r="X36" i="48"/>
  <c r="AL36" i="48"/>
  <c r="Z36" i="48"/>
  <c r="S35" i="48"/>
  <c r="Z35" i="48"/>
  <c r="AG35" i="48"/>
  <c r="X35" i="48"/>
  <c r="AP35" i="48"/>
  <c r="AB45" i="48"/>
  <c r="AN45" i="48"/>
  <c r="AP37" i="48"/>
  <c r="X37" i="48"/>
  <c r="S45" i="48"/>
  <c r="AL45" i="48"/>
  <c r="Z45" i="48"/>
  <c r="Q49" i="48"/>
  <c r="AB49" i="48"/>
  <c r="S49" i="48"/>
  <c r="AL49" i="48"/>
  <c r="X49" i="48"/>
  <c r="AP49" i="48"/>
  <c r="U49" i="48"/>
  <c r="AG49" i="48"/>
  <c r="AN49" i="48"/>
  <c r="Z49" i="48"/>
  <c r="AE49" i="48"/>
  <c r="AI49" i="48"/>
  <c r="Q46" i="48"/>
  <c r="AL46" i="48"/>
  <c r="S46" i="48"/>
  <c r="U46" i="48"/>
  <c r="X46" i="48"/>
  <c r="AI46" i="48"/>
  <c r="AE46" i="48"/>
  <c r="Z46" i="48"/>
  <c r="AP46" i="48"/>
  <c r="AN46" i="48"/>
  <c r="AB46" i="48"/>
  <c r="AG46" i="48"/>
  <c r="AL37" i="48"/>
  <c r="Z37" i="48"/>
  <c r="E3" i="107"/>
  <c r="F3" i="107" s="1"/>
  <c r="AB37" i="48"/>
  <c r="AN37" i="48"/>
  <c r="AI37" i="48"/>
  <c r="Q37" i="48"/>
  <c r="AE37" i="48"/>
  <c r="S37" i="48"/>
  <c r="AG37" i="48"/>
  <c r="AB31" i="48"/>
  <c r="AI31" i="48"/>
  <c r="AN31" i="48"/>
  <c r="AE31" i="48"/>
  <c r="AP31" i="48"/>
  <c r="Q31" i="48"/>
  <c r="Z31" i="48"/>
  <c r="AG31" i="48"/>
  <c r="X31" i="48"/>
  <c r="S31" i="48"/>
  <c r="U31" i="48"/>
  <c r="AB40" i="48"/>
  <c r="AG40" i="48"/>
  <c r="AP40" i="48"/>
  <c r="AN40" i="48"/>
  <c r="Z40" i="48"/>
  <c r="AI40" i="48"/>
  <c r="AE40" i="48"/>
  <c r="X40" i="48"/>
  <c r="S5" i="48"/>
  <c r="Q5" i="48"/>
  <c r="U5" i="48"/>
  <c r="Q39" i="48"/>
  <c r="S39" i="48"/>
  <c r="U39" i="48"/>
  <c r="AE39" i="48"/>
  <c r="AP39" i="48"/>
  <c r="AL39" i="48"/>
  <c r="AN39" i="48"/>
  <c r="AG39" i="48"/>
  <c r="AI39" i="48"/>
  <c r="X39" i="48"/>
  <c r="Z39" i="48"/>
  <c r="Q40" i="48"/>
  <c r="U40" i="48"/>
  <c r="S40" i="48"/>
  <c r="R10" i="48" a="1"/>
  <c r="R10" i="48" s="1"/>
  <c r="V10" i="48" a="1"/>
  <c r="V10" i="48" s="1"/>
  <c r="T10" i="48"/>
  <c r="X6" i="73"/>
  <c r="V6" i="73"/>
  <c r="T6" i="73"/>
  <c r="AQ19" i="48" a="1"/>
  <c r="AQ19" i="48" s="1"/>
  <c r="AK10" i="48" a="1"/>
  <c r="AK10" i="48" s="1"/>
  <c r="AD10" i="48" a="1"/>
  <c r="AD10" i="48" s="1"/>
  <c r="X21" i="73"/>
  <c r="V21" i="73"/>
  <c r="T21" i="73"/>
  <c r="X2" i="73"/>
  <c r="V2" i="73"/>
  <c r="T2" i="73"/>
  <c r="AQ16" i="48" a="1"/>
  <c r="AQ16" i="48" s="1"/>
  <c r="X22" i="73"/>
  <c r="T22" i="73"/>
  <c r="AQ25" i="48" a="1"/>
  <c r="AQ25" i="48" s="1"/>
  <c r="X16" i="73"/>
  <c r="V16" i="73"/>
  <c r="T16" i="73"/>
  <c r="AQ24" i="48" a="1"/>
  <c r="AQ24" i="48" s="1"/>
  <c r="AQ4" i="48" a="1"/>
  <c r="AQ4" i="48" s="1"/>
  <c r="AQ30" i="48" a="1"/>
  <c r="AQ30" i="48" s="1"/>
  <c r="AQ27" i="48" a="1"/>
  <c r="AQ27" i="48" s="1"/>
  <c r="Y10" i="48" a="1"/>
  <c r="Y10" i="48" s="1"/>
  <c r="AQ23" i="48" a="1"/>
  <c r="AQ23" i="48" s="1"/>
  <c r="C10" i="48"/>
  <c r="W8" i="47" l="1"/>
  <c r="AS10" i="48"/>
  <c r="C5" i="68"/>
  <c r="AD5" i="48" a="1"/>
  <c r="AD5" i="48" s="1"/>
  <c r="AE5" i="48" s="1"/>
  <c r="AF5" i="48" a="1"/>
  <c r="AF5" i="48" s="1"/>
  <c r="AG5" i="48" s="1"/>
  <c r="AH5" i="48"/>
  <c r="AF4" i="48" a="1"/>
  <c r="AF4" i="48" s="1"/>
  <c r="AK5" i="48" a="1"/>
  <c r="AK5" i="48" s="1"/>
  <c r="AL5" i="48" s="1"/>
  <c r="AM5" i="48" a="1"/>
  <c r="AM5" i="48" s="1"/>
  <c r="AN5" i="48" s="1"/>
  <c r="AO5" i="48"/>
  <c r="AM4" i="48" a="1"/>
  <c r="AM4" i="48" s="1"/>
  <c r="Y5" i="48" a="1"/>
  <c r="Y5" i="48" s="1"/>
  <c r="Z5" i="48" s="1"/>
  <c r="AA5" i="48"/>
  <c r="Y4" i="48" a="1"/>
  <c r="Y4" i="48" s="1"/>
  <c r="W6" i="48" a="1"/>
  <c r="W6" i="48" s="1"/>
  <c r="AA6" i="48"/>
  <c r="AD6" i="48" a="1"/>
  <c r="AD6" i="48" s="1"/>
  <c r="AH6" i="48"/>
  <c r="AJ6" i="48" s="1" a="1"/>
  <c r="AJ6" i="48" s="1"/>
  <c r="AK6" i="48" a="1"/>
  <c r="AK6" i="48" s="1"/>
  <c r="AO6" i="48"/>
  <c r="AQ6" i="48" s="1" a="1"/>
  <c r="AQ6" i="48" s="1"/>
  <c r="Y8" i="48" a="1"/>
  <c r="Y8" i="48" s="1"/>
  <c r="Y9" i="48" a="1"/>
  <c r="Y9" i="48" s="1"/>
  <c r="X5" i="48"/>
  <c r="Y6" i="48" a="1"/>
  <c r="Y6" i="48" s="1"/>
  <c r="Y7" i="48" a="1"/>
  <c r="Y7" i="48" s="1"/>
  <c r="AF6" i="48" a="1"/>
  <c r="AF6" i="48" s="1"/>
  <c r="AF7" i="48" a="1"/>
  <c r="AF7" i="48" s="1"/>
  <c r="AF8" i="48" a="1"/>
  <c r="AF8" i="48" s="1"/>
  <c r="AF9" i="48" a="1"/>
  <c r="AF9" i="48" s="1"/>
  <c r="AM8" i="48" a="1"/>
  <c r="AM8" i="48" s="1"/>
  <c r="AM6" i="48" a="1"/>
  <c r="AM6" i="48" s="1"/>
  <c r="AM7" i="48" a="1"/>
  <c r="AM7" i="48" s="1"/>
  <c r="AM9" i="48" a="1"/>
  <c r="AM9" i="48" s="1"/>
  <c r="AA7" i="48"/>
  <c r="W7" i="48" a="1"/>
  <c r="W7" i="48" s="1"/>
  <c r="AD7" i="48" a="1"/>
  <c r="AD7" i="48" s="1"/>
  <c r="AH7" i="48"/>
  <c r="AJ7" i="48" s="1" a="1"/>
  <c r="AJ7" i="48" s="1"/>
  <c r="AO7" i="48"/>
  <c r="AQ7" i="48" s="1" a="1"/>
  <c r="AQ7" i="48" s="1"/>
  <c r="AK7" i="48" a="1"/>
  <c r="AK7" i="48" s="1"/>
  <c r="AA8" i="48"/>
  <c r="W8" i="48" a="1"/>
  <c r="W8" i="48" s="1"/>
  <c r="AD8" i="48" a="1"/>
  <c r="AD8" i="48" s="1"/>
  <c r="AH8" i="48"/>
  <c r="AJ8" i="48" s="1" a="1"/>
  <c r="AJ8" i="48" s="1"/>
  <c r="AK8" i="48" a="1"/>
  <c r="AK8" i="48" s="1"/>
  <c r="AO8" i="48"/>
  <c r="AQ8" i="48" s="1" a="1"/>
  <c r="AQ8" i="48" s="1"/>
  <c r="AA9" i="48"/>
  <c r="W9" i="48" a="1"/>
  <c r="W9" i="48" s="1"/>
  <c r="AD9" i="48" a="1"/>
  <c r="AD9" i="48" s="1"/>
  <c r="AH9" i="48"/>
  <c r="AJ9" i="48" s="1" a="1"/>
  <c r="AJ9" i="48" s="1"/>
  <c r="AK9" i="48" a="1"/>
  <c r="AK9" i="48" s="1"/>
  <c r="AO9" i="48"/>
  <c r="AQ9" i="48" s="1" a="1"/>
  <c r="AQ9" i="48" s="1"/>
  <c r="C6" i="48"/>
  <c r="C9" i="48"/>
  <c r="C8" i="48"/>
  <c r="C7" i="48"/>
  <c r="C6" i="68"/>
  <c r="AK12" i="48" a="1"/>
  <c r="AK12" i="48" s="1"/>
  <c r="AO12" i="48"/>
  <c r="AQ12" i="48" s="1" a="1"/>
  <c r="AQ12" i="48" s="1"/>
  <c r="Q21" i="73"/>
  <c r="AA13" i="48"/>
  <c r="AH13" i="48"/>
  <c r="AJ13" i="48" s="1" a="1"/>
  <c r="AJ13" i="48" s="1"/>
  <c r="AD13" i="48" a="1"/>
  <c r="AD13" i="48" s="1"/>
  <c r="AK13" i="48" a="1"/>
  <c r="AK13" i="48" s="1"/>
  <c r="AO13" i="48"/>
  <c r="AQ13" i="48" s="1" a="1"/>
  <c r="AQ13" i="48" s="1"/>
  <c r="Q6" i="73"/>
  <c r="AA14" i="48"/>
  <c r="Q16" i="73"/>
  <c r="AA11" i="48"/>
  <c r="AH11" i="48"/>
  <c r="AJ11" i="48" s="1" a="1"/>
  <c r="AJ11" i="48" s="1"/>
  <c r="AD11" i="48" a="1"/>
  <c r="AD11" i="48" s="1"/>
  <c r="AK11" i="48" a="1"/>
  <c r="AK11" i="48" s="1"/>
  <c r="AO11" i="48"/>
  <c r="AQ11" i="48" s="1" a="1"/>
  <c r="AQ11" i="48" s="1"/>
  <c r="Y14" i="48" a="1"/>
  <c r="Y14" i="48" s="1"/>
  <c r="Y13" i="48" a="1"/>
  <c r="Y13" i="48" s="1"/>
  <c r="Y11" i="48" a="1"/>
  <c r="Y11" i="48" s="1"/>
  <c r="Y12" i="48" a="1"/>
  <c r="Y12" i="48" s="1"/>
  <c r="AK14" i="48" a="1"/>
  <c r="AK14" i="48" s="1"/>
  <c r="AO14" i="48"/>
  <c r="AQ14" i="48" s="1" a="1"/>
  <c r="AQ14" i="48" s="1"/>
  <c r="AF11" i="48" a="1"/>
  <c r="AF11" i="48" s="1"/>
  <c r="AF12" i="48" a="1"/>
  <c r="AF12" i="48" s="1"/>
  <c r="AF13" i="48" a="1"/>
  <c r="AF13" i="48" s="1"/>
  <c r="AF14" i="48" a="1"/>
  <c r="AF14" i="48" s="1"/>
  <c r="AM11" i="48" a="1"/>
  <c r="AM11" i="48" s="1"/>
  <c r="AM12" i="48" a="1"/>
  <c r="AM12" i="48" s="1"/>
  <c r="AM13" i="48" a="1"/>
  <c r="AM13" i="48" s="1"/>
  <c r="AM14" i="48" a="1"/>
  <c r="AM14" i="48" s="1"/>
  <c r="AH12" i="48"/>
  <c r="AJ12" i="48" s="1" a="1"/>
  <c r="AJ12" i="48" s="1"/>
  <c r="AD12" i="48" a="1"/>
  <c r="AD12" i="48" s="1"/>
  <c r="AD14" i="48" a="1"/>
  <c r="AD14" i="48" s="1"/>
  <c r="AH14" i="48"/>
  <c r="AJ14" i="48" s="1" a="1"/>
  <c r="AJ14" i="48" s="1"/>
  <c r="Q2" i="73"/>
  <c r="AA12" i="48"/>
  <c r="C23" i="48"/>
  <c r="D5" i="68"/>
  <c r="F4" i="68"/>
  <c r="E4" i="68"/>
  <c r="E5" i="68"/>
  <c r="D4" i="68"/>
  <c r="AO10" i="48"/>
  <c r="AQ10" i="48" s="1" a="1"/>
  <c r="AQ10" i="48" s="1"/>
  <c r="F5" i="68"/>
  <c r="AQ29" i="48" a="1"/>
  <c r="AQ29" i="48" s="1"/>
  <c r="AQ26" i="48" a="1"/>
  <c r="AQ26" i="48" s="1"/>
  <c r="AH10" i="48"/>
  <c r="AJ10" i="48" s="1" a="1"/>
  <c r="AJ10" i="48" s="1"/>
  <c r="AQ22" i="48" a="1"/>
  <c r="AQ22" i="48" s="1"/>
  <c r="AF10" i="48" a="1"/>
  <c r="AF10" i="48" s="1"/>
  <c r="B5" i="68"/>
  <c r="AM10" i="48" a="1"/>
  <c r="AM10" i="48" s="1"/>
  <c r="B6" i="68"/>
  <c r="G4" i="68"/>
  <c r="G5" i="68"/>
  <c r="AQ28" i="48" a="1"/>
  <c r="AQ28" i="48" s="1"/>
  <c r="AQ18" i="48" a="1"/>
  <c r="AQ18" i="48" s="1"/>
  <c r="B4" i="68"/>
  <c r="AQ20" i="48" a="1"/>
  <c r="AQ20" i="48" s="1"/>
  <c r="C24" i="48"/>
  <c r="C15" i="48"/>
  <c r="C26" i="48"/>
  <c r="C20" i="48"/>
  <c r="C25" i="48"/>
  <c r="C14" i="48"/>
  <c r="C21" i="48"/>
  <c r="C18" i="48"/>
  <c r="C29" i="48"/>
  <c r="Q19" i="48"/>
  <c r="C19" i="48"/>
  <c r="C30" i="48"/>
  <c r="C4" i="48"/>
  <c r="Q11" i="48"/>
  <c r="C11" i="48"/>
  <c r="Q22" i="48"/>
  <c r="C22" i="48"/>
  <c r="C12" i="48"/>
  <c r="C16" i="48"/>
  <c r="Q17" i="48"/>
  <c r="C17" i="48"/>
  <c r="C28" i="48"/>
  <c r="S10" i="48"/>
  <c r="AQ17" i="48" a="1"/>
  <c r="AQ17" i="48" s="1"/>
  <c r="AA10" i="48"/>
  <c r="AQ15" i="48" a="1"/>
  <c r="AQ15" i="48" s="1"/>
  <c r="AQ21" i="48" a="1"/>
  <c r="AQ21" i="48" s="1"/>
  <c r="C4" i="68"/>
  <c r="Q22" i="73"/>
  <c r="AR5" i="48" l="1"/>
  <c r="V3" i="47" s="1"/>
  <c r="F20" i="107"/>
  <c r="E20" i="107"/>
  <c r="E21" i="107"/>
  <c r="P5" i="47"/>
  <c r="H20" i="107" a="1"/>
  <c r="H20" i="107" s="1"/>
  <c r="J20" i="107" s="1"/>
  <c r="G20" i="107" a="1"/>
  <c r="G20" i="107" s="1"/>
  <c r="I20" i="107" s="1"/>
  <c r="H21" i="107" a="1"/>
  <c r="H21" i="107" s="1"/>
  <c r="J21" i="107" s="1"/>
  <c r="G21" i="107" a="1"/>
  <c r="G21" i="107" s="1"/>
  <c r="I21" i="107" s="1"/>
  <c r="AR8" i="48"/>
  <c r="V6" i="47" s="1"/>
  <c r="AC10" i="48" a="1"/>
  <c r="AC10" i="48" s="1"/>
  <c r="AR10" i="48"/>
  <c r="V8" i="47" s="1"/>
  <c r="AC12" i="48" a="1"/>
  <c r="AC12" i="48" s="1"/>
  <c r="AR12" i="48"/>
  <c r="V10" i="47" s="1"/>
  <c r="AC11" i="48" a="1"/>
  <c r="AC11" i="48" s="1"/>
  <c r="AR11" i="48"/>
  <c r="V9" i="47" s="1"/>
  <c r="AC14" i="48" a="1"/>
  <c r="AC14" i="48" s="1"/>
  <c r="AR14" i="48"/>
  <c r="V12" i="47" s="1"/>
  <c r="AC13" i="48" a="1"/>
  <c r="AC13" i="48" s="1"/>
  <c r="AR13" i="48"/>
  <c r="V11" i="47" s="1"/>
  <c r="AC9" i="48" a="1"/>
  <c r="AC9" i="48" s="1"/>
  <c r="AR9" i="48"/>
  <c r="V7" i="47" s="1"/>
  <c r="AC7" i="48" a="1"/>
  <c r="AC7" i="48" s="1"/>
  <c r="AR7" i="48"/>
  <c r="V5" i="47" s="1"/>
  <c r="AC6" i="48" a="1"/>
  <c r="AC6" i="48" s="1"/>
  <c r="AR6" i="48"/>
  <c r="V4" i="47" s="1"/>
  <c r="AC8" i="48" a="1"/>
  <c r="AC8" i="48" s="1"/>
  <c r="G22" i="107" a="1"/>
  <c r="G22" i="107" s="1"/>
  <c r="I22" i="107" s="1"/>
  <c r="H22" i="107" a="1"/>
  <c r="H22" i="107" s="1"/>
  <c r="J22" i="107" s="1"/>
  <c r="P4" i="47"/>
  <c r="E22" i="107"/>
  <c r="F22" i="107"/>
  <c r="P6" i="47"/>
  <c r="P3" i="47"/>
  <c r="AQ5" i="48" a="1"/>
  <c r="AQ5" i="48" s="1"/>
  <c r="AP5" i="48"/>
  <c r="AJ5" i="48" a="1"/>
  <c r="AJ5" i="48" s="1"/>
  <c r="AI5" i="48"/>
  <c r="P7" i="47"/>
  <c r="AC5" i="48" a="1"/>
  <c r="AC5" i="48" s="1"/>
  <c r="AB5" i="48"/>
  <c r="S6" i="48"/>
  <c r="Z6" i="48"/>
  <c r="AN6" i="48"/>
  <c r="Q6" i="48"/>
  <c r="U6" i="48"/>
  <c r="AP6" i="48"/>
  <c r="X6" i="48"/>
  <c r="AE6" i="48"/>
  <c r="AB6" i="48"/>
  <c r="AG6" i="48"/>
  <c r="AI6" i="48"/>
  <c r="AL6" i="48"/>
  <c r="AP7" i="48"/>
  <c r="Q7" i="48"/>
  <c r="AI7" i="48"/>
  <c r="X7" i="48"/>
  <c r="S7" i="48"/>
  <c r="U7" i="48"/>
  <c r="AB7" i="48"/>
  <c r="AN7" i="48"/>
  <c r="AG7" i="48"/>
  <c r="AE7" i="48"/>
  <c r="AL7" i="48"/>
  <c r="Z7" i="48"/>
  <c r="AL8" i="48"/>
  <c r="U8" i="48"/>
  <c r="Q8" i="48"/>
  <c r="X8" i="48"/>
  <c r="AP8" i="48"/>
  <c r="Z8" i="48"/>
  <c r="AN8" i="48"/>
  <c r="S8" i="48"/>
  <c r="AB8" i="48"/>
  <c r="AI8" i="48"/>
  <c r="AG8" i="48"/>
  <c r="AE8" i="48"/>
  <c r="AB9" i="48"/>
  <c r="AP9" i="48"/>
  <c r="AL9" i="48"/>
  <c r="Q9" i="48"/>
  <c r="X9" i="48"/>
  <c r="AE9" i="48"/>
  <c r="AN9" i="48"/>
  <c r="S9" i="48"/>
  <c r="Z9" i="48"/>
  <c r="AI9" i="48"/>
  <c r="AG9" i="48"/>
  <c r="U9" i="48"/>
  <c r="C13" i="48"/>
  <c r="X30" i="48"/>
  <c r="Q30" i="48"/>
  <c r="X4" i="48"/>
  <c r="Q4" i="48"/>
  <c r="U29" i="48"/>
  <c r="Q29" i="48"/>
  <c r="AB18" i="48"/>
  <c r="Q18" i="48"/>
  <c r="AE21" i="48"/>
  <c r="Q21" i="48"/>
  <c r="AB14" i="48"/>
  <c r="Q14" i="48"/>
  <c r="AE28" i="48"/>
  <c r="Q28" i="48"/>
  <c r="U25" i="48"/>
  <c r="Q25" i="48"/>
  <c r="U27" i="48"/>
  <c r="Q27" i="48"/>
  <c r="AE20" i="48"/>
  <c r="Q20" i="48"/>
  <c r="U26" i="48"/>
  <c r="Q26" i="48"/>
  <c r="AI15" i="48"/>
  <c r="Q15" i="48"/>
  <c r="X24" i="48"/>
  <c r="Q24" i="48"/>
  <c r="S16" i="48"/>
  <c r="Q16" i="48"/>
  <c r="AL13" i="48"/>
  <c r="Q13" i="48"/>
  <c r="X12" i="48"/>
  <c r="Q12" i="48"/>
  <c r="AB19" i="48"/>
  <c r="X23" i="48"/>
  <c r="Z11" i="48"/>
  <c r="C27" i="48"/>
  <c r="S20" i="48"/>
  <c r="AE15" i="48"/>
  <c r="Z21" i="48"/>
  <c r="X29" i="48"/>
  <c r="AI25" i="48"/>
  <c r="AG25" i="48"/>
  <c r="AE25" i="48"/>
  <c r="S19" i="48"/>
  <c r="AN4" i="48"/>
  <c r="AL15" i="48"/>
  <c r="Z22" i="48"/>
  <c r="AE13" i="48"/>
  <c r="AN29" i="48"/>
  <c r="AE14" i="48"/>
  <c r="U19" i="48"/>
  <c r="AB27" i="48"/>
  <c r="AG15" i="48"/>
  <c r="AP24" i="48"/>
  <c r="S21" i="48"/>
  <c r="U21" i="48"/>
  <c r="S15" i="48"/>
  <c r="S25" i="48"/>
  <c r="U24" i="48"/>
  <c r="AG11" i="48"/>
  <c r="Z4" i="48"/>
  <c r="Z20" i="48"/>
  <c r="AE18" i="48"/>
  <c r="AG21" i="48"/>
  <c r="AP20" i="48"/>
  <c r="AN18" i="48"/>
  <c r="AI13" i="48"/>
  <c r="Z29" i="48"/>
  <c r="AP26" i="48"/>
  <c r="AN14" i="48"/>
  <c r="Z24" i="48"/>
  <c r="AG18" i="48"/>
  <c r="X19" i="48"/>
  <c r="AL29" i="48"/>
  <c r="U15" i="48"/>
  <c r="AN19" i="48"/>
  <c r="S4" i="48"/>
  <c r="AB12" i="48"/>
  <c r="AL14" i="48"/>
  <c r="AG24" i="48"/>
  <c r="AI29" i="48"/>
  <c r="AP4" i="48"/>
  <c r="X15" i="48"/>
  <c r="Z26" i="48"/>
  <c r="S14" i="48"/>
  <c r="AL28" i="48"/>
  <c r="AL19" i="48"/>
  <c r="AE24" i="48"/>
  <c r="AL18" i="48"/>
  <c r="AG29" i="48"/>
  <c r="AG4" i="48"/>
  <c r="AP19" i="48"/>
  <c r="X21" i="48"/>
  <c r="Z25" i="48"/>
  <c r="AG27" i="48"/>
  <c r="U20" i="48"/>
  <c r="Z19" i="48"/>
  <c r="AL24" i="48"/>
  <c r="S11" i="48"/>
  <c r="S29" i="48"/>
  <c r="AB4" i="48"/>
  <c r="AB15" i="48"/>
  <c r="AB21" i="48"/>
  <c r="AI12" i="48"/>
  <c r="AG12" i="48"/>
  <c r="AG14" i="48"/>
  <c r="AN12" i="48"/>
  <c r="AN24" i="48"/>
  <c r="AN15" i="48"/>
  <c r="U14" i="48"/>
  <c r="AG20" i="48"/>
  <c r="AP18" i="48"/>
  <c r="U13" i="48"/>
  <c r="AE29" i="48"/>
  <c r="AB29" i="48"/>
  <c r="AL4" i="48"/>
  <c r="Z14" i="48"/>
  <c r="X14" i="48"/>
  <c r="AL25" i="48"/>
  <c r="Z18" i="48"/>
  <c r="AN21" i="48"/>
  <c r="AP29" i="48"/>
  <c r="AE4" i="48"/>
  <c r="AP14" i="48"/>
  <c r="AN20" i="48"/>
  <c r="AL20" i="48"/>
  <c r="AI20" i="48"/>
  <c r="AB20" i="48"/>
  <c r="X20" i="48"/>
  <c r="AB25" i="48"/>
  <c r="X18" i="48"/>
  <c r="U18" i="48"/>
  <c r="AP13" i="48"/>
  <c r="AI4" i="48"/>
  <c r="U4" i="48"/>
  <c r="AI14" i="48"/>
  <c r="S13" i="48"/>
  <c r="AP25" i="48"/>
  <c r="AN13" i="48"/>
  <c r="AI17" i="48"/>
  <c r="AI19" i="48"/>
  <c r="AG19" i="48"/>
  <c r="AE19" i="48"/>
  <c r="AB13" i="48"/>
  <c r="AG28" i="48"/>
  <c r="X13" i="48"/>
  <c r="AE16" i="48"/>
  <c r="AI24" i="48"/>
  <c r="X25" i="48"/>
  <c r="AI21" i="48"/>
  <c r="AL21" i="48"/>
  <c r="AB24" i="48"/>
  <c r="S24" i="48"/>
  <c r="AN25" i="48"/>
  <c r="S18" i="48"/>
  <c r="AI18" i="48"/>
  <c r="Z13" i="48"/>
  <c r="AG13" i="48"/>
  <c r="Z15" i="48"/>
  <c r="AP15" i="48"/>
  <c r="AB11" i="48"/>
  <c r="AP21" i="48"/>
  <c r="AL12" i="48"/>
  <c r="X11" i="48"/>
  <c r="AE11" i="48"/>
  <c r="AP17" i="48"/>
  <c r="AL17" i="48"/>
  <c r="S12" i="48"/>
  <c r="U12" i="48"/>
  <c r="AN17" i="48"/>
  <c r="AL11" i="48"/>
  <c r="U11" i="48"/>
  <c r="AB17" i="48"/>
  <c r="AE17" i="48"/>
  <c r="Z12" i="48"/>
  <c r="AP12" i="48"/>
  <c r="AN11" i="48"/>
  <c r="AE12" i="48"/>
  <c r="AP11" i="48"/>
  <c r="AI30" i="48"/>
  <c r="Z17" i="48"/>
  <c r="U17" i="48"/>
  <c r="X17" i="48"/>
  <c r="AP30" i="48"/>
  <c r="AI11" i="48"/>
  <c r="AG17" i="48"/>
  <c r="S30" i="48"/>
  <c r="S17" i="48"/>
  <c r="AB16" i="48"/>
  <c r="AP16" i="48"/>
  <c r="AL22" i="48"/>
  <c r="U22" i="48"/>
  <c r="AG26" i="48"/>
  <c r="AB28" i="48"/>
  <c r="AE26" i="48"/>
  <c r="AN28" i="48"/>
  <c r="U28" i="48"/>
  <c r="AP28" i="48"/>
  <c r="S26" i="48"/>
  <c r="X28" i="48"/>
  <c r="AI26" i="48"/>
  <c r="Z28" i="48"/>
  <c r="AB26" i="48"/>
  <c r="AI28" i="48"/>
  <c r="X26" i="48"/>
  <c r="S28" i="48"/>
  <c r="AN26" i="48"/>
  <c r="AL26" i="48"/>
  <c r="AG10" i="48"/>
  <c r="AB22" i="48"/>
  <c r="X10" i="48"/>
  <c r="S22" i="48"/>
  <c r="AE22" i="48"/>
  <c r="AP10" i="48"/>
  <c r="AG22" i="48"/>
  <c r="AL10" i="48"/>
  <c r="AB10" i="48"/>
  <c r="AN22" i="48"/>
  <c r="AI22" i="48"/>
  <c r="AN10" i="48"/>
  <c r="Q10" i="48"/>
  <c r="AE10" i="48"/>
  <c r="U10" i="48"/>
  <c r="AP22" i="48"/>
  <c r="AI10" i="48"/>
  <c r="X22" i="48"/>
  <c r="Z10" i="48"/>
  <c r="S23" i="48"/>
  <c r="AE23" i="48"/>
  <c r="AG23" i="48"/>
  <c r="Z23" i="48"/>
  <c r="Z27" i="48"/>
  <c r="AE27" i="48"/>
  <c r="AN27" i="48"/>
  <c r="S27" i="48"/>
  <c r="X27" i="48"/>
  <c r="AP27" i="48"/>
  <c r="AI27" i="48"/>
  <c r="AL27" i="48"/>
  <c r="U16" i="48"/>
  <c r="AG30" i="48"/>
  <c r="Z16" i="48"/>
  <c r="AI16" i="48"/>
  <c r="X16" i="48"/>
  <c r="AG16" i="48"/>
  <c r="AB30" i="48"/>
  <c r="AE30" i="48"/>
  <c r="AN16" i="48"/>
  <c r="AL30" i="48"/>
  <c r="AL16" i="48"/>
  <c r="U30" i="48"/>
  <c r="AN30" i="48"/>
  <c r="Z30" i="48"/>
  <c r="AL23" i="48" l="1"/>
  <c r="AB23" i="48"/>
  <c r="AI23" i="48"/>
  <c r="AP23" i="48"/>
  <c r="U23" i="48"/>
  <c r="Q23" i="48"/>
  <c r="AN23" i="48"/>
  <c r="L22" i="80"/>
  <c r="M22" i="8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<sst xmlns="http://schemas.openxmlformats.org/spreadsheetml/2006/main" count="29653" uniqueCount="5473">
  <si>
    <t>Title: Supplemental Water Release Assessment Data that is Based on DMR and TRI Data</t>
  </si>
  <si>
    <t>This spreadsheet contains DMR data downloaded on July 7, 2025 and TRI data downloaded on March 1, 2025.</t>
  </si>
  <si>
    <t xml:space="preserve"> </t>
  </si>
  <si>
    <t>The data are for reporting years 2019-2023; (reporting year and year of release to water or transfer to POTW or WWT are the same)</t>
  </si>
  <si>
    <t xml:space="preserve"> Worksheet</t>
  </si>
  <si>
    <t>Summary of Information</t>
  </si>
  <si>
    <t>Versions</t>
  </si>
  <si>
    <t>Version control information.</t>
  </si>
  <si>
    <t>Summary tabs</t>
  </si>
  <si>
    <t>Total Annual Releases</t>
  </si>
  <si>
    <t>This worksheet contains the total of the annual releases to surface water from all sites. The total annual release amount is given for each of the reporting years. Total annual releases are calculated by summing data reported in DMR and TRI. Total releases calculated from TRI data are given separately from total release calculated from DMR data.  TRI releases  are categorized as On-Site (direct discharge), Transfer to POTW (indirect discharge) or Transfer to WWT (non-POTW) (indirect discharge). This worksheet also contains information about the total number of sites.</t>
  </si>
  <si>
    <t>TRI and DMR OES Summary</t>
  </si>
  <si>
    <t>This worksheet provides a summary of releases by OES, with release days, annual min, max, 50th percentile and 95th percentile.</t>
  </si>
  <si>
    <t>Facility Discharge Summary</t>
  </si>
  <si>
    <r>
      <t>This worksheet contains a summary of the rates of  direct and indirect discharges to surface water from each facility that reported discharge data to DMR and TRI. These discharges occurred during the reporting period of 2019 - 2023.</t>
    </r>
    <r>
      <rPr>
        <b/>
        <sz val="11"/>
        <rFont val="Calibri"/>
        <family val="2"/>
        <scheme val="minor"/>
      </rPr>
      <t xml:space="preserve"> </t>
    </r>
    <r>
      <rPr>
        <sz val="11"/>
        <rFont val="Calibri"/>
        <family val="2"/>
        <scheme val="minor"/>
      </rPr>
      <t xml:space="preserve">The type of discharge data given in this worksheet include the median, maximum and most recently reported annual discharge in units of kg/yr. and the average daily discharge that corresponds to each of these annual discharges in units of kg/day.  Annual discharge rates were obtained from the data provided in the worksheets named "Processed Non-zero DMR Data" and "Processed Non-zero TRI Data." Daily discharge rates were calculated by dividing the annual discharge rates by the estimated number of release days. EPA estimated the number of release days by assuming that release days are equal to operating days and by estimating the number of operating days for any facility in a given COU. Note: The reporting year of maximum discharge for Form A facilities will show the most recent year reported; however the discharge is the same across all years reported. </t>
    </r>
  </si>
  <si>
    <t>Processed Data Tabs</t>
  </si>
  <si>
    <t>Processed Non-zero DMR Data</t>
  </si>
  <si>
    <t>Processed Non-zero DMR data for 2019-2023. EPA obtained this data from https://echo.epa.gov/trends/loading-tool/get-data/custom-search. EPA/OPPT used the custom search and set non-detects to 1/2 the LOD if a discharge is equal to zero over the monitoring period, and retained any non-zero data. Non-zero DMR data are the annual water discharge rates obtained from this data source whose values are greater than zero. Furthermore, data pertaining to facilities that correspond to the bottom 10th percentile of total releases in a given year are also not included in this worksheet. Duplicate entries (same facility, year, release number) were removed. Note that some facilities have multiple reports in a year, but reported different release amounts; these values were kept.</t>
  </si>
  <si>
    <t>Processed Non-zero TRI Data</t>
  </si>
  <si>
    <t xml:space="preserve">Processed Non-zero TRI data for 2019-2023. EPA obtained this data from https://www.epa.gov/toxics-release-inventory-tri-program/tri-basic-plus-data-files-calendar-years-1987-present.  If the on-site release amount and the off-site transfer amount reported by a site in a specific year equal zero, then the TRI data of this site and specific year are not included in this worksheet. For Form A facilities, EPA assessed a "what-if" scenario assuming the entire 500 lbs reporting threshold is going to all release points for a single media, but is not additive. If a facility submitted a Form A in a specific year, then EPA assumed that during that specific year 500 lb. is released on-site to surface water from this facility, 500 lb. is transferred from this facility to POTW, and 500 lb. is transferred from this facility to non-POTW WWT. Note: Grey columns contain data pulled directly from TRI/DMR, green columns contain data added by EPA/OPPT. </t>
  </si>
  <si>
    <t>Raw Data Tabs</t>
  </si>
  <si>
    <t>Raw Non-zero DMR Data</t>
  </si>
  <si>
    <t xml:space="preserve">This worksheet contains raw non-zero DMR data for 2019-2023.  EPA obtained this data from https://echo.epa.gov/trends/loading-tool/get-data/custom-search. This sheet differs from "Processed Non-zero DMR Data" as it includes facilities that correspond to the bottom 10th percentile of total releases in a given year. </t>
  </si>
  <si>
    <t>Raw TRI Data</t>
  </si>
  <si>
    <t xml:space="preserve">This worksheet contains raw TRI data for 2019 - 2023. EPA obtained this data from https://www.epa.gov/toxics-release-inventory-tri-program/tri-basic-plus-data-files-calendar-years-1987-present. This sheet differs from "Processed Non-zero TRI Data" as it includes facilities that report zero discharges to water over the reporting period. </t>
  </si>
  <si>
    <t>Off-Site Locations</t>
  </si>
  <si>
    <t>This worksheet contains a list of facilities that are reported in TRI as off-site locations that received transfers from TRI facilities. The "Non-POTW Offsite Transfer FRS IDs" and "POTW Transfer FRS IDs" data were pulled from the 3A and 3C Basic Plus TRI data files.</t>
  </si>
  <si>
    <t>Crosswalk and Lookup Tabs</t>
  </si>
  <si>
    <t>TRIFD-OES Crosswalk</t>
  </si>
  <si>
    <t>Crosswalk of TRI to OES mappings</t>
  </si>
  <si>
    <t>11DCA Mapping</t>
  </si>
  <si>
    <t>NAICS OES Crosswalk</t>
  </si>
  <si>
    <t>Crosswalk of NAICS codes to potential OES - used a first pass for mapping</t>
  </si>
  <si>
    <t xml:space="preserve">2017 to 2022 NAICS </t>
  </si>
  <si>
    <t>The list of NAICS codes are periodically updated; however, a crosswalk of SIC codes to NAICS codes were only available for 2017 NAICS codes. Therefore, this worksheet help convert the 2017 NAICS codes to the most recent NAICS codes (i.e., 2022 NAICS codes) for use in the summary worksheet.</t>
  </si>
  <si>
    <t>2022 SIC to NAICS</t>
  </si>
  <si>
    <t>Crosswalk of 2022 SIC Codes to NAICS codes</t>
  </si>
  <si>
    <t>Annual Water Releases (kg/yr-all sites)</t>
  </si>
  <si>
    <t>TRI (Form R Only)</t>
  </si>
  <si>
    <t>On-Site</t>
  </si>
  <si>
    <t xml:space="preserve">Transfer to POTW </t>
  </si>
  <si>
    <t>Transfer to WWT (non-POTW)</t>
  </si>
  <si>
    <t>DMR</t>
  </si>
  <si>
    <t xml:space="preserve">(1) Releases associated with TRI Form A are not included in the total annual TRI releases shown above. EPA assumes a maximum release of 500 lbs/yr from each site that submits a Form A. Therefore, the total TRI releases shown above would be greater if releases associated with Form A were included. The number of TRI sites that submit Form A may vary from one reporting year to the other.  The maximum and minimum of this range of number of sites is given below (if the maximum and minimum values of the range are equal, then the number of sites does not vary by reporting year.) Also given below are the total of annual releases in units of kg/yr that correspond to this maximum and minimum number of sites.    </t>
  </si>
  <si>
    <t>Maximum Number of Sites that Submitted Form A:</t>
  </si>
  <si>
    <t>Maximum Total Potential Releases Corresponding to the Maximum Number of Sites that Submitted Form A:</t>
  </si>
  <si>
    <t>kg/yr</t>
  </si>
  <si>
    <t>Minimum Number of Sites that Submitted Form A:</t>
  </si>
  <si>
    <t>Maximum Total Potential Releases Corresponding to the Minimum Number of Sites that Submitted Form A:</t>
  </si>
  <si>
    <t>Annual</t>
  </si>
  <si>
    <t>Daily</t>
  </si>
  <si>
    <t>OES</t>
  </si>
  <si>
    <t># of facilities</t>
  </si>
  <si>
    <t># of reports</t>
  </si>
  <si>
    <t>Release Days (days/yr)</t>
  </si>
  <si>
    <t>Min (kg/site-yr)</t>
  </si>
  <si>
    <t>Max (kg/site-yr)</t>
  </si>
  <si>
    <t>50th percentile (kg/site-yr)</t>
  </si>
  <si>
    <t>95th percentile (kg/site-yr)</t>
  </si>
  <si>
    <t>50th percentile (kg/site-day)</t>
  </si>
  <si>
    <t>95th percentile (kg/site-day)</t>
  </si>
  <si>
    <t>Repackaging</t>
  </si>
  <si>
    <t>Processing as a reactant</t>
  </si>
  <si>
    <t>Impurity in Plastics</t>
  </si>
  <si>
    <t>Distribution in commerce</t>
  </si>
  <si>
    <t>Processing Aid</t>
  </si>
  <si>
    <t xml:space="preserve">Use of laboratory chemicals </t>
  </si>
  <si>
    <t>Waste Handling, Disposal and Treatment (POTW)</t>
  </si>
  <si>
    <t>Waste Handling, Disposal and Treatment (non-POTW WWT)</t>
  </si>
  <si>
    <t>Waste Handling, Disposal and Treatment (Landfill)</t>
  </si>
  <si>
    <t>Waste Handling, Disposal and Treatment (Incinerator)</t>
  </si>
  <si>
    <t>Waste Handling, Disposal and Treatment (Remediation)</t>
  </si>
  <si>
    <t>Unknown</t>
  </si>
  <si>
    <t>Total</t>
  </si>
  <si>
    <t>TRI</t>
  </si>
  <si>
    <t>ANNUAL and AVERAGE DAILY Direct Discharge</t>
  </si>
  <si>
    <t>ANNUAL and AVERAGE DAILY Indirect Discharge</t>
  </si>
  <si>
    <t>TRI- Transfer to POTW</t>
  </si>
  <si>
    <t>TRI- Transfer to non-POTW</t>
  </si>
  <si>
    <t>Row Number</t>
  </si>
  <si>
    <t>Data Source</t>
  </si>
  <si>
    <t>Shorthand COU</t>
  </si>
  <si>
    <t>OES Basis</t>
  </si>
  <si>
    <t>Facility Name</t>
  </si>
  <si>
    <t>City</t>
  </si>
  <si>
    <t>State</t>
  </si>
  <si>
    <t>TRI Facility ID(s)</t>
  </si>
  <si>
    <t>FRS ID</t>
  </si>
  <si>
    <t>NPDES Permit #</t>
  </si>
  <si>
    <t>Direct Discharge Receiving Waterbody Name</t>
  </si>
  <si>
    <t>HUC 12 Code</t>
  </si>
  <si>
    <t>Offsite Transfer FRS ID</t>
  </si>
  <si>
    <t>Number of Release Days</t>
  </si>
  <si>
    <t>Most Recent ANNUAL Discharge (kg/yr)</t>
  </si>
  <si>
    <t>Most Recent ANNUAL AVERAGE DAILY DISCHARGE (kg/day)</t>
  </si>
  <si>
    <t>Median ANNUAL Discharge (kg/yr)</t>
  </si>
  <si>
    <t>Daily Discharge Corresponding to Median ANNUAL Discharge (kg/day)</t>
  </si>
  <si>
    <t>Maximum ANNUAL Discharge (kg/yr)</t>
  </si>
  <si>
    <t>Daily Discharge Corresponding to Maximum ANNUAL Discharge (kg/day)</t>
  </si>
  <si>
    <t>Reporting Year of Maximum Annual Discharge</t>
  </si>
  <si>
    <t>Maximum Annual TRI Discharge (kg/yr)</t>
  </si>
  <si>
    <t>Maximum Annual DMR Discharge (kg/yr)</t>
  </si>
  <si>
    <t>TRI Form R/DMR</t>
  </si>
  <si>
    <t>25515KZCHMSTATE</t>
  </si>
  <si>
    <t>THE DOW CHEMICAL CO - LOUISIANA OPERATIONS</t>
  </si>
  <si>
    <t>PLAQUEMINE</t>
  </si>
  <si>
    <t>LA</t>
  </si>
  <si>
    <t>70765THDWCHIGHW</t>
  </si>
  <si>
    <t>SOLENIS LLC</t>
  </si>
  <si>
    <t>COURTLAND</t>
  </si>
  <si>
    <t>VA</t>
  </si>
  <si>
    <t>23851HRCLSROUTE</t>
  </si>
  <si>
    <t>DOW CHEMICAL CO FREEPORT FACILITY</t>
  </si>
  <si>
    <t>FREEPORT</t>
  </si>
  <si>
    <t>TX</t>
  </si>
  <si>
    <t>77541THDWCBUILD</t>
  </si>
  <si>
    <t>THE DOW CHEMICAL CO</t>
  </si>
  <si>
    <t>MIDLAND</t>
  </si>
  <si>
    <t>MI</t>
  </si>
  <si>
    <t>48667THDWCMICHI</t>
  </si>
  <si>
    <t>FREEPORT_OLIN BC</t>
  </si>
  <si>
    <t>7754WBLCBP231NB</t>
  </si>
  <si>
    <t>TRI?</t>
  </si>
  <si>
    <t>DMR?</t>
  </si>
  <si>
    <t>Street Address</t>
  </si>
  <si>
    <t>ZIP Code</t>
  </si>
  <si>
    <t>Facility Latitude</t>
  </si>
  <si>
    <t>Facility Longitude</t>
  </si>
  <si>
    <t>NAICS/SIC Code</t>
  </si>
  <si>
    <t>NAICS/SIC Code Description</t>
  </si>
  <si>
    <t>Indirect or Direct Discharger</t>
  </si>
  <si>
    <t>Release Pattern</t>
  </si>
  <si>
    <t>Release Days</t>
  </si>
  <si>
    <t>ICL-NORTH AMERICA INC - GALLIPOLIS FERRY PLANT</t>
  </si>
  <si>
    <t>GALLIPOLIS FERRY</t>
  </si>
  <si>
    <t>WV</t>
  </si>
  <si>
    <t>VALLEY CREEK WASTEWATER TREATMENT PLANT</t>
  </si>
  <si>
    <t>ELIZABETHTOWN</t>
  </si>
  <si>
    <t>KY</t>
  </si>
  <si>
    <t>STEPAN CO</t>
  </si>
  <si>
    <t>ELWOOD</t>
  </si>
  <si>
    <t>IL</t>
  </si>
  <si>
    <t>CARROLLTON REGIONAL WWTP</t>
  </si>
  <si>
    <t>CARROLLTON</t>
  </si>
  <si>
    <t>CORNING WASTEWATER TREATMENT PLANT</t>
  </si>
  <si>
    <t>CORNING</t>
  </si>
  <si>
    <t>CA</t>
  </si>
  <si>
    <t>RADCLIFF STP</t>
  </si>
  <si>
    <t>RADCLIFF</t>
  </si>
  <si>
    <t>OWENSBORO SPECIALTY POLYMERS INC.</t>
  </si>
  <si>
    <t>OWENSBORO</t>
  </si>
  <si>
    <t>DELAWARE RIVER PLANT</t>
  </si>
  <si>
    <t>BRIDGEPORT</t>
  </si>
  <si>
    <t>NJ</t>
  </si>
  <si>
    <t>FLEMINGSBURG STP</t>
  </si>
  <si>
    <t>FLEMINGSBURG</t>
  </si>
  <si>
    <t>VENETIAN HOTEL AND CASINO</t>
  </si>
  <si>
    <t>LAS VEGAS</t>
  </si>
  <si>
    <t>NV</t>
  </si>
  <si>
    <t>SHEPHERDSVILLE STP</t>
  </si>
  <si>
    <t>SHEPHERDSVILLE</t>
  </si>
  <si>
    <t>RIALTO WASTEWATER TREATMENT PLANT</t>
  </si>
  <si>
    <t>BLOOMINGTON</t>
  </si>
  <si>
    <t>SI GROUP INC - SOUTH PLANT</t>
  </si>
  <si>
    <t>MORGANTOWN</t>
  </si>
  <si>
    <t>FREEPORT-MCMORAN PRODUCED WRF</t>
  </si>
  <si>
    <t>ARROYO GRANDE</t>
  </si>
  <si>
    <t>CAESAR'S PALACE (257)</t>
  </si>
  <si>
    <t>CURIA MISSOURI INC</t>
  </si>
  <si>
    <t>SPRINGFIELD</t>
  </si>
  <si>
    <t>MO</t>
  </si>
  <si>
    <t>RESORTS WORLD LAS VEGAS</t>
  </si>
  <si>
    <t>TRONOX LLC</t>
  </si>
  <si>
    <t>HENDERSON</t>
  </si>
  <si>
    <t>EQUISTAR CHEMICALS LP - LAKE CHARLES POLYMERS SITE</t>
  </si>
  <si>
    <t>WESTLAKE</t>
  </si>
  <si>
    <t>SANTA ROSA WATER - LAGUNA TREATMENT PLANT</t>
  </si>
  <si>
    <t>SANTA ROSA</t>
  </si>
  <si>
    <t>MOUNT STERLING HINKSTON CREEK STP</t>
  </si>
  <si>
    <t>MT STERLING</t>
  </si>
  <si>
    <t>BERCEN CHEMICALS LLC</t>
  </si>
  <si>
    <t>DENHAM SPRINGS</t>
  </si>
  <si>
    <t>NORTHERN MADISON COUNTY SANITATION DISTRICT</t>
  </si>
  <si>
    <t>RICHMOND</t>
  </si>
  <si>
    <t>PEARL HARBOR NAVAL SHIPYARD &amp; INTERMEDIATE MAINTENANCE FACILITY</t>
  </si>
  <si>
    <t>HONOLULU</t>
  </si>
  <si>
    <t>HI</t>
  </si>
  <si>
    <t>EQUISTAR CHEMICALS-LAPORTE</t>
  </si>
  <si>
    <t>LAPORTE</t>
  </si>
  <si>
    <t>EL CENTRO GENERATING STATION</t>
  </si>
  <si>
    <t>EL CENTRO</t>
  </si>
  <si>
    <t>HERCULES GIBBSTOWN GROUNDWATER TREATMENT SITE</t>
  </si>
  <si>
    <t>GREENWICH TWP</t>
  </si>
  <si>
    <t>TAMINCO EASTMAN US - ST GABRIEL PLANT</t>
  </si>
  <si>
    <t>SAINT GABRIEL</t>
  </si>
  <si>
    <t>BOEING COMPANY (THE)</t>
  </si>
  <si>
    <t>PORTLAND</t>
  </si>
  <si>
    <t>OR</t>
  </si>
  <si>
    <t>LOTTE CHEMICAL LOUISIANA LLC</t>
  </si>
  <si>
    <t>BURKESVILLE WWTP</t>
  </si>
  <si>
    <t>BURKESVILLE</t>
  </si>
  <si>
    <t>HONEYWELL INTERNATIONAL INC - GEISMAR COMPLEX</t>
  </si>
  <si>
    <t>GEISMAR</t>
  </si>
  <si>
    <t>BASF CORPORATION</t>
  </si>
  <si>
    <t>WEST MEMPHIS</t>
  </si>
  <si>
    <t>AR</t>
  </si>
  <si>
    <t>FUTUREFUEL CHEMICAL COMPANY</t>
  </si>
  <si>
    <t>BATESVILLE</t>
  </si>
  <si>
    <t>BROWNING FERRIS INDUSTRIES KC</t>
  </si>
  <si>
    <t>LIBERTY</t>
  </si>
  <si>
    <t>VOPAK TERMINAL LONG BEACH INC</t>
  </si>
  <si>
    <t>SAN PEDRO</t>
  </si>
  <si>
    <t>IMTT-ILLINOIS LLC</t>
  </si>
  <si>
    <t>LEMONT</t>
  </si>
  <si>
    <t>CALEXICO WASTE WATER PLANT</t>
  </si>
  <si>
    <t>CALEXICO</t>
  </si>
  <si>
    <t>FOUNDRY 2 ST</t>
  </si>
  <si>
    <t>LOVELAND</t>
  </si>
  <si>
    <t>CO</t>
  </si>
  <si>
    <t>HARRODSBURG WWTP EXPANSION</t>
  </si>
  <si>
    <t>HARRODSBURG</t>
  </si>
  <si>
    <t>CLUB CAL NEVA</t>
  </si>
  <si>
    <t>RENO</t>
  </si>
  <si>
    <t>EQUISTAR CHEMICALS, LP - MORRIS PLANT</t>
  </si>
  <si>
    <t>MORRIS</t>
  </si>
  <si>
    <t>LOMPOC WASTEWATER PLANT</t>
  </si>
  <si>
    <t>LOMPOC</t>
  </si>
  <si>
    <t>GUTHRIE STP</t>
  </si>
  <si>
    <t>GUTHRIE</t>
  </si>
  <si>
    <t>SANTA CRUZ WASTEWATER TREATMENT PLANT</t>
  </si>
  <si>
    <t>SANTA CRUZ</t>
  </si>
  <si>
    <t>PRAIRIE STATE GENERATING STATION</t>
  </si>
  <si>
    <t>MARISSA</t>
  </si>
  <si>
    <t>MCCARRAN INTERNATIONAL AIRPORT</t>
  </si>
  <si>
    <t>BAKELITE SYNTHETICS</t>
  </si>
  <si>
    <t>LOUISVILLE</t>
  </si>
  <si>
    <t>GLASGOW STP</t>
  </si>
  <si>
    <t>GLASGOW</t>
  </si>
  <si>
    <t>NILAND SD WWTP</t>
  </si>
  <si>
    <t>NILAND</t>
  </si>
  <si>
    <t>US DEPARTMENT OF THE AIR FORCE</t>
  </si>
  <si>
    <t>SAN ANTONIO</t>
  </si>
  <si>
    <t>RUSSELLVILLE STP</t>
  </si>
  <si>
    <t>RUSSELLVILLE</t>
  </si>
  <si>
    <t>CENTRAL CITY STP</t>
  </si>
  <si>
    <t>CENTRAL CITY</t>
  </si>
  <si>
    <t>SYNGENTA CROP PROTECTION, LLC. - ST GABRIEL PLANT</t>
  </si>
  <si>
    <t>CEDAR CREEK WWTP</t>
  </si>
  <si>
    <t>KODAK PARK DIVISION</t>
  </si>
  <si>
    <t>ROCHESTER</t>
  </si>
  <si>
    <t>NY</t>
  </si>
  <si>
    <t>RUSSELL COUNTY REGIONAL STP</t>
  </si>
  <si>
    <t>JAMESTOWN</t>
  </si>
  <si>
    <t>AUBURN WWTP</t>
  </si>
  <si>
    <t>AUBURN</t>
  </si>
  <si>
    <t>EQUISTAR CHEMICALS LP TUSCOLA PLANT</t>
  </si>
  <si>
    <t>TUSCOLA</t>
  </si>
  <si>
    <t>GREEN AMERICA RECYCLING LLC</t>
  </si>
  <si>
    <t>HANNIBAL</t>
  </si>
  <si>
    <t>HOPKINSVILLE HAMMOND WOOD STP</t>
  </si>
  <si>
    <t>HOPKINSVILLE</t>
  </si>
  <si>
    <t>MAYSVILLE STP</t>
  </si>
  <si>
    <t>MAYSVILLE</t>
  </si>
  <si>
    <t>FOREST LAWN LANDFILL</t>
  </si>
  <si>
    <t>THREE OAKS</t>
  </si>
  <si>
    <t>BIO-LAB, INC., A CHEMTURA COMPANY</t>
  </si>
  <si>
    <t>SASOL CHEM USA LLC/OIL CITY</t>
  </si>
  <si>
    <t>OIL CITY</t>
  </si>
  <si>
    <t>PA</t>
  </si>
  <si>
    <t>VICTOR VALLEY WASTE WATER RA</t>
  </si>
  <si>
    <t>VICTORVILLE</t>
  </si>
  <si>
    <t>ASHLAND WASTEWATER TREATMENT PLANT</t>
  </si>
  <si>
    <t>ASHLAND</t>
  </si>
  <si>
    <t>ROHM &amp; HAAS BRISTOL FACILITY</t>
  </si>
  <si>
    <t>CROYDON</t>
  </si>
  <si>
    <t>ISP CHEMICALS LLC</t>
  </si>
  <si>
    <t>CALVERT CITY</t>
  </si>
  <si>
    <t>FLOYDS FORK WQTC MSD</t>
  </si>
  <si>
    <t>MONUMENT CHEMICAL KENTUCKY LLC</t>
  </si>
  <si>
    <t>BRANDENBURG</t>
  </si>
  <si>
    <t>HONOULIULI WWTP</t>
  </si>
  <si>
    <t>EWA BEACH</t>
  </si>
  <si>
    <t>FIRMENICH INCORPORATED</t>
  </si>
  <si>
    <t>PLAINSBORO</t>
  </si>
  <si>
    <t>SFIA, MEL LEONG SANITARY AND INDUSTRIAL TREATMENT PLANTS</t>
  </si>
  <si>
    <t>SAN FRANCISCO</t>
  </si>
  <si>
    <t>OWENSBORO EAST WWTP</t>
  </si>
  <si>
    <t>DDP SPECIALTY ELECTRONIC MATERIALS US LLC</t>
  </si>
  <si>
    <t>DALTON</t>
  </si>
  <si>
    <t>GA</t>
  </si>
  <si>
    <t>SABIC INNOVATIVE PLASTICS - MT. VERNON</t>
  </si>
  <si>
    <t>MT. VERNON</t>
  </si>
  <si>
    <t>IN</t>
  </si>
  <si>
    <t>MOREHEAD WWTP</t>
  </si>
  <si>
    <t>MOREHEAD</t>
  </si>
  <si>
    <t>DEREK R GUTHRIE WQTC MSD</t>
  </si>
  <si>
    <t>HB FULLER CO</t>
  </si>
  <si>
    <t>RICHMOND SILVER CREEK STP</t>
  </si>
  <si>
    <t>BEREA</t>
  </si>
  <si>
    <t>CHRIN BROTHERS INC</t>
  </si>
  <si>
    <t>EASTON</t>
  </si>
  <si>
    <t>MARYLAND VILLAS APARTMENT COMPLEX</t>
  </si>
  <si>
    <t>ENTERPRISE PASADENA PLANT</t>
  </si>
  <si>
    <t>PASADENA</t>
  </si>
  <si>
    <t>EDDYVILLE STP</t>
  </si>
  <si>
    <t>EDDYVILLE</t>
  </si>
  <si>
    <t>WEST COUNTY AGENCY COMMON OUTFALL</t>
  </si>
  <si>
    <t>EASTMAN CHEMICAL COMPANY</t>
  </si>
  <si>
    <t>KINGSPORT</t>
  </si>
  <si>
    <t>TN</t>
  </si>
  <si>
    <t>PHILLIPS 66 BAYWAY REFINERY</t>
  </si>
  <si>
    <t>LINDEN</t>
  </si>
  <si>
    <t>ECO SERVICES OPERATIONS HOUSTON</t>
  </si>
  <si>
    <t>HOUSTON</t>
  </si>
  <si>
    <t>WINCHESTER MUNICIPAL UTILITIES</t>
  </si>
  <si>
    <t>WINCHESTER</t>
  </si>
  <si>
    <t>RWRA MAX RHOADS WWTP</t>
  </si>
  <si>
    <t>WILLIAMSBURG STP</t>
  </si>
  <si>
    <t>WILLIAMSBURG</t>
  </si>
  <si>
    <t>PORTOLA WWTP</t>
  </si>
  <si>
    <t>PORTOLA</t>
  </si>
  <si>
    <t>KENTUCKY AMERICAN WATER CO - NORTHERN STP</t>
  </si>
  <si>
    <t>OWENTON</t>
  </si>
  <si>
    <t>COLUMBIA/ADAIR COUNTY STP</t>
  </si>
  <si>
    <t>COLUMBIA</t>
  </si>
  <si>
    <t>BURLINGAME WWTP</t>
  </si>
  <si>
    <t>BURLINGAME</t>
  </si>
  <si>
    <t>HITE CREEK WQTC MSD</t>
  </si>
  <si>
    <t>BAE SYSTEMS ORDNANCE SYSTEMS INC.</t>
  </si>
  <si>
    <t>NOURYON SURFACE CHEMISTRY LLC</t>
  </si>
  <si>
    <t>SCHUYLER FALLS CLOSED LANDFILL</t>
  </si>
  <si>
    <t>SCHUYLER FALLS</t>
  </si>
  <si>
    <t>BVPV STYRENICS LLC/BEAVER</t>
  </si>
  <si>
    <t>MONACA</t>
  </si>
  <si>
    <t>VIRIDIS CHEMICAL</t>
  </si>
  <si>
    <t>COLUMBUS</t>
  </si>
  <si>
    <t>NE</t>
  </si>
  <si>
    <t>HARRAH'S NORTHERN CALIFORNIA WWTP</t>
  </si>
  <si>
    <t>IONE</t>
  </si>
  <si>
    <t>QUALAWASH HOLDINGS LLC - QUALA - GEISMAR TERMINAL 260</t>
  </si>
  <si>
    <t>CALUMET MISSOURI, LLC</t>
  </si>
  <si>
    <t>LOUISIANA</t>
  </si>
  <si>
    <t>FORMOSA PLASTICS CORPORATION</t>
  </si>
  <si>
    <t>DELAWARE CITY</t>
  </si>
  <si>
    <t>DE</t>
  </si>
  <si>
    <t>PARIS STP</t>
  </si>
  <si>
    <t>PARIS</t>
  </si>
  <si>
    <t>COLUSA WWTP</t>
  </si>
  <si>
    <t>COLUSA</t>
  </si>
  <si>
    <t>PIKEVILLE WWTP</t>
  </si>
  <si>
    <t>PIKEVILLE</t>
  </si>
  <si>
    <t>NALCO PRODUCTION LLC - GARYVILLE FACILITY</t>
  </si>
  <si>
    <t>GARYVILLE</t>
  </si>
  <si>
    <t>BRAWLEY WASTEWATER TREATMENT PLANT</t>
  </si>
  <si>
    <t>BRAWLEY</t>
  </si>
  <si>
    <t>CHEMOURS-CHAMBERS WORKS</t>
  </si>
  <si>
    <t>PENNS GROVE</t>
  </si>
  <si>
    <t>SAND ISLAND WASTE WATER TREATMENT PLANT</t>
  </si>
  <si>
    <t>MANCHESTER STP</t>
  </si>
  <si>
    <t>MANCHESTER</t>
  </si>
  <si>
    <t>VOPAK TERMINAL LOS ANGELES</t>
  </si>
  <si>
    <t>WILMINGTON</t>
  </si>
  <si>
    <t>HERITAGE AT SILVER SPRING TITLEHOLDER, LLC</t>
  </si>
  <si>
    <t>SILVER SPRING</t>
  </si>
  <si>
    <t>MD</t>
  </si>
  <si>
    <t>CITY OF SAFFORD - GILA RESOURCES WRP</t>
  </si>
  <si>
    <t>SAFFORD</t>
  </si>
  <si>
    <t>AZ</t>
  </si>
  <si>
    <t>HUNTSMAN PETROCHEMICAL LLC - CONROE PLANT</t>
  </si>
  <si>
    <t>CONROE</t>
  </si>
  <si>
    <t>CECOS INTERNATIONAL INC</t>
  </si>
  <si>
    <t>LA PORTE PLANT</t>
  </si>
  <si>
    <t>LA PORTE</t>
  </si>
  <si>
    <t>IRVINE STP</t>
  </si>
  <si>
    <t>IRVINE</t>
  </si>
  <si>
    <t>CAMPBELLSVILLE STP</t>
  </si>
  <si>
    <t>CAMPBELLSVILLE</t>
  </si>
  <si>
    <t>KEESHAN AND BOST CHEMICAL CO., INC.</t>
  </si>
  <si>
    <t>MANVEL</t>
  </si>
  <si>
    <t>WINDOW ROCK WASTEWATER TREATMENT FACILITY</t>
  </si>
  <si>
    <t>FORT DEFIANCE</t>
  </si>
  <si>
    <t>KY STATE REFORMATORY</t>
  </si>
  <si>
    <t>LA GRANGE</t>
  </si>
  <si>
    <t>NORTHERN KY SANITATION DISTRICT 1 DRY CREEK WWTP</t>
  </si>
  <si>
    <t>ERLANGER</t>
  </si>
  <si>
    <t>NEVADA CITY WASTEWATER TREATMENT PLANT</t>
  </si>
  <si>
    <t>NEVADA CITY</t>
  </si>
  <si>
    <t>PADUCAH/MCCRACKEN COUNTY JSA - REIDLAND</t>
  </si>
  <si>
    <t>REIDLAND</t>
  </si>
  <si>
    <t>BATH COUNTY INDUSTRIAL PARK</t>
  </si>
  <si>
    <t>OWINGSVILLE</t>
  </si>
  <si>
    <t>VERSAILLES STP</t>
  </si>
  <si>
    <t>VERSAILLES</t>
  </si>
  <si>
    <t>DEER CREEK WWTP</t>
  </si>
  <si>
    <t>CAMERON PARK</t>
  </si>
  <si>
    <t>US MARINE CORPS BASE HAWAII</t>
  </si>
  <si>
    <t>M C B H KANEOHE BAY</t>
  </si>
  <si>
    <t>BENTON STP</t>
  </si>
  <si>
    <t>BENTON</t>
  </si>
  <si>
    <t>MORGANFIELD WWTP</t>
  </si>
  <si>
    <t>MORGANFIELD</t>
  </si>
  <si>
    <t>AMCOL HEALTH &amp; BEAUTY SOLUTIONS INC</t>
  </si>
  <si>
    <t>LAFAYETTE</t>
  </si>
  <si>
    <t>OAK POINT PLANT</t>
  </si>
  <si>
    <t>BELLE CHASSE</t>
  </si>
  <si>
    <t>SOLVAY SOLEXIS INC</t>
  </si>
  <si>
    <t>THOROFARE</t>
  </si>
  <si>
    <t>BEREA MUNICIPAL UTILITIES WWTP</t>
  </si>
  <si>
    <t>OHIO RIVER WWTP</t>
  </si>
  <si>
    <t>GOSHEN</t>
  </si>
  <si>
    <t>BRASKEM AMERICA INC - LAPORTE SITE</t>
  </si>
  <si>
    <t>NAVY PUBLIC WORKS CENTER</t>
  </si>
  <si>
    <t>PEARL HARBOR</t>
  </si>
  <si>
    <t>WESTERN REGIONAL WATER RECLAMATION FACILITY</t>
  </si>
  <si>
    <t>PETERSBURG</t>
  </si>
  <si>
    <t>LAS VEGAS CONVENTION AND VISITORS AUTHORITY REMEDIATION SYSTEM</t>
  </si>
  <si>
    <t>BEAUMONT WWTF</t>
  </si>
  <si>
    <t>BEAUMONT</t>
  </si>
  <si>
    <t>MONUMENT CHEMICAL HOUSTON</t>
  </si>
  <si>
    <t>FORMER NUODEX CORP FACILITY</t>
  </si>
  <si>
    <t>WOODBRIDGE TWP</t>
  </si>
  <si>
    <t>LONDON STP</t>
  </si>
  <si>
    <t>LONDON</t>
  </si>
  <si>
    <t>WAILUA WASTEWATER TREATMENT PLANT</t>
  </si>
  <si>
    <t>KAPAA</t>
  </si>
  <si>
    <t>BAYER CROPSCIENCE KANSAS CITY</t>
  </si>
  <si>
    <t>KANSAS CITY</t>
  </si>
  <si>
    <t>WILLIAMSTOWN/DRY RIDGE WRF</t>
  </si>
  <si>
    <t>WILLIAMSTOWN</t>
  </si>
  <si>
    <t>TUBA CITY WWTP</t>
  </si>
  <si>
    <t>TUBA CITY</t>
  </si>
  <si>
    <t>VILLAGE SHOP #4/SINCLAIR STATION</t>
  </si>
  <si>
    <t>LAS VEGAS ACADEMY</t>
  </si>
  <si>
    <t>MADISONVILLE STP WEST SIDE</t>
  </si>
  <si>
    <t>MADISONVILLE</t>
  </si>
  <si>
    <t>JERRY L RILEY STP</t>
  </si>
  <si>
    <t>BARDSTOWN</t>
  </si>
  <si>
    <t>GREENUP JOINT SEWER AGENCY</t>
  </si>
  <si>
    <t>WURTLAND</t>
  </si>
  <si>
    <t>DANVILLE STP</t>
  </si>
  <si>
    <t>DANVILLE</t>
  </si>
  <si>
    <t>RED RIVER WWTP</t>
  </si>
  <si>
    <t>STANTON</t>
  </si>
  <si>
    <t>OLDHAM COUNTY ENVIRONMENTAL AUTHORITY REGIONAL WWTP</t>
  </si>
  <si>
    <t>CRESTWOOD</t>
  </si>
  <si>
    <t>INGLEWOOD OIL FIELD</t>
  </si>
  <si>
    <t>LOS ANGELES</t>
  </si>
  <si>
    <t>PARADISE ID WTP, MAGALIA</t>
  </si>
  <si>
    <t>MAGALIA</t>
  </si>
  <si>
    <t>CYNTHIANA STP (NEW)</t>
  </si>
  <si>
    <t>CYNTHIANA</t>
  </si>
  <si>
    <t>SHAW INDUSTRIES GROUP INC PLANT 8S</t>
  </si>
  <si>
    <t>SC</t>
  </si>
  <si>
    <t>JACKSON WWTP</t>
  </si>
  <si>
    <t>JACKSON</t>
  </si>
  <si>
    <t>HAWAII COUNTY HILO WWTP</t>
  </si>
  <si>
    <t>HILO</t>
  </si>
  <si>
    <t>ALLEGIANT STADIUM</t>
  </si>
  <si>
    <t>TEKNOR APEX TENNESSEE COMPANY</t>
  </si>
  <si>
    <t>BROWNSVILLE</t>
  </si>
  <si>
    <t>EMINENCE STP</t>
  </si>
  <si>
    <t>EMINENCE</t>
  </si>
  <si>
    <t>ALOUN KAUAI FARMING LLC</t>
  </si>
  <si>
    <t>KEKAHA</t>
  </si>
  <si>
    <t>WOODLAND WPCF</t>
  </si>
  <si>
    <t>WOODLAND</t>
  </si>
  <si>
    <t>LANCASTER STP</t>
  </si>
  <si>
    <t>LANCASTER</t>
  </si>
  <si>
    <t>DISCOVERY BAY WWTP</t>
  </si>
  <si>
    <t>DISCOVERY BAY</t>
  </si>
  <si>
    <t>THE STIRLING CLUB</t>
  </si>
  <si>
    <t>NPC SERVICES, INC.- PETRO-PROCESSORS OF LOUISIANA, INC. SITE</t>
  </si>
  <si>
    <t>BATON ROUGE</t>
  </si>
  <si>
    <t>COPPER COVE WWRF</t>
  </si>
  <si>
    <t>COPPEROPOLIS</t>
  </si>
  <si>
    <t>HANGTOWN CREEK WWTP</t>
  </si>
  <si>
    <t>PLACERVILLE</t>
  </si>
  <si>
    <t>CITY OF ANGELS WWTP</t>
  </si>
  <si>
    <t>ANGELS CAMP</t>
  </si>
  <si>
    <t>CALIPATRIA WWTP</t>
  </si>
  <si>
    <t>CALIPATRIA</t>
  </si>
  <si>
    <t>FALLON WASTEWATER TREATMENT PLANT</t>
  </si>
  <si>
    <t>FALLON</t>
  </si>
  <si>
    <t>NORTHERN EDGE CASINO</t>
  </si>
  <si>
    <t>FRUITLAND</t>
  </si>
  <si>
    <t>NM</t>
  </si>
  <si>
    <t>KAHALA HOTEL &amp; RESORT</t>
  </si>
  <si>
    <t>GEORGETOWN STP #2</t>
  </si>
  <si>
    <t>GEORGETOWN</t>
  </si>
  <si>
    <t>APS FOUR CORNERS POWER PLANT</t>
  </si>
  <si>
    <t>GEORGETOWN STP #1</t>
  </si>
  <si>
    <t>FRANKLIN TWP SEW AUTH STP</t>
  </si>
  <si>
    <t>WAYNESBURG</t>
  </si>
  <si>
    <t>HANSON PERMANENTE CEMENT</t>
  </si>
  <si>
    <t>CUPERTINO</t>
  </si>
  <si>
    <t>RICHMOND OTTER CREEK STP</t>
  </si>
  <si>
    <t>SHELL CHEMICAL APPALACHIA LLC</t>
  </si>
  <si>
    <t>CONFLUENCE PARK APARTMENTS</t>
  </si>
  <si>
    <t>DENVER</t>
  </si>
  <si>
    <t>KRATON CHEMICAL, LLC</t>
  </si>
  <si>
    <t>DOVER</t>
  </si>
  <si>
    <t>OH</t>
  </si>
  <si>
    <t>METTON AMERICA LA PORTE PLANT</t>
  </si>
  <si>
    <t>MILLIKEN &amp; COMPANY/MAGNOLIA PLANT</t>
  </si>
  <si>
    <t>BLACKSBURG</t>
  </si>
  <si>
    <t>MCDONALD FARMS ENTERPRISES INC</t>
  </si>
  <si>
    <t>NORTH STORAGE FACILITY</t>
  </si>
  <si>
    <t>MONT BELVIEU</t>
  </si>
  <si>
    <t>LOLETA WWTF</t>
  </si>
  <si>
    <t>LOLETA</t>
  </si>
  <si>
    <t>BELL-CARTER OLIVE CO. WWTP</t>
  </si>
  <si>
    <t>TESORO LOGISTICS OPERATIONS LLC MARTINEZ TERMINAL</t>
  </si>
  <si>
    <t>PACHECO</t>
  </si>
  <si>
    <t>MANTECA WWQCF</t>
  </si>
  <si>
    <t>MANTECA</t>
  </si>
  <si>
    <t>INVISTA HOUSTON</t>
  </si>
  <si>
    <t>CROCKETT COGEN PROJECT</t>
  </si>
  <si>
    <t>CROCKETT</t>
  </si>
  <si>
    <t>200 MAIN STREET</t>
  </si>
  <si>
    <t>CAMBRIDGE</t>
  </si>
  <si>
    <t>MA</t>
  </si>
  <si>
    <t>AVANTOR PERFORMANCE MATERIALS</t>
  </si>
  <si>
    <t>PHILLIPSBURG</t>
  </si>
  <si>
    <t>DATE GARDENS MOBILE HOME PARK</t>
  </si>
  <si>
    <t>STRODES CREEK STP</t>
  </si>
  <si>
    <t>GOLDEN NUGGET</t>
  </si>
  <si>
    <t>SHIPROCK WWTF</t>
  </si>
  <si>
    <t>SHIPROCK</t>
  </si>
  <si>
    <t>FALMOUTH STP (NEW)</t>
  </si>
  <si>
    <t>FALMOUTH</t>
  </si>
  <si>
    <t>VALERO REFINING COMPANY-CALIF</t>
  </si>
  <si>
    <t>BENICIA</t>
  </si>
  <si>
    <t>115KV UNDERGROUND TRANSMISSION LINE - ANDREW SQUARE TO DEWAR STREET</t>
  </si>
  <si>
    <t>BOSTON</t>
  </si>
  <si>
    <t>COUNTRY LIFE MH &amp; RV PARK</t>
  </si>
  <si>
    <t>LARIMER ENERGY FACILITY</t>
  </si>
  <si>
    <t>FORT COLLINS</t>
  </si>
  <si>
    <t>FRANKFORT MUNICIPAL STP</t>
  </si>
  <si>
    <t>FRANKFORT</t>
  </si>
  <si>
    <t>Reporting Year</t>
  </si>
  <si>
    <t>County</t>
  </si>
  <si>
    <t>4-Digit SIC Code</t>
  </si>
  <si>
    <t>SIC Description</t>
  </si>
  <si>
    <t>NAICS</t>
  </si>
  <si>
    <t>NAICS description</t>
  </si>
  <si>
    <t>IS Code</t>
  </si>
  <si>
    <t>Industry Sector Designation</t>
  </si>
  <si>
    <t>1,1-DCA Mapping</t>
  </si>
  <si>
    <t>Facility Type</t>
  </si>
  <si>
    <t># of Outfalls</t>
  </si>
  <si>
    <t># of ND</t>
  </si>
  <si>
    <t>Annual Discharge (kg/yr)</t>
  </si>
  <si>
    <t>NPDES Permit Number</t>
  </si>
  <si>
    <t>Watershed Name</t>
  </si>
  <si>
    <t>CLARK</t>
  </si>
  <si>
    <t>Facility is a hotel in Las Vegas; no OES to map to.</t>
  </si>
  <si>
    <t>NV0023191</t>
  </si>
  <si>
    <t>Tropicana Wash</t>
  </si>
  <si>
    <t>WASHOE COUNTY</t>
  </si>
  <si>
    <t>Facility is a casino; no OES to map to.</t>
  </si>
  <si>
    <t>NV0021067</t>
  </si>
  <si>
    <t>Peavine Creek-Truckee River</t>
  </si>
  <si>
    <t>GREENE</t>
  </si>
  <si>
    <t>Facility produces pharmaceuticals.</t>
  </si>
  <si>
    <t>MO0001970</t>
  </si>
  <si>
    <t>Headwaters Wilsons Creek</t>
  </si>
  <si>
    <t>IMPERIAL</t>
  </si>
  <si>
    <t>0921</t>
  </si>
  <si>
    <t>No OES for power generating stations.</t>
  </si>
  <si>
    <t>CA7000004</t>
  </si>
  <si>
    <t>Town of El Centro</t>
  </si>
  <si>
    <t>LARIMER</t>
  </si>
  <si>
    <t>Parking lot - no OES to map to</t>
  </si>
  <si>
    <t>CO0049038</t>
  </si>
  <si>
    <t>Boyd Lake-Big Thompson River</t>
  </si>
  <si>
    <t>CLARK COUNTY</t>
  </si>
  <si>
    <t>Apartment complex; no OES to map to.</t>
  </si>
  <si>
    <t>NV0023043</t>
  </si>
  <si>
    <t>City of Las Vegas-Las Vegas Wash</t>
  </si>
  <si>
    <t>Airport; no OES to map to.</t>
  </si>
  <si>
    <t>NV0023761</t>
  </si>
  <si>
    <t>Duck Creek</t>
  </si>
  <si>
    <t>Facility is a skin care clinic; assumed to be laboratory use. This also matches 1,1-DCA mapping.</t>
  </si>
  <si>
    <t>LA0108936</t>
  </si>
  <si>
    <t>Francois Coulee-Vermilion River</t>
  </si>
  <si>
    <t>BOYD</t>
  </si>
  <si>
    <t>POTW indicator in DMR</t>
  </si>
  <si>
    <t>KY0022373</t>
  </si>
  <si>
    <t>Solida Creek-Ohio River</t>
  </si>
  <si>
    <t>LOGAN</t>
  </si>
  <si>
    <t>KY0021202</t>
  </si>
  <si>
    <t>Clear Fork Creek</t>
  </si>
  <si>
    <t>WARREN</t>
  </si>
  <si>
    <t>Facility produces specialty and custom laboratory products.</t>
  </si>
  <si>
    <t>NJ0004006</t>
  </si>
  <si>
    <t>Buckhorn Creek-Delaware River</t>
  </si>
  <si>
    <t>HAWKINS COUNTY</t>
  </si>
  <si>
    <t>Assumed processing as a reactant based on 1,1,-DCA mapping.</t>
  </si>
  <si>
    <t>TN0003671</t>
  </si>
  <si>
    <t>Holston River-Hord Creek</t>
  </si>
  <si>
    <t>JEFFERSON</t>
  </si>
  <si>
    <t>Assumed processing as a reactant based on SIC and NAICS; this also matches 1,1,-DCA mapping.</t>
  </si>
  <si>
    <t>KY0001112</t>
  </si>
  <si>
    <t>Mill Creek Cutoff-Ohio River</t>
  </si>
  <si>
    <t>CRITTENDEN</t>
  </si>
  <si>
    <t>AR0037770</t>
  </si>
  <si>
    <t>Loosahatchie Bar-Mississippi River</t>
  </si>
  <si>
    <t>BATH</t>
  </si>
  <si>
    <t>KY0106887</t>
  </si>
  <si>
    <t>Mill Creek-Slate Creek</t>
  </si>
  <si>
    <t>Facility produces agrochemicals.</t>
  </si>
  <si>
    <t>MO0002526</t>
  </si>
  <si>
    <t>Buckeye Creek-Missouri River</t>
  </si>
  <si>
    <t>RIVERSIDE</t>
  </si>
  <si>
    <t>CA0105376</t>
  </si>
  <si>
    <t>Little San Gorgonio Creek</t>
  </si>
  <si>
    <t>TEHAMA</t>
  </si>
  <si>
    <t>Site Name is WWTP; non-POTW WWT per facility type flag.</t>
  </si>
  <si>
    <t>CA0083721</t>
  </si>
  <si>
    <t>Kopta Slough</t>
  </si>
  <si>
    <t>MARSHALL</t>
  </si>
  <si>
    <t>KY0021172</t>
  </si>
  <si>
    <t>Watch Creek-Clarks River</t>
  </si>
  <si>
    <t>LIVINGSTON</t>
  </si>
  <si>
    <t>Facility is a specialty chemical manufacturer specializing in alkenyl succinic anhydrides and other chemicals.</t>
  </si>
  <si>
    <t>LA0048704</t>
  </si>
  <si>
    <t>Grays Creek-Amite River</t>
  </si>
  <si>
    <t>MADISON</t>
  </si>
  <si>
    <t>KY0079898</t>
  </si>
  <si>
    <t>Hays Fork-Silver Creek</t>
  </si>
  <si>
    <t>CALCASIEU</t>
  </si>
  <si>
    <t>Facility produces swimming pool and spa water care products.</t>
  </si>
  <si>
    <t>LA0125041</t>
  </si>
  <si>
    <t>Bayou Verdine-Calcasieu River</t>
  </si>
  <si>
    <t>MULTNOMAH</t>
  </si>
  <si>
    <t>Aircraft parts manufacturer and chemical processor; assumed processing as a reactant.</t>
  </si>
  <si>
    <t>OR0031828</t>
  </si>
  <si>
    <t>Columbia Slough-Frontal Columbia River</t>
  </si>
  <si>
    <t>HARRIS</t>
  </si>
  <si>
    <t>TX0074276</t>
  </si>
  <si>
    <t>Goose Creek-Frontal Galveston Bay</t>
  </si>
  <si>
    <t>CA0104523</t>
  </si>
  <si>
    <t>Ramer Lake-Alamo River</t>
  </si>
  <si>
    <t>CLAY</t>
  </si>
  <si>
    <t>Facility is a landfill per google search.</t>
  </si>
  <si>
    <t>MO0099503</t>
  </si>
  <si>
    <t>Dry Creek-Missouri River</t>
  </si>
  <si>
    <t>CUMBERLAND</t>
  </si>
  <si>
    <t>KY0036854</t>
  </si>
  <si>
    <t>Big Renox Creek-Cumberland River</t>
  </si>
  <si>
    <t>SAN MATEO</t>
  </si>
  <si>
    <t>CA0037788</t>
  </si>
  <si>
    <t>San Francisco Bay Estuaries</t>
  </si>
  <si>
    <t>BEAVER</t>
  </si>
  <si>
    <t>PA0006254</t>
  </si>
  <si>
    <t>Sixmile Run-Ohio River</t>
  </si>
  <si>
    <t>Unknown how ship building and repairing would fit into any of the OES's</t>
  </si>
  <si>
    <t>HI0110230</t>
  </si>
  <si>
    <t>Halawa Stream-Waimalu Stream</t>
  </si>
  <si>
    <t>WASHINGTON</t>
  </si>
  <si>
    <t>Coal power plant; no OES to map to.</t>
  </si>
  <si>
    <t>IL0076996</t>
  </si>
  <si>
    <t>South Fork Mud Creek</t>
  </si>
  <si>
    <t>ASCENSION</t>
  </si>
  <si>
    <t>Unknown; per "terminal 260" in facility name, this may be "Distribution in Commerce".</t>
  </si>
  <si>
    <t>LA0098191</t>
  </si>
  <si>
    <t>Grand Goudine Bayou-New River</t>
  </si>
  <si>
    <t>Facility is a hotel; no OES to map to.</t>
  </si>
  <si>
    <t>NV0023621</t>
  </si>
  <si>
    <t>BEXAR</t>
  </si>
  <si>
    <t>US Airforce Base; no OES to map to.</t>
  </si>
  <si>
    <t>TX0116114</t>
  </si>
  <si>
    <t>Salado Creek-San Antonio River</t>
  </si>
  <si>
    <t>CA7000009</t>
  </si>
  <si>
    <t>Upper New River</t>
  </si>
  <si>
    <t>CA0105015</t>
  </si>
  <si>
    <t>Town of Calipatria-Alamo River</t>
  </si>
  <si>
    <t>PIKE</t>
  </si>
  <si>
    <t>MO0137243</t>
  </si>
  <si>
    <t>Buffalo Creek-Mississippi River</t>
  </si>
  <si>
    <t>TAYLOR</t>
  </si>
  <si>
    <t>KY0054437</t>
  </si>
  <si>
    <t>Little Pitman Creek</t>
  </si>
  <si>
    <t>CARROLL</t>
  </si>
  <si>
    <t>KY0104931</t>
  </si>
  <si>
    <t>Whites Run-Kentucky River</t>
  </si>
  <si>
    <t>Facility provides waste management services(https://www.epa.gov/hwcorrectiveactioncleanups/hazardous-waste-cleanup-cecos-international-incorporated-niagara-falls).</t>
  </si>
  <si>
    <t>LA0058882</t>
  </si>
  <si>
    <t>Little River</t>
  </si>
  <si>
    <t>KY0098540</t>
  </si>
  <si>
    <t>Pennsylvania Run-Cedar Creek</t>
  </si>
  <si>
    <t>MUHLENBERG</t>
  </si>
  <si>
    <t>KY0023540</t>
  </si>
  <si>
    <t>Little Cypress Creek</t>
  </si>
  <si>
    <t>SALEM</t>
  </si>
  <si>
    <t>NJ0005100</t>
  </si>
  <si>
    <t>Salem Canal-Whooping John Creek</t>
  </si>
  <si>
    <t>NORTHAMPTON</t>
  </si>
  <si>
    <t>Facility provides waste management services via Chrin Brothers Sanitary Landfill.</t>
  </si>
  <si>
    <t>PA0063142</t>
  </si>
  <si>
    <t>Lower Bushkill Creek</t>
  </si>
  <si>
    <t>CALAVERAS</t>
  </si>
  <si>
    <t>CA0085201</t>
  </si>
  <si>
    <t>Angels Creek</t>
  </si>
  <si>
    <t>GRAHAM</t>
  </si>
  <si>
    <t>AZ0024911</t>
  </si>
  <si>
    <t>Peterson Wash-Gila River</t>
  </si>
  <si>
    <t>ADAIR</t>
  </si>
  <si>
    <t>KY0024317</t>
  </si>
  <si>
    <t>Butler Branch-Russell Creek</t>
  </si>
  <si>
    <t>CA0078999</t>
  </si>
  <si>
    <t>Powell Slough-Colusa Trough</t>
  </si>
  <si>
    <t>MONTGOMERY</t>
  </si>
  <si>
    <t>MD0071790</t>
  </si>
  <si>
    <t>Lower Rock Creek</t>
  </si>
  <si>
    <t>NV0023485</t>
  </si>
  <si>
    <t>CA0084620</t>
  </si>
  <si>
    <t>Peachys Creek-Littlejohns Creek</t>
  </si>
  <si>
    <t>CA0004995</t>
  </si>
  <si>
    <t>HARRISON</t>
  </si>
  <si>
    <t>KY0105856</t>
  </si>
  <si>
    <t>Indian Creek-South Fork Licking River</t>
  </si>
  <si>
    <t>BOYLE</t>
  </si>
  <si>
    <t>KY0057193</t>
  </si>
  <si>
    <t>Clarks Run</t>
  </si>
  <si>
    <t>WHITFIELD</t>
  </si>
  <si>
    <t>GA0000426</t>
  </si>
  <si>
    <t>Jobs Creek-Conasauga River</t>
  </si>
  <si>
    <t>EL DORADO</t>
  </si>
  <si>
    <t>CAC433255</t>
  </si>
  <si>
    <t>Upper Deer Creek</t>
  </si>
  <si>
    <t>GLOUCESTER</t>
  </si>
  <si>
    <t>NJ0005045</t>
  </si>
  <si>
    <t>Raccoon Creek</t>
  </si>
  <si>
    <t>KY0078956</t>
  </si>
  <si>
    <t>Fall Run-Ohio River</t>
  </si>
  <si>
    <t>CONTRA COSTA</t>
  </si>
  <si>
    <t>CA0078590</t>
  </si>
  <si>
    <t>Lower Kellogg Creek</t>
  </si>
  <si>
    <t>SULLIVAN</t>
  </si>
  <si>
    <t>TN0002640</t>
  </si>
  <si>
    <t>Kendrick Creek-South Fork Holston River</t>
  </si>
  <si>
    <t>Facility is a chemical manufacturer.</t>
  </si>
  <si>
    <t>TX0007072</t>
  </si>
  <si>
    <t>Lower Sims Bayou</t>
  </si>
  <si>
    <t>LYON</t>
  </si>
  <si>
    <t>KY0027979</t>
  </si>
  <si>
    <t>McNabb Creek-Cumberland River</t>
  </si>
  <si>
    <t>24-hr gas station in Las Vegas; no OES to map to.</t>
  </si>
  <si>
    <t>NV0024220</t>
  </si>
  <si>
    <t>unknown -stadium</t>
  </si>
  <si>
    <t>NV0024239</t>
  </si>
  <si>
    <t>KAUAI</t>
  </si>
  <si>
    <t>0913</t>
  </si>
  <si>
    <t>Facility is a farm growing fresh produce for sale; no OES to map to.</t>
  </si>
  <si>
    <t>HI0021654</t>
  </si>
  <si>
    <t>Waieli Draw</t>
  </si>
  <si>
    <t>SAN JUAN</t>
  </si>
  <si>
    <t>Facility is a powerplant; no OES to map to.</t>
  </si>
  <si>
    <t>NN0000019</t>
  </si>
  <si>
    <t>Morgan Lake-Chaco River</t>
  </si>
  <si>
    <t>HENRY</t>
  </si>
  <si>
    <t>KY0026883</t>
  </si>
  <si>
    <t>Fox Run</t>
  </si>
  <si>
    <t>TX0131768</t>
  </si>
  <si>
    <t>Vince Bayou-Buffalo Bayou</t>
  </si>
  <si>
    <t>LA0003689</t>
  </si>
  <si>
    <t>Maple Fork-Bayou D'Inde</t>
  </si>
  <si>
    <t>DOUGLAS</t>
  </si>
  <si>
    <t>IL0000141</t>
  </si>
  <si>
    <t>Town of Ficklin-Kaskaskia River</t>
  </si>
  <si>
    <t>GRUNDY</t>
  </si>
  <si>
    <t>IL0002917</t>
  </si>
  <si>
    <t>Walley Run-Aux Sable Creek</t>
  </si>
  <si>
    <t>TX0119792</t>
  </si>
  <si>
    <t>CHURCHILL</t>
  </si>
  <si>
    <t>NV0020061</t>
  </si>
  <si>
    <t>South Branch-Carson River</t>
  </si>
  <si>
    <t>PENDLETON</t>
  </si>
  <si>
    <t>KY0106267</t>
  </si>
  <si>
    <t>Blanket Creek-Licking River</t>
  </si>
  <si>
    <t>MIDDLESEX</t>
  </si>
  <si>
    <t>NJ0031445</t>
  </si>
  <si>
    <t>Devils Brook</t>
  </si>
  <si>
    <t>FLEMING</t>
  </si>
  <si>
    <t>KY0021229</t>
  </si>
  <si>
    <t>Allison Creek-Fleming Creek</t>
  </si>
  <si>
    <t>KY0102784</t>
  </si>
  <si>
    <t>Brush Run-Floyds Fork</t>
  </si>
  <si>
    <t>BERRIEN</t>
  </si>
  <si>
    <t>Facility is a landfill per the facility name.</t>
  </si>
  <si>
    <t>MI0048631</t>
  </si>
  <si>
    <t>South Branch Galien River</t>
  </si>
  <si>
    <t>Internet search indicates remediation (https://brownandcaldwell.com/project/fast-track-remediation-and-redevelopment-of-former-manufacturing-site/)</t>
  </si>
  <si>
    <t>NJG197548</t>
  </si>
  <si>
    <t>Mill Brook-Raritan River</t>
  </si>
  <si>
    <t>NEW CASTLE</t>
  </si>
  <si>
    <t>DE0000612</t>
  </si>
  <si>
    <t>Dragon Creek-Delaware River</t>
  </si>
  <si>
    <t>FRANKLIN</t>
  </si>
  <si>
    <t>KY0022861</t>
  </si>
  <si>
    <t>Stony Creek-Kentucky River</t>
  </si>
  <si>
    <t>PA0046426</t>
  </si>
  <si>
    <t>Smith Creek-South Fork Tenmile Creek</t>
  </si>
  <si>
    <t>SAN LUIS OBISPO</t>
  </si>
  <si>
    <t>Water reclamation facility; per facility type flag, non-POTW WWT.</t>
  </si>
  <si>
    <t>CA0050628</t>
  </si>
  <si>
    <t>Pismo Creek</t>
  </si>
  <si>
    <t>INDEPENDENCE COUNTY</t>
  </si>
  <si>
    <t>Specialty chemical and biodiesel manufacturer.</t>
  </si>
  <si>
    <t>AR0035386</t>
  </si>
  <si>
    <t>Big Creek-White River</t>
  </si>
  <si>
    <t>SCOTT</t>
  </si>
  <si>
    <t>KY0020150</t>
  </si>
  <si>
    <t>Dry Run-North Elkhorn Creek</t>
  </si>
  <si>
    <t>KY0082007</t>
  </si>
  <si>
    <t>Boyd Run-North Elkhorn Creek</t>
  </si>
  <si>
    <t>BARREN</t>
  </si>
  <si>
    <t>KY0021164</t>
  </si>
  <si>
    <t>South Fork Beaver Creek-Beaver Creek</t>
  </si>
  <si>
    <t>Facility is an oil field; no OES to map to.</t>
  </si>
  <si>
    <t>CA0057827</t>
  </si>
  <si>
    <t>Ballona Creek</t>
  </si>
  <si>
    <t>MARION</t>
  </si>
  <si>
    <t>Recycling facility which processes waste through waste to fuel co-processing in cement manufacturing. Assumed disposal to incineration.</t>
  </si>
  <si>
    <t>MO0111686</t>
  </si>
  <si>
    <t>Fools Creek-Mississippi River</t>
  </si>
  <si>
    <t>GREENUP</t>
  </si>
  <si>
    <t>KY0033553</t>
  </si>
  <si>
    <t>Pond Run-Ohio River</t>
  </si>
  <si>
    <t>TODD</t>
  </si>
  <si>
    <t>KY0063649</t>
  </si>
  <si>
    <t>Spring Creek</t>
  </si>
  <si>
    <t>CAC439621</t>
  </si>
  <si>
    <t>Indian Creek-Weber Creek</t>
  </si>
  <si>
    <t>SANTA CLARA</t>
  </si>
  <si>
    <t>Cement producer; assumed incineration in cement kilns.</t>
  </si>
  <si>
    <t>CA0030210</t>
  </si>
  <si>
    <t>Permanente Creek-Frontal San Francisco Bay Estuaries</t>
  </si>
  <si>
    <t>AMADOR</t>
  </si>
  <si>
    <t>CA0049675</t>
  </si>
  <si>
    <t>Lower Jackson Creek</t>
  </si>
  <si>
    <t>MERCER</t>
  </si>
  <si>
    <t>KY0027421</t>
  </si>
  <si>
    <t>Dry Branch-Salt River</t>
  </si>
  <si>
    <t>HAWAII</t>
  </si>
  <si>
    <t>HI0021377</t>
  </si>
  <si>
    <t>Waiakea Stream</t>
  </si>
  <si>
    <t>IL0079758</t>
  </si>
  <si>
    <t>Bills Run-Illinois River</t>
  </si>
  <si>
    <t>Consistent with 1,1-DCA</t>
  </si>
  <si>
    <t>NJG005134</t>
  </si>
  <si>
    <t>Woodbury Creek-Delaware River</t>
  </si>
  <si>
    <t>Hotel and resort; no OES to map to.</t>
  </si>
  <si>
    <t>HI0021890</t>
  </si>
  <si>
    <t>Waialae Nui Gulch</t>
  </si>
  <si>
    <t>KY0022420</t>
  </si>
  <si>
    <t>South Fork Harrods Creek</t>
  </si>
  <si>
    <t>LA0006181</t>
  </si>
  <si>
    <t>HI0020877</t>
  </si>
  <si>
    <t>Kaloi Gulch</t>
  </si>
  <si>
    <t>CHRISTIAN</t>
  </si>
  <si>
    <t>KY0066532</t>
  </si>
  <si>
    <t>North Fork Little River</t>
  </si>
  <si>
    <t>TX0005592</t>
  </si>
  <si>
    <t>Crystal Creek</t>
  </si>
  <si>
    <t>MASON</t>
  </si>
  <si>
    <t>EarthJustice Technical Report (EPA-HQ-OPPT-2018-0428-0011)</t>
  </si>
  <si>
    <t>WV0002496</t>
  </si>
  <si>
    <t>Long Run-Ohio River</t>
  </si>
  <si>
    <t>COOK</t>
  </si>
  <si>
    <t>Facility provides bulk liquid storage. Could be repackaging but also potentially "Distribution in Commerce".</t>
  </si>
  <si>
    <t>IL0005126</t>
  </si>
  <si>
    <t>Maple Lake-Chicago Sanitary and Ship Canal</t>
  </si>
  <si>
    <t>NN0030343</t>
  </si>
  <si>
    <t>Ojo Amarillo Canyon-San Juan River</t>
  </si>
  <si>
    <t>Assumed processing as a reactant based on SIC and NAICS. Not known MFG site.</t>
  </si>
  <si>
    <t>TX0006068</t>
  </si>
  <si>
    <t>ESTILL</t>
  </si>
  <si>
    <t>KY0025909</t>
  </si>
  <si>
    <t>Calloway Creek-Kentucky River</t>
  </si>
  <si>
    <t>KY0003701</t>
  </si>
  <si>
    <t>Lower Cypress Creek</t>
  </si>
  <si>
    <t>CA0079391</t>
  </si>
  <si>
    <t>Middle Jackson Creek</t>
  </si>
  <si>
    <t>NELSON</t>
  </si>
  <si>
    <t>KY0104027</t>
  </si>
  <si>
    <t>Buffalo Creek-Beech Fork</t>
  </si>
  <si>
    <t>BRAZORIA</t>
  </si>
  <si>
    <t>TX0072168</t>
  </si>
  <si>
    <t>Mustang Bayou</t>
  </si>
  <si>
    <t>OWEN</t>
  </si>
  <si>
    <t>WWT (consistent with 1,1-DCA); per facility type flag, this is a non-POTW so classified as non-POTW WWT.</t>
  </si>
  <si>
    <t>KY0028312</t>
  </si>
  <si>
    <t>Stevens Creek</t>
  </si>
  <si>
    <t>MONROE</t>
  </si>
  <si>
    <t>NY0001643</t>
  </si>
  <si>
    <t>Genesee River</t>
  </si>
  <si>
    <t>TUSCARAWAS</t>
  </si>
  <si>
    <t>OH0007196</t>
  </si>
  <si>
    <t>Pone Run-Tuscarawas River</t>
  </si>
  <si>
    <t>OLDHAM</t>
  </si>
  <si>
    <t>KY0040126</t>
  </si>
  <si>
    <t>Brush Creek-Harrods Creek</t>
  </si>
  <si>
    <t>HARRIS COUNTY</t>
  </si>
  <si>
    <t>TX0007421</t>
  </si>
  <si>
    <t>GARRARD</t>
  </si>
  <si>
    <t>KY0020974</t>
  </si>
  <si>
    <t>Boone Creek-Dix River</t>
  </si>
  <si>
    <t>Social club; no OES to map to.</t>
  </si>
  <si>
    <t>NV0023256</t>
  </si>
  <si>
    <t>Site name indicates remediation</t>
  </si>
  <si>
    <t>NV0024232</t>
  </si>
  <si>
    <t>HUMBOLDT</t>
  </si>
  <si>
    <t>CA0023671</t>
  </si>
  <si>
    <t>Strongs Creek-Eel River</t>
  </si>
  <si>
    <t>SANTA BARBARA</t>
  </si>
  <si>
    <t>CA0048127</t>
  </si>
  <si>
    <t>San Miguelito Creek-Santa Ynez River</t>
  </si>
  <si>
    <t>LAUREL</t>
  </si>
  <si>
    <t>KY0021270</t>
  </si>
  <si>
    <t>Little Laurel River</t>
  </si>
  <si>
    <t>LA0127268</t>
  </si>
  <si>
    <t>HOPKINS</t>
  </si>
  <si>
    <t>KY0098043</t>
  </si>
  <si>
    <t>Greasy Creek-Clear Creek</t>
  </si>
  <si>
    <t>KY0029122</t>
  </si>
  <si>
    <t>Lower Little Goose Creek-Goose Creek</t>
  </si>
  <si>
    <t>SAN JOAQUIN</t>
  </si>
  <si>
    <t>CA0081558</t>
  </si>
  <si>
    <t>Oakwood Lake-San Joaquin River</t>
  </si>
  <si>
    <t>KY0020257</t>
  </si>
  <si>
    <t>Lawrence Creek-Ohio River</t>
  </si>
  <si>
    <t>CO0049003</t>
  </si>
  <si>
    <t>Cherry Creek-South Platte River</t>
  </si>
  <si>
    <t>Facility provides wastewater treatment and waste hauling services; mapped to non-POTW WWT per facility type flag.</t>
  </si>
  <si>
    <t>CO0049005</t>
  </si>
  <si>
    <t>TX0084808</t>
  </si>
  <si>
    <t>CHEROKEE</t>
  </si>
  <si>
    <t>Facility produces textile, chemical, and floor covering products; assumed processing as a reactant.</t>
  </si>
  <si>
    <t>SC0003182</t>
  </si>
  <si>
    <t>Outlet Buffalo Creek</t>
  </si>
  <si>
    <t>TX0085979</t>
  </si>
  <si>
    <t>Carpenters Bayou</t>
  </si>
  <si>
    <t>MEADE</t>
  </si>
  <si>
    <t>KY0002119</t>
  </si>
  <si>
    <t>Doe Run</t>
  </si>
  <si>
    <t>ROWAN</t>
  </si>
  <si>
    <t>KY0052752</t>
  </si>
  <si>
    <t>Lower North Fork Triplett Creek</t>
  </si>
  <si>
    <t>UNION</t>
  </si>
  <si>
    <t>KY0021440</t>
  </si>
  <si>
    <t>Casey Creek</t>
  </si>
  <si>
    <t>KY0104400</t>
  </si>
  <si>
    <t>Headwaters Hinkston Creek</t>
  </si>
  <si>
    <t>ST. JOHN PARISH</t>
  </si>
  <si>
    <t>LA0038890</t>
  </si>
  <si>
    <t>Hope Canal-Pipeline Canal</t>
  </si>
  <si>
    <t>WWT (consistent with 1,1-DCA); per facility type flag, this is a federal establishment so classified as non-POTW WWT.</t>
  </si>
  <si>
    <t>HI0110086</t>
  </si>
  <si>
    <t>NEVADA</t>
  </si>
  <si>
    <t>CA0079901</t>
  </si>
  <si>
    <t>Little Deer Creek-Deer Creek</t>
  </si>
  <si>
    <t>CA0104451</t>
  </si>
  <si>
    <t>Town of Niland-Frontal Salton Sea</t>
  </si>
  <si>
    <t>CHAMBERS COUNTY</t>
  </si>
  <si>
    <t>TX0102326</t>
  </si>
  <si>
    <t>Ellis Branch-Cedar Bayou</t>
  </si>
  <si>
    <t>KENTON</t>
  </si>
  <si>
    <t>KY0021466</t>
  </si>
  <si>
    <t>Dry Creek-Ohio River</t>
  </si>
  <si>
    <t>KY0105376</t>
  </si>
  <si>
    <t>Marble Creek-Kentucky River</t>
  </si>
  <si>
    <t>GRUNDY COUNTY</t>
  </si>
  <si>
    <t>IL0026069</t>
  </si>
  <si>
    <t>EAST BATON ROUGE</t>
  </si>
  <si>
    <t>Superfund site operating an incinerator: https://www.frtr.gov/costperformance/profile.cfm?ID=217</t>
  </si>
  <si>
    <t>LA0066214</t>
  </si>
  <si>
    <t>Cypress Bayou-Bayou Baton Rouge</t>
  </si>
  <si>
    <t>PLAQUEMINES PARISH</t>
  </si>
  <si>
    <t>LA0005738</t>
  </si>
  <si>
    <t>Planters Canal</t>
  </si>
  <si>
    <t>KY0106143</t>
  </si>
  <si>
    <t>Little Huckleberry Creek-Ohio River</t>
  </si>
  <si>
    <t>KY0111716</t>
  </si>
  <si>
    <t>DAVIESS</t>
  </si>
  <si>
    <t>KY0073377</t>
  </si>
  <si>
    <t>Yellow Creek</t>
  </si>
  <si>
    <t>KY0001953</t>
  </si>
  <si>
    <t>Jackson Creek-Ohio River</t>
  </si>
  <si>
    <t>MCCRACKEN</t>
  </si>
  <si>
    <t>KY0025810</t>
  </si>
  <si>
    <t>White Oak Creek-Tennessee River</t>
  </si>
  <si>
    <t>BUTTE</t>
  </si>
  <si>
    <t>Water treatment plant; non-POTW WWT per facility type flag.</t>
  </si>
  <si>
    <t>CA0083488</t>
  </si>
  <si>
    <t>Little Butte Creek</t>
  </si>
  <si>
    <t>BOURBON</t>
  </si>
  <si>
    <t>KY0090654</t>
  </si>
  <si>
    <t>Kennedy Creek-Stoner Creek</t>
  </si>
  <si>
    <t>SUFFOLK COUNTY</t>
  </si>
  <si>
    <t>Underground transmission line; no OES to map to.</t>
  </si>
  <si>
    <t>MAG912023</t>
  </si>
  <si>
    <t>Charles River-Frontal Boston Harbor</t>
  </si>
  <si>
    <t>MIDDLESEX COUNTY</t>
  </si>
  <si>
    <t>Location seems to be an apartment complex. No OES to map to.</t>
  </si>
  <si>
    <t>MAG912056</t>
  </si>
  <si>
    <t>Petroleum refinery; assumed processing as a reactant.</t>
  </si>
  <si>
    <t>NJ0001511</t>
  </si>
  <si>
    <t>Morses Creek-Arthur Kill</t>
  </si>
  <si>
    <t>KY0025291</t>
  </si>
  <si>
    <t>Island Creek-Levisa Fork</t>
  </si>
  <si>
    <t>PLUMAS</t>
  </si>
  <si>
    <t>CA0077844</t>
  </si>
  <si>
    <t>Humbug Creek-Middle Fork Feather River</t>
  </si>
  <si>
    <t>RV park; no OES to map to.</t>
  </si>
  <si>
    <t>CA0104264</t>
  </si>
  <si>
    <t>Facility is a natural-gas fired combustion gas turbine; no OES to map to.</t>
  </si>
  <si>
    <t>CA0029904</t>
  </si>
  <si>
    <t>Arroyo del Hambre-Frontal Suisun Bay Estuaries</t>
  </si>
  <si>
    <t>HARDIN</t>
  </si>
  <si>
    <t>KY0022390</t>
  </si>
  <si>
    <t>Lower Mill Creek</t>
  </si>
  <si>
    <t>POWELL</t>
  </si>
  <si>
    <t>KY0034428</t>
  </si>
  <si>
    <t>Black Creek-Red River</t>
  </si>
  <si>
    <t>Mobile home complex; no OES to map to.</t>
  </si>
  <si>
    <t>CA0104841</t>
  </si>
  <si>
    <t>NV0022993</t>
  </si>
  <si>
    <t>SAN BERNARDINO</t>
  </si>
  <si>
    <t>CA0105295</t>
  </si>
  <si>
    <t>East Etiwanda Creek-Santa Ana River</t>
  </si>
  <si>
    <t>KY0107107</t>
  </si>
  <si>
    <t>Upper Otter Creek</t>
  </si>
  <si>
    <t>KY0103357</t>
  </si>
  <si>
    <t>Ballard Branch-Silver Creek</t>
  </si>
  <si>
    <t>BUCKS</t>
  </si>
  <si>
    <t>Remediation site per EPA: https://19january2017snapshot.epa.gov/hwcorrectiveactionsites/hazardous-waste-cleanup-dow-chemical-formerly-rohm-and-haas-chemicals-llc_.html</t>
  </si>
  <si>
    <t>PA0012769</t>
  </si>
  <si>
    <t>Burlington Island-Delaware River</t>
  </si>
  <si>
    <t>RUSSELL</t>
  </si>
  <si>
    <t>KY0062995</t>
  </si>
  <si>
    <t>Lily Creek-Cumberland River</t>
  </si>
  <si>
    <t>KY0020877</t>
  </si>
  <si>
    <t>Headwaters Mud River</t>
  </si>
  <si>
    <t>KY0020095</t>
  </si>
  <si>
    <t>POSEY</t>
  </si>
  <si>
    <t>IN0002101</t>
  </si>
  <si>
    <t>Beaverdam Creek-Ohio River</t>
  </si>
  <si>
    <t>HONOLULU COUNTY</t>
  </si>
  <si>
    <t>HI0020117</t>
  </si>
  <si>
    <t>Waolani Stream</t>
  </si>
  <si>
    <t>CA0048194</t>
  </si>
  <si>
    <t>Monterey Bay</t>
  </si>
  <si>
    <t>SONOMA</t>
  </si>
  <si>
    <t>CA0022764</t>
  </si>
  <si>
    <t>Upper Laguna De Santa Rosa</t>
  </si>
  <si>
    <t>VENANGO</t>
  </si>
  <si>
    <t>Chemical manufacturer; assumed processing as a reactant.</t>
  </si>
  <si>
    <t>PA0103381</t>
  </si>
  <si>
    <t>Oil Creek-Allegheny River</t>
  </si>
  <si>
    <t>CLINTON</t>
  </si>
  <si>
    <t>Landfill based on site name</t>
  </si>
  <si>
    <t>NY0256552</t>
  </si>
  <si>
    <t>Saranac River</t>
  </si>
  <si>
    <t>SAN FRANCISCO COUNTY</t>
  </si>
  <si>
    <t>CA0038318</t>
  </si>
  <si>
    <t>RICHLAND</t>
  </si>
  <si>
    <t>Commercial flooring product manufacturer; assumed processing as a reactant.</t>
  </si>
  <si>
    <t>SC0003557</t>
  </si>
  <si>
    <t>Outlet Saluda River</t>
  </si>
  <si>
    <t>PA0002208</t>
  </si>
  <si>
    <t>BULLITT</t>
  </si>
  <si>
    <t>KY0027359</t>
  </si>
  <si>
    <t>Bullitt Lick Creek-Salt River</t>
  </si>
  <si>
    <t>NN0020621</t>
  </si>
  <si>
    <t>Rattlesnake Wash-San Juan River</t>
  </si>
  <si>
    <t>MONONGALIA</t>
  </si>
  <si>
    <t>WV0004740</t>
  </si>
  <si>
    <t>Cobun Creek-Monongahela River</t>
  </si>
  <si>
    <t>NJ0005185</t>
  </si>
  <si>
    <t>WILL</t>
  </si>
  <si>
    <t xml:space="preserve">The site produces multiple materials including alkoxylates, alpha sulfo methyl esters, amides, amine oxides, esters, sulfosuccinates, sulfacetates, sulfonates, sulfates, blends, phosphate esters, quaternaries, phthalic anhydride, and polyols (https://www.stepan.com/content/stepan-dot-com/en/you-stepan/locations.html). 1,1 DCA is likely used in the manufacturing process. </t>
  </si>
  <si>
    <t>IL0002453</t>
  </si>
  <si>
    <t>Des Plaines River</t>
  </si>
  <si>
    <t>KY0037991</t>
  </si>
  <si>
    <t>Hancock Creek-Strodes Creek</t>
  </si>
  <si>
    <t>IBERVILLE</t>
  </si>
  <si>
    <t>Agricultural chemical manufacturer; assumed processing as a reactant.</t>
  </si>
  <si>
    <t>LA0005487</t>
  </si>
  <si>
    <t>Bayou Braud</t>
  </si>
  <si>
    <t>LA0046361</t>
  </si>
  <si>
    <t>HAYWOOD</t>
  </si>
  <si>
    <t>Facility is a plastics manufacturer; assumed Impurity in Plastics</t>
  </si>
  <si>
    <t>TN0041939</t>
  </si>
  <si>
    <t>Nixon Creek Upper</t>
  </si>
  <si>
    <t>Facility is a tank farm/distributor; assumed distribution in commerce.</t>
  </si>
  <si>
    <t>CA0004961</t>
  </si>
  <si>
    <t>Mount Diablo Creek-Frontal Suisun Bay Estuaries</t>
  </si>
  <si>
    <t>Solar energy project; no OES to map to.</t>
  </si>
  <si>
    <t>CO0049056</t>
  </si>
  <si>
    <t>Fossil Creek-Reservoir-Cache La Poudre River</t>
  </si>
  <si>
    <t>Remediation treatment facility to remove chromium and perchlorate from groundwater</t>
  </si>
  <si>
    <t>NV0023060</t>
  </si>
  <si>
    <t>City of Henderson-Las Vegas Wash</t>
  </si>
  <si>
    <t>COCONINO</t>
  </si>
  <si>
    <t>NN0020290</t>
  </si>
  <si>
    <t>Kerley Valley-Moenkopi Wash (Local Drainage)</t>
  </si>
  <si>
    <t>HI0110078</t>
  </si>
  <si>
    <t>Heeia Stream-Kaneohe Stream</t>
  </si>
  <si>
    <t>SOLANO</t>
  </si>
  <si>
    <t>Oil refinery; assumed processing as a reactant.</t>
  </si>
  <si>
    <t>CA0005550</t>
  </si>
  <si>
    <t>American Canyon-Frontal Suisun Bay Estuaries</t>
  </si>
  <si>
    <t>KY0022039</t>
  </si>
  <si>
    <t>Lower Valley Creek</t>
  </si>
  <si>
    <t>Based on 1,1-DCA mapping and reasoning "Discharge of non-contact cooling water from facility, and general discharge".</t>
  </si>
  <si>
    <t>NV0022888</t>
  </si>
  <si>
    <t>WOODFORD</t>
  </si>
  <si>
    <t>KY0020621</t>
  </si>
  <si>
    <t>Glenns Creek</t>
  </si>
  <si>
    <t>CA0102822</t>
  </si>
  <si>
    <t>Burkhardt Lake-Mojave River</t>
  </si>
  <si>
    <t>PLATTE</t>
  </si>
  <si>
    <t>Ethyl acetate manufacturer; assumed processing as a reactant.</t>
  </si>
  <si>
    <t>NE0139556</t>
  </si>
  <si>
    <t>Headwaters Lost Creek</t>
  </si>
  <si>
    <t>Vopak is a storage and distribution company</t>
  </si>
  <si>
    <t>CA0064165</t>
  </si>
  <si>
    <t>Long Beach Harbor</t>
  </si>
  <si>
    <t>CA0063177</t>
  </si>
  <si>
    <t>HI0020257</t>
  </si>
  <si>
    <t>Kapaa Stream</t>
  </si>
  <si>
    <t>CA0038539</t>
  </si>
  <si>
    <t>Pinole Creek-Frontal San Pablo Bay Estuaries</t>
  </si>
  <si>
    <t>BOONE</t>
  </si>
  <si>
    <t>KY0107239</t>
  </si>
  <si>
    <t>Middle Creek-Ohio River</t>
  </si>
  <si>
    <t>WHITLEY</t>
  </si>
  <si>
    <t>KY0028347</t>
  </si>
  <si>
    <t>Youngs Creek-Cumberland River</t>
  </si>
  <si>
    <t>GRANT</t>
  </si>
  <si>
    <t>KY0109991</t>
  </si>
  <si>
    <t>Clarks Creek</t>
  </si>
  <si>
    <t>KY0108740</t>
  </si>
  <si>
    <t>Twomile Creek-Kentucky River</t>
  </si>
  <si>
    <t>APACHE</t>
  </si>
  <si>
    <t>NN0021555</t>
  </si>
  <si>
    <t>Black Creek Valley-Black Creek</t>
  </si>
  <si>
    <t>YOLO</t>
  </si>
  <si>
    <t>CA0077950</t>
  </si>
  <si>
    <t>Tule Canal-Toe Drain</t>
  </si>
  <si>
    <t>Facility Street</t>
  </si>
  <si>
    <t>Facility City</t>
  </si>
  <si>
    <t>Facility State</t>
  </si>
  <si>
    <t>Facility Zip Code</t>
  </si>
  <si>
    <t>Longitude</t>
  </si>
  <si>
    <t>TRIFD</t>
  </si>
  <si>
    <t>FRS Facility ID</t>
  </si>
  <si>
    <t>Form Type</t>
  </si>
  <si>
    <t>NAICS Code</t>
  </si>
  <si>
    <t>NAICS Description</t>
  </si>
  <si>
    <t>IS Code and Description</t>
  </si>
  <si>
    <t>On-site Water Release (lbs)</t>
  </si>
  <si>
    <t>On-site Water Release (kg)</t>
  </si>
  <si>
    <t>Total transfers to POTW for treatment and release (lbs)</t>
  </si>
  <si>
    <t>Total transfers to POTW for treatment and release (kg)</t>
  </si>
  <si>
    <t>Transfers for wastewater treatment (non-POTW) (lbs)</t>
  </si>
  <si>
    <t>Transfers for wastewater treatment (non-POTW) (kg)</t>
  </si>
  <si>
    <t>2301 N BRAZOSPORT BLVD</t>
  </si>
  <si>
    <t>R</t>
  </si>
  <si>
    <t>All Other Basic Organic Chemical Manufacturing</t>
  </si>
  <si>
    <t>VI Final Study Plan</t>
  </si>
  <si>
    <t>Other Basic Inorganic Chemical Manufacturing</t>
  </si>
  <si>
    <t>ICL-IP AMERICA INC</t>
  </si>
  <si>
    <t>11636 HUNTINGTON</t>
  </si>
  <si>
    <t>All Other Miscellaneous Chemical Product and Preparation Manufacturing</t>
  </si>
  <si>
    <t>27123 SHADY BROOK TRAIL</t>
  </si>
  <si>
    <t>Processing aid</t>
  </si>
  <si>
    <t>1790 BUILDING</t>
  </si>
  <si>
    <t>Plastics Material and Resin Manufacturing</t>
  </si>
  <si>
    <t>21255 LA HWY 1 S</t>
  </si>
  <si>
    <t>051100011004</t>
  </si>
  <si>
    <t>071200040905</t>
  </si>
  <si>
    <t>051002051510</t>
  </si>
  <si>
    <t>051401021302</t>
  </si>
  <si>
    <t>051402011202</t>
  </si>
  <si>
    <t>020402020606</t>
  </si>
  <si>
    <t>051001010903</t>
  </si>
  <si>
    <t>051401021103</t>
  </si>
  <si>
    <t>050200030307</t>
  </si>
  <si>
    <t>080802060301</t>
  </si>
  <si>
    <t>051001020302</t>
  </si>
  <si>
    <t>080702020903</t>
  </si>
  <si>
    <t>051002050308</t>
  </si>
  <si>
    <t>020402020507</t>
  </si>
  <si>
    <t>080702020801</t>
  </si>
  <si>
    <t>051301030701</t>
  </si>
  <si>
    <t>080702040103</t>
  </si>
  <si>
    <t>080101000703</t>
  </si>
  <si>
    <t>071200040705</t>
  </si>
  <si>
    <t>051401020102</t>
  </si>
  <si>
    <t>071200050106</t>
  </si>
  <si>
    <t>051302060603</t>
  </si>
  <si>
    <t>071402040302</t>
  </si>
  <si>
    <t>051401010903</t>
  </si>
  <si>
    <t>051100020306</t>
  </si>
  <si>
    <t>051100030204</t>
  </si>
  <si>
    <t>051100060401</t>
  </si>
  <si>
    <t>051401021002</t>
  </si>
  <si>
    <t>041300030704</t>
  </si>
  <si>
    <t>051301030602</t>
  </si>
  <si>
    <t>051100020802</t>
  </si>
  <si>
    <t>071402010206</t>
  </si>
  <si>
    <t>071100040504</t>
  </si>
  <si>
    <t>051302050503</t>
  </si>
  <si>
    <t>050902010605</t>
  </si>
  <si>
    <t>040400010206</t>
  </si>
  <si>
    <t>080802060302</t>
  </si>
  <si>
    <t>050100030606</t>
  </si>
  <si>
    <t>050901030101</t>
  </si>
  <si>
    <t>020402010407</t>
  </si>
  <si>
    <t>060400060503</t>
  </si>
  <si>
    <t>051401020804</t>
  </si>
  <si>
    <t>051401040106</t>
  </si>
  <si>
    <t>020301050306</t>
  </si>
  <si>
    <t>051402011201</t>
  </si>
  <si>
    <t>031501010504</t>
  </si>
  <si>
    <t>051402020605</t>
  </si>
  <si>
    <t>051001010603</t>
  </si>
  <si>
    <t>051401010904</t>
  </si>
  <si>
    <t>071200050705</t>
  </si>
  <si>
    <t>051002050204</t>
  </si>
  <si>
    <t>020401050303</t>
  </si>
  <si>
    <t>051302050707</t>
  </si>
  <si>
    <t>060101020704</t>
  </si>
  <si>
    <t>020301040204</t>
  </si>
  <si>
    <t>051002050107</t>
  </si>
  <si>
    <t>051301010704</t>
  </si>
  <si>
    <t>051002051307</t>
  </si>
  <si>
    <t>051100010407</t>
  </si>
  <si>
    <t>051401010504</t>
  </si>
  <si>
    <t>060101040101</t>
  </si>
  <si>
    <t>041504060504</t>
  </si>
  <si>
    <t>050301010310</t>
  </si>
  <si>
    <t>071100040702</t>
  </si>
  <si>
    <t>020402050704</t>
  </si>
  <si>
    <t>051001020205</t>
  </si>
  <si>
    <t>050702030202</t>
  </si>
  <si>
    <t>080702040302</t>
  </si>
  <si>
    <t>020402060103</t>
  </si>
  <si>
    <t>051002030303</t>
  </si>
  <si>
    <t>050901010103</t>
  </si>
  <si>
    <t>020700100102</t>
  </si>
  <si>
    <t>080802050501</t>
  </si>
  <si>
    <t>051002040505</t>
  </si>
  <si>
    <t>051100010504</t>
  </si>
  <si>
    <t>051401010502</t>
  </si>
  <si>
    <t>050902030202</t>
  </si>
  <si>
    <t>060400060505</t>
  </si>
  <si>
    <t>051001010704</t>
  </si>
  <si>
    <t>051002050709</t>
  </si>
  <si>
    <t>060400060402</t>
  </si>
  <si>
    <t>051402020504</t>
  </si>
  <si>
    <t>080801030105</t>
  </si>
  <si>
    <t>080903010404</t>
  </si>
  <si>
    <t>051002050202</t>
  </si>
  <si>
    <t>051401010604</t>
  </si>
  <si>
    <t>050902030804</t>
  </si>
  <si>
    <t>020301050507</t>
  </si>
  <si>
    <t>051301010802</t>
  </si>
  <si>
    <t>051002051308</t>
  </si>
  <si>
    <t>051402050202</t>
  </si>
  <si>
    <t>051401030306</t>
  </si>
  <si>
    <t>050901030105</t>
  </si>
  <si>
    <t>051002050505</t>
  </si>
  <si>
    <t>051002040302</t>
  </si>
  <si>
    <t>051001020403</t>
  </si>
  <si>
    <t>030501091403</t>
  </si>
  <si>
    <t>080102050401</t>
  </si>
  <si>
    <t>051401020404</t>
  </si>
  <si>
    <t>051002050504</t>
  </si>
  <si>
    <t>080702010401</t>
  </si>
  <si>
    <t>051002050803</t>
  </si>
  <si>
    <t>051002050805</t>
  </si>
  <si>
    <t>050200050305</t>
  </si>
  <si>
    <t>051002050105</t>
  </si>
  <si>
    <t>050400011704</t>
  </si>
  <si>
    <t>030501050805</t>
  </si>
  <si>
    <t>010900010704</t>
  </si>
  <si>
    <t>020401050603</t>
  </si>
  <si>
    <t>051001020101</t>
  </si>
  <si>
    <t>051001011203</t>
  </si>
  <si>
    <t>051002051501</t>
  </si>
  <si>
    <t>1. FORM TYPE</t>
  </si>
  <si>
    <t>2. REPORTING YEAR</t>
  </si>
  <si>
    <t>9. TRIFD</t>
  </si>
  <si>
    <t>10. FACILITY NAME</t>
  </si>
  <si>
    <t>11. FACILITY STREET</t>
  </si>
  <si>
    <t>12. FACILITY CITY</t>
  </si>
  <si>
    <t>13. FACILITY COUNTY</t>
  </si>
  <si>
    <t>14. FACILITY STATE</t>
  </si>
  <si>
    <t>15. FACILITY ZIP CODE</t>
  </si>
  <si>
    <t>Region</t>
  </si>
  <si>
    <t>41. PRIMARY NAICS CODE</t>
  </si>
  <si>
    <t>Primary NAICS Meaning</t>
  </si>
  <si>
    <t>Non-TSCA NAICS Code?</t>
  </si>
  <si>
    <t>47. LATITUDE</t>
  </si>
  <si>
    <t>48. LONGITUDE</t>
  </si>
  <si>
    <t>74. FRS FACILITY ID</t>
  </si>
  <si>
    <t>75. DOCUMENT CONTROL NUMBER</t>
  </si>
  <si>
    <t>76. CAS NUMBER</t>
  </si>
  <si>
    <t>78. CHEMICAL NAME</t>
  </si>
  <si>
    <t>Code Expansion for MAXIMUM AMOUNT ON SITE (lbs)</t>
  </si>
  <si>
    <t>TRI USE</t>
  </si>
  <si>
    <t>171. TOTAL SURFACE WATER DISCHARGE</t>
  </si>
  <si>
    <t>263. TOTAL POTW TRANSFER</t>
  </si>
  <si>
    <t>257. OFF-SITE - WASTEWATER TREATMENT (EXCLUDING POTWs) – NON-METALS ONLY</t>
  </si>
  <si>
    <t>Annual Wastewater Release (lbs)</t>
  </si>
  <si>
    <t>71836SHGRVPOBOX</t>
  </si>
  <si>
    <t>ASH GROVE CEMENT</t>
  </si>
  <si>
    <t>4343 HWY 108</t>
  </si>
  <si>
    <t>FOREMAN</t>
  </si>
  <si>
    <t>LITTLE RIVER</t>
  </si>
  <si>
    <t>Cement Manufacturing</t>
  </si>
  <si>
    <t>78-87-5</t>
  </si>
  <si>
    <t>1,2-Dichloropropane</t>
  </si>
  <si>
    <t>100 to 999</t>
  </si>
  <si>
    <t>Otherwise Use: Ancillary or Other Use; Z304 - Fuel</t>
  </si>
  <si>
    <t>7076WBLCBP21255</t>
  </si>
  <si>
    <t>BLUE CUBE OPERATIONS LLC - PLAQUEMINE SITE</t>
  </si>
  <si>
    <t>21255 HIGHWAY 1</t>
  </si>
  <si>
    <t>IBERVILLE PARISH</t>
  </si>
  <si>
    <t>1,000,000 to 9,999,999</t>
  </si>
  <si>
    <t>Processing: As a reactant; P101 - Feedstocks</t>
  </si>
  <si>
    <t>Processing: As a reactant; P101 - Feedstocks; Processing: As an impurity; Otherwise Use: As a manufacturing aid; Z299 - Other; Otherwise Use: Ancillary or Other Use; Z399 - Other</t>
  </si>
  <si>
    <t>41129CLGNCUSROU</t>
  </si>
  <si>
    <t>CALGON CARBON CORP</t>
  </si>
  <si>
    <t>15024 US 23</t>
  </si>
  <si>
    <t>CATLETTSBURG</t>
  </si>
  <si>
    <t>10,000 to 99,999</t>
  </si>
  <si>
    <t>Otherwise Use: Ancillary or Other Use; Z399 - Other</t>
  </si>
  <si>
    <t>1,000 to 9,999</t>
  </si>
  <si>
    <t>77536SFTYK2027B</t>
  </si>
  <si>
    <t>CLEAN HARBORS DEER PARK LLC</t>
  </si>
  <si>
    <t>2027 INDEPENDENCE PARKWAY SOUTH</t>
  </si>
  <si>
    <t>Hazardous Waste Treatment and Disposal</t>
  </si>
  <si>
    <t>Otherwise Use: Ancillary or Other Use; Z306 - Waste Treatment</t>
  </si>
  <si>
    <t>Processing: Repackaging; Otherwise Use: Ancillary or Other Use; Z306 - Waste Treatment</t>
  </si>
  <si>
    <t>71730NVRNM309AM</t>
  </si>
  <si>
    <t>CLEAN HARBORS EL DORADO LLC</t>
  </si>
  <si>
    <t>309 AMERICAN CIR UNION</t>
  </si>
  <si>
    <t>All Other Pipeline Transportation</t>
  </si>
  <si>
    <t>0 to 99</t>
  </si>
  <si>
    <t>10,000,000 to 49,999,999</t>
  </si>
  <si>
    <t>Manufacture: Produce; Manufacture: Import; Manufacture: For on-site use/processing; Manufacture: For sale/distribution; Manufacture: As a byproduct; Manufacture: As an Impurity; Processing: As a reactant; P103 - Intermediates; P199 - Other; Processing: Repackaging; Otherwise Use: Ancillary or Other Use; Z399 - Other</t>
  </si>
  <si>
    <t>Manufacture: Produce; Manufacture: For on-site use/processing; Manufacture: For sale/distribution; Manufacture: As a byproduct; Manufacture: As an Impurity; Processing: As a reactant; P103 - Intermediates; P199 - Other; Otherwise Use: Ancillary or Other Use; Z399 - Other</t>
  </si>
  <si>
    <t>Manufacture: Produce; Manufacture: For sale/distribution; Manufacture: As a byproduct; Manufacture: As an Impurity; Processing: As a reactant; 102 - Raw Materials; Otherwise Use: Ancillary or Other Use; Z399 - Other</t>
  </si>
  <si>
    <t>Manufacture: Produce; Manufacture: For on-site use/processing; Manufacture: For sale/distribution; Manufacture: As a byproduct; Manufacture: As an Impurity; Processing: As a reactant; P199 - Other; Otherwise Use: Ancillary or Other Use; Z399 - Other</t>
  </si>
  <si>
    <t>Manufacture: Produce; Manufacture: For on-site use/processing; Manufacture: For sale/distribution; Manufacture: As a byproduct; Manufacture: As an Impurity; Processing: As a reactant; 102 - Raw Materials</t>
  </si>
  <si>
    <t>Manufacture: Produce; Manufacture: For on-site use/processing; Manufacture: For sale/distribution; Manufacture: As a byproduct; Manufacture: As an Impurity; Processing: As a reactant; 102 - Raw Materials; Otherwise Use: Ancillary or Other Use</t>
  </si>
  <si>
    <t>43920VNRLL1250S</t>
  </si>
  <si>
    <t>HERITAGE THERMAL SERVICES</t>
  </si>
  <si>
    <t>1250 ST GEORGE ST</t>
  </si>
  <si>
    <t>EAST LIVERPOOL</t>
  </si>
  <si>
    <t>COLUMBIANA</t>
  </si>
  <si>
    <t>Solid Waste Combustors and Incinerators</t>
  </si>
  <si>
    <t>Manufacture: Produce; Manufacture: As a byproduct; Manufacture: As an Impurity</t>
  </si>
  <si>
    <t>12047NRLTC628SO</t>
  </si>
  <si>
    <t>NORLITE LLC</t>
  </si>
  <si>
    <t>628 S SARATOGA ST</t>
  </si>
  <si>
    <t>COHOES</t>
  </si>
  <si>
    <t>ALBANY</t>
  </si>
  <si>
    <t>Ground or Treated Mineral and Earth Manufacturing</t>
  </si>
  <si>
    <t>70734VLCNMASHLA</t>
  </si>
  <si>
    <t>OCCIDENTAL CHEMICAL HOLDING CORP - GEISMAR PLANT</t>
  </si>
  <si>
    <t>8318 ASHLAND RD</t>
  </si>
  <si>
    <t>ASCENSION PARISH</t>
  </si>
  <si>
    <t>Processing: As a reactant; 102 - Raw Materials</t>
  </si>
  <si>
    <t>SOUTHAMPTON</t>
  </si>
  <si>
    <t>100,000 to 999,999</t>
  </si>
  <si>
    <t>Otherwise Use: As a chemical processing aid; Z199 - Other</t>
  </si>
  <si>
    <t>Manufacture: Produce; Manufacture: For on-site use/processing; Manufacture: For sale/distribution; Manufacture: As a byproduct; Manufacture: As an Impurity; Processing: As a reactant; P103 - Intermediates; Processing: As an impurity</t>
  </si>
  <si>
    <t>Manufacture: Produce; Manufacture: For on-site use/processing; Manufacture: For sale/distribution; Manufacture: As a byproduct; Processing: As a reactant; P103 - Intermediates; Otherwise Use: Ancillary or Other Use; Z399 - Other</t>
  </si>
  <si>
    <t>70765GRGGLHIGHW</t>
  </si>
  <si>
    <t>WESTLAKE CHEMICALS &amp; VINYLS LLC</t>
  </si>
  <si>
    <t>26100 HWY 405 S</t>
  </si>
  <si>
    <t>Manufacture: Produce; Manufacture: As a byproduct; Otherwise Use: Ancillary or Other Use; Z306 - Waste Treatment</t>
  </si>
  <si>
    <t>Major/Non-Major Status</t>
  </si>
  <si>
    <t>SIC Code</t>
  </si>
  <si>
    <t xml:space="preserve">NAICS </t>
  </si>
  <si>
    <t>Possible OESs from NAICS-OES Crosswalk</t>
  </si>
  <si>
    <t>OES (EPA)</t>
  </si>
  <si>
    <t>OES rationale</t>
  </si>
  <si>
    <t>Facility Mapping Consistency Check</t>
  </si>
  <si>
    <t>Total kg (kg/year)</t>
  </si>
  <si>
    <t>Total Pounds (lb/yr)</t>
  </si>
  <si>
    <t>Bottom 10th percentile</t>
  </si>
  <si>
    <t>Outfall Number</t>
  </si>
  <si>
    <t>Includes Non-Detects?</t>
  </si>
  <si>
    <t>DMR Custom Search</t>
  </si>
  <si>
    <t>Major</t>
  </si>
  <si>
    <t>001</t>
  </si>
  <si>
    <t>Yes</t>
  </si>
  <si>
    <t>002</t>
  </si>
  <si>
    <t>Non-Major</t>
  </si>
  <si>
    <t>007</t>
  </si>
  <si>
    <t>CA0029947</t>
  </si>
  <si>
    <t>BROWNING-FERRIS INDUSTRIES OF CA INC</t>
  </si>
  <si>
    <t>HALF MOON BAY</t>
  </si>
  <si>
    <t>Arroyo Leon</t>
  </si>
  <si>
    <t>004</t>
  </si>
  <si>
    <t>MDGVW3674</t>
  </si>
  <si>
    <t>RILLS BUS SERVICE</t>
  </si>
  <si>
    <t>WESTMINSTER</t>
  </si>
  <si>
    <t>020600030802</t>
  </si>
  <si>
    <t>Headwaters North Branch Patapsco River</t>
  </si>
  <si>
    <t>012B</t>
  </si>
  <si>
    <t>003</t>
  </si>
  <si>
    <t>04D</t>
  </si>
  <si>
    <t>NV0023809</t>
  </si>
  <si>
    <t>TERRIBLE HERBST # 225</t>
  </si>
  <si>
    <t>NJ0004286</t>
  </si>
  <si>
    <t>MEXICHEM - SPECIALTY RESINS INC.</t>
  </si>
  <si>
    <t>PEDRICKTOWN</t>
  </si>
  <si>
    <t>06B</t>
  </si>
  <si>
    <t>01C</t>
  </si>
  <si>
    <t>006</t>
  </si>
  <si>
    <t>008</t>
  </si>
  <si>
    <t>01A</t>
  </si>
  <si>
    <t>005</t>
  </si>
  <si>
    <t>015</t>
  </si>
  <si>
    <t>029</t>
  </si>
  <si>
    <t>009</t>
  </si>
  <si>
    <t>DE0000035</t>
  </si>
  <si>
    <t>INVISTA S.A.R.L. SEAFORD PLANT</t>
  </si>
  <si>
    <t>SEAFORD</t>
  </si>
  <si>
    <t>SUSSEX</t>
  </si>
  <si>
    <t>020801090405</t>
  </si>
  <si>
    <t>Butler Mill Branch-Nanticoke River</t>
  </si>
  <si>
    <t>CA0085332</t>
  </si>
  <si>
    <t>MALAKOFF DIGGINS STATE PARK</t>
  </si>
  <si>
    <t>Humbug Creek-South Yuba River</t>
  </si>
  <si>
    <t>S86</t>
  </si>
  <si>
    <t>020</t>
  </si>
  <si>
    <t>MI0026034</t>
  </si>
  <si>
    <t>WACKER CHEM CORP</t>
  </si>
  <si>
    <t>ADRIAN</t>
  </si>
  <si>
    <t>LENAWEE</t>
  </si>
  <si>
    <t>041000020108</t>
  </si>
  <si>
    <t>Red Mill Pond-River Raisin</t>
  </si>
  <si>
    <t>06A</t>
  </si>
  <si>
    <t>NV0023558</t>
  </si>
  <si>
    <t>THE MARTIN</t>
  </si>
  <si>
    <t>010</t>
  </si>
  <si>
    <t>NV0023604</t>
  </si>
  <si>
    <t>HUGHES CENTER</t>
  </si>
  <si>
    <t>RS1</t>
  </si>
  <si>
    <t>COG318018</t>
  </si>
  <si>
    <t>JULIAN HEIGHTS</t>
  </si>
  <si>
    <t>KY0105031</t>
  </si>
  <si>
    <t>EASTERN REGIONAL STP</t>
  </si>
  <si>
    <t>ALEXANDRIA</t>
  </si>
  <si>
    <t>CAMPBELL</t>
  </si>
  <si>
    <t>050902011205</t>
  </si>
  <si>
    <t>Twelvemile Creek</t>
  </si>
  <si>
    <t>CA0078891</t>
  </si>
  <si>
    <t>CITY OF RED BLUFF WASTEWATER RECLAMATION PLANT</t>
  </si>
  <si>
    <t>RED BLUFF</t>
  </si>
  <si>
    <t>Sevenmile Creek-Sacramento River</t>
  </si>
  <si>
    <t>RS2</t>
  </si>
  <si>
    <t>T1Y</t>
  </si>
  <si>
    <t>013</t>
  </si>
  <si>
    <t>CO0049006</t>
  </si>
  <si>
    <t>THE YORK ON CITY PARK APTS   1781 YORK ST</t>
  </si>
  <si>
    <t>LA0064661</t>
  </si>
  <si>
    <t>BAKER PETROLITE LLC - RAYNE BLEND PLANT</t>
  </si>
  <si>
    <t>RAYNE</t>
  </si>
  <si>
    <t>ACADIA</t>
  </si>
  <si>
    <t>080802010206</t>
  </si>
  <si>
    <t>Bayou Blanc-Bayou Plaquemine Brule</t>
  </si>
  <si>
    <t>02D</t>
  </si>
  <si>
    <t>NN0020133</t>
  </si>
  <si>
    <t>ENGLISH LEASE, BOUNDARY BUTTE</t>
  </si>
  <si>
    <t>SAN JUAN COUNTY</t>
  </si>
  <si>
    <t>UT</t>
  </si>
  <si>
    <t>Upper Gothic Creek</t>
  </si>
  <si>
    <t>NA</t>
  </si>
  <si>
    <t>Non-POTW Offsite Transfer FRS IDs</t>
  </si>
  <si>
    <t>POTW Transfer FRS IDs</t>
  </si>
  <si>
    <t>2. TRIFID</t>
  </si>
  <si>
    <t>36. FACILITY NAME</t>
  </si>
  <si>
    <t>97. OFFSITE NAME</t>
  </si>
  <si>
    <t>106. FRS ID – TRANSFER LOCATION</t>
  </si>
  <si>
    <t>Reports to TRI?</t>
  </si>
  <si>
    <t>168. OFFSITE WASTEWATER TRTMT (EXCLUDING POTWs) –  M61 NON-METAL LBS</t>
  </si>
  <si>
    <t>Offsite Wastewater Trtmt (lb/day)</t>
  </si>
  <si>
    <t>19. FACILITY NAME</t>
  </si>
  <si>
    <t>77. FRS FACILITY ID</t>
  </si>
  <si>
    <t>78. POTW NAME</t>
  </si>
  <si>
    <t>84. POTW REGISTRY ID</t>
  </si>
  <si>
    <t>85. QUANTITY TRANSFERRED</t>
  </si>
  <si>
    <t>DOW CHEMICALS - FREEPORT_TX</t>
  </si>
  <si>
    <t>IS Code Description</t>
  </si>
  <si>
    <t>Reports Non-Zero DMRs/TRI Water Releases?</t>
  </si>
  <si>
    <t>CT</t>
  </si>
  <si>
    <t>ID</t>
  </si>
  <si>
    <t>ME</t>
  </si>
  <si>
    <t>NH</t>
  </si>
  <si>
    <t>NC</t>
  </si>
  <si>
    <t>RI</t>
  </si>
  <si>
    <t>WA</t>
  </si>
  <si>
    <t>Formulation of cleaning and furnishing care products</t>
  </si>
  <si>
    <t>All purpose liquid cleaner/polish</t>
  </si>
  <si>
    <t>Remediation</t>
  </si>
  <si>
    <t>TBD</t>
  </si>
  <si>
    <t>OES Mapped (ERG)</t>
  </si>
  <si>
    <t>Column1</t>
  </si>
  <si>
    <t>Column2</t>
  </si>
  <si>
    <t>Column3</t>
  </si>
  <si>
    <t>Column4</t>
  </si>
  <si>
    <t>Column5</t>
  </si>
  <si>
    <t>2016/2020 CDR; Manufacturing and Processing as a Reactant</t>
  </si>
  <si>
    <t>TRI Use: Chemical Processing Aid</t>
  </si>
  <si>
    <t>2020 CDR; Import and Processing as a Reactant</t>
  </si>
  <si>
    <t>2016 CDR; Manufacturing</t>
  </si>
  <si>
    <t>TRI Use: Manufacturing</t>
  </si>
  <si>
    <t>OES Name and Description</t>
  </si>
  <si>
    <t>Basis for OES</t>
  </si>
  <si>
    <t>NAICS/SIC Description</t>
  </si>
  <si>
    <t>Link to ECHO</t>
  </si>
  <si>
    <t>Reports to NEI?</t>
  </si>
  <si>
    <t>OLIN BLUE CUBE FREEPORT TX</t>
  </si>
  <si>
    <t>2301 N BRAZOSPORT BLVD.</t>
  </si>
  <si>
    <t>Manufacturing</t>
  </si>
  <si>
    <t>Manufacturing site per 3/17/22 Study Plan submitted by VI Consortium</t>
  </si>
  <si>
    <t>Direct (2015), Indirect (2016-2019)</t>
  </si>
  <si>
    <t>No</t>
  </si>
  <si>
    <t>Waste handling, disposal, treatment, and recycling</t>
  </si>
  <si>
    <t>NAICS code</t>
  </si>
  <si>
    <t>Indirect</t>
  </si>
  <si>
    <t>802 W WHITMER ST</t>
  </si>
  <si>
    <t>POTW</t>
  </si>
  <si>
    <t>Based on DMR "Facility Type Indicator"</t>
  </si>
  <si>
    <t>Sewerage Systems</t>
  </si>
  <si>
    <t>Direct</t>
  </si>
  <si>
    <t>unknown</t>
  </si>
  <si>
    <t>BARBOURVILLE STP</t>
  </si>
  <si>
    <t>614 MARSH RD</t>
  </si>
  <si>
    <t>BARBOURVILLE</t>
  </si>
  <si>
    <t>SOLVAY - HOUSTON PLANT</t>
  </si>
  <si>
    <t>8615 MANCHESTER ST</t>
  </si>
  <si>
    <t>77012STFFR8615M</t>
  </si>
  <si>
    <t>Processing as a Reactant</t>
  </si>
  <si>
    <t>Based on SIC code</t>
  </si>
  <si>
    <t>Industrial Inorganic Chemicals, NEC (recovering sulfur from natural gas)</t>
  </si>
  <si>
    <t>SHINTECH  ADDIS PLANT A</t>
  </si>
  <si>
    <t>9750 LA HWY. 1 SOUTH</t>
  </si>
  <si>
    <t>ADDIS</t>
  </si>
  <si>
    <t>70710SHNTC9750L</t>
  </si>
  <si>
    <t>Plastics Materials, Synthetic and Resins, and Nonvulcanizable Elastomers</t>
  </si>
  <si>
    <t>EVERETT WATER POLLUTION CONTROL FACILITY</t>
  </si>
  <si>
    <t>4027 4TH ST SE</t>
  </si>
  <si>
    <t>EVERETT</t>
  </si>
  <si>
    <t>Based on site information</t>
  </si>
  <si>
    <t>1147 MENELAUS RD</t>
  </si>
  <si>
    <t>488 SEWER PLANT RD</t>
  </si>
  <si>
    <t>1801 WEST CENTRAL AVE</t>
  </si>
  <si>
    <t>CAVELAND ENVIRONMENTAL AUTH</t>
  </si>
  <si>
    <t>508 S DIXIE HWY</t>
  </si>
  <si>
    <t>HORSE CAVE</t>
  </si>
  <si>
    <t>DELPHI HARRISON THERMAL SYSTEMS</t>
  </si>
  <si>
    <t>3600 DRYDEN RD</t>
  </si>
  <si>
    <t>DAYTON</t>
  </si>
  <si>
    <t>Unclear - potentially remediation: https://www.daytonohio.gov/DocumentCenter/View/9213/April-29-2020-Tech-Town-IRAP; Wastewater treatment (CH)</t>
  </si>
  <si>
    <t>Motor Vehicles and Passenger Car Bodies (automobiles)</t>
  </si>
  <si>
    <t>1500 NORTH SOUTH ST</t>
  </si>
  <si>
    <t>Industrial Organic Chemicals, NEC (aliphatics)</t>
  </si>
  <si>
    <t>PORT OF SUNNYSIDE INDUSTRIAL WWTF</t>
  </si>
  <si>
    <t>747 MIDVALE RD</t>
  </si>
  <si>
    <t>SUNNYSIDE</t>
  </si>
  <si>
    <t>E I DUPONT DE NEMOURS- WASHINGTON WORKS</t>
  </si>
  <si>
    <t>8480 DUPONT ROAD</t>
  </si>
  <si>
    <t>26180DPNTWDUPON,2618WCHMRS848DU</t>
  </si>
  <si>
    <t>501 E SANTA ANA AVE</t>
  </si>
  <si>
    <t>STEPAN CO MILLSDALE ROAD</t>
  </si>
  <si>
    <t>22500 STEPAN DR</t>
  </si>
  <si>
    <t>60421-9646</t>
  </si>
  <si>
    <t>60421STPNCRURAL</t>
  </si>
  <si>
    <t>Surface Active Agents, Finishing Agents, Sulfonated Oils, and Assistants</t>
  </si>
  <si>
    <t>510 SOUTH 4TH STREET</t>
  </si>
  <si>
    <t>89015KRRMC8000L</t>
  </si>
  <si>
    <t>Remediation treatment facility to remove chromium and perchloratre from groundwater (CH)</t>
  </si>
  <si>
    <t>Special Trade Contractors, NEC (indoor swimming pool construction contractors)</t>
  </si>
  <si>
    <t>133 NORTH VIRGINIA STREET</t>
  </si>
  <si>
    <t>Role of 1,1-dichloroethane unknown based on SIC code and internet site search</t>
  </si>
  <si>
    <t>Hotels and Motels (hotels, except casino hotels, and motels)</t>
  </si>
  <si>
    <t>ETHYL CORPORATION</t>
  </si>
  <si>
    <t>GOLF STATE ROAD</t>
  </si>
  <si>
    <t>INSTITUTE PLANT</t>
  </si>
  <si>
    <t>ROUTE 25</t>
  </si>
  <si>
    <t>INSTITUTE</t>
  </si>
  <si>
    <t>BRASKEM AMERICA INC LAPORTE SITE</t>
  </si>
  <si>
    <t>8811 STRANG ROAD</t>
  </si>
  <si>
    <t>77571RSTCH8811S</t>
  </si>
  <si>
    <t>BT HOTEL WARWICK LLC</t>
  </si>
  <si>
    <t>400 KNIGHT STREET</t>
  </si>
  <si>
    <t>WARWICK</t>
  </si>
  <si>
    <t>discharge from groundwater treatment of migration of VOCs in a groundwater ploom to a residential area (CH)</t>
  </si>
  <si>
    <t>STYROLUTION AMERICA LLC</t>
  </si>
  <si>
    <t>25846 S FRONTAGE ROAD</t>
  </si>
  <si>
    <t>CHANNAHON</t>
  </si>
  <si>
    <t>60410-5222</t>
  </si>
  <si>
    <t>60410MBLCHI55AR</t>
  </si>
  <si>
    <t>NALCO COMPANY LLC- GARYVILLE FACILITY</t>
  </si>
  <si>
    <t>3628 HIGHWAY 44</t>
  </si>
  <si>
    <t>70051NLCCHRIVER</t>
  </si>
  <si>
    <t>Chemicals and Chemical Preparations, NEC (table salt)</t>
  </si>
  <si>
    <t>2820 WILL S. GREEN ROAD</t>
  </si>
  <si>
    <t>EQUISTAR CHEMICALS LP</t>
  </si>
  <si>
    <t>1515 MILLER CUTOFF RD</t>
  </si>
  <si>
    <t>77571QNTMC1515M</t>
  </si>
  <si>
    <t>CAMERON TRADING POST WWTP</t>
  </si>
  <si>
    <t>HWY 89 AT THE LITTLE COLORADO</t>
  </si>
  <si>
    <t>CAMERON</t>
  </si>
  <si>
    <t>Based on SIC and site information</t>
  </si>
  <si>
    <t>WOODWARD INC</t>
  </si>
  <si>
    <t>5001 NORTH SECOND STREET</t>
  </si>
  <si>
    <t>ROCKFORD</t>
  </si>
  <si>
    <t>6112WWDWRD51NRT</t>
  </si>
  <si>
    <t>Natural Gas Engines</t>
  </si>
  <si>
    <t>There are multiple potential uses of 1,1 DCA at the facility. OES suggested to align with other sites within the same industry.</t>
  </si>
  <si>
    <t>Aircraft Parts and Auxiliary Equipment, NEC (fluid power aircraft subassemblies)</t>
  </si>
  <si>
    <t>GE AVIATION</t>
  </si>
  <si>
    <t>1000 WESTERN AVE MAIL DROP 164X9</t>
  </si>
  <si>
    <t>LYNN</t>
  </si>
  <si>
    <t>01910GNRLL1000W</t>
  </si>
  <si>
    <t>Mapped to natural gas engines because similar sites (aircraft parts) are mapped to that OES.</t>
  </si>
  <si>
    <t>Aircraft Engines and Engine Parts (except research and development not producing prototypes)</t>
  </si>
  <si>
    <t>HOME DEPOT STORE 4285</t>
  </si>
  <si>
    <t>387 CHARLES STREET</t>
  </si>
  <si>
    <t>PROVIDENCE</t>
  </si>
  <si>
    <t>02904-2231</t>
  </si>
  <si>
    <t xml:space="preserve"> The discharge is from a groundwater pump and treat remediation system that was installed to remediate groundwater that was contaminated by various chlorinated volatile organic compounds (VOCs) used in commercial and industrial operations at the former Silver Spring Center dating back to the late 1800's. (CH)</t>
  </si>
  <si>
    <t>General Contractors Industrial Buildings and Warehouses ( except grain elevators; drycleaning plants; and manufacturing, public, and industrial warehouses)</t>
  </si>
  <si>
    <t>5015 BEST RD</t>
  </si>
  <si>
    <t>DIXON FESSLER USA</t>
  </si>
  <si>
    <t>RTE 61</t>
  </si>
  <si>
    <t>DEER LAKE</t>
  </si>
  <si>
    <t>treated groundwater discharge (CH)</t>
  </si>
  <si>
    <t xml:space="preserve">Pens, Mechanical Pencils, and Parts </t>
  </si>
  <si>
    <t>AAR MOBILITY SYSTEMS</t>
  </si>
  <si>
    <t>201 HAYNES STREET</t>
  </si>
  <si>
    <t>CADILLAC</t>
  </si>
  <si>
    <t>49601RBRKS201HA</t>
  </si>
  <si>
    <t>Metals</t>
  </si>
  <si>
    <t xml:space="preserve">More research needed to identify appropriate OES for metal sites. Not clear why 1,1-DCA would be in cooling water. </t>
  </si>
  <si>
    <t>Fabricated Metal Products, NEC (powder metallurgy)</t>
  </si>
  <si>
    <t>DOW CHEMICAL CO DALTON PLANT</t>
  </si>
  <si>
    <t>1468 PROSSER DR SE</t>
  </si>
  <si>
    <t>30721-5449</t>
  </si>
  <si>
    <t>3072WSTYRN1468P</t>
  </si>
  <si>
    <t>Synthetic Rubber</t>
  </si>
  <si>
    <t>FEDERAL HIGHWAY ADMINISTRATION-CENTRAL FEDERAL LAND</t>
  </si>
  <si>
    <t>12300 WEST DAKOTA AVENUE</t>
  </si>
  <si>
    <t>LAKEWOOD</t>
  </si>
  <si>
    <t>80228-1010</t>
  </si>
  <si>
    <t xml:space="preserve"> 12300 W Dakota Ave, Lakewood, CO and the site is an office building. There is a NPDES permit and evidence of a discharge pipe (https://www.epa.gov/npdes-permits/npdes-permit-denver-federal-center-building-52a-colorado)</t>
  </si>
  <si>
    <t>Nonclassifiable Establishments</t>
  </si>
  <si>
    <t>AIRPORT BUSINESS CENTER</t>
  </si>
  <si>
    <t>333 STRAWBERRY FIELD ROAD</t>
  </si>
  <si>
    <t>02886-2459</t>
  </si>
  <si>
    <t>Based on discharge being related to a groundwater plume.</t>
  </si>
  <si>
    <t>Air and Water Resource and Solid Waste Management</t>
  </si>
  <si>
    <t>PERKIN ELMER, INC</t>
  </si>
  <si>
    <t>55 HASBROUCK LANE</t>
  </si>
  <si>
    <t>WOODSTOCK</t>
  </si>
  <si>
    <t>Distribution in Commerce</t>
  </si>
  <si>
    <t>Perkin Elmer is an analytical equipment manufacturer and chemical distributor. There are multiple potential uses of 1,1 DCA at the facility and its exact use is unknown but distribution in commerce seems most likely. Based on the address in ECHO the facility is now owned by Ametek Rotron.</t>
  </si>
  <si>
    <t>22102 HWY 6</t>
  </si>
  <si>
    <t>77578KSHNB22102</t>
  </si>
  <si>
    <t>BOISE STATE UNIVERSITY</t>
  </si>
  <si>
    <t>1910 UNIVERSITY DRIVE</t>
  </si>
  <si>
    <t>BOISE</t>
  </si>
  <si>
    <t>Groundwater remediation discharge facilities. VOCs commonly found in groundwater. (CH)</t>
  </si>
  <si>
    <t>Drycleaning Plants, Except Rug Cleaning</t>
  </si>
  <si>
    <t>GENERAL DYNAMICS ORDNANCE TACTICAL SYSTEMS</t>
  </si>
  <si>
    <t>200 E HIGH ST</t>
  </si>
  <si>
    <t>RED LION</t>
  </si>
  <si>
    <t>17356GNRLD200EH</t>
  </si>
  <si>
    <t>Laboratory Use</t>
  </si>
  <si>
    <t>The facility produces and tests materials related to aerospace research (https://www.gd-ots.com/).</t>
  </si>
  <si>
    <t>Ordnance and Accessories, NEC</t>
  </si>
  <si>
    <t>DIMENSIONAL PLACE</t>
  </si>
  <si>
    <t>1515 S TRYON ST</t>
  </si>
  <si>
    <t>CHARLOTTE</t>
  </si>
  <si>
    <t>Disposes treated groundwater: Discharge treated groundwater. 
https://deq.nc.gov/nc0089656</t>
  </si>
  <si>
    <t>EAGLE US 2 LLC, LAKE CHARLES PLANT</t>
  </si>
  <si>
    <t>1300 PPG DRIVE</t>
  </si>
  <si>
    <t>70669PPGNDCOLUM</t>
  </si>
  <si>
    <t>EAGLE US 2 LLC - LAKE CHARLES COMPLEX</t>
  </si>
  <si>
    <t>LAKE CHARLES</t>
  </si>
  <si>
    <t>3355 LAS VEGAS BOULEVARD SOUTH</t>
  </si>
  <si>
    <t>Waste Handling, Disposal, Treatment, and Recycling</t>
  </si>
  <si>
    <t>Discharge of non-contact cooling water from facility, and general discharge (CH)</t>
  </si>
  <si>
    <t>CHEMTURA NORTH AND SOUTH PLANTS</t>
  </si>
  <si>
    <t>1000 MORGANTOWN INDUSTRIAL PARK</t>
  </si>
  <si>
    <t>26505WSTMR1000D,26505WSTMRMORGA</t>
  </si>
  <si>
    <t>2827 PARADISE ROAD</t>
  </si>
  <si>
    <t>Discharge collected groundwater and stormwater and dewatering system (CH)</t>
  </si>
  <si>
    <t>301 LASER LANE</t>
  </si>
  <si>
    <t>70507-5326</t>
  </si>
  <si>
    <t>Commercial Physical and Biological Research</t>
  </si>
  <si>
    <t>NEW DOCK STREET PUMP STATION</t>
  </si>
  <si>
    <t>NEW DOCK ST / 151 SOUTH HENRY FORD AVE</t>
  </si>
  <si>
    <t>TERMINAL ISLAND</t>
  </si>
  <si>
    <t>Owned by City of Los Angeles. The Facility discharges treated storm water and infiltrating groundwater to the Cerritos Channel, a water of the United States and of the State.
https://www.waterboards.ca.gov/losangeles/board_decisions/tentative_orders/individual/npdes/Port_of_Los_Angeles/CA0064157TENTATIVEAMENDEDREQUIREMENTS.pdf</t>
  </si>
  <si>
    <t>MONARCH CHEMICALS</t>
  </si>
  <si>
    <t>37 MEADOW STREET</t>
  </si>
  <si>
    <t>UTICA</t>
  </si>
  <si>
    <t>Chemicals and Allied Products, NEC (merchant wholesalers)</t>
  </si>
  <si>
    <t>ITW SWITCHES</t>
  </si>
  <si>
    <t>7300 WEST LAWRENCE AVENUE</t>
  </si>
  <si>
    <t>HARWOOD HEIGHTS</t>
  </si>
  <si>
    <t>60706-3504</t>
  </si>
  <si>
    <t>Discharge of wastewater from remediation of groundwater contaminated with VOCs (CH)</t>
  </si>
  <si>
    <t>General Industrial Machinery and Equipment, NEC (textile fire hose)</t>
  </si>
  <si>
    <t>ALLIANT TECHSYSTEMS OPERATIONS LLC</t>
  </si>
  <si>
    <t>55 THIOKOL ROAD</t>
  </si>
  <si>
    <t>ELKTON</t>
  </si>
  <si>
    <t>The site has undergone remediation for trichloroethylene &amp; benzene, and it is known to have pesticide, volatile organic, &amp; metal contamination in the soil, surface water, and groundwater. The source of contamination appears to be buried drums and improper hazardous waste storage. (https://19january2017snapshot.epa.gov/hwcorrectiveaction/hazardous-waste-cleanup-alliant-techsystems-operations-llc-elkton-md_.html). 1,1 DCA has been previously detected at sites using solid rocket fuel (https://www.lockheedmartin.com/content/dam/lockheed-martin/eo/documents/remediation/beaumont-ca/potrerocanyon/LMC1_SRIRpt_Fnl.pdf)</t>
  </si>
  <si>
    <t>Guided Missile and Space Vehicle Propulsion Units and Propulsion Unit Parts (except research and development not producing prototypes))</t>
  </si>
  <si>
    <t>INDORAMA VENTURES OLEFINS, LLC</t>
  </si>
  <si>
    <t>4300 HWY 108 SOUTH</t>
  </si>
  <si>
    <t>SULPHUR</t>
  </si>
  <si>
    <t>70663CCDNTHIGHW</t>
  </si>
  <si>
    <t>DEFENSE FUEL SUPPORT POINT NORWALK DFSP</t>
  </si>
  <si>
    <t>15306 NORWALK BOULEVARD</t>
  </si>
  <si>
    <t>NORWALK</t>
  </si>
  <si>
    <t>90650-6639</t>
  </si>
  <si>
    <t>unclear - possibly remediation: https://docplayer.net/138581669-First-quarter-2014-remediation-progress-report-defense-fuel-support-point-norwalk-norwalk-boulevard-norwalk-california.htm; Discharge of treated groundwater with possible contamination from historic and current fuel operations (CH)</t>
  </si>
  <si>
    <t>Refined Petroleum Pipelines</t>
  </si>
  <si>
    <t>IMTT-BC</t>
  </si>
  <si>
    <t>2 COMMERCE ST</t>
  </si>
  <si>
    <t>BAYONNE CITY</t>
  </si>
  <si>
    <t>Special Warehousing and Storage, NEC (warehousing in foreign trade zones)</t>
  </si>
  <si>
    <t>GARDINER FERRY ROAD</t>
  </si>
  <si>
    <t>Canned Fruits, Vegetables, Preserves, Jams, and Jellies</t>
  </si>
  <si>
    <t>RT 130</t>
  </si>
  <si>
    <t>DEEPWATER</t>
  </si>
  <si>
    <t>08023DPNTCRT130,0802WCHMRS67CAN</t>
  </si>
  <si>
    <t>CHEVRON ORONITE CO LLC - OAK POINT PLANT</t>
  </si>
  <si>
    <t>10285 HIGHWAY 23</t>
  </si>
  <si>
    <t>70037CHVRNHIGHW</t>
  </si>
  <si>
    <t>D H HOLDINGS GWRS - FAYETTE TUBULAR PRODUCTS INC</t>
  </si>
  <si>
    <t>203 E RAILROAD ST</t>
  </si>
  <si>
    <t>FAYETTE</t>
  </si>
  <si>
    <t>https://epa.ohio.gov/static/Portals/30/remedial/docs/dd/Fayette%20Tubular%20Decision%20Document.pdf</t>
  </si>
  <si>
    <t>Services, NEC (record production)</t>
  </si>
  <si>
    <t>8805 NORTH TABLER ROAD</t>
  </si>
  <si>
    <t>60450-9153</t>
  </si>
  <si>
    <t>60450QNTMC8805N</t>
  </si>
  <si>
    <t>GORHAM</t>
  </si>
  <si>
    <t>333 ADELAIDE AVENUE</t>
  </si>
  <si>
    <t>02907-3366</t>
  </si>
  <si>
    <t>Silverware, Plated Ware, and Stainless Steel Ware (cutlery and flatware, nonprecious and precious plated)</t>
  </si>
  <si>
    <t>GREATER BATON ROUGE PORTCOMMISSION</t>
  </si>
  <si>
    <t>1002 BARGE CANAL RD</t>
  </si>
  <si>
    <t>PORT ALLEN</t>
  </si>
  <si>
    <t>Source of 1,1 DCA could be the use of petroleum products to power equipment onsite. The site is a large shipping port that utilizes containerships, rail-yards and tractor-trailers. (https://www.portgbr.com/). Distribution in commerce is also possible, but site seems a little more like other sites that have been classified as natural gas engines.</t>
  </si>
  <si>
    <t>Transportation Services, NEC (horse-drawn cabs and carriages)</t>
  </si>
  <si>
    <t>GREEN LINE EXTENSION PROJECT</t>
  </si>
  <si>
    <t>WASHINGTON AND TUFTS STREET</t>
  </si>
  <si>
    <t>SOMERVILLE</t>
  </si>
  <si>
    <t>HUNTSMAN PETROCHEMICAL CONROE PLANT</t>
  </si>
  <si>
    <t>5451 JEFFERSON CHEMICAL RD</t>
  </si>
  <si>
    <t>77301-6837</t>
  </si>
  <si>
    <t>77301TXCCHJEFFE</t>
  </si>
  <si>
    <t>HVEC/BELLOFRAM</t>
  </si>
  <si>
    <t>3 VAN DE GRAAFF DRIVE</t>
  </si>
  <si>
    <t>BURLINGTON</t>
  </si>
  <si>
    <t>MONUMENT CHEMICAL HOUSTON, LLC</t>
  </si>
  <si>
    <t>16717 JACINTOPORT BLVD</t>
  </si>
  <si>
    <t>77015JHNNH16717</t>
  </si>
  <si>
    <t>MOOG INC</t>
  </si>
  <si>
    <t>SENECA STREET</t>
  </si>
  <si>
    <t>EAST AURORA</t>
  </si>
  <si>
    <t>14052MGNCXSENEC</t>
  </si>
  <si>
    <t>https://www.dec.ny.gov/data/DecDocs/915164/Work%20Plan.HW.915164.2015-09-01.Moog_Plant_11_Site_Management_Plan-Final.pdf</t>
  </si>
  <si>
    <t>Valves and Pipe Fittings, NEC (except metal pipe hangers and supports)</t>
  </si>
  <si>
    <t>STANLEY BLACK AND DECKER</t>
  </si>
  <si>
    <t>ONE BRIGGS DRIVE</t>
  </si>
  <si>
    <t>EAST GREENWICH</t>
  </si>
  <si>
    <t>02818-9949</t>
  </si>
  <si>
    <t>The potential uses of 1,1 DCA at the site/industry are unknown. The site was a plastics manufacturer but is now closed (https://www.protoolreviews.com/news/stanley-black-decker-closing-east-greenwich-facility/2835/). It appeared to be performing injection mold plastic manufacturing (https://www.stanleyblackanddecker.com/).</t>
  </si>
  <si>
    <t>Steel Wiredrawing and Steel Nails and Spikes (steel wire drawing)</t>
  </si>
  <si>
    <t>TOTAL PETROCHEMICALS &amp; REFINING USA INC</t>
  </si>
  <si>
    <t>1818 INDEPENDENCE PKWY S</t>
  </si>
  <si>
    <t>DEER PARK</t>
  </si>
  <si>
    <t>77536FNLND1818B</t>
  </si>
  <si>
    <t>FORMER REXON FACILITY AKA ENJEMS MILLWORKS</t>
  </si>
  <si>
    <t>70 OLD TURNPIKE RD</t>
  </si>
  <si>
    <t>WAYNE TWP</t>
  </si>
  <si>
    <t>5525 HWY 3115</t>
  </si>
  <si>
    <t>70734-3412</t>
  </si>
  <si>
    <t>70734LLDSGHWY31</t>
  </si>
  <si>
    <t xml:space="preserve">Assumed processing as a reactant </t>
  </si>
  <si>
    <t>PENN COLOR INC FORMER MANVILLE, NJ FACILITY</t>
  </si>
  <si>
    <t>101 WESTON RD</t>
  </si>
  <si>
    <t>HILLSBOROUGH TWP</t>
  </si>
  <si>
    <t>Paints, Varnishes, Lacquers, Enamels and Allied Products</t>
  </si>
  <si>
    <t>700 MESSER DR</t>
  </si>
  <si>
    <t>96080-4326</t>
  </si>
  <si>
    <t>NAICS code for Sewerage Systems</t>
  </si>
  <si>
    <t>1395 W RECLAMATION WAY</t>
  </si>
  <si>
    <t>Per site information</t>
  </si>
  <si>
    <t>TRUETZSCHLER REMEDIATION SITE</t>
  </si>
  <si>
    <t>12300 MOORES CHAPEL RD</t>
  </si>
  <si>
    <t>Remediation per site name</t>
  </si>
  <si>
    <t>Textile Machinery</t>
  </si>
  <si>
    <t>AVNET INC (FORMER IMPERIAL SCHRADE)</t>
  </si>
  <si>
    <t>ROUTE 209</t>
  </si>
  <si>
    <t>ELLENVILLE</t>
  </si>
  <si>
    <t>RCRA site (https://www.dec.ny.gov/data/DecDocs/356025/Report.RCRA.356025.2020-05-26.Annual%20Report%202019.pdf)</t>
  </si>
  <si>
    <t>Electronic Components, NEC (antennas)</t>
  </si>
  <si>
    <t>TRANE TECHNOLOGIES GWCU</t>
  </si>
  <si>
    <t>525 NORTH 24TH STREET</t>
  </si>
  <si>
    <t>BATTLE CREEK</t>
  </si>
  <si>
    <t>Groundwater remediation</t>
  </si>
  <si>
    <t>CASCADE CORP (0812100207)</t>
  </si>
  <si>
    <t>2501 SHERIDAN AVE</t>
  </si>
  <si>
    <t>45505-2519</t>
  </si>
  <si>
    <t>45505CSCDC2501S</t>
  </si>
  <si>
    <t>There are multiple potential uses of 1,1 DCA in the facility/industry including metal degreasing, extraction and refining. Exact use unknown (https://pubchem.ncbi.nlm.nih.gov/compound/1_1-Dichloroethane#section=Uses). Source may also be related to the use of petroleum products on site to power furnaces. 
Suggested OES is metals (newly created OES) as the site does similar manufacturing to other sites in the category and has detectable levels of 1,1 DCA but the exact source is unknown and has not been mapped to an OES.</t>
  </si>
  <si>
    <t>COOPER US INC</t>
  </si>
  <si>
    <t>1510 PERSHING RD</t>
  </si>
  <si>
    <t>ZANESVILLE</t>
  </si>
  <si>
    <t>It is unclear what the site does currently (no current website). based on a document from Ohio Environmental Protection Agency in 1992 the site is commercial industrial electrical transformer manufacturing plant. The facility has been accused of improperly disposing plaint sludges, solvent mixtures, cleaning solvents and asbestos. (https://dam.assets.ohio.gov/image/upload/epa.ohio.gov/Portals/30/remedial/docs/dffo/Coopermill%20Rd%20Dump%20-%20Zanesville%20-%20RDRA%20-%20DFFO.pdf)</t>
  </si>
  <si>
    <t>GAYSTON CORP</t>
  </si>
  <si>
    <t>55 JANNEY RD</t>
  </si>
  <si>
    <t>The site has a new name - “Precision Impacts.” The company produces many products including items related to sports equipment, steel and aluminum components for the construction industry, and pressurized cylinders. The potential uses of 1,1 DCA at the site/industry are unknown.</t>
  </si>
  <si>
    <t>EKCO HOUSEWARES, INC.</t>
  </si>
  <si>
    <t>359 STATE AVE EXT NW</t>
  </si>
  <si>
    <t>MASSILLON</t>
  </si>
  <si>
    <t>44647-4269</t>
  </si>
  <si>
    <t>Site appears to be closed (https://caselaw.findlaw.com/court/us-6th-circuit/1305642.html). According to RCRA Corrective Action determination, 1,1-DCA was detected at the site in 1999. (https://archive.epa.gov/region5/waste/cars/web/pdf/ohd045205424_ca750.pdf).</t>
  </si>
  <si>
    <t>CTNA MANUFACTURING LIMITED PARTNERSHIP</t>
  </si>
  <si>
    <t>1 GENERAL ST</t>
  </si>
  <si>
    <t>MAYFIELD</t>
  </si>
  <si>
    <t>42066-9167</t>
  </si>
  <si>
    <t>Tires</t>
  </si>
  <si>
    <t xml:space="preserve">The potential uses of 1,1 DCA at the site/industry are unknown. 1,1 DCA has been detected as a contaminant at tire manufacturing facilities previously, but it’s use is unknown (https://semspub.epa.gov/work/09/2052885.pdf). </t>
  </si>
  <si>
    <t>Tires and Inner Tubes</t>
  </si>
  <si>
    <t>2800 GAP RD (HWY 394)</t>
  </si>
  <si>
    <t>72503RKNSSSTATE</t>
  </si>
  <si>
    <t>Assumed processing as an intermediate based on NAICS code</t>
  </si>
  <si>
    <t>Cyclic Organic Crudes and Intermediates, and Organic Dyes and Pigments (aromatics)</t>
  </si>
  <si>
    <t>TOWN OF GILA BEND - WWTP</t>
  </si>
  <si>
    <t>1901 W WATERMELON ROAD</t>
  </si>
  <si>
    <t>GILA BEND</t>
  </si>
  <si>
    <t>Assigned POTW per "Facility Type Indicator"</t>
  </si>
  <si>
    <t/>
  </si>
  <si>
    <t>PETRO STOPPING CENTER</t>
  </si>
  <si>
    <t>970 S BLAKE RANCH RD</t>
  </si>
  <si>
    <t>KINGMAN</t>
  </si>
  <si>
    <t>Facility is a gas station/convenience store based on internet search (https://www.ta-petro.com/location/az/petro-kingman) - assumed remediation site</t>
  </si>
  <si>
    <t>RIO DE FLAG WWTP</t>
  </si>
  <si>
    <t>600 S BABBITT DR</t>
  </si>
  <si>
    <t>FLAGSTAFF</t>
  </si>
  <si>
    <t>QUARTZSITE, TOWN OF - WWTP</t>
  </si>
  <si>
    <t>2054 N CENTRAL BLVD</t>
  </si>
  <si>
    <t>QUARTZSITE</t>
  </si>
  <si>
    <t>CITY OF SHOW LOW - MAIN WWTP</t>
  </si>
  <si>
    <t>1300 N 6TH ST</t>
  </si>
  <si>
    <t>SHOW LOW</t>
  </si>
  <si>
    <t>GLOBAL WATER - SANTA CRUZ WATER COMPANY, LLC</t>
  </si>
  <si>
    <t>22590 N POWERS PKWY W</t>
  </si>
  <si>
    <t>MARICOPA</t>
  </si>
  <si>
    <t>Internet search indicates wastewater treatment facility (https://www.gwresources.com/family-of-companies)</t>
  </si>
  <si>
    <t>NOGALES INTERNATIONAL WASTEWATER TREATMENT PLANT</t>
  </si>
  <si>
    <t>865 RIO RICO INDUSTRIAL PARK</t>
  </si>
  <si>
    <t>RIO RICO</t>
  </si>
  <si>
    <t>Facility name indicates wastewater treatment facility</t>
  </si>
  <si>
    <t>VICTOR VALLEY WASTEWATER RECLAMATION AUTHORITY</t>
  </si>
  <si>
    <t>20111 SHAY ROAD</t>
  </si>
  <si>
    <t>92394-8539</t>
  </si>
  <si>
    <t>298 W 2ND ST</t>
  </si>
  <si>
    <t>91-1000 GEIGER ROAD</t>
  </si>
  <si>
    <t>KAILUA REGIONAL WASTEWATER TREATMENT PLANT</t>
  </si>
  <si>
    <t>95 KANEOHE BAY DRIVE</t>
  </si>
  <si>
    <t>KAILUA</t>
  </si>
  <si>
    <t>96734-1705</t>
  </si>
  <si>
    <t>SIC description indicates POTW</t>
  </si>
  <si>
    <t>UNIVAR USA BOISE TOWNE SQUARE MALL</t>
  </si>
  <si>
    <t>138 NORTH MILWAUKEE AVENUE</t>
  </si>
  <si>
    <t>NAICS description indicates remediation</t>
  </si>
  <si>
    <t>UNIVAR USA WESTPARK SHOPPING CENTER</t>
  </si>
  <si>
    <t>536 N BENJAMIN LN</t>
  </si>
  <si>
    <t>MCMILLEN JACOBS ASSOCIATES - ESTHER SIMPLOT PARK</t>
  </si>
  <si>
    <t>625 N WHITEWATER PARK BLVD</t>
  </si>
  <si>
    <t>Brief internet search shows this is a construction site - unknown which OES this would fit into</t>
  </si>
  <si>
    <t>Ready-Mixed Concrete</t>
  </si>
  <si>
    <t>US DOE ARGONNE NATIONAL LABORATORY</t>
  </si>
  <si>
    <t>9700 SOUTH CASS AVENUE</t>
  </si>
  <si>
    <t>ARGONNE</t>
  </si>
  <si>
    <t>60439-4803</t>
  </si>
  <si>
    <t>60439SDRGN9700S</t>
  </si>
  <si>
    <t>SIC description mentions research which indicates laboratory use</t>
  </si>
  <si>
    <t>Noncommercial Research Organizations (physical, engineering, and life sciences)</t>
  </si>
  <si>
    <t>SABIC INNOVATIVE PLASTICS MT VERNON LLC</t>
  </si>
  <si>
    <t>1 LEXAN LN</t>
  </si>
  <si>
    <t>MOUNT VERNON</t>
  </si>
  <si>
    <t>47620GPLSTLEXAN</t>
  </si>
  <si>
    <t>Assuming processing as a reactant based on SIC description</t>
  </si>
  <si>
    <t>ARKEMA INC</t>
  </si>
  <si>
    <t>4444 INDUSTRIAL PKWY</t>
  </si>
  <si>
    <t>42029PNNWLALTON</t>
  </si>
  <si>
    <t>Used mapping of other site with similar SIC description</t>
  </si>
  <si>
    <t>4101 LA. HWY 108</t>
  </si>
  <si>
    <t>70602HMNTSLAHWY</t>
  </si>
  <si>
    <t>3905 HIGHWAY 75</t>
  </si>
  <si>
    <t>70776CBGGYRIVER</t>
  </si>
  <si>
    <t>ARCLIN RESINS</t>
  </si>
  <si>
    <t>344 TANNEHILL RD</t>
  </si>
  <si>
    <t>DODSON</t>
  </si>
  <si>
    <t>71483CHMBNHIGHW</t>
  </si>
  <si>
    <t>3790 LA. HWY 30</t>
  </si>
  <si>
    <t>70776RPRDCHIGHW</t>
  </si>
  <si>
    <t>Used mapping of other site with similar SIC description (Industrial Organic Chemicals)</t>
  </si>
  <si>
    <t>BALMAR, LLC</t>
  </si>
  <si>
    <t>616 W PONT DES MOUTON RD</t>
  </si>
  <si>
    <t>70507LCNTRPONTD</t>
  </si>
  <si>
    <t>CHEM-TREND LP-GRAND RIVER</t>
  </si>
  <si>
    <t>3205 E. GRAND RIVER AVE.</t>
  </si>
  <si>
    <t>HOWELL</t>
  </si>
  <si>
    <t>48843-8552</t>
  </si>
  <si>
    <t>Assumed processing as a reactant based on SIC description</t>
  </si>
  <si>
    <t>10 LEONARDS LN</t>
  </si>
  <si>
    <t>08086PNNWLCROWN</t>
  </si>
  <si>
    <t>Assumed processing as a reactant based on SIC and NAICS description</t>
  </si>
  <si>
    <t>5 MILES SOUTHWEST OF TUBA CITY</t>
  </si>
  <si>
    <t>LAGOON ROAD</t>
  </si>
  <si>
    <t>PINON WWTF</t>
  </si>
  <si>
    <t>06 MILE SW OF BASHAS STORE</t>
  </si>
  <si>
    <t>PINON</t>
  </si>
  <si>
    <t>CAROUSEL CENTER</t>
  </si>
  <si>
    <t>9090 CAROUSEL CENTER</t>
  </si>
  <si>
    <t>SYRACUSE</t>
  </si>
  <si>
    <t>13290-9098</t>
  </si>
  <si>
    <t>Unknown how 1,1-DCA is used in department stores</t>
  </si>
  <si>
    <t>Department Stores (except discount department stores and supercenters-general merchandise and groceries)</t>
  </si>
  <si>
    <t>MOHAWK VALLEY SANITARY LANDFILL</t>
  </si>
  <si>
    <t>3020 SOUTHSIDE ROAD</t>
  </si>
  <si>
    <t>SIC description indicates treatment of waste</t>
  </si>
  <si>
    <t>Refuse Systems (hazardous waste treatment and disposal)</t>
  </si>
  <si>
    <t>ARCHROMA US INC MARTIN PLANT</t>
  </si>
  <si>
    <t>788 CHERT QUARRY ROAD</t>
  </si>
  <si>
    <t>MARTIN</t>
  </si>
  <si>
    <t>29836-3414</t>
  </si>
  <si>
    <t>29836SNDZCHIGHW</t>
  </si>
  <si>
    <t>INGERSOLL RAND TORRINGTON FAC GW REM</t>
  </si>
  <si>
    <t>430 TORRINGTON RD</t>
  </si>
  <si>
    <t>WEST UNION</t>
  </si>
  <si>
    <t xml:space="preserve">Assumed waste handling based on mapping of sites with same SIC descriptions </t>
  </si>
  <si>
    <t>Sanitary Services, NEC (vacuuming of runways)</t>
  </si>
  <si>
    <t>EXXONMOBIL BAYTOWN CHEMICAL PLANT</t>
  </si>
  <si>
    <t>5000 BAYWAY DR</t>
  </si>
  <si>
    <t>BAYTOWN</t>
  </si>
  <si>
    <t>77522XXNCH5000B</t>
  </si>
  <si>
    <t>BARGE CLEANING AND REPAIR</t>
  </si>
  <si>
    <t>18310 MARKET STREET</t>
  </si>
  <si>
    <t>CHANNELVIEW</t>
  </si>
  <si>
    <t>77530-3858</t>
  </si>
  <si>
    <t>77562STHWS18310</t>
  </si>
  <si>
    <t>Ship Building and Repairing (except repairs in floating drydocks)</t>
  </si>
  <si>
    <t>SCOULAR COMPANY</t>
  </si>
  <si>
    <t>2727 PENNSYLVANIA AVENUE</t>
  </si>
  <si>
    <t>OGDEN</t>
  </si>
  <si>
    <t>84401-3319</t>
  </si>
  <si>
    <t>Seems like this would be non-TSCA</t>
  </si>
  <si>
    <t>Flour and Other Grain Mill Products</t>
  </si>
  <si>
    <t>PIMA COUNTY - INA ROAD WWTP</t>
  </si>
  <si>
    <t>7101 N CASA GRANDE HWY</t>
  </si>
  <si>
    <t>TUCSON</t>
  </si>
  <si>
    <t>85743-8618</t>
  </si>
  <si>
    <t>WILDCAT HILL WWTP</t>
  </si>
  <si>
    <t>2800 N EL PASO FLAGSTAFF RD</t>
  </si>
  <si>
    <t>23RD AVENUE WASTEWATER TREATMENT PLANT</t>
  </si>
  <si>
    <t>2470 S 22ND AVE</t>
  </si>
  <si>
    <t>PHOENIX</t>
  </si>
  <si>
    <t>CITY OF PHOENIX - RIO SALADO HABITAT RESTORATION</t>
  </si>
  <si>
    <t>19TH AVE AND I10 HIGHWAY</t>
  </si>
  <si>
    <t>85003-1611</t>
  </si>
  <si>
    <t>Facility is a wetland and habitat restoration area based on internet search (https://www.phoenix.gov/parks/trails/locations/rio-salado-habitat-restoration-area)</t>
  </si>
  <si>
    <t>COTTONWOOD WWTF</t>
  </si>
  <si>
    <t>1480 W MINGUS AVE</t>
  </si>
  <si>
    <t>COTTONWOOD</t>
  </si>
  <si>
    <t>86326-8084</t>
  </si>
  <si>
    <t>CASA GRANDE WRF</t>
  </si>
  <si>
    <t>1194 W KORTSEN RD</t>
  </si>
  <si>
    <t>CASA GRANDE</t>
  </si>
  <si>
    <t>85222-5914</t>
  </si>
  <si>
    <t>CITY OF MESA - GREENFIELD WATER RECLAMATION PLANT</t>
  </si>
  <si>
    <t>4400 S GREENFIELD RD</t>
  </si>
  <si>
    <t>GILBERT</t>
  </si>
  <si>
    <t>ANTHEM WATER CAMPUS WWTP</t>
  </si>
  <si>
    <t>39920 N GAVILAN PEAK PKWY</t>
  </si>
  <si>
    <t>85086-2524</t>
  </si>
  <si>
    <t>SAN JOSE WWTF</t>
  </si>
  <si>
    <t>940 PURDY LN</t>
  </si>
  <si>
    <t>BISBEE</t>
  </si>
  <si>
    <t>CITY OF SOMERTON - WWTP</t>
  </si>
  <si>
    <t>110 N STATE AVE</t>
  </si>
  <si>
    <t>SOMERTON</t>
  </si>
  <si>
    <t>Facility name indicates wastewater treatment plant</t>
  </si>
  <si>
    <t>EL ESTERO WWTP</t>
  </si>
  <si>
    <t>520 E. YANONALI ST</t>
  </si>
  <si>
    <t>93103-3200</t>
  </si>
  <si>
    <t>WATSONVILLE WWTF</t>
  </si>
  <si>
    <t>401 PANABAKER LN</t>
  </si>
  <si>
    <t>WATSONVILLE</t>
  </si>
  <si>
    <t>95076-</t>
  </si>
  <si>
    <t>EL DORADO HILLS WWTP</t>
  </si>
  <si>
    <t>4625 LATROBE ROAD</t>
  </si>
  <si>
    <t>EL DORADO HILLS</t>
  </si>
  <si>
    <t>MOUNTAIN HOUSE WWTP</t>
  </si>
  <si>
    <t>17103 WEST BETHANY ROAD</t>
  </si>
  <si>
    <t>MOUNTAIN HOUSE</t>
  </si>
  <si>
    <t>106 LINDSEY RD</t>
  </si>
  <si>
    <t>ALGONQUIN DIV REA MAGNETIC WIRES</t>
  </si>
  <si>
    <t>129 SOUNDVIEW ROAD</t>
  </si>
  <si>
    <t>GUILFORD</t>
  </si>
  <si>
    <t>06437-2943</t>
  </si>
  <si>
    <t>06437LGNQN129SO</t>
  </si>
  <si>
    <t>Rolling, Drawing, and Extruding of Copper</t>
  </si>
  <si>
    <t>780 SCHOOL HOUSE ROAD</t>
  </si>
  <si>
    <t>INT'L BUSINESS MACHINES CORP</t>
  </si>
  <si>
    <t>1901 SR 240 E</t>
  </si>
  <si>
    <t>GREENCASTLE</t>
  </si>
  <si>
    <t>Die-Cut Paper and Paperboard and Cardboard (pasted, lined, laminated, or surface-coated paperboard)</t>
  </si>
  <si>
    <t>1029 W 2ND ST</t>
  </si>
  <si>
    <t>918 WILLOW SPRINGS ROAD</t>
  </si>
  <si>
    <t>SIC description indicates waste treatment</t>
  </si>
  <si>
    <t>OTTAWA CRC-SW COUNTY LF GWCU</t>
  </si>
  <si>
    <t>2485 168TH AVENUE</t>
  </si>
  <si>
    <t>HOLLAND</t>
  </si>
  <si>
    <t>SIC and NAICS description indicate waste treatment and disposal</t>
  </si>
  <si>
    <t>GAST MFG CORP</t>
  </si>
  <si>
    <t>2300 HIGHWAY M-139 SOUTH</t>
  </si>
  <si>
    <t>BENTON HARBOR</t>
  </si>
  <si>
    <t>49022GSTMN2300H</t>
  </si>
  <si>
    <t>Pumps and Pumping Equipment</t>
  </si>
  <si>
    <t>KELSEY-HAYES MILFORD GWCU</t>
  </si>
  <si>
    <t>101 OAK STREET</t>
  </si>
  <si>
    <t>MILFORD</t>
  </si>
  <si>
    <t>Facility is a Superfund site according to internet search, which indicates remediation (https://www.michigan.gov/egle/-/media/Project/Websites/egle/Documents/Programs/RRD/Milford/Correspondences-and-AO/Kelsey-Hayes-Administrative-Order-2022-03-16.pdf?rev=532b49aa4662444784a1f817736bb483&amp;hash=40C44850D7E7140C61DE2C32D6ED0074)</t>
  </si>
  <si>
    <t>11089 HIGHWAY D</t>
  </si>
  <si>
    <t>Used mapping of other site with same SIC description (Industrial Organic Chemicals)</t>
  </si>
  <si>
    <t>601 NASSAU ST ASSOC LLC</t>
  </si>
  <si>
    <t>601 NASSAU ST</t>
  </si>
  <si>
    <t>NORTH BRUNSWICK TWP</t>
  </si>
  <si>
    <t>Gaskets, Packing, and Sealing Devices</t>
  </si>
  <si>
    <t>CHINLE WWTF</t>
  </si>
  <si>
    <t>1 M NO OF NTUA BRANCH OFFICE</t>
  </si>
  <si>
    <t>CHINLE</t>
  </si>
  <si>
    <t>NAVAJO TOWNSITE WWTF</t>
  </si>
  <si>
    <t>.75 MILES SE OF RED LAKE</t>
  </si>
  <si>
    <t>NAVAJO</t>
  </si>
  <si>
    <t>701 NORTH 13TH STREET, NE CORNER OF MARYLAND PARKW</t>
  </si>
  <si>
    <t>Unknown how 1,1-DCA is used in apartment buildings</t>
  </si>
  <si>
    <t>Operators of Apartment Buildings</t>
  </si>
  <si>
    <t>CLARK COUNTY REGIONAL JUSTICE CENTER</t>
  </si>
  <si>
    <t>200 LEWIS AVENUE</t>
  </si>
  <si>
    <t>Unknown how 1,1-DCA is used in courts</t>
  </si>
  <si>
    <t>Courts</t>
  </si>
  <si>
    <t>5757 WAYNE NEWTON BOULEVARD</t>
  </si>
  <si>
    <t>Suggested OES, “Natural Gas Engines.” Other airports and air traffic control sites were mapped to this OES.</t>
  </si>
  <si>
    <t>Airports, Flying Fields, and Airport Terminal Services (private air traffic control)</t>
  </si>
  <si>
    <t>2151 NORTH RANCHO DRIVE</t>
  </si>
  <si>
    <t>Gasoline Service Station (gasoline station with convenience store)</t>
  </si>
  <si>
    <t>ELM HOLDINGS INC</t>
  </si>
  <si>
    <t>2040 CORY DRIVE</t>
  </si>
  <si>
    <t>SANBORN</t>
  </si>
  <si>
    <t>SIC code indicates potential waste handling</t>
  </si>
  <si>
    <t>GENERAL ELECTRIC CO CPQP</t>
  </si>
  <si>
    <t>381 UPPER BROADWAY</t>
  </si>
  <si>
    <t>FORT EDWARD</t>
  </si>
  <si>
    <t>Power, Distribution, and Specialty Transformers</t>
  </si>
  <si>
    <t>SNOHOMISH STP</t>
  </si>
  <si>
    <t>2115 2ND STREET</t>
  </si>
  <si>
    <t>SNOHOMISH</t>
  </si>
  <si>
    <t>100 BRIDGEPORT RD</t>
  </si>
  <si>
    <t>72301CPSCHBRIDG</t>
  </si>
  <si>
    <t>AVONDALE WWTP</t>
  </si>
  <si>
    <t>4800 S DYSART RD</t>
  </si>
  <si>
    <t>AVONDALE</t>
  </si>
  <si>
    <t>85323-9626</t>
  </si>
  <si>
    <t>TOWN OF PRESCOTT VALLEY - WWTP</t>
  </si>
  <si>
    <t>1100 E TREATMENT PLANT DR</t>
  </si>
  <si>
    <t>PRESCOTT VALLEY</t>
  </si>
  <si>
    <t>AGUA NUEVA WRF</t>
  </si>
  <si>
    <t>2947 W CALLE AGUA NUEVA</t>
  </si>
  <si>
    <t>Facility is a water reclamation facility based on internet search (https://webcms.pima.gov/UserFiles/Servers/Server_6/File/Government/Wastewater%20Reclamation/ROMP/AguaNueva.pdf)</t>
  </si>
  <si>
    <t>110 CALIFORNIA ST</t>
  </si>
  <si>
    <t>95060-4212</t>
  </si>
  <si>
    <t>1821 PRICE CANYON ROAD</t>
  </si>
  <si>
    <t>Site name is a produced water reclamation facility - assumed produced waste water from hydraulic fracturing</t>
  </si>
  <si>
    <t>Petroleum Refining</t>
  </si>
  <si>
    <t>2300 COOLWATER CREEK RD</t>
  </si>
  <si>
    <t>95667-3112</t>
  </si>
  <si>
    <t>YUBA CITY WASTEWATER TREATMENT FACILITY</t>
  </si>
  <si>
    <t>302 BURNS DR</t>
  </si>
  <si>
    <t>YUBA CITY</t>
  </si>
  <si>
    <t>STALLION SPRINGS WWTF</t>
  </si>
  <si>
    <t>28500 STALLION SPRINGS DR</t>
  </si>
  <si>
    <t>TEHACHAPI</t>
  </si>
  <si>
    <t>INV PERFORMANCE MATERIALS, LLC</t>
  </si>
  <si>
    <t>25876 DUPONT ROAD</t>
  </si>
  <si>
    <t>667 SAFEGUARD STREET</t>
  </si>
  <si>
    <t>8005 NORTH TABLER ROAD</t>
  </si>
  <si>
    <t>60450KZCHMTABLE</t>
  </si>
  <si>
    <t>Assumed processing as an intermediate based on SIC code</t>
  </si>
  <si>
    <t>CHEMTOOL</t>
  </si>
  <si>
    <t>1165 PRAIRIE HILL ROAD</t>
  </si>
  <si>
    <t>ROCKTON</t>
  </si>
  <si>
    <t>61072-1595</t>
  </si>
  <si>
    <t>61072BLTCR1165P</t>
  </si>
  <si>
    <t>Assuming repackaging but unsure, seems like it could potentially be "distribution in commerce"?</t>
  </si>
  <si>
    <t>General Warehousing and Storage (except self-storage and miniwarehouses)</t>
  </si>
  <si>
    <t>COVIDIEN</t>
  </si>
  <si>
    <t>1222 SHERWOOD ROAD</t>
  </si>
  <si>
    <t>NORFOLK</t>
  </si>
  <si>
    <t>68701-9062</t>
  </si>
  <si>
    <t>1, 1 DCA is used during medical material manufacturing (plastics) or may be emitted as a byproduct during manufacturing (plastics). Generally this type of facility is not making the plastic, just molding it, so we assume waste is the most appropriate OES.</t>
  </si>
  <si>
    <t>Surgical and Medical Instruments and Apparatus (tranquilizer guns)</t>
  </si>
  <si>
    <t>170 RT 130 S</t>
  </si>
  <si>
    <t>08014MNSNTROUTE</t>
  </si>
  <si>
    <t>AMES RUBBER</t>
  </si>
  <si>
    <t>23-47 AMES BLVD</t>
  </si>
  <si>
    <t>HAMBURG</t>
  </si>
  <si>
    <t>Fabricated Rubber Products, NEC (rubberizing fabric or purchased textile products)</t>
  </si>
  <si>
    <t>HOLMAN RMP ENTERPRISES</t>
  </si>
  <si>
    <t>9040 BURROUGH-DOVER LN</t>
  </si>
  <si>
    <t>PENNSAUKEN</t>
  </si>
  <si>
    <t>08110-1033</t>
  </si>
  <si>
    <t>This facility is an auto parts distributor site. They do not appear to make parts.</t>
  </si>
  <si>
    <t>Motor Vehicle Parts and Accessories (dump truck lifting mechanisms and fifth wheels)</t>
  </si>
  <si>
    <t>1070 RIVERSIDE DR</t>
  </si>
  <si>
    <t>7.6 MILES NORTHWEST OF RED MESA</t>
  </si>
  <si>
    <t>Assumed produced water from hydraulic fracturing</t>
  </si>
  <si>
    <t>Crude Petroleum and Natural Gas</t>
  </si>
  <si>
    <t>1 MILE NW OF JUNCTION US HWY 65 AND 491</t>
  </si>
  <si>
    <t>EXXONMOBIL GREENPOINT REMEDIATION PROJEC</t>
  </si>
  <si>
    <t>400 KINGSLAND AVENUE</t>
  </si>
  <si>
    <t>BROOKLYN</t>
  </si>
  <si>
    <t>SASOL CHEMICALS (USA) LLC</t>
  </si>
  <si>
    <t>292 STATE ROUTE 8</t>
  </si>
  <si>
    <t>16301NVLLSROUTE</t>
  </si>
  <si>
    <t>Used mapping of other site with same SIC description</t>
  </si>
  <si>
    <t>UNISYS EARHART SITE, BRISTOL TN</t>
  </si>
  <si>
    <t>200 OLD CARDEN HOLLOW RD.</t>
  </si>
  <si>
    <t>BRISTOL</t>
  </si>
  <si>
    <t>NAICS description indicates waste management</t>
  </si>
  <si>
    <t>GOODYEAR, CITY OF - 157TH AVE WWTP</t>
  </si>
  <si>
    <t>5424 S 157TH AVE</t>
  </si>
  <si>
    <t>GOODYEAR</t>
  </si>
  <si>
    <t>CITY OF PEORIA</t>
  </si>
  <si>
    <t>12483 W JOMAX RD</t>
  </si>
  <si>
    <t>PEORIA</t>
  </si>
  <si>
    <t>KINGMAN, CITY OF - HILLTOP WWTP</t>
  </si>
  <si>
    <t>5925 N HWY 66</t>
  </si>
  <si>
    <t>PHILLIPS 66 LOS ANGELES LUBRICANTS TERMINAL</t>
  </si>
  <si>
    <t>13707 S BROADWAY</t>
  </si>
  <si>
    <t>There are multiple potential uses of 1,1 DCA in the facility including fuel use and petroleum production.</t>
  </si>
  <si>
    <t>Lubricating Oils and Greases</t>
  </si>
  <si>
    <t>NEEWC SEAWATER DESALINATION TEST FACILITY</t>
  </si>
  <si>
    <t>BLDG TF11, STETHAM ROAD</t>
  </si>
  <si>
    <t>PORT HUENEME</t>
  </si>
  <si>
    <t>Assumed water treatment based on facility name</t>
  </si>
  <si>
    <t>National Security</t>
  </si>
  <si>
    <t>42929 COUNTY ROAD 24</t>
  </si>
  <si>
    <t>DONNER SUMMIT WWTF</t>
  </si>
  <si>
    <t>53823 SHERRITT LN</t>
  </si>
  <si>
    <t>SODA SPRINGS</t>
  </si>
  <si>
    <t>SACRAMENTO COUNTY LANDFILL (KIEFER)</t>
  </si>
  <si>
    <t>12701 KIEFER BOULEVARD</t>
  </si>
  <si>
    <t>SLOUGHHOUSE</t>
  </si>
  <si>
    <t>4460 NALU ROAD</t>
  </si>
  <si>
    <t>625 EAST US HIGHWAY 36</t>
  </si>
  <si>
    <t>61953QNTMCROUTE</t>
  </si>
  <si>
    <t>222 POUND PUPPY DR</t>
  </si>
  <si>
    <t>150 CARHARTT RD</t>
  </si>
  <si>
    <t>Engineering Services</t>
  </si>
  <si>
    <t>425 CEMETARY RD</t>
  </si>
  <si>
    <t>3001 W HWY 146</t>
  </si>
  <si>
    <t>Correctional Institutions</t>
  </si>
  <si>
    <t>175 BULL FORK RD</t>
  </si>
  <si>
    <t>HALF ACRE RD</t>
  </si>
  <si>
    <t>GARY LN</t>
  </si>
  <si>
    <t>NATIONAL ELECTRIC COIL CO./COOPER INDUSTRIES</t>
  </si>
  <si>
    <t>OLD US 119</t>
  </si>
  <si>
    <t>HARLAN</t>
  </si>
  <si>
    <t>According to internet search this is a Superfund site which indicates remediation (https://cumulis.epa.gov/supercpad/SiteProfiles/index.cfm?fuseaction=second.Cleanup&amp;id=0405125#bkground)</t>
  </si>
  <si>
    <t>Motors and Generators</t>
  </si>
  <si>
    <t>1100 BLUE HERON RD</t>
  </si>
  <si>
    <t>KY 10</t>
  </si>
  <si>
    <t>5459 BELLVIEW RD</t>
  </si>
  <si>
    <t>SYSCO EASTERN MARYLAND, LLC.</t>
  </si>
  <si>
    <t>33239 COSTEN ROAD</t>
  </si>
  <si>
    <t>POCOMOKE</t>
  </si>
  <si>
    <t>21851-3909</t>
  </si>
  <si>
    <t>Is this non-TSCA?</t>
  </si>
  <si>
    <t xml:space="preserve">Groceries and Related Products, NEC (processed bottled water manufacturing) </t>
  </si>
  <si>
    <t>HOLTRACHEM MANUFACTURING CO</t>
  </si>
  <si>
    <t>99 INDUSTRIAL WAY</t>
  </si>
  <si>
    <t>ORRINGTON</t>
  </si>
  <si>
    <t>Alkalies and Chlorine</t>
  </si>
  <si>
    <t>CITY ENVIRONMENTAL SERVICES LF, INC. OF HASTINGS</t>
  </si>
  <si>
    <t>1899 NORTH M-43 HIGHWAY</t>
  </si>
  <si>
    <t>HASTINGS</t>
  </si>
  <si>
    <t>CONTINENTAL CEMENT CO LLC</t>
  </si>
  <si>
    <t>10107 HIGHWAY 79</t>
  </si>
  <si>
    <t>63401CNTNNHIGHW</t>
  </si>
  <si>
    <t>Brief internet search shows this is a potential cleanup site (https://www.epa.gov/mo/continental-cement-companygreen-america-recycling-llc-facility-hannibal-missouri); could also be hazardous waste disposal</t>
  </si>
  <si>
    <t>Cement, Hydraulic</t>
  </si>
  <si>
    <t>76 PORCUPINE RD</t>
  </si>
  <si>
    <t>08067-0400</t>
  </si>
  <si>
    <t>08067THGNCUSRTE</t>
  </si>
  <si>
    <t>50 N MARKET ST</t>
  </si>
  <si>
    <t>Assumed remediation based on site name</t>
  </si>
  <si>
    <t>CHEMICAL LEAMAN TANK LINES INC</t>
  </si>
  <si>
    <t>CEDAR SWAMP RD &amp; OAK GROVE RD</t>
  </si>
  <si>
    <t>According to internet search this is a Superfund site which indicates remediation (https://cumulis.epa.gov/supercpad/cursites/csitinfo.cfm?id=0200327)</t>
  </si>
  <si>
    <t>Trucking, Except Local (general freight, truckload)</t>
  </si>
  <si>
    <t>KAYENTA WWTF</t>
  </si>
  <si>
    <t>1 M EAST OF KAYENTA</t>
  </si>
  <si>
    <t>KAYENTA</t>
  </si>
  <si>
    <t>TWIN ARROWS CASINO</t>
  </si>
  <si>
    <t>22181 RESORT BLVD, FLAGSTAFF</t>
  </si>
  <si>
    <t>6176 SOUTH LAS VEGAS BLVD.</t>
  </si>
  <si>
    <t>LOCKHEED MARTIN CORP - FRENCH RD FAC</t>
  </si>
  <si>
    <t>525 FRENCH ROAD</t>
  </si>
  <si>
    <t>13503GNRLLFRENC</t>
  </si>
  <si>
    <t>The exact use of 1,1 DCA at the facility is unreported but the facility has reported detection of 1,1 DCA in sampling (https://www.lockheedmartin.com/content/dam/lockheed-martin/eo/documents/remediation/utica/2014-gw-monitor-rpt.pdf - page 12 &amp; https://www.lockheedmartin.com/content/dam/lockheed-martin/eo/documents/remediation/utica/Remedial%20Investigation%20Report%20West%20Lot%2008%201995.pdf)</t>
  </si>
  <si>
    <t>Nonferrous Foundries, Except Aluminum and Copper</t>
  </si>
  <si>
    <t>GROWS LDFL WASTE MGMT</t>
  </si>
  <si>
    <t>1513 BORDENTOWN ROAD</t>
  </si>
  <si>
    <t>MORRISVILLE</t>
  </si>
  <si>
    <t>AVALON COLUMBIA PIKE</t>
  </si>
  <si>
    <t>1028 S WALTER REED DR</t>
  </si>
  <si>
    <t>ARLINGTON</t>
  </si>
  <si>
    <t>Unknown how 1,1-DCA is used in excavation work</t>
  </si>
  <si>
    <t>Excavation Work</t>
  </si>
  <si>
    <t>ROCKINGHAM COUNTY LANDFILL</t>
  </si>
  <si>
    <t>813 GREENDALE ROAD</t>
  </si>
  <si>
    <t>HARRISONBURG</t>
  </si>
  <si>
    <t>4000 NORTH FAIRFAX DRIVE</t>
  </si>
  <si>
    <t>4000 N FAIRFAX DR</t>
  </si>
  <si>
    <t>Unknown - brief internet search shows this may be an apartment building</t>
  </si>
  <si>
    <t>25010 GARDINER FERRY RD</t>
  </si>
  <si>
    <t>4300 LLANO ROAD</t>
  </si>
  <si>
    <t>95407-8042</t>
  </si>
  <si>
    <t>OX MOUNTAIN LANDFILL</t>
  </si>
  <si>
    <t>12310 SAN MATEO ROAD</t>
  </si>
  <si>
    <t>94019-7112</t>
  </si>
  <si>
    <t>BUILDNG 924 CLEARWATER DRIVE</t>
  </si>
  <si>
    <t>2910 HILLTOP DRIVE</t>
  </si>
  <si>
    <t>4650 COAL MINE ROAD</t>
  </si>
  <si>
    <t>BP WEST COAST PRODUCTS, LLC/CARSON TERMI</t>
  </si>
  <si>
    <t>24696 S WILMINGTON AVE</t>
  </si>
  <si>
    <t>CARSON</t>
  </si>
  <si>
    <t>90745-6126</t>
  </si>
  <si>
    <t xml:space="preserve">The facility is a petroleum processor/refinery. 1,1 DCA detection may originate from natural gas combusted at the site. </t>
  </si>
  <si>
    <t>Petroleum Bulk Stations and Terminals (except petroleum sold via retail method)</t>
  </si>
  <si>
    <t>2200 E PACIFIC COAST HWY</t>
  </si>
  <si>
    <t xml:space="preserve">The source of 1,1 DCA contamination likely stems from the use of petroleum products to power equipment onsite, and the storage of petroleum products and chemicals onsite (https://www.vopak.com/terminals/vopak-terminal-los-angeles?language_content_entity=en). Petroleum product terminals have been previously mapped to “Natural Gas Engines” OES. </t>
  </si>
  <si>
    <t>3601 DOCK ST</t>
  </si>
  <si>
    <t>90731-7540</t>
  </si>
  <si>
    <t xml:space="preserve">The source of 1,1 DCA contamination likely stems from the use of petroleum products to power equipment onsite, and the storage of petroleum products and chemicals onsite (https://www.vopak.com/terminals/vopak-terminal-long-beach?language_content_entity=en). Petroleum product terminals have been previously mapped to “Natural Gas Engines” OES. </t>
  </si>
  <si>
    <t>TFX AVIATION, INC.</t>
  </si>
  <si>
    <t>3085 OLD CONEJO RD</t>
  </si>
  <si>
    <t>NEWBURY PARK</t>
  </si>
  <si>
    <t>According to internet search this is a cleanup site which indicates remediation (https://ordspub.epa.gov/ords/cimc/f?p=CIMC:RCRA:::::P14_RCRA_HANDLER_ID:CAD008383127)</t>
  </si>
  <si>
    <t>120 MAIN STREET</t>
  </si>
  <si>
    <t>23579 N BLOOMFIELD RD</t>
  </si>
  <si>
    <t>The site is a former gold mining site. 1,1 DCA has been used in mining for ore flotation (https://pubchem.ncbi.nlm.nih.gov/compound/1_1-Dichloroethane#section=Toxicity). Assume the ongoing exposure potential would be through remediation.</t>
  </si>
  <si>
    <t>Gold Ores</t>
  </si>
  <si>
    <t>125 W ALCOTT ROAD</t>
  </si>
  <si>
    <t>IMTT - LEMONT</t>
  </si>
  <si>
    <t>13589 MAIN STREET</t>
  </si>
  <si>
    <t>HEXION INC.. LOUISVILLE, KY</t>
  </si>
  <si>
    <t>6200 CAMPGROUND RD</t>
  </si>
  <si>
    <t>40216BRDNN6200C</t>
  </si>
  <si>
    <t>98 FRANCIS AVE</t>
  </si>
  <si>
    <t>705 GLEN GARRY RD</t>
  </si>
  <si>
    <t>334 E MAIN ST</t>
  </si>
  <si>
    <t>KY 32</t>
  </si>
  <si>
    <t>2600 RIVERFRONT DR</t>
  </si>
  <si>
    <t>350 NEW ST EAST</t>
  </si>
  <si>
    <t>5512 HITT LN</t>
  </si>
  <si>
    <t>40241-1235</t>
  </si>
  <si>
    <t>509 CAMPBELLSVILLE ST</t>
  </si>
  <si>
    <t>485 OLD FORD RD</t>
  </si>
  <si>
    <t>965 CORNISHVILLE RD</t>
  </si>
  <si>
    <t>235 MARSHALL GIBSON LN</t>
  </si>
  <si>
    <t>SIC and NAICS description indicate POTW</t>
  </si>
  <si>
    <t>1978 LOVERS LEAP RD</t>
  </si>
  <si>
    <t>LOWER RIVER ST</t>
  </si>
  <si>
    <t>US 41</t>
  </si>
  <si>
    <t>11621 LOWER RIVER RD</t>
  </si>
  <si>
    <t>6500 BYPASS RD</t>
  </si>
  <si>
    <t>40361-2156</t>
  </si>
  <si>
    <t>8405 CEDAR CREEK RD</t>
  </si>
  <si>
    <t>2775 HINKSTON PIKE</t>
  </si>
  <si>
    <t>1937 GREENS BOTTOM RD</t>
  </si>
  <si>
    <t>660 FALCON CREST DR</t>
  </si>
  <si>
    <t>BERCEN CHEMICALS, LLC</t>
  </si>
  <si>
    <t>30140 EDEN CHURCH RD</t>
  </si>
  <si>
    <t>70727BRCNNEDENC</t>
  </si>
  <si>
    <t>SIC description indicates processing as a reactant</t>
  </si>
  <si>
    <t>VOPAK TERMINAL WESTWEGO INC</t>
  </si>
  <si>
    <t>106 BRIDGE CITY AVENUE</t>
  </si>
  <si>
    <t>WESTWEGO</t>
  </si>
  <si>
    <t>70094-3511</t>
  </si>
  <si>
    <t>910 I-10 WEST</t>
  </si>
  <si>
    <t xml:space="preserve">Used mapping of other site with similar SIC description </t>
  </si>
  <si>
    <t>LACC, LLC US / LOTTE CHEMICAL LOUISIANA LLC</t>
  </si>
  <si>
    <t>2200 BAYOU D'INDE PASS</t>
  </si>
  <si>
    <t>BULL HN INFORMATION SYSTEMS INC</t>
  </si>
  <si>
    <t>5 GUEST STREET</t>
  </si>
  <si>
    <t>BRIGHTON</t>
  </si>
  <si>
    <t>Internet search indicates remediation (https://www3.epa.gov/region1/npdes/remediation/noi/2010/FormerBullHNInformationSystems2010NOI.pdf)</t>
  </si>
  <si>
    <t>CLEAN CORP</t>
  </si>
  <si>
    <t>229 - 231 NORTH MAIN STREET</t>
  </si>
  <si>
    <t>NATICK</t>
  </si>
  <si>
    <t>Internet search indicates remediation (https://www3.epa.gov/region1/npdes/remediation/noi/2010/CleanCorp2010NOI.pdf)</t>
  </si>
  <si>
    <t>BOSTON CHILDRENS HOSPITAL CLINICAL BUILDING (BCCB)</t>
  </si>
  <si>
    <t>55 SHATTUCK STREET</t>
  </si>
  <si>
    <t>Internet search indicates remediation (https://www3.epa.gov/region1/npdes/remediation/noi/2017/boston-childrens-hospital-clinical-bldg-boston-ma-mag910718.pdf)</t>
  </si>
  <si>
    <t>8501 STILLHOUSE ROAD</t>
  </si>
  <si>
    <t>SIC description indicates waste treatment and disposal</t>
  </si>
  <si>
    <t>VIRIDIS CHEMICAL, LLC</t>
  </si>
  <si>
    <t>3309 E. 8TH STREET</t>
  </si>
  <si>
    <t>BEEDE ELECTRICAL INSTRUMENT CO INC</t>
  </si>
  <si>
    <t>88 VILLAGE ST</t>
  </si>
  <si>
    <t>CONCORD</t>
  </si>
  <si>
    <t>03303-1959</t>
  </si>
  <si>
    <t>According to internet search this facility is no longer in operation - unknown if this is a remediation site or otherwise (https://www.concordmonitor.com/Archive/2014/10/Beede-cm-101114)</t>
  </si>
  <si>
    <t>FREUDENBERG NOK GNRL PRTNRSHP</t>
  </si>
  <si>
    <t>450 PLEASANT ST</t>
  </si>
  <si>
    <t>03222-3012</t>
  </si>
  <si>
    <t>03222FRDNBPOBOX</t>
  </si>
  <si>
    <t>According to internet search this is a cleanup site, which indicates remediation (https://ordspub.epa.gov/ords/cimc/f?p=CIMC:RCRA:::::P14_RCRA_HANDLER_ID:NHD001084672)</t>
  </si>
  <si>
    <t>JCI JONES CHEMICALS</t>
  </si>
  <si>
    <t>100 SUNNY SOL BLVD</t>
  </si>
  <si>
    <t>CALEDONIA</t>
  </si>
  <si>
    <t>14423-1080</t>
  </si>
  <si>
    <t>14423JNSCH100SU</t>
  </si>
  <si>
    <t>NOVA CHEMICALS INCORPORATED</t>
  </si>
  <si>
    <t>400 FRANKFORT RD</t>
  </si>
  <si>
    <t>15061RCCHMFRANK</t>
  </si>
  <si>
    <t>Assuming processing as a reactant based on SIC and NAICS descriptions</t>
  </si>
  <si>
    <t>1225 INDUSTRIAL DR</t>
  </si>
  <si>
    <t>PHILIPS ELECTRONICS N AMERICA</t>
  </si>
  <si>
    <t>6071 ST ANDREWS RD</t>
  </si>
  <si>
    <t>Electronic Capacitors</t>
  </si>
  <si>
    <t>100 EASTMAN ROAD</t>
  </si>
  <si>
    <t>37662TNNSSEASTM</t>
  </si>
  <si>
    <t>4509 WEST STONE DRIVE (AREA B)INDUSTRIAL DRIVE (</t>
  </si>
  <si>
    <t>Assumed processing as a reactant based on SIC description and brief internet search (https://www.baesystems.com/en-us/what-we-do/land), but could also potentially be laboratory use</t>
  </si>
  <si>
    <t>Explosives</t>
  </si>
  <si>
    <t>2727 MILLER CUT-OFF ROAD</t>
  </si>
  <si>
    <t>77572MTTNM2727M</t>
  </si>
  <si>
    <t>WARREN COUNTY - SANITARY LANDF</t>
  </si>
  <si>
    <t>232 SHANGRI-LA RD</t>
  </si>
  <si>
    <t>BENTONVILLE</t>
  </si>
  <si>
    <t>FOUNDERS ROW</t>
  </si>
  <si>
    <t>100 FOUNDERS AVENUE</t>
  </si>
  <si>
    <t>FALLS CHURCH</t>
  </si>
  <si>
    <t>AMERICAN PHYSICAL THERAPY ASSOCIATION</t>
  </si>
  <si>
    <t>3030 POTOMAC AVE</t>
  </si>
  <si>
    <t>650 JORDAN STREET</t>
  </si>
  <si>
    <t>715 W 4TH ST</t>
  </si>
  <si>
    <t>485 E VILLA AVE</t>
  </si>
  <si>
    <t>Suggested OES, “Natural gas engines.” Based on https://www.powereng.com/library/el-centro-unit-3-combined-cycle-repower-oe &amp; https://www.energy.ca.gov/powerplant/simple-cycle/el-centro-generating-station-unit-3</t>
  </si>
  <si>
    <t>Fish Hatcheries and Preserves (finfish hatcheries)</t>
  </si>
  <si>
    <t>1565 DEER CREEK ROAD</t>
  </si>
  <si>
    <t>SAND ISLAND WWTP</t>
  </si>
  <si>
    <t>1350 SAND ISLAND PARKWAY</t>
  </si>
  <si>
    <t>96819-4319</t>
  </si>
  <si>
    <t>BUILDING 0892, MARINE CORPS BASE HAWAII KANEOHE BA</t>
  </si>
  <si>
    <t>PACIFIC NAVAL FACILITIES ENGINEERING COMMAND</t>
  </si>
  <si>
    <t>96860-5101</t>
  </si>
  <si>
    <t>3872 COUNTY HWY 12</t>
  </si>
  <si>
    <t>62257-3434</t>
  </si>
  <si>
    <t>6225WPRRST1739N</t>
  </si>
  <si>
    <t>Fuels and Related Products</t>
  </si>
  <si>
    <t xml:space="preserve">The site is a coal power plant. 1,1 DCA has been known to be released into the environment at coal powered power plants (https://www.atsdr.cdc.gov/toxprofiles/tp133-c6.pdf). The site is using coal to generate electricity. ERG is suggesting fuel use (coal) as the recommended OES.  </t>
  </si>
  <si>
    <t>Electric Services (hydroelectric power generation)</t>
  </si>
  <si>
    <t>7440 W DUPONT RD</t>
  </si>
  <si>
    <t>60450-8375</t>
  </si>
  <si>
    <t>60450RCHHL7440W</t>
  </si>
  <si>
    <t>OWENSBORO SPECIALTY POLYMERS</t>
  </si>
  <si>
    <t>5529 HWY 2830</t>
  </si>
  <si>
    <t>42303HMPSH5529U</t>
  </si>
  <si>
    <t>ISP CHEMICALS LLC -- CALVERT CITY</t>
  </si>
  <si>
    <t>455 N MAIN ST</t>
  </si>
  <si>
    <t>42029GFCHMHIGHW</t>
  </si>
  <si>
    <t>1201 EWING RD N</t>
  </si>
  <si>
    <t>338 KENTUCKY AVE</t>
  </si>
  <si>
    <t>499 E 4TH ST</t>
  </si>
  <si>
    <t>236 LAGOON TRAIL</t>
  </si>
  <si>
    <t>40741-1120</t>
  </si>
  <si>
    <t>1364 MCCLURE CHAPEL RD</t>
  </si>
  <si>
    <t>2999 AMSTERDAM RD</t>
  </si>
  <si>
    <t>2501 GAITHER STATION RD</t>
  </si>
  <si>
    <t>42701-7353</t>
  </si>
  <si>
    <t>621 NORTHVIEW ST</t>
  </si>
  <si>
    <t>101 WURTS RD</t>
  </si>
  <si>
    <t>2105 HODGENVILLE RD</t>
  </si>
  <si>
    <t>1722 PLEASANT VALLEY RD</t>
  </si>
  <si>
    <t>MENELAUS RD</t>
  </si>
  <si>
    <t>900 CHERRY BLOSSOM WAY</t>
  </si>
  <si>
    <t>1715 AC SLATON RD</t>
  </si>
  <si>
    <t>3095 SUTHERLAND DR</t>
  </si>
  <si>
    <t>1901 LANDING RD</t>
  </si>
  <si>
    <t>KENDALL SPRINGS RD</t>
  </si>
  <si>
    <t>OLD BOONESBOROUGH RD</t>
  </si>
  <si>
    <t>3300 STEWARTSVILLE RD</t>
  </si>
  <si>
    <t>TRIMAC TRANSPORTATION INC - TRIMAC GEISMAR TERMINAL</t>
  </si>
  <si>
    <t>35072 HWY 30</t>
  </si>
  <si>
    <t>Unknown - seems like this would be something like "distribution in commerce"</t>
  </si>
  <si>
    <t>TEXTRON, INC. - FORMER SILVER COMPANY</t>
  </si>
  <si>
    <t>340 SOUTH STREET</t>
  </si>
  <si>
    <t>MANSFIELD</t>
  </si>
  <si>
    <t>Internet search indicates remediation (https://www3.epa.gov/region1/npdes/remediation/noi/2018/fmr-gorham-silver-co-mansfield-mag910022.pdf)</t>
  </si>
  <si>
    <t>OLIN CHEMICAL SITE</t>
  </si>
  <si>
    <t>51 EAMES ST</t>
  </si>
  <si>
    <t>FORMER BULL HN INFORMATIONS SYSTEMS, INC.</t>
  </si>
  <si>
    <t>38 LIFE ST</t>
  </si>
  <si>
    <t>Internet search indicates remediation; assuming same as previous row (https://www3.epa.gov/region1/npdes/remediation/noi/2010/FormerBullHNInformationSystems2010NOI.pdf)</t>
  </si>
  <si>
    <t>IRON HORSE PARK</t>
  </si>
  <si>
    <t>600-1000 IRON HORSE PARK</t>
  </si>
  <si>
    <t>BILLERICA</t>
  </si>
  <si>
    <t>8021 GEORGIA AVENUE</t>
  </si>
  <si>
    <t>General Contractors - Residential Buildings Other Than Single-Family (except remodeling contractors, hotel and motel construction contractors, and dormitory and barrack construction contractors)</t>
  </si>
  <si>
    <t>MAHLE INC-MUSKEGON HTS COMPLEX</t>
  </si>
  <si>
    <t>2001 SANFORD STREET</t>
  </si>
  <si>
    <t>MUSKEGON</t>
  </si>
  <si>
    <t>49444-1025</t>
  </si>
  <si>
    <t>WACKER CHEMICAL CORP</t>
  </si>
  <si>
    <t>3301 SUTTON ROAD</t>
  </si>
  <si>
    <t>49221WCKRS3301S</t>
  </si>
  <si>
    <t>VERONA WELL FIELD RD/RA GROUP</t>
  </si>
  <si>
    <t>250 BRIGDEN DRIVE</t>
  </si>
  <si>
    <t>49014-6612</t>
  </si>
  <si>
    <t>This is a Superfund site, which indicates remediation based on internet search (https://cumulis.epa.gov/supercpad/cursites/csitinfo.cfm?id=0503011)</t>
  </si>
  <si>
    <t>8230 WEST FOREST LAWN ROAD</t>
  </si>
  <si>
    <t>EGLE-RRD-AUSTIN TUBE PROD</t>
  </si>
  <si>
    <t>4307 SANBORN CREEK</t>
  </si>
  <si>
    <t>BALDWIN</t>
  </si>
  <si>
    <t>The exact source of 1,1 DCA is unknown. No further information about the site could be found online. Remediation is suggested as the OES based on the SIC code (column T) and information in column W.</t>
  </si>
  <si>
    <t>Fabricated Pipe and Pipe Fittings</t>
  </si>
  <si>
    <t>BOSCH SECURITY SYSTEMS, INC.</t>
  </si>
  <si>
    <t>8601 E CORNHUSKER HIGHWAY</t>
  </si>
  <si>
    <t>LINCOLN</t>
  </si>
  <si>
    <t>68507-9740</t>
  </si>
  <si>
    <t>1400 PARK AVE</t>
  </si>
  <si>
    <t>07036XXNXX1400P</t>
  </si>
  <si>
    <t xml:space="preserve">The facility is a petroleum processes/refinery. 1,1 DCA detection may be originating from natural gas (if used) combusted at the site. </t>
  </si>
  <si>
    <t>FIRMENICH INC</t>
  </si>
  <si>
    <t>250 PLAINSBORO RD</t>
  </si>
  <si>
    <t>PRINCETON</t>
  </si>
  <si>
    <t>SOLVAY HCTS</t>
  </si>
  <si>
    <t>653 MANTUA GRV RD</t>
  </si>
  <si>
    <t>WEST DEPTFORD TWP</t>
  </si>
  <si>
    <t>According to internet search this is a cleanup site, which indicates remediation (https://www.epa.gov/hwcorrectiveactioncleanups/hazardous-waste-cleanup-solvey-specialty-polymers-usa-llc-thorofare-new)</t>
  </si>
  <si>
    <t>SOMERSET ST GROUNDWATER TREATMENT FACILITY</t>
  </si>
  <si>
    <t>25 SOMERSET ST</t>
  </si>
  <si>
    <t>HOPEWELL BORO</t>
  </si>
  <si>
    <t>3570 SOUTH LAS VEGAS BOULEVARD</t>
  </si>
  <si>
    <t>Unknown how 1,1-DCA is used in hotels and motels</t>
  </si>
  <si>
    <t>315 7TH STREET</t>
  </si>
  <si>
    <t>Elementary and Secondary Schools</t>
  </si>
  <si>
    <t>4471 DEAN MARTIN DRIVE</t>
  </si>
  <si>
    <t>Unknown how 1,1-DCA is used in housing authorities</t>
  </si>
  <si>
    <t>Real Estate Agents and Managers (operating housing authorities)</t>
  </si>
  <si>
    <t>3883 HOWARD HUGHES PARKWAY</t>
  </si>
  <si>
    <t>Unknown how 1,1-DCA is used by building operators</t>
  </si>
  <si>
    <t>Operators of Nonresidential Buildings (except stadium and arena owners)</t>
  </si>
  <si>
    <t>3000 SOUTH LAS VEGAS BLVD, SOUTH</t>
  </si>
  <si>
    <t>3150 PARADISE ROAD</t>
  </si>
  <si>
    <t>SABIC INNOVATIVE PLASTICS</t>
  </si>
  <si>
    <t>NORYL AVENUE</t>
  </si>
  <si>
    <t>SELKIRK</t>
  </si>
  <si>
    <t>12158GNRLLNORYL</t>
  </si>
  <si>
    <t>200 ROUTE 413</t>
  </si>
  <si>
    <t>INSTITUTE FOR DEFENSE ANALYSES POTOMAC YARD</t>
  </si>
  <si>
    <t>701 E GLEBE RD</t>
  </si>
  <si>
    <t>TYSONS CENTRAL PROJECT</t>
  </si>
  <si>
    <t>1747 TYSONS CENTRAL ST</t>
  </si>
  <si>
    <t>TYSONS</t>
  </si>
  <si>
    <t>ALEXANDRIA BUS DEPOT</t>
  </si>
  <si>
    <t>600 N ROYAL ST</t>
  </si>
  <si>
    <t>METRO VIRGINIA OFFICE BUILDING</t>
  </si>
  <si>
    <t>2395 MILL RD</t>
  </si>
  <si>
    <t>METROPOLITAN PARK 678</t>
  </si>
  <si>
    <t>1400 S EADS ST</t>
  </si>
  <si>
    <t>POTOMAC YARDS LANDBAY H/I</t>
  </si>
  <si>
    <t>2551 MAIN LINE BLVD</t>
  </si>
  <si>
    <t>NAICS Codes</t>
  </si>
  <si>
    <t>NAICS Descriptions</t>
  </si>
  <si>
    <t>Basis</t>
  </si>
  <si>
    <t>2017 NAICS U.S. Matched to 2022 NAICS U.S. (Full Concordance)</t>
  </si>
  <si>
    <t>(Note:  2022 NAICS codes in bold indicate pieces of the 2022 industry came from more than one 2017 NAICS industry; 2017 NAICS codes in italics indicate the 2017 industry split to two or more 2022 NAICS industries.)</t>
  </si>
  <si>
    <t>2017 NAICS Code</t>
  </si>
  <si>
    <r>
      <t>2017 NAICS Title
(</t>
    </r>
    <r>
      <rPr>
        <b/>
        <i/>
        <sz val="10"/>
        <rFont val="Arial"/>
        <family val="2"/>
      </rPr>
      <t xml:space="preserve">and specific piece of the 2017 industry that is contained in the 2022 industry) </t>
    </r>
  </si>
  <si>
    <t>2022 NAICS Code</t>
  </si>
  <si>
    <t>2022 NAICS Title</t>
  </si>
  <si>
    <t>Soybean Farming</t>
  </si>
  <si>
    <t>Oilseed (except Soybean) Farming</t>
  </si>
  <si>
    <t>Dry Pea and Bean Farming</t>
  </si>
  <si>
    <t>Wheat Farming</t>
  </si>
  <si>
    <t>Corn Farming</t>
  </si>
  <si>
    <t>Rice Farming</t>
  </si>
  <si>
    <t>Oilseed and Grain Combination Farming</t>
  </si>
  <si>
    <t>All Other Grain Farming</t>
  </si>
  <si>
    <t>Potato Farming</t>
  </si>
  <si>
    <t>Other Vegetable (except Potato) and Melon Farming</t>
  </si>
  <si>
    <t>Orange Groves</t>
  </si>
  <si>
    <t>Citrus (except Orange) Groves</t>
  </si>
  <si>
    <t>Apple Orchards</t>
  </si>
  <si>
    <t>Grape Vineyards</t>
  </si>
  <si>
    <t>Strawberry Farming</t>
  </si>
  <si>
    <t>Berry (except Strawberry) Farming</t>
  </si>
  <si>
    <t>Tree Nut Farming</t>
  </si>
  <si>
    <t>Fruit and Tree Nut Combination Farming</t>
  </si>
  <si>
    <t>Other Noncitrus Fruit Farming</t>
  </si>
  <si>
    <t>Mushroom Production</t>
  </si>
  <si>
    <t>Other Food Crops Grown Under Cover</t>
  </si>
  <si>
    <t>Nursery and Tree Production</t>
  </si>
  <si>
    <t>Floriculture Production</t>
  </si>
  <si>
    <t>Tobacco Farming</t>
  </si>
  <si>
    <t>Cotton Farming</t>
  </si>
  <si>
    <t>Sugarcane Farming</t>
  </si>
  <si>
    <t>Hay Farming</t>
  </si>
  <si>
    <t>Sugar Beet Farming</t>
  </si>
  <si>
    <t>Peanut Farming</t>
  </si>
  <si>
    <t>All Other Miscellaneous Crop Farming</t>
  </si>
  <si>
    <t>Beef Cattle Ranching and Farming</t>
  </si>
  <si>
    <t>Cattle Feedlots</t>
  </si>
  <si>
    <t>Dairy Cattle and Milk Production</t>
  </si>
  <si>
    <t>Dual-Purpose Cattle Ranching and Farming</t>
  </si>
  <si>
    <t>Hog and Pig Farming</t>
  </si>
  <si>
    <t>Chicken Egg Production</t>
  </si>
  <si>
    <t>Broilers and Other Meat Type Chicken Production</t>
  </si>
  <si>
    <t>Turkey Production</t>
  </si>
  <si>
    <t>Poultry Hatcheries</t>
  </si>
  <si>
    <t>Other Poultry Production</t>
  </si>
  <si>
    <t>Sheep Farming</t>
  </si>
  <si>
    <t>Goat Farming</t>
  </si>
  <si>
    <t>Finfish Farming and Fish Hatcheries</t>
  </si>
  <si>
    <t>Shellfish Farming</t>
  </si>
  <si>
    <t>Other Aquaculture</t>
  </si>
  <si>
    <t>Apiculture</t>
  </si>
  <si>
    <t>Horses and Other Equine Production</t>
  </si>
  <si>
    <t>Fur-Bearing Animal and Rabbit Production</t>
  </si>
  <si>
    <t>All Other Animal Production</t>
  </si>
  <si>
    <t>Timber Tract Operations</t>
  </si>
  <si>
    <t>Forest Nurseries and Gathering of Forest Products</t>
  </si>
  <si>
    <t>Logging</t>
  </si>
  <si>
    <t>Finfish Fishing</t>
  </si>
  <si>
    <t>Shellfish Fishing</t>
  </si>
  <si>
    <t>Other Marine Fishing</t>
  </si>
  <si>
    <t>Hunting and Trapping</t>
  </si>
  <si>
    <t>Cotton Ginning</t>
  </si>
  <si>
    <t>Soil Preparation, Planting, and Cultivating</t>
  </si>
  <si>
    <t>Crop Harvesting, Primarily by Machine</t>
  </si>
  <si>
    <t>Postharvest Crop Activities (except Cotton Ginning)</t>
  </si>
  <si>
    <t>Farm Labor Contractors and Crew Leaders</t>
  </si>
  <si>
    <t>Farm Management Services</t>
  </si>
  <si>
    <t>Support Activities for Animal Production</t>
  </si>
  <si>
    <t>Support Activities for Forestry</t>
  </si>
  <si>
    <t>Crude Petroleum Extraction</t>
  </si>
  <si>
    <t>Natural Gas Extraction</t>
  </si>
  <si>
    <t>Bituminous Coal and Lignite Surface Mining</t>
  </si>
  <si>
    <t>Surface Coal Mining</t>
  </si>
  <si>
    <r>
      <t xml:space="preserve">Anthracite Mining - </t>
    </r>
    <r>
      <rPr>
        <i/>
        <sz val="10"/>
        <rFont val="Arial"/>
        <family val="2"/>
      </rPr>
      <t>anthracite surface mining</t>
    </r>
  </si>
  <si>
    <t>Bituminous Coal Underground Mining</t>
  </si>
  <si>
    <t>Underground Coal Mining</t>
  </si>
  <si>
    <r>
      <t xml:space="preserve">Anthracite Mining - </t>
    </r>
    <r>
      <rPr>
        <i/>
        <sz val="10"/>
        <rFont val="Arial"/>
        <family val="2"/>
      </rPr>
      <t>anthracite underground mining</t>
    </r>
  </si>
  <si>
    <t>Iron Ore Mining</t>
  </si>
  <si>
    <t>Gold Ore Mining</t>
  </si>
  <si>
    <t>Gold Ore and Silver Ore Mining</t>
  </si>
  <si>
    <t>Silver Ore Mining</t>
  </si>
  <si>
    <t>Copper, Nickel, Lead, and Zinc Mining</t>
  </si>
  <si>
    <t>Uranium-Radium-Vanadium Ore Mining</t>
  </si>
  <si>
    <t>Other Metal Ore Mining</t>
  </si>
  <si>
    <t>All Other Metal Ore Mining</t>
  </si>
  <si>
    <t>Dimension Stone Mining and Quarrying</t>
  </si>
  <si>
    <t>Crushed and Broken Limestone Mining and Quarrying</t>
  </si>
  <si>
    <t>Crushed and Broken Granite Mining and Quarrying</t>
  </si>
  <si>
    <t>Other Crushed and Broken Stone Mining and Quarrying</t>
  </si>
  <si>
    <t>Construction Sand and Gravel Mining</t>
  </si>
  <si>
    <t>Industrial Sand Mining</t>
  </si>
  <si>
    <t>Kaolin and Ball Clay Mining</t>
  </si>
  <si>
    <t>Kaolin, Clay, and Ceramic and Refractory Minerals Mining</t>
  </si>
  <si>
    <t>Clay and Ceramic and Refractory Minerals Mining</t>
  </si>
  <si>
    <t>Potash, Soda, and Borate Mineral Mining</t>
  </si>
  <si>
    <t>Other Nonmetallic Mineral Mining and Quarrying</t>
  </si>
  <si>
    <t>Phosphate Rock Mining</t>
  </si>
  <si>
    <t>Other Chemical and Fertilizer Mineral Mining</t>
  </si>
  <si>
    <t>All Other Nonmetallic Mineral Mining</t>
  </si>
  <si>
    <t>Drilling Oil and Gas Wells</t>
  </si>
  <si>
    <t>Support Activities for Oil and Gas Operations</t>
  </si>
  <si>
    <t>Support Activities for Coal Mining</t>
  </si>
  <si>
    <t>Support Activities for Metal Mining</t>
  </si>
  <si>
    <t>Support Activities for Nonmetallic Minerals (except Fuels) Mining</t>
  </si>
  <si>
    <t>Hydroelectric Power Generation</t>
  </si>
  <si>
    <t>Fossil Fuel Electric Power Generation</t>
  </si>
  <si>
    <t>Nuclear Electric Power Generation</t>
  </si>
  <si>
    <t>Solar Electric Power Generation</t>
  </si>
  <si>
    <t>Wind Electric Power Generation</t>
  </si>
  <si>
    <t>Geothermal Electric Power Generation</t>
  </si>
  <si>
    <t>Biomass Electric Power Generation</t>
  </si>
  <si>
    <t>Other Electric Power Generation</t>
  </si>
  <si>
    <t>Electric Bulk Power Transmission and Control</t>
  </si>
  <si>
    <t>Electric Power Distribution</t>
  </si>
  <si>
    <t>Natural Gas Distribution</t>
  </si>
  <si>
    <t>Water Supply and Irrigation Systems</t>
  </si>
  <si>
    <t>Sewage Treatment Facilities</t>
  </si>
  <si>
    <t>Steam and Air-Conditioning Supply</t>
  </si>
  <si>
    <t>New Single-Family Housing Construction (except For-Sale Builders)</t>
  </si>
  <si>
    <t>New Multifamily Housing Construction (except For-Sale Builders)</t>
  </si>
  <si>
    <t>New Housing For-Sale Builders</t>
  </si>
  <si>
    <t>Residential Remodelers</t>
  </si>
  <si>
    <t>Industrial Building Construction</t>
  </si>
  <si>
    <t>Commercial and Institutional Building Construction</t>
  </si>
  <si>
    <t>Water and Sewer Line and Related Structures Construction</t>
  </si>
  <si>
    <t>Oil and Gas Pipeline and Related Structures Construction</t>
  </si>
  <si>
    <t>Power and Communication Line and Related Structures Construction</t>
  </si>
  <si>
    <t>Land Subdivision</t>
  </si>
  <si>
    <t>Highway, Street, and Bridge Construction</t>
  </si>
  <si>
    <t>Other Heavy and Civil Engineering Construction</t>
  </si>
  <si>
    <t>Poured Concrete Foundation and Structure Contractors</t>
  </si>
  <si>
    <t>Structural Steel and Precast Concrete Contractors</t>
  </si>
  <si>
    <t>Framing Contractors</t>
  </si>
  <si>
    <t>Masonry Contractors</t>
  </si>
  <si>
    <t>Glass and Glazing Contractors</t>
  </si>
  <si>
    <t>Roofing Contractors</t>
  </si>
  <si>
    <t>Siding Contractors</t>
  </si>
  <si>
    <t>Other Foundation, Structure, and Building Exterior Contractors</t>
  </si>
  <si>
    <t>Electrical Contractors and Other Wiring Installation Contractors</t>
  </si>
  <si>
    <t>Plumbing, Heating, and Air-Conditioning Contractors</t>
  </si>
  <si>
    <t>Other Building Equipment Contractors</t>
  </si>
  <si>
    <t>Drywall and Insulation Contractors</t>
  </si>
  <si>
    <t>Painting and Wall Covering Contractors</t>
  </si>
  <si>
    <t>Flooring Contractors</t>
  </si>
  <si>
    <t>Tile and Terrazzo Contractors</t>
  </si>
  <si>
    <t>Finish Carpentry Contractors</t>
  </si>
  <si>
    <t>Other Building Finishing Contractors</t>
  </si>
  <si>
    <t>Site Preparation Contractors</t>
  </si>
  <si>
    <t>All Other Specialty Trade Contractors</t>
  </si>
  <si>
    <t>Dog and Cat Food Manufacturing</t>
  </si>
  <si>
    <t>Other Animal Food Manufacturing</t>
  </si>
  <si>
    <t>Flour Milling</t>
  </si>
  <si>
    <t>Rice Milling</t>
  </si>
  <si>
    <t>Malt Manufacturing</t>
  </si>
  <si>
    <t>Wet Corn Milling</t>
  </si>
  <si>
    <t>Wet Corn Milling and Starch Manufacturing</t>
  </si>
  <si>
    <t>Soybean and Other Oilseed Processing</t>
  </si>
  <si>
    <t>Fats and Oils Refining and Blending</t>
  </si>
  <si>
    <t>Breakfast Cereal Manufacturing</t>
  </si>
  <si>
    <t>Beet Sugar Manufacturing</t>
  </si>
  <si>
    <t>Cane Sugar Manufacturing</t>
  </si>
  <si>
    <t>Nonchocolate Confectionery Manufacturing</t>
  </si>
  <si>
    <t>Chocolate and Confectionery Manufacturing from Cacao Beans</t>
  </si>
  <si>
    <t>Confectionery Manufacturing from Purchased Chocolate</t>
  </si>
  <si>
    <t>Frozen Fruit, Juice, and Vegetable Manufacturing</t>
  </si>
  <si>
    <t>Frozen Specialty Food Manufacturing</t>
  </si>
  <si>
    <t>Fruit and Vegetable Canning</t>
  </si>
  <si>
    <t>Specialty Canning</t>
  </si>
  <si>
    <t>Dried and Dehydrated Food Manufacturing</t>
  </si>
  <si>
    <t>Fluid Milk Manufacturing</t>
  </si>
  <si>
    <t>Creamery Butter Manufacturing</t>
  </si>
  <si>
    <t>Cheese Manufacturing</t>
  </si>
  <si>
    <t>Dry, Condensed, and Evaporated Dairy Product Manufacturing</t>
  </si>
  <si>
    <t>Ice Cream and Frozen Dessert Manufacturing</t>
  </si>
  <si>
    <t>Animal (except Poultry) Slaughtering</t>
  </si>
  <si>
    <t>Meat Processed from Carcasses</t>
  </si>
  <si>
    <t>Rendering and Meat Byproduct Processing</t>
  </si>
  <si>
    <t>Poultry Processing</t>
  </si>
  <si>
    <t>Seafood Product Preparation and Packaging</t>
  </si>
  <si>
    <t>Retail Bakeries</t>
  </si>
  <si>
    <t>Commercial Bakeries</t>
  </si>
  <si>
    <t>Frozen Cakes, Pies, and Other Pastries Manufacturing</t>
  </si>
  <si>
    <t>Cookie and Cracker Manufacturing</t>
  </si>
  <si>
    <t>Dry Pasta, Dough, and Flour Mixes Manufacturing from Purchased Flour</t>
  </si>
  <si>
    <t>Tortilla Manufacturing</t>
  </si>
  <si>
    <t>Roasted Nuts and Peanut Butter Manufacturing</t>
  </si>
  <si>
    <t>Other Snack Food Manufacturing</t>
  </si>
  <si>
    <t>Coffee and Tea Manufacturing</t>
  </si>
  <si>
    <t>Flavoring Syrup and Concentrate Manufacturing</t>
  </si>
  <si>
    <t>Mayonnaise, Dressing, and Other Prepared Sauce Manufacturing</t>
  </si>
  <si>
    <t>Spice and Extract Manufacturing</t>
  </si>
  <si>
    <t>Perishable Prepared Food Manufacturing</t>
  </si>
  <si>
    <t>All Other Miscellaneous Food Manufacturing</t>
  </si>
  <si>
    <t>Soft Drink Manufacturing</t>
  </si>
  <si>
    <t>Bottled Water Manufacturing</t>
  </si>
  <si>
    <t>Ice Manufacturing</t>
  </si>
  <si>
    <t>Breweries</t>
  </si>
  <si>
    <t>Wineries</t>
  </si>
  <si>
    <t>Distilleries</t>
  </si>
  <si>
    <t>Tobacco Manufacturing</t>
  </si>
  <si>
    <t>Fiber, Yarn, and Thread Mills</t>
  </si>
  <si>
    <t>Broadwoven Fabric Mills</t>
  </si>
  <si>
    <t>Narrow Fabric Mills and Schiffli Machine Embroidery</t>
  </si>
  <si>
    <t>Nonwoven Fabric Mills</t>
  </si>
  <si>
    <t>Knit Fabric Mills</t>
  </si>
  <si>
    <t>Textile and Fabric Finishing Mills</t>
  </si>
  <si>
    <t>Fabric Coating Mills</t>
  </si>
  <si>
    <t>Carpet and Rug Mills</t>
  </si>
  <si>
    <t>Curtain and Linen Mills</t>
  </si>
  <si>
    <t>Textile Bag and Canvas Mills</t>
  </si>
  <si>
    <t>Rope, Cordage, Twine, Tire Cord, and Tire Fabric Mills</t>
  </si>
  <si>
    <t>All Other Miscellaneous Textile Product Mills</t>
  </si>
  <si>
    <t>Hosiery and Sock Mills</t>
  </si>
  <si>
    <t>Apparel Knitting Mills</t>
  </si>
  <si>
    <t>Other Apparel Knitting Mills</t>
  </si>
  <si>
    <t>Cut and Sew Apparel Contractors</t>
  </si>
  <si>
    <t>Men's and Boys' Cut and Sew Apparel Manufacturing</t>
  </si>
  <si>
    <t>Cut and Sew Apparel Manufacturing (except Contractors)</t>
  </si>
  <si>
    <t>Women's, Girls', and Infants' Cut and Sew Apparel Manufacturing</t>
  </si>
  <si>
    <t>Other Cut and Sew Apparel Manufacturing</t>
  </si>
  <si>
    <t>Apparel Accessories and Other Apparel Manufacturing</t>
  </si>
  <si>
    <t>Leather and Hide Tanning and Finishing</t>
  </si>
  <si>
    <t>Footwear Manufacturing</t>
  </si>
  <si>
    <t>Women's Handbag and Purse Manufacturing</t>
  </si>
  <si>
    <t>Other Leather and Allied Product Manufacturing</t>
  </si>
  <si>
    <t>All Other Leather Good and Allied Product Manufacturing</t>
  </si>
  <si>
    <t>Sawmills</t>
  </si>
  <si>
    <t>Wood Preservation</t>
  </si>
  <si>
    <t>Hardwood Veneer and Plywood Manufacturing</t>
  </si>
  <si>
    <t>Softwood Veneer and Plywood Manufacturing</t>
  </si>
  <si>
    <t>Engineered Wood Member (except Truss) Manufacturing</t>
  </si>
  <si>
    <t>Engineered Wood Member Manufacturing</t>
  </si>
  <si>
    <t>Truss Manufacturing</t>
  </si>
  <si>
    <t>Reconstituted Wood Product Manufacturing</t>
  </si>
  <si>
    <t>Wood Window and Door Manufacturing</t>
  </si>
  <si>
    <t>Cut Stock, Resawing Lumber, and Planing</t>
  </si>
  <si>
    <t>Other Millwork (including Flooring)</t>
  </si>
  <si>
    <t>Wood Container and Pallet Manufacturing</t>
  </si>
  <si>
    <t>Manufactured Home (Mobile Home) Manufacturing</t>
  </si>
  <si>
    <t>Prefabricated Wood Building Manufacturing</t>
  </si>
  <si>
    <t>All Other Miscellaneous Wood Product Manufacturing</t>
  </si>
  <si>
    <t>Pulp Mills</t>
  </si>
  <si>
    <t>Paper (except Newsprint) Mills</t>
  </si>
  <si>
    <t>Paper Mills</t>
  </si>
  <si>
    <t>Newsprint Mills</t>
  </si>
  <si>
    <t>Paperboard Mills</t>
  </si>
  <si>
    <t>Corrugated and Solid Fiber Box Manufacturing</t>
  </si>
  <si>
    <t>Folding Paperboard Box Manufacturing</t>
  </si>
  <si>
    <t>Other Paperboard Container Manufacturing</t>
  </si>
  <si>
    <t>Paper Bag and Coated and Treated Paper Manufacturing</t>
  </si>
  <si>
    <t>Stationery Product Manufacturing</t>
  </si>
  <si>
    <t>Sanitary Paper Product Manufacturing</t>
  </si>
  <si>
    <t>All Other Converted Paper Product Manufacturing</t>
  </si>
  <si>
    <t>Commercial Printing (except Screen and Books)</t>
  </si>
  <si>
    <t>Commercial Screen Printing</t>
  </si>
  <si>
    <t>Books Printing</t>
  </si>
  <si>
    <t>Petroleum Refineries</t>
  </si>
  <si>
    <t>Asphalt Paving Mixture and Block Manufacturing</t>
  </si>
  <si>
    <t>Asphalt Shingle and Coating Materials Manufacturing</t>
  </si>
  <si>
    <t>Petroleum Lubricating Oil and Grease Manufacturing</t>
  </si>
  <si>
    <t>All Other Petroleum and Coal Products Manufacturing</t>
  </si>
  <si>
    <t>Petrochemical Manufacturing</t>
  </si>
  <si>
    <t>Industrial Gas Manufacturing</t>
  </si>
  <si>
    <t>Synthetic Dye and Pigment Manufacturing</t>
  </si>
  <si>
    <t>Ethyl Alcohol Manufacturing</t>
  </si>
  <si>
    <t>Cyclic Crude, Intermediate, and Gum and Wood Chemical Manufacturing</t>
  </si>
  <si>
    <t>Synthetic Rubber Manufacturing</t>
  </si>
  <si>
    <t>Artificial and Synthetic Fibers and Filaments Manufacturing</t>
  </si>
  <si>
    <t>Nitrogenous Fertilizer Manufacturing</t>
  </si>
  <si>
    <t>Phosphatic Fertilizer Manufacturing</t>
  </si>
  <si>
    <r>
      <t xml:space="preserve">Fertilizer (Mixing Only) Manufacturing - </t>
    </r>
    <r>
      <rPr>
        <i/>
        <sz val="10"/>
        <rFont val="Arial"/>
        <family val="2"/>
      </rPr>
      <t>except compost manufacturing</t>
    </r>
  </si>
  <si>
    <t>Fertilizer (Mixing Only) Manufacturing</t>
  </si>
  <si>
    <r>
      <t xml:space="preserve">Fertilizer (Mixing Only) Manufacturing - </t>
    </r>
    <r>
      <rPr>
        <i/>
        <sz val="10"/>
        <rFont val="Arial"/>
        <family val="2"/>
      </rPr>
      <t>compost manufacturing</t>
    </r>
  </si>
  <si>
    <t>Compost Manufacturing</t>
  </si>
  <si>
    <t>Pesticide and Other Agricultural Chemical Manufacturing</t>
  </si>
  <si>
    <t>Medicinal and Botanical Manufacturing</t>
  </si>
  <si>
    <t>Pharmaceutical Preparation Manufacturing</t>
  </si>
  <si>
    <t>In-Vitro Diagnostic Substance Manufacturing</t>
  </si>
  <si>
    <t>Biological Product (except Diagnostic) Manufacturing</t>
  </si>
  <si>
    <t>Paint and Coating Manufacturing</t>
  </si>
  <si>
    <t>Adhesive Manufacturing</t>
  </si>
  <si>
    <t>Soap and Other Detergent Manufacturing</t>
  </si>
  <si>
    <t>Polish and Other Sanitation Good Manufacturing</t>
  </si>
  <si>
    <t>Surface Active Agent Manufacturing</t>
  </si>
  <si>
    <t>Toilet Preparation Manufacturing</t>
  </si>
  <si>
    <t>Printing Ink Manufacturing</t>
  </si>
  <si>
    <t>Explosives Manufacturing</t>
  </si>
  <si>
    <t>Custom Compounding of Purchased Resins</t>
  </si>
  <si>
    <t>Photographic Film, Paper, Plate, and Chemical Manufacturing</t>
  </si>
  <si>
    <t>Photographic Film, Paper, Plate, Chemical, and Copy Toner Manufacturing</t>
  </si>
  <si>
    <t>Plastics Bag and Pouch Manufacturing</t>
  </si>
  <si>
    <t>Plastics Packaging Film and Sheet (including Laminated) Manufacturing</t>
  </si>
  <si>
    <t>Unlaminated Plastics Film and Sheet (except Packaging) Manufacturing</t>
  </si>
  <si>
    <t>Unlaminated Plastics Profile Shape Manufacturing</t>
  </si>
  <si>
    <t>Plastics Pipe and Pipe Fitting Manufacturing</t>
  </si>
  <si>
    <t>Laminated Plastics Plate, Sheet (except Packaging), and Shape Manufacturing</t>
  </si>
  <si>
    <t>Polystyrene Foam Product Manufacturing</t>
  </si>
  <si>
    <t>Urethane and Other Foam Product (except Polystyrene) Manufacturing</t>
  </si>
  <si>
    <t>Plastics Bottle Manufacturing</t>
  </si>
  <si>
    <t>Plastics Plumbing Fixture Manufacturing</t>
  </si>
  <si>
    <t>All Other Plastics Product Manufacturing</t>
  </si>
  <si>
    <t>Tire Manufacturing (except Retreading)</t>
  </si>
  <si>
    <t>Tire Retreading</t>
  </si>
  <si>
    <t>Rubber and Plastics Hoses and Belting Manufacturing</t>
  </si>
  <si>
    <t>Rubber Product Manufacturing for Mechanical Use</t>
  </si>
  <si>
    <t>All Other Rubber Product Manufacturing</t>
  </si>
  <si>
    <t>Pottery, Ceramics, and Plumbing Fixture Manufacturing</t>
  </si>
  <si>
    <t>Clay Building Material and Refractories Manufacturing</t>
  </si>
  <si>
    <t>Flat Glass Manufacturing</t>
  </si>
  <si>
    <t>Other Pressed and Blown Glass and Glassware Manufacturing</t>
  </si>
  <si>
    <t>Glass Container Manufacturing</t>
  </si>
  <si>
    <t>Glass Product Manufacturing Made of Purchased Glass</t>
  </si>
  <si>
    <t>Ready-Mix Concrete Manufacturing</t>
  </si>
  <si>
    <t>Concrete Block and Brick Manufacturing</t>
  </si>
  <si>
    <t>Concrete Pipe Manufacturing</t>
  </si>
  <si>
    <t>Other Concrete Product Manufacturing</t>
  </si>
  <si>
    <t>Lime Manufacturing</t>
  </si>
  <si>
    <t>Gypsum Product Manufacturing</t>
  </si>
  <si>
    <t>Abrasive Product Manufacturing</t>
  </si>
  <si>
    <t>Cut Stone and Stone Product Manufacturing</t>
  </si>
  <si>
    <t>Mineral Wool Manufacturing</t>
  </si>
  <si>
    <t>All Other Miscellaneous Nonmetallic Mineral Product Manufacturing</t>
  </si>
  <si>
    <t>Iron and Steel Mills and Ferroalloy Manufacturing</t>
  </si>
  <si>
    <t>Iron and Steel Pipe and Tube Manufacturing from Purchased Steel</t>
  </si>
  <si>
    <t>Rolled Steel Shape Manufacturing</t>
  </si>
  <si>
    <t>Steel Wire Drawing</t>
  </si>
  <si>
    <t>Alumina Refining and Primary Aluminum Production</t>
  </si>
  <si>
    <t>Secondary Smelting and Alloying of Aluminum</t>
  </si>
  <si>
    <t>Aluminum Sheet, Plate, and Foil Manufacturing</t>
  </si>
  <si>
    <t>Other Aluminum Rolling, Drawing, and Extruding</t>
  </si>
  <si>
    <t>Nonferrous Metal (except Aluminum) Smelting and Refining</t>
  </si>
  <si>
    <t>Copper Rolling, Drawing, Extruding, and Alloying</t>
  </si>
  <si>
    <t>Nonferrous Metal (except Copper and Aluminum) Rolling, Drawing, and Extruding</t>
  </si>
  <si>
    <t>Secondary Smelting, Refining, and Alloying of Nonferrous Metal (except Copper and Aluminum)</t>
  </si>
  <si>
    <t>Iron Foundries</t>
  </si>
  <si>
    <t>Steel Investment Foundries</t>
  </si>
  <si>
    <t>Steel Foundries (except Investment)</t>
  </si>
  <si>
    <t>Nonferrous Metal Die-Casting Foundries</t>
  </si>
  <si>
    <t>Aluminum Foundries (except Die-Casting)</t>
  </si>
  <si>
    <t>Other Nonferrous Metal Foundries (except Die-Casting)</t>
  </si>
  <si>
    <t>Iron and Steel Forging</t>
  </si>
  <si>
    <t>Nonferrous Forging</t>
  </si>
  <si>
    <t>Custom Roll Forming</t>
  </si>
  <si>
    <t>Powder Metallurgy Part Manufacturing</t>
  </si>
  <si>
    <t>Metal Crown, Closure, and Other Metal Stamping (except Automotive)</t>
  </si>
  <si>
    <t>Metal Kitchen Cookware, Utensil, Cutlery, and Flatware (except Precious) Manufacturing</t>
  </si>
  <si>
    <t>Saw Blade and Handtool Manufacturing</t>
  </si>
  <si>
    <t>Prefabricated Metal Building and Component Manufacturing</t>
  </si>
  <si>
    <t>Fabricated Structural Metal Manufacturing</t>
  </si>
  <si>
    <t>Plate Work Manufacturing</t>
  </si>
  <si>
    <t>Metal Window and Door Manufacturing</t>
  </si>
  <si>
    <t>Sheet Metal Work Manufacturing</t>
  </si>
  <si>
    <t>Ornamental and Architectural Metal Work Manufacturing</t>
  </si>
  <si>
    <t>Power Boiler and Heat Exchanger Manufacturing</t>
  </si>
  <si>
    <t>Metal Tank (Heavy Gauge) Manufacturing</t>
  </si>
  <si>
    <t>Metal Can Manufacturing</t>
  </si>
  <si>
    <t>Other Metal Container Manufacturing</t>
  </si>
  <si>
    <t>Hardware Manufacturing</t>
  </si>
  <si>
    <t>Spring Manufacturing</t>
  </si>
  <si>
    <t>Other Fabricated Wire Product Manufacturing</t>
  </si>
  <si>
    <t>Machine Shops</t>
  </si>
  <si>
    <t>Precision Turned Product Manufacturing</t>
  </si>
  <si>
    <t>Bolt, Nut, Screw, Rivet, and Washer Manufacturing</t>
  </si>
  <si>
    <t>Metal Heat Treating</t>
  </si>
  <si>
    <t>Metal Coating, Engraving (except Jewelry and Silverware), and Allied Services to Manufacturers</t>
  </si>
  <si>
    <t>Electroplating, Plating, Polishing, Anodizing, and Coloring</t>
  </si>
  <si>
    <t>Industrial Valve Manufacturing</t>
  </si>
  <si>
    <t>Fluid Power Valve and Hose Fitting Manufacturing</t>
  </si>
  <si>
    <t>Plumbing Fixture Fitting and Trim Manufacturing</t>
  </si>
  <si>
    <t>Other Metal Valve and Pipe Fitting Manufacturing</t>
  </si>
  <si>
    <t>Ball and Roller Bearing Manufacturing</t>
  </si>
  <si>
    <t>Small Arms Ammunition Manufacturing</t>
  </si>
  <si>
    <t>Ammunition (except Small Arms) Manufacturing</t>
  </si>
  <si>
    <t>Small Arms, Ordnance, and Ordnance Accessories Manufacturing</t>
  </si>
  <si>
    <t>Fabricated Pipe and Pipe Fitting Manufacturing</t>
  </si>
  <si>
    <t>All Other Miscellaneous Fabricated Metal Product Manufacturing</t>
  </si>
  <si>
    <t>Farm Machinery and Equipment Manufacturing</t>
  </si>
  <si>
    <t>Lawn and Garden Tractor and Home Lawn and Garden Equipment Manufacturing</t>
  </si>
  <si>
    <t>Construction Machinery Manufacturing</t>
  </si>
  <si>
    <t>Mining Machinery and Equipment Manufacturing</t>
  </si>
  <si>
    <t>Oil and Gas Field Machinery and Equipment Manufacturing</t>
  </si>
  <si>
    <t>Food Product Machinery Manufacturing</t>
  </si>
  <si>
    <t>Semiconductor Machinery Manufacturing</t>
  </si>
  <si>
    <t>Sawmill, Woodworking, and Paper Machinery Manufacturing</t>
  </si>
  <si>
    <t>Printing Machinery and Equipment Manufacturing</t>
  </si>
  <si>
    <t>All Other Industrial Machinery Manufacturing</t>
  </si>
  <si>
    <t>Other Industrial Machinery Manufacturing</t>
  </si>
  <si>
    <t>Optical Instrument and Lens Manufacturing</t>
  </si>
  <si>
    <t>Commercial and Service Industry Machinery Manufacturing</t>
  </si>
  <si>
    <t>Photographic and Photocopying Equipment Manufacturing</t>
  </si>
  <si>
    <t>Other Commercial and Service Industry Machinery Manufacturing</t>
  </si>
  <si>
    <t>Industrial and Commercial Fan and Blower and Air Purification Equipment Manufacturing</t>
  </si>
  <si>
    <t>Heating Equipment (except Warm Air Furnaces) Manufacturing</t>
  </si>
  <si>
    <t>Air-Conditioning and Warm Air Heating Equipment and Commercial and Industrial Refrigeration Equipment Manufacturing</t>
  </si>
  <si>
    <t>Industrial Mold Manufacturing</t>
  </si>
  <si>
    <t>Special Die and Tool, Die Set, Jig, and Fixture Manufacturing</t>
  </si>
  <si>
    <t>Cutting Tool and Machine Tool Accessory Manufacturing</t>
  </si>
  <si>
    <t>Machine Tool Manufacturing</t>
  </si>
  <si>
    <t>Rolling Mill and Other Metalworking Machinery Manufacturing</t>
  </si>
  <si>
    <t>Turbine and Turbine Generator Set Units Manufacturing</t>
  </si>
  <si>
    <t>Speed Changer, Industrial High-Speed Drive, and Gear Manufacturing</t>
  </si>
  <si>
    <t>Mechanical Power Transmission Equipment Manufacturing</t>
  </si>
  <si>
    <t>Other Engine Equipment Manufacturing</t>
  </si>
  <si>
    <t>Air and Gas Compressor Manufacturing</t>
  </si>
  <si>
    <t>Measuring, Dispensing, and Other Pumping Equipment Manufacturing</t>
  </si>
  <si>
    <t>Elevator and Moving Stairway Manufacturing</t>
  </si>
  <si>
    <t>Conveyor and Conveying Equipment Manufacturing</t>
  </si>
  <si>
    <t>Overhead Traveling Crane, Hoist, and Monorail System Manufacturing</t>
  </si>
  <si>
    <t>Industrial Truck, Tractor, Trailer, and Stacker Machinery Manufacturing</t>
  </si>
  <si>
    <t>Power-Driven Handtool Manufacturing</t>
  </si>
  <si>
    <t>Welding and Soldering Equipment Manufacturing</t>
  </si>
  <si>
    <t>Packaging Machinery Manufacturing</t>
  </si>
  <si>
    <t>Industrial Process Furnace and Oven Manufacturing</t>
  </si>
  <si>
    <t>Fluid Power Cylinder and Actuator Manufacturing</t>
  </si>
  <si>
    <t>Fluid Power Pump and Motor Manufacturing</t>
  </si>
  <si>
    <t>Scale and Balance Manufacturing</t>
  </si>
  <si>
    <t>All Other Miscellaneous General Purpose Machinery Manufacturing</t>
  </si>
  <si>
    <t>Electronic Computer Manufacturing</t>
  </si>
  <si>
    <t>Computer Storage Device Manufacturing</t>
  </si>
  <si>
    <t>Computer Terminal and Other Computer Peripheral Equipment Manufacturing</t>
  </si>
  <si>
    <t>Telephone Apparatus Manufacturing</t>
  </si>
  <si>
    <t>Radio and Television Broadcasting and Wireless Communications Equipment Manufacturing</t>
  </si>
  <si>
    <t>Other Communications Equipment Manufacturing</t>
  </si>
  <si>
    <t>Audio and Video Equipment Manufacturing</t>
  </si>
  <si>
    <t>Bare Printed Circuit Board Manufacturing</t>
  </si>
  <si>
    <t>Semiconductor and Related Device Manufacturing</t>
  </si>
  <si>
    <t>Capacitor, Resistor, Coil, Transformer, and Other Inductor Manufacturing</t>
  </si>
  <si>
    <t>Electronic Connector Manufacturing</t>
  </si>
  <si>
    <t>Printed Circuit Assembly (Electronic Assembly) Manufacturing</t>
  </si>
  <si>
    <t>Other Electronic Component Manufacturing</t>
  </si>
  <si>
    <t>Electromedical and Electrotherapeutic Apparatus Manufacturing</t>
  </si>
  <si>
    <t>Search, Detection, Navigation, Guidance, Aeronautical, and Nautical System and Instrument Manufacturing</t>
  </si>
  <si>
    <t>Automatic Environmental Control Manufacturing for Residential, Commercial, and Appliance Use</t>
  </si>
  <si>
    <t>Instruments and Related Products Manufacturing for Measuring, Displaying, and Controlling Industrial Process Variables</t>
  </si>
  <si>
    <t>Totalizing Fluid Meter and Counting Device Manufacturing</t>
  </si>
  <si>
    <t>Instrument Manufacturing for Measuring and Testing Electricity and Electrical Signals</t>
  </si>
  <si>
    <t>Analytical Laboratory Instrument Manufacturing</t>
  </si>
  <si>
    <t>Irradiation Apparatus Manufacturing</t>
  </si>
  <si>
    <t>Other Measuring and Controlling Device Manufacturing</t>
  </si>
  <si>
    <t>Blank Magnetic and Optical Recording Media Manufacturing</t>
  </si>
  <si>
    <t>Manufacturing and Reproducing Magnetic and Optical Media</t>
  </si>
  <si>
    <t xml:space="preserve">Software and Other Prerecorded Compact Disc, Tape, and Record Reproducing </t>
  </si>
  <si>
    <t>Residential Electric Lighting Fixture Manufacturing</t>
  </si>
  <si>
    <t>Commercial, Industrial, and Institutional Electric Lighting Fixture Manufacturing</t>
  </si>
  <si>
    <t>Electric Lamp Bulb and Part Manufacturing</t>
  </si>
  <si>
    <t>Electric Lamp Bulb and Other Lighting Equipment Manufacturing</t>
  </si>
  <si>
    <t>Other Lighting Equipment Manufacturing</t>
  </si>
  <si>
    <t>Small Electrical Appliance Manufacturing</t>
  </si>
  <si>
    <t>Major Household Appliance Manufacturing</t>
  </si>
  <si>
    <t>Power, Distribution, and Specialty Transformer Manufacturing</t>
  </si>
  <si>
    <t>Motor and Generator Manufacturing</t>
  </si>
  <si>
    <t>Switchgear and Switchboard Apparatus Manufacturing</t>
  </si>
  <si>
    <t>Relay and Industrial Control Manufacturing</t>
  </si>
  <si>
    <t>Storage Battery Manufacturing</t>
  </si>
  <si>
    <t>Battery Manufacturing</t>
  </si>
  <si>
    <t>Primary Battery Manufacturing</t>
  </si>
  <si>
    <t>Fiber Optic Cable Manufacturing</t>
  </si>
  <si>
    <t>Other Communication and Energy Wire Manufacturing</t>
  </si>
  <si>
    <t>Current-Carrying Wiring Device Manufacturing</t>
  </si>
  <si>
    <t>Noncurrent-Carrying Wiring Device Manufacturing</t>
  </si>
  <si>
    <t>Carbon and Graphite Product Manufacturing</t>
  </si>
  <si>
    <t>All Other Miscellaneous Electrical Equipment and Component Manufacturing</t>
  </si>
  <si>
    <t>Automobile Manufacturing</t>
  </si>
  <si>
    <t>Automobile and Light Duty Motor Vehicle Manufacturing</t>
  </si>
  <si>
    <t>Light Truck and Utility Vehicle Manufacturing</t>
  </si>
  <si>
    <t>Heavy Duty Truck Manufacturing</t>
  </si>
  <si>
    <t>Motor Vehicle Body Manufacturing</t>
  </si>
  <si>
    <t>Truck Trailer Manufacturing</t>
  </si>
  <si>
    <t>Motor Home Manufacturing</t>
  </si>
  <si>
    <t>Travel Trailer and Camper Manufacturing</t>
  </si>
  <si>
    <t>Motor Vehicle Gasoline Engine and Engine Parts Manufacturing</t>
  </si>
  <si>
    <t>Motor Vehicle Electrical and Electronic Equipment Manufacturing</t>
  </si>
  <si>
    <t>Motor Vehicle Steering and Suspension Components (except Spring) Manufacturing</t>
  </si>
  <si>
    <t>Motor Vehicle Brake System Manufacturing</t>
  </si>
  <si>
    <t>Motor Vehicle Transmission and Power Train Parts Manufacturing</t>
  </si>
  <si>
    <t>Motor Vehicle Seating and Interior Trim Manufacturing</t>
  </si>
  <si>
    <t>Motor Vehicle Metal Stamping</t>
  </si>
  <si>
    <t>Other Motor Vehicle Parts Manufacturing</t>
  </si>
  <si>
    <t>Aircraft Manufacturing</t>
  </si>
  <si>
    <t>Aircraft Engine and Engine Parts Manufacturing</t>
  </si>
  <si>
    <t>Other Aircraft Parts and Auxiliary Equipment Manufacturing</t>
  </si>
  <si>
    <t>Guided Missile and Space Vehicle Manufacturing</t>
  </si>
  <si>
    <t>Guided Missile and Space Vehicle Propulsion Unit and Propulsion Unit Parts Manufacturing</t>
  </si>
  <si>
    <t>Other Guided Missile and Space Vehicle Parts and Auxiliary Equipment Manufacturing</t>
  </si>
  <si>
    <t>Railroad Rolling Stock Manufacturing</t>
  </si>
  <si>
    <t>Ship Building and Repairing</t>
  </si>
  <si>
    <t>Boat Building</t>
  </si>
  <si>
    <t>Motorcycle, Bicycle, and Parts Manufacturing</t>
  </si>
  <si>
    <t>Military Armored Vehicle, Tank, and Tank Component Manufacturing</t>
  </si>
  <si>
    <t>All Other Transportation Equipment Manufacturing</t>
  </si>
  <si>
    <t>Wood Kitchen Cabinet and Countertop Manufacturing</t>
  </si>
  <si>
    <t>Upholstered Household Furniture Manufacturing</t>
  </si>
  <si>
    <t>Nonupholstered Wood Household Furniture Manufacturing</t>
  </si>
  <si>
    <t>Metal Household Furniture Manufacturing</t>
  </si>
  <si>
    <t>Household Furniture (except Wood and Upholstered) Manufacturing</t>
  </si>
  <si>
    <t>Household Furniture (except Wood and Metal) Manufacturing</t>
  </si>
  <si>
    <t>Institutional Furniture Manufacturing</t>
  </si>
  <si>
    <t>Wood Office Furniture Manufacturing</t>
  </si>
  <si>
    <t>Custom Architectural Woodwork and Millwork Manufacturing</t>
  </si>
  <si>
    <t>Office Furniture (except Wood) Manufacturing</t>
  </si>
  <si>
    <t>Showcase, Partition, Shelving, and Locker Manufacturing</t>
  </si>
  <si>
    <t>Mattress Manufacturing</t>
  </si>
  <si>
    <t>Blind and Shade Manufacturing</t>
  </si>
  <si>
    <t>Surgical and Medical Instrument Manufacturing</t>
  </si>
  <si>
    <t>Surgical Appliance and Supplies Manufacturing</t>
  </si>
  <si>
    <t>Dental Equipment and Supplies Manufacturing</t>
  </si>
  <si>
    <t>Ophthalmic Goods Manufacturing</t>
  </si>
  <si>
    <t>Dental Laboratories</t>
  </si>
  <si>
    <t>Jewelry and Silverware Manufacturing</t>
  </si>
  <si>
    <t>Sporting and Athletic Goods Manufacturing</t>
  </si>
  <si>
    <t>Doll, Toy, and Game Manufacturing</t>
  </si>
  <si>
    <t>Office Supplies (except Paper) Manufacturing</t>
  </si>
  <si>
    <t>Sign Manufacturing</t>
  </si>
  <si>
    <t>Gasket, Packing, and Sealing Device Manufacturing</t>
  </si>
  <si>
    <t>Musical Instrument Manufacturing</t>
  </si>
  <si>
    <t>Fastener, Button, Needle, and Pin Manufacturing</t>
  </si>
  <si>
    <t>Broom, Brush, and Mop Manufacturing</t>
  </si>
  <si>
    <t>Burial Casket Manufacturing</t>
  </si>
  <si>
    <t>All Other Miscellaneous Manufacturing</t>
  </si>
  <si>
    <t>Automobile and Other Motor Vehicle Merchant Wholesalers</t>
  </si>
  <si>
    <t>Motor Vehicle Supplies and New Parts Merchant Wholesalers</t>
  </si>
  <si>
    <t>Tire and Tube Merchant Wholesalers</t>
  </si>
  <si>
    <t>Motor Vehicle Parts (Used) Merchant Wholesalers</t>
  </si>
  <si>
    <t>Furniture Merchant Wholesalers</t>
  </si>
  <si>
    <t>Home Furnishing Merchant Wholesalers</t>
  </si>
  <si>
    <t>Lumber, Plywood, Millwork, and Wood Panel Merchant Wholesalers</t>
  </si>
  <si>
    <t>Brick, Stone, and Related Construction Material Merchant Wholesalers</t>
  </si>
  <si>
    <t>Roofing, Siding, and Insulation Material Merchant Wholesalers</t>
  </si>
  <si>
    <t>Other Construction Material Merchant Wholesalers</t>
  </si>
  <si>
    <t>Photographic Equipment and Supplies Merchant Wholesalers</t>
  </si>
  <si>
    <t>Office Equipment Merchant Wholesalers</t>
  </si>
  <si>
    <t>Computer and Computer Peripheral Equipment and Software Merchant Wholesalers</t>
  </si>
  <si>
    <t>Other Commercial Equipment Merchant Wholesalers</t>
  </si>
  <si>
    <t>Medical, Dental, and Hospital Equipment and Supplies Merchant Wholesalers</t>
  </si>
  <si>
    <t>Ophthalmic Goods Merchant Wholesalers</t>
  </si>
  <si>
    <t>Other Professional Equipment and Supplies Merchant Wholesalers</t>
  </si>
  <si>
    <t>Metal Service Centers and Other Metal Merchant Wholesalers</t>
  </si>
  <si>
    <t>Coal and Other Mineral and Ore Merchant Wholesalers</t>
  </si>
  <si>
    <t>Electrical Apparatus and Equipment, Wiring Supplies, and Related Equipment Merchant Wholesalers</t>
  </si>
  <si>
    <t>Household Appliances, Electric Housewares, and Consumer Electronics Merchant Wholesalers</t>
  </si>
  <si>
    <t>Other Electronic Parts and Equipment Merchant Wholesalers</t>
  </si>
  <si>
    <t>Hardware Merchant Wholesalers</t>
  </si>
  <si>
    <t>Plumbing and Heating Equipment and Supplies (Hydronics) Merchant Wholesalers</t>
  </si>
  <si>
    <t>Warm Air Heating and Air-Conditioning Equipment and Supplies Merchant Wholesalers</t>
  </si>
  <si>
    <t>Refrigeration Equipment and Supplies Merchant Wholesalers</t>
  </si>
  <si>
    <t>Construction and Mining (except Oil Well) Machinery and Equipment Merchant Wholesalers</t>
  </si>
  <si>
    <t>Farm and Garden Machinery and Equipment Merchant Wholesalers</t>
  </si>
  <si>
    <t>Industrial Machinery and Equipment Merchant Wholesalers</t>
  </si>
  <si>
    <t>Industrial Supplies Merchant Wholesalers</t>
  </si>
  <si>
    <t>Service Establishment Equipment and Supplies Merchant Wholesalers</t>
  </si>
  <si>
    <t>Transportation Equipment and Supplies (except Motor Vehicle) Merchant Wholesalers</t>
  </si>
  <si>
    <t>Sporting and Recreational Goods and Supplies Merchant Wholesalers</t>
  </si>
  <si>
    <t>Toy and Hobby Goods and Supplies Merchant Wholesalers</t>
  </si>
  <si>
    <t>Recyclable Material Merchant Wholesalers</t>
  </si>
  <si>
    <t>Jewelry, Watch, Precious Stone, and Precious Metal Merchant Wholesalers</t>
  </si>
  <si>
    <t>Other Miscellaneous Durable Goods Merchant Wholesalers</t>
  </si>
  <si>
    <t>Printing and Writing Paper Merchant Wholesalers</t>
  </si>
  <si>
    <t>Stationery and Office Supplies Merchant Wholesalers</t>
  </si>
  <si>
    <t>Industrial and Personal Service Paper Merchant Wholesalers</t>
  </si>
  <si>
    <t>Drugs and Druggists' Sundries Merchant Wholesalers</t>
  </si>
  <si>
    <t>Piece Goods, Notions, and Other Dry Goods Merchant Wholesalers</t>
  </si>
  <si>
    <t>Footwear Merchant Wholesalers</t>
  </si>
  <si>
    <t>Men's and Boys' Clothing and Furnishings Merchant Wholesalers</t>
  </si>
  <si>
    <t>Clothing and Clothing Accessories Merchant Wholesalers</t>
  </si>
  <si>
    <t>Women's, Children's, and Infants' Clothing and Accessories Merchant Wholesalers</t>
  </si>
  <si>
    <t>General Line Grocery Merchant Wholesalers</t>
  </si>
  <si>
    <t>Packaged Frozen Food Merchant Wholesalers</t>
  </si>
  <si>
    <t>Dairy Product (except Dried or Canned) Merchant Wholesalers</t>
  </si>
  <si>
    <t>Poultry and Poultry Product Merchant Wholesalers</t>
  </si>
  <si>
    <t>Confectionery Merchant Wholesalers</t>
  </si>
  <si>
    <t>Fish and Seafood Merchant Wholesalers</t>
  </si>
  <si>
    <t>Meat and Meat Product Merchant Wholesalers</t>
  </si>
  <si>
    <t>Fresh Fruit and Vegetable Merchant Wholesalers</t>
  </si>
  <si>
    <t>Other Grocery and Related Products Merchant Wholesalers</t>
  </si>
  <si>
    <t>Grain and Field Bean Merchant Wholesalers</t>
  </si>
  <si>
    <t>Livestock Merchant Wholesalers</t>
  </si>
  <si>
    <t>Other Farm Product Raw Material Merchant Wholesalers</t>
  </si>
  <si>
    <t>Plastics Materials and Basic Forms and Shapes Merchant Wholesalers</t>
  </si>
  <si>
    <t>Other Chemical and Allied Products Merchant Wholesalers</t>
  </si>
  <si>
    <t>Petroleum Bulk Stations and Terminals</t>
  </si>
  <si>
    <t>Petroleum and Petroleum Products Merchant Wholesalers (except Bulk Stations and Terminals)</t>
  </si>
  <si>
    <t>Beer and Ale Merchant Wholesalers</t>
  </si>
  <si>
    <t>Wine and Distilled Alcoholic Beverage Merchant Wholesalers</t>
  </si>
  <si>
    <t>Farm Supplies Merchant Wholesalers</t>
  </si>
  <si>
    <t>Book, Periodical, and Newspaper Merchant Wholesalers</t>
  </si>
  <si>
    <t>Flower, Nursery Stock, and Florists' Supplies Merchant Wholesalers</t>
  </si>
  <si>
    <t>Tobacco and Tobacco Product Merchant Wholesalers</t>
  </si>
  <si>
    <t>Tobacco Product and Electronic Cigarette Merchant Wholesalers</t>
  </si>
  <si>
    <t>Paint, Varnish, and Supplies Merchant Wholesalers</t>
  </si>
  <si>
    <t>Other Miscellaneous Nondurable Goods Merchant Wholesalers</t>
  </si>
  <si>
    <t>Business to Business Electronic Markets</t>
  </si>
  <si>
    <t>Wholesale Trade Agents and Brokers</t>
  </si>
  <si>
    <t>New Car Dealers</t>
  </si>
  <si>
    <t>Used Car Dealers</t>
  </si>
  <si>
    <t>Recreational Vehicle Dealers</t>
  </si>
  <si>
    <t>Boat Dealers</t>
  </si>
  <si>
    <t>Motorcycle, ATV, and All Other Motor Vehicle Dealers</t>
  </si>
  <si>
    <t>Electronic Shopping and Mail-Order Houses</t>
  </si>
  <si>
    <t>Automotive Parts and Accessories Stores</t>
  </si>
  <si>
    <t>Automotive Parts and Accessories Retailers</t>
  </si>
  <si>
    <t>Other Direct Selling Establishments</t>
  </si>
  <si>
    <t>Tire Dealers</t>
  </si>
  <si>
    <t>Home Centers</t>
  </si>
  <si>
    <t>Paint and Wallpaper Stores</t>
  </si>
  <si>
    <t>Paint and Wallpaper Retailers</t>
  </si>
  <si>
    <t>Hardware Stores</t>
  </si>
  <si>
    <t>Hardware Retailers</t>
  </si>
  <si>
    <t>Other Building Material Dealers</t>
  </si>
  <si>
    <t>Outdoor Power Equipment Stores</t>
  </si>
  <si>
    <t>Outdoor Power Equipment Retailers</t>
  </si>
  <si>
    <t>Nursery, Garden Center, and Farm Supply Stores</t>
  </si>
  <si>
    <t>Nursery, Garden Center, and Farm Supply Retailers</t>
  </si>
  <si>
    <t>Supermarkets and Other Grocery (except Convenience) Stores</t>
  </si>
  <si>
    <t>Supermarkets and Other Grocery Retailers (except Convenience Retailers)</t>
  </si>
  <si>
    <t>Convenience Stores</t>
  </si>
  <si>
    <t>Convenience Retailers</t>
  </si>
  <si>
    <t>Vending Machine Operators</t>
  </si>
  <si>
    <t>Fruit and Vegetable Markets</t>
  </si>
  <si>
    <t>Fruit and Vegetable Retailers</t>
  </si>
  <si>
    <t>Meat Markets</t>
  </si>
  <si>
    <t>Meat Retailers</t>
  </si>
  <si>
    <t>Fish and Seafood Markets</t>
  </si>
  <si>
    <t>Fish and Seafood Retailers</t>
  </si>
  <si>
    <t>Baked Goods Stores</t>
  </si>
  <si>
    <t>Baked Goods Retailers</t>
  </si>
  <si>
    <t>Confectionery and Nut Stores</t>
  </si>
  <si>
    <t>Confectionery and Nut Retailers</t>
  </si>
  <si>
    <t>All Other Specialty Food Stores</t>
  </si>
  <si>
    <t>All Other Specialty Food Retailers</t>
  </si>
  <si>
    <t>Beer, Wine, and Liquor Stores</t>
  </si>
  <si>
    <t>Beer, Wine, and Liquor Retailers</t>
  </si>
  <si>
    <t>Furniture Stores</t>
  </si>
  <si>
    <t>Furniture Retailers</t>
  </si>
  <si>
    <t>Floor Covering Stores</t>
  </si>
  <si>
    <t>Floor Covering Retailers</t>
  </si>
  <si>
    <t>Window Treatment Stores</t>
  </si>
  <si>
    <t>Window Treatment Retailers</t>
  </si>
  <si>
    <t>All Other Home Furnishings Stores</t>
  </si>
  <si>
    <t>All Other Home Furnishings Retailers</t>
  </si>
  <si>
    <t>Household Appliance Stores</t>
  </si>
  <si>
    <t>Electronics and Appliance Retailers</t>
  </si>
  <si>
    <t>Electronics Stores</t>
  </si>
  <si>
    <t>Department Stores</t>
  </si>
  <si>
    <t>Warehouse Clubs and Supercenters</t>
  </si>
  <si>
    <t>All Other General Merchandise Stores</t>
  </si>
  <si>
    <t>All Other General Merchandise Retailers</t>
  </si>
  <si>
    <r>
      <t xml:space="preserve">All Other Miscellaneous Store Retailers (except Tobacco Stores) - </t>
    </r>
    <r>
      <rPr>
        <i/>
        <sz val="10"/>
        <rFont val="Arial"/>
        <family val="2"/>
      </rPr>
      <t>general merchandise auction houses</t>
    </r>
  </si>
  <si>
    <t>Pharmacies and Drug Stores</t>
  </si>
  <si>
    <t>Pharmacies and Drug Retailers</t>
  </si>
  <si>
    <t>Cosmetics, Beauty Supplies, and Perfume Stores</t>
  </si>
  <si>
    <t>Cosmetics, Beauty Supplies, and Perfume Retailers</t>
  </si>
  <si>
    <t>Optical Goods Stores</t>
  </si>
  <si>
    <t>Optical Goods Retailers</t>
  </si>
  <si>
    <t>Food (Health) Supplement Stores</t>
  </si>
  <si>
    <t>Food (Health) Supplement Retailers</t>
  </si>
  <si>
    <t>All Other Health and Personal Care Stores</t>
  </si>
  <si>
    <t>All Other Health and Personal Care Retailers</t>
  </si>
  <si>
    <t>Gasoline Stations with Convenience Stores</t>
  </si>
  <si>
    <t>Other Gasoline Stations</t>
  </si>
  <si>
    <t>Fuel Dealers</t>
  </si>
  <si>
    <t>Men's Clothing Stores</t>
  </si>
  <si>
    <t>Clothing and Clothing Accessories Retailers</t>
  </si>
  <si>
    <t>Women's Clothing Stores</t>
  </si>
  <si>
    <t>Children's and Infants' Clothing Stores</t>
  </si>
  <si>
    <t>Family Clothing Stores</t>
  </si>
  <si>
    <t>Clothing Accessories Stores</t>
  </si>
  <si>
    <t>Other Clothing Stores</t>
  </si>
  <si>
    <t>Shoe Stores</t>
  </si>
  <si>
    <t>Shoe Retailers</t>
  </si>
  <si>
    <t>Jewelry Stores</t>
  </si>
  <si>
    <t>Jewelry Retailers</t>
  </si>
  <si>
    <t>Luggage and Leather Goods Stores</t>
  </si>
  <si>
    <t>Luggage and Leather Goods Retailers</t>
  </si>
  <si>
    <t>Sporting Goods Stores</t>
  </si>
  <si>
    <t>Sporting Goods Retailers</t>
  </si>
  <si>
    <t>Hobby, Toy, and Game Stores</t>
  </si>
  <si>
    <t>Hobby, Toy, and Game Retailers</t>
  </si>
  <si>
    <t>Sewing, Needlework, and Piece Goods Stores</t>
  </si>
  <si>
    <t>Sewing, Needlework, and Piece Goods Retailers</t>
  </si>
  <si>
    <t>Musical Instrument and Supplies Stores</t>
  </si>
  <si>
    <t>Musical Instrument and Supplies Retailers</t>
  </si>
  <si>
    <t>Book Stores</t>
  </si>
  <si>
    <t>Book Retailers and News Dealers</t>
  </si>
  <si>
    <t>News Dealers and Newsstands</t>
  </si>
  <si>
    <t>Florists</t>
  </si>
  <si>
    <t>Office Supplies and Stationery Stores</t>
  </si>
  <si>
    <t>Office Supplies and Stationery Retailers</t>
  </si>
  <si>
    <t xml:space="preserve">  </t>
  </si>
  <si>
    <t>Gift, Novelty, and Souvenir Stores</t>
  </si>
  <si>
    <t>Gift, Novelty, and Souvenir Retailers</t>
  </si>
  <si>
    <t>Used Merchandise Stores</t>
  </si>
  <si>
    <t>Used Merchandise Retailers</t>
  </si>
  <si>
    <t>Pet and Pet Supplies Stores</t>
  </si>
  <si>
    <t>Pet and Pet Supplies Retailers</t>
  </si>
  <si>
    <t>Art Dealers</t>
  </si>
  <si>
    <t>Manufactured (Mobile) Home Dealers</t>
  </si>
  <si>
    <t>Tobacco Stores</t>
  </si>
  <si>
    <t>Tobacco, Electronic Cigarette, and Other Smoking Supplies Retailers</t>
  </si>
  <si>
    <r>
      <t xml:space="preserve">All Other Miscellaneous Store Retailers (except Tobacco Stores) - </t>
    </r>
    <r>
      <rPr>
        <i/>
        <sz val="10"/>
        <rFont val="Arial"/>
        <family val="2"/>
      </rPr>
      <t>electronic cigarette stores and marijuana stores, medical or recreational</t>
    </r>
  </si>
  <si>
    <r>
      <t xml:space="preserve">All Other Miscellaneous Store Retailers (except Tobacco Stores) - </t>
    </r>
    <r>
      <rPr>
        <i/>
        <sz val="10"/>
        <rFont val="Arial"/>
        <family val="2"/>
      </rPr>
      <t>except general merchandise auction houses, electronic cigarette stores, and marijuana stores, medical or recreational</t>
    </r>
  </si>
  <si>
    <t>All Other Miscellaneous Retailers</t>
  </si>
  <si>
    <t>Scheduled Passenger Air Transportation</t>
  </si>
  <si>
    <t>Scheduled Freight Air Transportation</t>
  </si>
  <si>
    <t>Nonscheduled Chartered Passenger Air Transportation</t>
  </si>
  <si>
    <t>Nonscheduled Chartered Freight Air Transportation</t>
  </si>
  <si>
    <t>Other Nonscheduled Air Transportation</t>
  </si>
  <si>
    <t>Line-Haul Railroads</t>
  </si>
  <si>
    <t>Short Line Railroads</t>
  </si>
  <si>
    <t>Deep Sea Freight Transportation</t>
  </si>
  <si>
    <t>Deep Sea Passenger Transportation</t>
  </si>
  <si>
    <t>Coastal and Great Lakes Freight Transportation</t>
  </si>
  <si>
    <t>Coastal and Great Lakes Passenger Transportation</t>
  </si>
  <si>
    <t>Inland Water Freight Transportation</t>
  </si>
  <si>
    <t>Inland Water Passenger Transportation</t>
  </si>
  <si>
    <t>General Freight Trucking, Local</t>
  </si>
  <si>
    <t>General Freight Trucking, Long-Distance, Truckload</t>
  </si>
  <si>
    <t>General Freight Trucking, Long-Distance, Less Than Truckload</t>
  </si>
  <si>
    <t>Used Household and Office Goods Moving</t>
  </si>
  <si>
    <t>Specialized Freight (except Used Goods) Trucking, Local</t>
  </si>
  <si>
    <t>Specialized Freight (except Used Goods) Trucking, Long-Distance</t>
  </si>
  <si>
    <t>Mixed Mode Transit Systems</t>
  </si>
  <si>
    <t>Commuter Rail Systems</t>
  </si>
  <si>
    <t>Bus and Other Motor Vehicle Transit Systems</t>
  </si>
  <si>
    <t>Other Urban Transit Systems</t>
  </si>
  <si>
    <t>Interurban and Rural Bus Transportation</t>
  </si>
  <si>
    <t>Taxi Service</t>
  </si>
  <si>
    <t>Taxi and Ridesharing Services</t>
  </si>
  <si>
    <t>Limousine Service</t>
  </si>
  <si>
    <t>School and Employee Bus Transportation</t>
  </si>
  <si>
    <t>Charter Bus Industry</t>
  </si>
  <si>
    <t>Special Needs Transportation</t>
  </si>
  <si>
    <t>All Other Transit and Ground Passenger Transportation</t>
  </si>
  <si>
    <t>Pipeline Transportation of Crude Oil</t>
  </si>
  <si>
    <t>Pipeline Transportation of Natural Gas</t>
  </si>
  <si>
    <t>Pipeline Transportation of Refined Petroleum Products</t>
  </si>
  <si>
    <t>Scenic and Sightseeing Transportation, Land</t>
  </si>
  <si>
    <t>Scenic and Sightseeing Transportation, Water</t>
  </si>
  <si>
    <t>Scenic and Sightseeing Transportation, Other</t>
  </si>
  <si>
    <t>Air Traffic Control</t>
  </si>
  <si>
    <t>Other Airport Operations</t>
  </si>
  <si>
    <t>Other Support Activities for Air Transportation</t>
  </si>
  <si>
    <t>Support Activities for Rail Transportation</t>
  </si>
  <si>
    <t>Port and Harbor Operations</t>
  </si>
  <si>
    <t>Marine Cargo Handling</t>
  </si>
  <si>
    <t>Navigational Services to Shipping</t>
  </si>
  <si>
    <t>Other Support Activities for Water Transportation</t>
  </si>
  <si>
    <t>Motor Vehicle Towing</t>
  </si>
  <si>
    <t>Other Support Activities for Road Transportation</t>
  </si>
  <si>
    <t>Freight Transportation Arrangement</t>
  </si>
  <si>
    <t>Packing and Crating</t>
  </si>
  <si>
    <t>All Other Support Activities for Transportation</t>
  </si>
  <si>
    <t>Postal Service</t>
  </si>
  <si>
    <t>Couriers and Express Delivery Services</t>
  </si>
  <si>
    <t>Local Messengers and Local Delivery</t>
  </si>
  <si>
    <t>General Warehousing and Storage</t>
  </si>
  <si>
    <t>Refrigerated Warehousing and Storage</t>
  </si>
  <si>
    <t>Farm Product Warehousing and Storage</t>
  </si>
  <si>
    <t>Other Warehousing and Storage</t>
  </si>
  <si>
    <t>Motion Picture and Video Production</t>
  </si>
  <si>
    <t>Motion Picture and Video Distribution</t>
  </si>
  <si>
    <t>Motion Picture Theaters (except Drive-Ins)</t>
  </si>
  <si>
    <t>Drive-In Motion Picture Theaters</t>
  </si>
  <si>
    <t>Teleproduction and Other Postproduction Services</t>
  </si>
  <si>
    <t>Other Motion Picture and Video Industries</t>
  </si>
  <si>
    <t>Music Publishers</t>
  </si>
  <si>
    <t>Sound Recording Studios</t>
  </si>
  <si>
    <t>Record Production and Distribution</t>
  </si>
  <si>
    <t>Other Sound Recording Industries</t>
  </si>
  <si>
    <t>Newspaper Publishers</t>
  </si>
  <si>
    <r>
      <t xml:space="preserve">Internet Publishing and Broadcasting and Web Search Portals - </t>
    </r>
    <r>
      <rPr>
        <i/>
        <sz val="10"/>
        <rFont val="Arial"/>
        <family val="2"/>
      </rPr>
      <t>Internet newspaper publishers</t>
    </r>
  </si>
  <si>
    <t>Periodical Publishers</t>
  </si>
  <si>
    <r>
      <t xml:space="preserve">Internet Publishing and Broadcasting and Web Search Portals - </t>
    </r>
    <r>
      <rPr>
        <i/>
        <sz val="10"/>
        <rFont val="Arial"/>
        <family val="2"/>
      </rPr>
      <t>Internet periodical publishers</t>
    </r>
  </si>
  <si>
    <t>Book Publishers</t>
  </si>
  <si>
    <r>
      <t xml:space="preserve">Internet Publishing and Broadcasting and Web Search Portals - </t>
    </r>
    <r>
      <rPr>
        <i/>
        <sz val="10"/>
        <rFont val="Arial"/>
        <family val="2"/>
      </rPr>
      <t>Internet book publishers</t>
    </r>
  </si>
  <si>
    <t>Directory and Mailing List Publishers</t>
  </si>
  <si>
    <r>
      <t xml:space="preserve">Internet Publishing and Broadcasting and Web Search Portals - </t>
    </r>
    <r>
      <rPr>
        <i/>
        <sz val="10"/>
        <rFont val="Arial"/>
        <family val="2"/>
      </rPr>
      <t>Internet directory and mailing list publishers</t>
    </r>
  </si>
  <si>
    <t>Greeting Card Publishers</t>
  </si>
  <si>
    <r>
      <t xml:space="preserve">Internet Publishing and Broadcasting and Web Search Portals - </t>
    </r>
    <r>
      <rPr>
        <i/>
        <sz val="10"/>
        <rFont val="Arial"/>
        <family val="2"/>
      </rPr>
      <t>Internet greeting card publishers</t>
    </r>
  </si>
  <si>
    <t>All Other Publishers</t>
  </si>
  <si>
    <r>
      <t xml:space="preserve">Internet Publishing and Broadcasting and Web Search Portals - </t>
    </r>
    <r>
      <rPr>
        <i/>
        <sz val="10"/>
        <rFont val="Arial"/>
        <family val="2"/>
      </rPr>
      <t>all other Internet publishers</t>
    </r>
  </si>
  <si>
    <t>Software Publishers</t>
  </si>
  <si>
    <t>Radio Stations</t>
  </si>
  <si>
    <t>Radio Broadcasting Stations</t>
  </si>
  <si>
    <r>
      <t xml:space="preserve">Television Broadcasting - </t>
    </r>
    <r>
      <rPr>
        <i/>
        <sz val="10"/>
        <rFont val="Arial"/>
        <family val="2"/>
      </rPr>
      <t>television broadcasting stations</t>
    </r>
  </si>
  <si>
    <t>Television Broadcasting Stations</t>
  </si>
  <si>
    <t>Radio Networks</t>
  </si>
  <si>
    <t>Media Streaming Distribution Services, Social Networks, and Other Media Networks and Content Providers</t>
  </si>
  <si>
    <r>
      <t xml:space="preserve">Television Broadcasting - </t>
    </r>
    <r>
      <rPr>
        <i/>
        <sz val="10"/>
        <rFont val="Arial"/>
        <family val="2"/>
      </rPr>
      <t>television networks</t>
    </r>
  </si>
  <si>
    <t>Cable and Other Subscription Programming</t>
  </si>
  <si>
    <t>News Syndicates</t>
  </si>
  <si>
    <r>
      <t xml:space="preserve">Internet Publishing and Broadcasting and Web Search Portals - </t>
    </r>
    <r>
      <rPr>
        <i/>
        <sz val="10"/>
        <rFont val="Arial"/>
        <family val="2"/>
      </rPr>
      <t>Internet broadcasting</t>
    </r>
  </si>
  <si>
    <t>Wired Telecommunications Carriers</t>
  </si>
  <si>
    <r>
      <t xml:space="preserve">Wireless Telecommunications Carriers (except Satellite) - </t>
    </r>
    <r>
      <rPr>
        <i/>
        <sz val="10"/>
        <rFont val="Arial"/>
        <family val="2"/>
      </rPr>
      <t>except agents for wireless telecommunications carriers</t>
    </r>
  </si>
  <si>
    <t>Wireless Telecommunications Carriers (except Satellite)</t>
  </si>
  <si>
    <r>
      <t xml:space="preserve">Telecommunications Resellers - </t>
    </r>
    <r>
      <rPr>
        <i/>
        <sz val="10"/>
        <rFont val="Arial"/>
        <family val="2"/>
      </rPr>
      <t>except agents for wireless telecommunications resellers</t>
    </r>
  </si>
  <si>
    <t>Telecommunications Resellers</t>
  </si>
  <si>
    <r>
      <t xml:space="preserve">Wireless Telecommunications Carriers (except Satellite) - </t>
    </r>
    <r>
      <rPr>
        <i/>
        <sz val="10"/>
        <rFont val="Arial"/>
        <family val="2"/>
      </rPr>
      <t>agents for wireless telecommunications carriers</t>
    </r>
  </si>
  <si>
    <t>Agents for Wireless Telecommunications Services</t>
  </si>
  <si>
    <r>
      <t xml:space="preserve">Telecommunications Resellers - </t>
    </r>
    <r>
      <rPr>
        <i/>
        <sz val="10"/>
        <rFont val="Arial"/>
        <family val="2"/>
      </rPr>
      <t>agents for wireless telecommunications resellers</t>
    </r>
  </si>
  <si>
    <t>Satellite Telecommunications</t>
  </si>
  <si>
    <t>All Other Telecommunications</t>
  </si>
  <si>
    <t>Data Processing, Hosting, and Related Services</t>
  </si>
  <si>
    <t>Computing Infrastructure Providers, Data Processing, Web Hosting, and Related Services</t>
  </si>
  <si>
    <t>Libraries and Archives</t>
  </si>
  <si>
    <r>
      <t xml:space="preserve">Internet Publishing and Broadcasting and Web Search Portals - </t>
    </r>
    <r>
      <rPr>
        <i/>
        <sz val="10"/>
        <rFont val="Arial"/>
        <family val="2"/>
      </rPr>
      <t>web search portals</t>
    </r>
  </si>
  <si>
    <t>Web Search Portals and All Other Information Services</t>
  </si>
  <si>
    <t>All Other Information Services</t>
  </si>
  <si>
    <t>Monetary Authorities-Central Bank</t>
  </si>
  <si>
    <t>Commercial Banking</t>
  </si>
  <si>
    <t>Credit Unions</t>
  </si>
  <si>
    <t>Savings Institutions</t>
  </si>
  <si>
    <t>Savings Institutions and Other Depository Credit Intermediation</t>
  </si>
  <si>
    <t>Other Depository Credit Intermediation</t>
  </si>
  <si>
    <t>Credit Card Issuing</t>
  </si>
  <si>
    <t>Sales Financing</t>
  </si>
  <si>
    <t>Consumer Lending</t>
  </si>
  <si>
    <t>Real Estate Credit</t>
  </si>
  <si>
    <t>International Trade Financing</t>
  </si>
  <si>
    <t>International, Secondary Market, and All Other Nondepository Credit Intermediation</t>
  </si>
  <si>
    <t>Secondary Market Financing</t>
  </si>
  <si>
    <t>All Other Nondepository Credit Intermediation</t>
  </si>
  <si>
    <t>Mortgage and Nonmortgage Loan Brokers</t>
  </si>
  <si>
    <t>Financial Transactions Processing, Reserve, and Clearinghouse Activities</t>
  </si>
  <si>
    <t>Other Activities Related to Credit Intermediation</t>
  </si>
  <si>
    <t>Investment Banking and Securities Dealing</t>
  </si>
  <si>
    <t>Investment Banking and Securities Intermediation</t>
  </si>
  <si>
    <t>Securities Brokerage</t>
  </si>
  <si>
    <t>Commodity Contracts Dealing</t>
  </si>
  <si>
    <t>Commodity Contracts Intermediation</t>
  </si>
  <si>
    <t>Commodity Contracts Brokerage</t>
  </si>
  <si>
    <t>Securities and Commodity Exchanges</t>
  </si>
  <si>
    <t>Miscellaneous Intermediation</t>
  </si>
  <si>
    <t>Portfolio Management</t>
  </si>
  <si>
    <t>Portfolio Management and Investment Advice</t>
  </si>
  <si>
    <t>Investment Advice</t>
  </si>
  <si>
    <t>Trust, Fiduciary, and Custody Activities</t>
  </si>
  <si>
    <t>Miscellaneous Financial Investment Activities</t>
  </si>
  <si>
    <t>Direct Life Insurance Carriers</t>
  </si>
  <si>
    <t>Direct Health and Medical Insurance Carriers</t>
  </si>
  <si>
    <t>Direct Property and Casualty Insurance Carriers</t>
  </si>
  <si>
    <t>Direct Title Insurance Carriers</t>
  </si>
  <si>
    <t>Other Direct Insurance (except Life, Health, and Medical) Carriers</t>
  </si>
  <si>
    <t>Reinsurance Carriers</t>
  </si>
  <si>
    <t>Insurance Agencies and Brokerages</t>
  </si>
  <si>
    <t>Claims Adjusting</t>
  </si>
  <si>
    <t>Third Party Administration of Insurance and Pension Funds</t>
  </si>
  <si>
    <t>Pharmacy Benefit Management and Other Third Party Administration of Insurance and Pension Funds</t>
  </si>
  <si>
    <t>All Other Insurance Related Activities</t>
  </si>
  <si>
    <t>Pension Funds</t>
  </si>
  <si>
    <t>Health and Welfare Funds</t>
  </si>
  <si>
    <t>Other Insurance Funds</t>
  </si>
  <si>
    <t>Open-End Investment Funds</t>
  </si>
  <si>
    <t>Trusts, Estates, and Agency Accounts</t>
  </si>
  <si>
    <t>Other Financial Vehicles</t>
  </si>
  <si>
    <t>Lessors of Residential Buildings and Dwellings</t>
  </si>
  <si>
    <t>Lessors of Nonresidential Buildings (except Miniwarehouses)</t>
  </si>
  <si>
    <t>Lessors of Miniwarehouses and Self-Storage Units</t>
  </si>
  <si>
    <t>Lessors of Other Real Estate Property</t>
  </si>
  <si>
    <t>Offices of Real Estate Agents and Brokers</t>
  </si>
  <si>
    <t>Residential Property Managers</t>
  </si>
  <si>
    <t>Nonresidential Property Managers</t>
  </si>
  <si>
    <t>Offices of Real Estate Appraisers</t>
  </si>
  <si>
    <t>Other Activities Related to Real Estate</t>
  </si>
  <si>
    <t>Passenger Car Rental</t>
  </si>
  <si>
    <t>Passenger Car Leasing</t>
  </si>
  <si>
    <t>Truck, Utility Trailer, and RV (Recreational Vehicle) Rental and Leasing</t>
  </si>
  <si>
    <t>Consumer Electronics and Appliances Rental</t>
  </si>
  <si>
    <t>Formal Wear and Costume Rental</t>
  </si>
  <si>
    <t>Video Tape and Disc Rental</t>
  </si>
  <si>
    <t>Home Health Equipment Rental</t>
  </si>
  <si>
    <t>Recreational Goods Rental</t>
  </si>
  <si>
    <t>All Other Consumer Goods Rental</t>
  </si>
  <si>
    <t>General Rental Centers</t>
  </si>
  <si>
    <t>Commercial Air, Rail, and Water Transportation Equipment Rental and Leasing</t>
  </si>
  <si>
    <t>Construction, Mining, and Forestry Machinery and Equipment Rental and Leasing</t>
  </si>
  <si>
    <t>Office Machinery and Equipment Rental and Leasing</t>
  </si>
  <si>
    <t>Other Commercial and Industrial Machinery and Equipment Rental and Leasing</t>
  </si>
  <si>
    <t>Lessors of Nonfinancial Intangible Assets (except Copyrighted Works)</t>
  </si>
  <si>
    <t>Offices of Lawyers</t>
  </si>
  <si>
    <t>Offices of Notaries</t>
  </si>
  <si>
    <t>Title Abstract and Settlement Offices</t>
  </si>
  <si>
    <t>All Other Legal Services</t>
  </si>
  <si>
    <t>Offices of Certified Public Accountants</t>
  </si>
  <si>
    <t>Tax Preparation Services</t>
  </si>
  <si>
    <t>Payroll Services</t>
  </si>
  <si>
    <t>Other Accounting Services</t>
  </si>
  <si>
    <t>Architectural Services</t>
  </si>
  <si>
    <t>Landscape Architectural Services</t>
  </si>
  <si>
    <t>Drafting Services</t>
  </si>
  <si>
    <t>Building Inspection Services</t>
  </si>
  <si>
    <t>Geophysical Surveying and Mapping Services</t>
  </si>
  <si>
    <t>Surveying and Mapping (except Geophysical) Services</t>
  </si>
  <si>
    <t>Testing Laboratories</t>
  </si>
  <si>
    <t>Testing Laboratories and Services</t>
  </si>
  <si>
    <t>Interior Design Services</t>
  </si>
  <si>
    <t>Industrial Design Services</t>
  </si>
  <si>
    <t>Graphic Design Services</t>
  </si>
  <si>
    <t>Other Specialized Design Services</t>
  </si>
  <si>
    <t>Custom Computer Programming Services</t>
  </si>
  <si>
    <t>Computer Systems Design Services</t>
  </si>
  <si>
    <t>Computer Facilities Management Services</t>
  </si>
  <si>
    <t>Other Computer Related Services</t>
  </si>
  <si>
    <t>Administrative Management and General Management Consulting Services</t>
  </si>
  <si>
    <t>Human Resources Consulting Services</t>
  </si>
  <si>
    <t>Marketing Consulting Services</t>
  </si>
  <si>
    <t>Process, Physical Distribution, and Logistics Consulting Services</t>
  </si>
  <si>
    <t>Other Management Consulting Services</t>
  </si>
  <si>
    <t>Environmental Consulting Services</t>
  </si>
  <si>
    <t>Other Scientific and Technical Consulting Services</t>
  </si>
  <si>
    <t>Research and Development in Nanotechnology</t>
  </si>
  <si>
    <t>Research and Development in Biotechnology (except Nanobiotechnology)</t>
  </si>
  <si>
    <t>Research and Development in the Physical, Engineering, and Life Sciences (except Nanotechnology and Biotechnology)</t>
  </si>
  <si>
    <t>Research and Development in the Social Sciences and Humanities</t>
  </si>
  <si>
    <t>Advertising Agencies</t>
  </si>
  <si>
    <t>Public Relations Agencies</t>
  </si>
  <si>
    <t>Media Buying Agencies</t>
  </si>
  <si>
    <t>Media Representatives</t>
  </si>
  <si>
    <t>Outdoor Advertising</t>
  </si>
  <si>
    <t>Indoor and Outdoor Display Advertising</t>
  </si>
  <si>
    <t>Direct Mail Advertising</t>
  </si>
  <si>
    <t>Advertising Material Distribution Services</t>
  </si>
  <si>
    <t>Other Services Related to Advertising</t>
  </si>
  <si>
    <t>Marketing Research and Public Opinion Polling</t>
  </si>
  <si>
    <t>Photography Studios, Portrait</t>
  </si>
  <si>
    <t>Commercial Photography</t>
  </si>
  <si>
    <t>Translation and Interpretation Services</t>
  </si>
  <si>
    <t>Veterinary Services</t>
  </si>
  <si>
    <t>All Other Professional, Scientific, and Technical Services</t>
  </si>
  <si>
    <t>Offices of Bank Holding Companies</t>
  </si>
  <si>
    <t>Offices of Other Holding Companies</t>
  </si>
  <si>
    <t>Corporate, Subsidiary, and Regional Managing Offices</t>
  </si>
  <si>
    <t>Office Administrative Services</t>
  </si>
  <si>
    <t>Facilities Support Services</t>
  </si>
  <si>
    <t>Employment Placement Agencies</t>
  </si>
  <si>
    <t>Executive Search Services</t>
  </si>
  <si>
    <t>Temporary Help Services</t>
  </si>
  <si>
    <t>Professional Employer Organizations</t>
  </si>
  <si>
    <t>Document Preparation Services</t>
  </si>
  <si>
    <t>Telephone Answering Services</t>
  </si>
  <si>
    <t>Telemarketing Bureaus and Other Contact Centers</t>
  </si>
  <si>
    <t>Private Mail Centers</t>
  </si>
  <si>
    <t>Other Business Service Centers (including Copy Shops)</t>
  </si>
  <si>
    <t>Collection Agencies</t>
  </si>
  <si>
    <t>Credit Bureaus</t>
  </si>
  <si>
    <t>Repossession Services</t>
  </si>
  <si>
    <t>Court Reporting and Stenotype Services</t>
  </si>
  <si>
    <t>All Other Business Support Services</t>
  </si>
  <si>
    <t>Travel Agencies</t>
  </si>
  <si>
    <t>Tour Operators</t>
  </si>
  <si>
    <t>Convention and Visitors Bureaus</t>
  </si>
  <si>
    <t>All Other Travel Arrangement and Reservation Services</t>
  </si>
  <si>
    <t>Investigation Services</t>
  </si>
  <si>
    <t>Investigation and Personal Background Check Services</t>
  </si>
  <si>
    <t>Security Guards and Patrol Services</t>
  </si>
  <si>
    <t>Armored Car Services</t>
  </si>
  <si>
    <t>Security Systems Services (except Locksmiths)</t>
  </si>
  <si>
    <t>Locksmiths</t>
  </si>
  <si>
    <t>Exterminating and Pest Control Services</t>
  </si>
  <si>
    <t>Janitorial Services</t>
  </si>
  <si>
    <t>Landscaping Services</t>
  </si>
  <si>
    <t>Carpet and Upholstery Cleaning Services</t>
  </si>
  <si>
    <t>Other Services to Buildings and Dwellings</t>
  </si>
  <si>
    <t>Packaging and Labeling Services</t>
  </si>
  <si>
    <t>Convention and Trade Show Organizers</t>
  </si>
  <si>
    <t>All Other Support Services</t>
  </si>
  <si>
    <t>Solid Waste Collection</t>
  </si>
  <si>
    <t>Hazardous Waste Collection</t>
  </si>
  <si>
    <t>Other Waste Collection</t>
  </si>
  <si>
    <t>Solid Waste Landfill</t>
  </si>
  <si>
    <t>Other Nonhazardous Waste Treatment and Disposal</t>
  </si>
  <si>
    <t>Remediation Services</t>
  </si>
  <si>
    <t>Materials Recovery Facilities</t>
  </si>
  <si>
    <t>Septic Tank and Related Services</t>
  </si>
  <si>
    <t>All Other Miscellaneous Waste Management Services</t>
  </si>
  <si>
    <t>Junior Colleges</t>
  </si>
  <si>
    <t>Colleges, Universities, and Professional Schools</t>
  </si>
  <si>
    <t>Business and Secretarial Schools</t>
  </si>
  <si>
    <t>Computer Training</t>
  </si>
  <si>
    <t>Professional and Management Development Training</t>
  </si>
  <si>
    <t>Cosmetology and Barber Schools</t>
  </si>
  <si>
    <t>Flight Training</t>
  </si>
  <si>
    <t>Apprenticeship Training</t>
  </si>
  <si>
    <t>Other Technical and Trade Schools</t>
  </si>
  <si>
    <t>Fine Arts Schools</t>
  </si>
  <si>
    <t>Sports and Recreation Instruction</t>
  </si>
  <si>
    <t>Language Schools</t>
  </si>
  <si>
    <t>Exam Preparation and Tutoring</t>
  </si>
  <si>
    <t>Automobile Driving Schools</t>
  </si>
  <si>
    <t>All Other Miscellaneous Schools and Instruction</t>
  </si>
  <si>
    <t>Educational Support Services</t>
  </si>
  <si>
    <t>Offices of Physicians (except Mental Health Specialists)</t>
  </si>
  <si>
    <t>Offices of Physicians, Mental Health Specialists</t>
  </si>
  <si>
    <t>Offices of Dentists</t>
  </si>
  <si>
    <t>Offices of Chiropractors</t>
  </si>
  <si>
    <t>Offices of Optometrists</t>
  </si>
  <si>
    <t>Offices of Mental Health Practitioners (except Physicians)</t>
  </si>
  <si>
    <t>Offices of Physical, Occupational and Speech Therapists, and Audiologists</t>
  </si>
  <si>
    <t>Offices of Podiatrists</t>
  </si>
  <si>
    <t>Offices of All Other Miscellaneous Health Practitioners</t>
  </si>
  <si>
    <t>Family Planning Centers</t>
  </si>
  <si>
    <t>Outpatient Mental Health and Substance Abuse Centers</t>
  </si>
  <si>
    <t>HMO Medical Centers</t>
  </si>
  <si>
    <t>Kidney Dialysis Centers</t>
  </si>
  <si>
    <t>Freestanding Ambulatory Surgical and Emergency Centers</t>
  </si>
  <si>
    <t>All Other Outpatient Care Centers</t>
  </si>
  <si>
    <t>Medical Laboratories</t>
  </si>
  <si>
    <t>Diagnostic Imaging Centers</t>
  </si>
  <si>
    <t>Home Health Care Services</t>
  </si>
  <si>
    <t>Ambulance Services</t>
  </si>
  <si>
    <t>Blood and Organ Banks</t>
  </si>
  <si>
    <t>All Other Miscellaneous Ambulatory Health Care Services</t>
  </si>
  <si>
    <t>General Medical and Surgical Hospitals</t>
  </si>
  <si>
    <t>Psychiatric and Substance Abuse Hospitals</t>
  </si>
  <si>
    <t>Specialty (except Psychiatric and Substance Abuse) Hospitals</t>
  </si>
  <si>
    <t>Nursing Care Facilities (Skilled Nursing Facilities)</t>
  </si>
  <si>
    <t>Residential Intellectual and Developmental Disability Facilities</t>
  </si>
  <si>
    <t>Residential Mental Health and Substance Abuse Facilities</t>
  </si>
  <si>
    <t>Continuing Care Retirement Communities</t>
  </si>
  <si>
    <t>Assisted Living Facilities for the Elderly</t>
  </si>
  <si>
    <t>Other Residential Care Facilities</t>
  </si>
  <si>
    <t>Child and Youth Services</t>
  </si>
  <si>
    <t>Services for the Elderly and Persons with Disabilities</t>
  </si>
  <si>
    <t>Other Individual and Family Services</t>
  </si>
  <si>
    <t>Community Food Services</t>
  </si>
  <si>
    <t>Temporary Shelters</t>
  </si>
  <si>
    <t>Other Community Housing Services</t>
  </si>
  <si>
    <t>Emergency and Other Relief Services</t>
  </si>
  <si>
    <t>Vocational Rehabilitation Services</t>
  </si>
  <si>
    <t>Child Day Care Services</t>
  </si>
  <si>
    <t>Child Care Services</t>
  </si>
  <si>
    <t>Theater Companies and Dinner Theaters</t>
  </si>
  <si>
    <t>Dance Companies</t>
  </si>
  <si>
    <t>Musical Groups and Artists</t>
  </si>
  <si>
    <t>Other Performing Arts Companies</t>
  </si>
  <si>
    <t>Sports Teams and Clubs</t>
  </si>
  <si>
    <t>Racetracks</t>
  </si>
  <si>
    <t>Other Spectator Sports</t>
  </si>
  <si>
    <t>Promoters of Performing Arts, Sports, and Similar Events with Facilities</t>
  </si>
  <si>
    <t>Promoters of Performing Arts, Sports, and Similar Events without Facilities</t>
  </si>
  <si>
    <t>Agents and Managers for Artists, Athletes, Entertainers, and Other Public Figures</t>
  </si>
  <si>
    <t>Independent Artists, Writers, and Performers</t>
  </si>
  <si>
    <t>Museums</t>
  </si>
  <si>
    <t>Historical Sites</t>
  </si>
  <si>
    <t>Zoos and Botanical Gardens</t>
  </si>
  <si>
    <t>Nature Parks and Other Similar Institutions</t>
  </si>
  <si>
    <t>Amusement and Theme Parks</t>
  </si>
  <si>
    <t>Amusement Arcades</t>
  </si>
  <si>
    <t>Casinos (except Casino Hotels)</t>
  </si>
  <si>
    <t>Other Gambling Industries</t>
  </si>
  <si>
    <t>Golf Courses and Country Clubs</t>
  </si>
  <si>
    <t>Skiing Facilities</t>
  </si>
  <si>
    <t>Marinas</t>
  </si>
  <si>
    <t>Fitness and Recreational Sports Centers</t>
  </si>
  <si>
    <t>Bowling Centers</t>
  </si>
  <si>
    <t>All Other Amusement and Recreation Industries</t>
  </si>
  <si>
    <t>Hotels (except Casino Hotels) and Motels</t>
  </si>
  <si>
    <t>Casino Hotels</t>
  </si>
  <si>
    <t>Bed-and-Breakfast Inns</t>
  </si>
  <si>
    <t>All Other Traveler Accommodation</t>
  </si>
  <si>
    <t>RV (Recreational Vehicle) Parks and Campgrounds</t>
  </si>
  <si>
    <t>Recreational and Vacation Camps (except Campgrounds)</t>
  </si>
  <si>
    <t>Rooming and Boarding Houses, Dormitories, and Workers' Camps</t>
  </si>
  <si>
    <t>Food Service Contractors</t>
  </si>
  <si>
    <t>Caterers</t>
  </si>
  <si>
    <t>Mobile Food Services</t>
  </si>
  <si>
    <t>Drinking Places (Alcoholic Beverages)</t>
  </si>
  <si>
    <t>Full-Service Restaurants</t>
  </si>
  <si>
    <t>Limited-Service Restaurants</t>
  </si>
  <si>
    <t>Cafeterias, Grill Buffets, and Buffets</t>
  </si>
  <si>
    <t>Snack and Nonalcoholic Beverage Bars</t>
  </si>
  <si>
    <t>General Automotive Repair</t>
  </si>
  <si>
    <t>Automotive Exhaust System Repair</t>
  </si>
  <si>
    <t>Specialized Automotive Repair</t>
  </si>
  <si>
    <t>Automotive Transmission Repair</t>
  </si>
  <si>
    <t>Other Automotive Mechanical and Electrical Repair and Maintenance</t>
  </si>
  <si>
    <t>Automotive Body, Paint, and Interior Repair and Maintenance</t>
  </si>
  <si>
    <t>Automotive Glass Replacement Shops</t>
  </si>
  <si>
    <t>Automotive Oil Change and Lubrication Shops</t>
  </si>
  <si>
    <t>Car Washes</t>
  </si>
  <si>
    <t>All Other Automotive Repair and Maintenance</t>
  </si>
  <si>
    <t>Consumer Electronics Repair and Maintenance</t>
  </si>
  <si>
    <t>Electronic and Precision Equipment Repair and Maintenance</t>
  </si>
  <si>
    <t>Computer and Office Machine Repair and Maintenance</t>
  </si>
  <si>
    <t>Communication Equipment Repair and Maintenance</t>
  </si>
  <si>
    <t>Other Electronic and Precision Equipment Repair and Maintenance</t>
  </si>
  <si>
    <t>Commercial and Industrial Machinery and Equipment (except Automotive and Electronic) Repair and Maintenance</t>
  </si>
  <si>
    <t>Home and Garden Equipment Repair and Maintenance</t>
  </si>
  <si>
    <t>Appliance Repair and Maintenance</t>
  </si>
  <si>
    <t>Reupholstery and Furniture Repair</t>
  </si>
  <si>
    <t>Footwear and Leather Goods Repair</t>
  </si>
  <si>
    <t>Other Personal and Household Goods Repair and Maintenance</t>
  </si>
  <si>
    <t>Barber Shops</t>
  </si>
  <si>
    <t>Beauty Salons</t>
  </si>
  <si>
    <t>Nail Salons</t>
  </si>
  <si>
    <t>Diet and Weight Reducing Centers</t>
  </si>
  <si>
    <t>Other Personal Care Services</t>
  </si>
  <si>
    <t>Funeral Homes and Funeral Services</t>
  </si>
  <si>
    <t>Cemeteries and Crematories</t>
  </si>
  <si>
    <t>Coin-Operated Laundries and Drycleaners</t>
  </si>
  <si>
    <t>Drycleaning and Laundry Services (except Coin-Operated)</t>
  </si>
  <si>
    <t>Linen Supply</t>
  </si>
  <si>
    <t>Industrial Launderers</t>
  </si>
  <si>
    <t>Pet Care (except Veterinary) Services</t>
  </si>
  <si>
    <t>Photofinishing Laboratories (except One-Hour)</t>
  </si>
  <si>
    <t>One-Hour Photofinishing</t>
  </si>
  <si>
    <t>Parking Lots and Garages</t>
  </si>
  <si>
    <t>All Other Personal Services</t>
  </si>
  <si>
    <t>Religious Organizations</t>
  </si>
  <si>
    <t>Grantmaking Foundations</t>
  </si>
  <si>
    <t>Voluntary Health Organizations</t>
  </si>
  <si>
    <t>Other Grantmaking and Giving Services</t>
  </si>
  <si>
    <t>Human Rights Organizations</t>
  </si>
  <si>
    <t>Environment, Conservation and Wildlife Organizations</t>
  </si>
  <si>
    <t>Other Social Advocacy Organizations</t>
  </si>
  <si>
    <t>Civic and Social Organizations</t>
  </si>
  <si>
    <t>Business Associations</t>
  </si>
  <si>
    <t>Professional Organizations</t>
  </si>
  <si>
    <t>Labor Unions and Similar Labor Organizations</t>
  </si>
  <si>
    <t>Political Organizations</t>
  </si>
  <si>
    <t>Other Similar Organizations (except Business, Professional, Labor, and Political Organizations)</t>
  </si>
  <si>
    <t>Private Households</t>
  </si>
  <si>
    <t>Executive Offices</t>
  </si>
  <si>
    <t>Legislative Bodies</t>
  </si>
  <si>
    <t>Public Finance Activities</t>
  </si>
  <si>
    <t>Executive and Legislative Offices, Combined</t>
  </si>
  <si>
    <t>American Indian and Alaska Native Tribal Governments</t>
  </si>
  <si>
    <t>Other General Government Support</t>
  </si>
  <si>
    <t>Police Protection</t>
  </si>
  <si>
    <t>Legal Counsel and Prosecution</t>
  </si>
  <si>
    <t>Parole Offices and Probation Offices</t>
  </si>
  <si>
    <t>Fire Protection</t>
  </si>
  <si>
    <t>Other Justice, Public Order, and Safety Activities</t>
  </si>
  <si>
    <t>Administration of Education Programs</t>
  </si>
  <si>
    <t>Administration of Public Health Programs</t>
  </si>
  <si>
    <t>Administration of Human Resource Programs (except Education, Public Health, and Veterans' Affairs Programs)</t>
  </si>
  <si>
    <t>Administration of Veterans' Affairs</t>
  </si>
  <si>
    <t>Administration of Air and Water Resource and Solid Waste Management Programs</t>
  </si>
  <si>
    <t>Administration of Conservation Programs</t>
  </si>
  <si>
    <t>Administration of Housing Programs</t>
  </si>
  <si>
    <t>Administration of Urban Planning and Community and Rural Development</t>
  </si>
  <si>
    <t>Administration of General Economic Programs</t>
  </si>
  <si>
    <t>Regulation and Administration of Transportation Programs</t>
  </si>
  <si>
    <t>Regulation and Administration of Communications, Electric, Gas, and Other Utilities</t>
  </si>
  <si>
    <t>Regulation of Agricultural Marketing and Commodities</t>
  </si>
  <si>
    <t>Regulation, Licensing, and Inspection of Miscellaneous Commercial Sectors</t>
  </si>
  <si>
    <t>Space Research and Technology</t>
  </si>
  <si>
    <t>International Affairs</t>
  </si>
  <si>
    <t>2017 SIC to NAICS Crosswalk</t>
  </si>
  <si>
    <r>
      <rPr>
        <b/>
        <u/>
        <sz val="11"/>
        <color rgb="FFFFFFFF"/>
        <rFont val="Arial"/>
        <family val="2"/>
      </rPr>
      <t>SIC</t>
    </r>
  </si>
  <si>
    <r>
      <rPr>
        <b/>
        <u/>
        <sz val="11"/>
        <color rgb="FFFFFFFF"/>
        <rFont val="Arial"/>
        <family val="2"/>
      </rPr>
      <t>SIC Description</t>
    </r>
  </si>
  <si>
    <r>
      <rPr>
        <b/>
        <u/>
        <sz val="11"/>
        <color rgb="FFFFFFFF"/>
        <rFont val="Arial"/>
        <family val="2"/>
      </rPr>
      <t>NAICS</t>
    </r>
  </si>
  <si>
    <r>
      <rPr>
        <b/>
        <u/>
        <sz val="11"/>
        <color rgb="FFFFFFFF"/>
        <rFont val="Arial"/>
        <family val="2"/>
      </rPr>
      <t>NAICS Description</t>
    </r>
  </si>
  <si>
    <t>Soybeans</t>
  </si>
  <si>
    <t>Cash Grains, Nec</t>
  </si>
  <si>
    <t xml:space="preserve">Oilseed (except Soybean) Farming </t>
  </si>
  <si>
    <t xml:space="preserve">Dry Pea and Bean Farming </t>
  </si>
  <si>
    <t>Wheat</t>
  </si>
  <si>
    <t>Corn</t>
  </si>
  <si>
    <t xml:space="preserve">Corn Farming </t>
  </si>
  <si>
    <t>Rice</t>
  </si>
  <si>
    <t xml:space="preserve">Oilseed and Grain Combination Farming </t>
  </si>
  <si>
    <t xml:space="preserve">All Other Grain Farming </t>
  </si>
  <si>
    <t>Field Crops, Except Cash Grain</t>
  </si>
  <si>
    <t>Irish Potatoes</t>
  </si>
  <si>
    <t xml:space="preserve">Potato Farming </t>
  </si>
  <si>
    <t>Vegetables and Melons</t>
  </si>
  <si>
    <t xml:space="preserve">Other Vegetable (except Potato) and Melon Farming </t>
  </si>
  <si>
    <t>Citrus Fruits</t>
  </si>
  <si>
    <t xml:space="preserve">Citrus (except Orange) Groves </t>
  </si>
  <si>
    <t>Deciduous Tree Fruits</t>
  </si>
  <si>
    <t xml:space="preserve">Apple Orchards </t>
  </si>
  <si>
    <t>Grapes</t>
  </si>
  <si>
    <t xml:space="preserve">Grape Vineyards </t>
  </si>
  <si>
    <t>Berry Crops</t>
  </si>
  <si>
    <t xml:space="preserve">Strawberry Farming </t>
  </si>
  <si>
    <t xml:space="preserve">Berry (except Strawberry) Farming </t>
  </si>
  <si>
    <t>Tree Nuts</t>
  </si>
  <si>
    <t xml:space="preserve">Tree Nut Farming </t>
  </si>
  <si>
    <t>Fruits and Tree Nuts, Nec</t>
  </si>
  <si>
    <t xml:space="preserve">Fruit and Tree Nut Combination Farming </t>
  </si>
  <si>
    <t xml:space="preserve">Other Noncitrus Fruit Farming </t>
  </si>
  <si>
    <t>Food Crops Grown Under Cover</t>
  </si>
  <si>
    <t xml:space="preserve">Mushroom Production </t>
  </si>
  <si>
    <t xml:space="preserve">Other Food Crops Grown Under Cover </t>
  </si>
  <si>
    <t>Ornamental Nursery Products</t>
  </si>
  <si>
    <t xml:space="preserve">Nursery and Tree Production </t>
  </si>
  <si>
    <t>Timber Tracts</t>
  </si>
  <si>
    <t xml:space="preserve">Floriculture Production </t>
  </si>
  <si>
    <t>Tobacco</t>
  </si>
  <si>
    <t>Cotton</t>
  </si>
  <si>
    <t>Sugarcane and Sugar Beets</t>
  </si>
  <si>
    <t xml:space="preserve">Hay Farming </t>
  </si>
  <si>
    <t xml:space="preserve">Sugar Beet Farming </t>
  </si>
  <si>
    <t xml:space="preserve">Peanut Farming </t>
  </si>
  <si>
    <t xml:space="preserve">All Other Miscellaneous Crop Farming </t>
  </si>
  <si>
    <t>General Farms, Primarily Crop</t>
  </si>
  <si>
    <t>Forest Products</t>
  </si>
  <si>
    <t>Miscellaneous Marine Products</t>
  </si>
  <si>
    <t>Food Preparations, Nec</t>
  </si>
  <si>
    <t>Beef Cattle, Except Feedlots</t>
  </si>
  <si>
    <t xml:space="preserve">Beef Cattle Ranching and Farming </t>
  </si>
  <si>
    <t>Dairy Farms</t>
  </si>
  <si>
    <t>Beef Cattle Feedlots</t>
  </si>
  <si>
    <t xml:space="preserve">Cattle Feedlots </t>
  </si>
  <si>
    <t>Aux</t>
  </si>
  <si>
    <t xml:space="preserve">Dual-Purpose Cattle Ranching and Farming </t>
  </si>
  <si>
    <t>Hogs</t>
  </si>
  <si>
    <t xml:space="preserve">Hog and Pig Farming </t>
  </si>
  <si>
    <t>Chicken Eggs</t>
  </si>
  <si>
    <t xml:space="preserve">Chicken Egg Production </t>
  </si>
  <si>
    <t>Broiler, Fryer, and Roaster Chickens</t>
  </si>
  <si>
    <r>
      <t>Broilers and Other Meat Type Chicken Production</t>
    </r>
    <r>
      <rPr>
        <sz val="10"/>
        <color indexed="8"/>
        <rFont val="Arial"/>
        <family val="2"/>
      </rPr>
      <t xml:space="preserve"> </t>
    </r>
  </si>
  <si>
    <t>Turkeys and Turkey Eggs</t>
  </si>
  <si>
    <t>Poultry and Eggs, Nec</t>
  </si>
  <si>
    <t xml:space="preserve">Other Poultry Production </t>
  </si>
  <si>
    <t>Sheep and Goats</t>
  </si>
  <si>
    <t>Animal Aquaculture</t>
  </si>
  <si>
    <t xml:space="preserve">Finfish Farming and Fish Hatcheries </t>
  </si>
  <si>
    <t>Fish Hatcheries and Preserves</t>
  </si>
  <si>
    <t xml:space="preserve">Shellfish Farming </t>
  </si>
  <si>
    <t xml:space="preserve">Other Aquaculture </t>
  </si>
  <si>
    <t>Animal Specialties, Nec</t>
  </si>
  <si>
    <t>Horses and Other Equines</t>
  </si>
  <si>
    <t>Fur-bearing Animals and Rabbits</t>
  </si>
  <si>
    <t>General Livestock, Nec</t>
  </si>
  <si>
    <t xml:space="preserve">All Other Animal Production </t>
  </si>
  <si>
    <t>General Farms, Primarily animals</t>
  </si>
  <si>
    <t xml:space="preserve">Forest Nurseries and Gathering of Forest Products </t>
  </si>
  <si>
    <t xml:space="preserve">Logging </t>
  </si>
  <si>
    <t>Finfish</t>
  </si>
  <si>
    <t xml:space="preserve">Finfish Fishing </t>
  </si>
  <si>
    <t>Shellfish</t>
  </si>
  <si>
    <t xml:space="preserve">Shellfish Fishing </t>
  </si>
  <si>
    <t xml:space="preserve">Other Marine Fishing </t>
  </si>
  <si>
    <t>Hunting, Trapping, Game Propagation</t>
  </si>
  <si>
    <t xml:space="preserve">Cotton Ginning </t>
  </si>
  <si>
    <t>Soil Preparation Services</t>
  </si>
  <si>
    <t xml:space="preserve">Soil Preparation, Planting, and Cultivating </t>
  </si>
  <si>
    <t>Crop Planting and Protection</t>
  </si>
  <si>
    <t>Crop Harvesting</t>
  </si>
  <si>
    <t xml:space="preserve">Crop Harvesting, Primarily by Machine </t>
  </si>
  <si>
    <t>Crop Preparation Services For Market</t>
  </si>
  <si>
    <t xml:space="preserve">Postharvest Crop Activities (except Cotton Ginning) </t>
  </si>
  <si>
    <t>Farm Labor Contractors</t>
  </si>
  <si>
    <t xml:space="preserve">Farm Labor Contractors and Crew Leaders </t>
  </si>
  <si>
    <t xml:space="preserve">Farm Management Services </t>
  </si>
  <si>
    <t>Livestock Services, Except Veterinary</t>
  </si>
  <si>
    <t>Animal Specialty Services</t>
  </si>
  <si>
    <t>Repair Services, Nec</t>
  </si>
  <si>
    <t>Forestry Services</t>
  </si>
  <si>
    <t>Crude Petroleum Extraction </t>
  </si>
  <si>
    <t>Natural Gas Liquids</t>
  </si>
  <si>
    <t xml:space="preserve">Natural Gas Extraction </t>
  </si>
  <si>
    <t>Industrial Inorganic Chemicals, Nec</t>
  </si>
  <si>
    <t>Bituminous Coal and Lignite-surface Mining</t>
  </si>
  <si>
    <t xml:space="preserve">Surface Coal Mining </t>
  </si>
  <si>
    <t>Anthracite Mining</t>
  </si>
  <si>
    <t>Bituminous Coal-underground Mining</t>
  </si>
  <si>
    <t xml:space="preserve">Underground Coal Mining </t>
  </si>
  <si>
    <t>Iron Ores</t>
  </si>
  <si>
    <t xml:space="preserve">Gold Ore and Silver Ore Mining </t>
  </si>
  <si>
    <t>Silver Ores</t>
  </si>
  <si>
    <t>Copper Ores</t>
  </si>
  <si>
    <t xml:space="preserve">Copper, Nickel, Lead, and Zinc Mining </t>
  </si>
  <si>
    <t>Lead and Zinc Ores</t>
  </si>
  <si>
    <t>Ferroalloy Ores, Except Vanadium</t>
  </si>
  <si>
    <t xml:space="preserve">Other Metal Ore Mining </t>
  </si>
  <si>
    <t>Metal Ores, Nec</t>
  </si>
  <si>
    <t>Uranium-radium-vanadium Ores</t>
  </si>
  <si>
    <t>Dimension Stone</t>
  </si>
  <si>
    <t xml:space="preserve">Dimension Stone Mining and Quarrying </t>
  </si>
  <si>
    <t>Crushed and Broken Limestone</t>
  </si>
  <si>
    <t xml:space="preserve">Crushed and Broken Limestone Mining and Quarrying </t>
  </si>
  <si>
    <t>Crushed and Broken Granite</t>
  </si>
  <si>
    <t xml:space="preserve">Crushed and Broken Granite Mining and Quarrying </t>
  </si>
  <si>
    <t>Crushed and Broken Stone, Nec</t>
  </si>
  <si>
    <t xml:space="preserve">Other Crushed and Broken Stone Mining and Quarrying </t>
  </si>
  <si>
    <t>Miscellaneous Nonmetallic Mining</t>
  </si>
  <si>
    <t>Construction Sand and Gravel</t>
  </si>
  <si>
    <t xml:space="preserve">Construction Sand and Gravel Mining </t>
  </si>
  <si>
    <t>Industrial Sand</t>
  </si>
  <si>
    <t xml:space="preserve">Industrial Sand Mining </t>
  </si>
  <si>
    <t>Kaolin and Ball Clay</t>
  </si>
  <si>
    <t xml:space="preserve">Kaolin, Clay, and Ceramic and Refractory Minerals Mining </t>
  </si>
  <si>
    <t>Minerals, Ground or Treated</t>
  </si>
  <si>
    <t>Clay and Related Minerals, Nec</t>
  </si>
  <si>
    <t xml:space="preserve">Other Nonmetallic Mineral Mining and Quarrying </t>
  </si>
  <si>
    <t>Potash, Soda, and Borate Minerals</t>
  </si>
  <si>
    <t>Phosphate Rock</t>
  </si>
  <si>
    <t>Chemical and Fertilizer Mining</t>
  </si>
  <si>
    <t>Oil and Gas Exploration Services</t>
  </si>
  <si>
    <t xml:space="preserve">Support Activities for Oil and Gas Operations </t>
  </si>
  <si>
    <t>Oil and Gas Field Services, Nec</t>
  </si>
  <si>
    <t>Coal Mining Services</t>
  </si>
  <si>
    <t xml:space="preserve">Support Activities for Coal Mining </t>
  </si>
  <si>
    <t>Metal Mining Services</t>
  </si>
  <si>
    <t xml:space="preserve">Support Activities for Metal Mining </t>
  </si>
  <si>
    <t>Nonmetallic Minerals Services, Except Fuels</t>
  </si>
  <si>
    <t xml:space="preserve">Support Activities for Nonmetallic Minerals (except Fuels) Mining </t>
  </si>
  <si>
    <t>Electric Services</t>
  </si>
  <si>
    <t xml:space="preserve">Hydroelectric Power Generation </t>
  </si>
  <si>
    <t>Electric and Other Services Combined</t>
  </si>
  <si>
    <t>Combination Utilities, Nec</t>
  </si>
  <si>
    <t xml:space="preserve">Fossil Fuel Electric Power Generation </t>
  </si>
  <si>
    <t xml:space="preserve">Nuclear Electric Power Generation </t>
  </si>
  <si>
    <t xml:space="preserve">Solar Electric Power Generation </t>
  </si>
  <si>
    <t xml:space="preserve">Wind Electric Power Generation </t>
  </si>
  <si>
    <t xml:space="preserve">Geothermal Electric Power Generation </t>
  </si>
  <si>
    <t xml:space="preserve">Biomass Electric Power Generation </t>
  </si>
  <si>
    <t xml:space="preserve">Other Electric Power Generation </t>
  </si>
  <si>
    <t xml:space="preserve">Electric Bulk Power Transmission and Control </t>
  </si>
  <si>
    <t xml:space="preserve">Electric Power Distribution </t>
  </si>
  <si>
    <t>Gas Transmission and Distribution</t>
  </si>
  <si>
    <t xml:space="preserve">Natural Gas Distribution </t>
  </si>
  <si>
    <t>Gas Production and/or Distribution</t>
  </si>
  <si>
    <t>Gas and Other Services Combined</t>
  </si>
  <si>
    <t>Water Supply</t>
  </si>
  <si>
    <t xml:space="preserve">Water Supply and Irrigation Systems </t>
  </si>
  <si>
    <t>Irrigation Systems</t>
  </si>
  <si>
    <t xml:space="preserve">Sewage Treatment Facilities </t>
  </si>
  <si>
    <t>Steam and Air-conditioning Supply</t>
  </si>
  <si>
    <t xml:space="preserve">Steam and Air-Conditioning Supply </t>
  </si>
  <si>
    <t>Single-family Housing Construction</t>
  </si>
  <si>
    <t xml:space="preserve">New Single-Family Housing Construction (except For-Sale Builders) </t>
  </si>
  <si>
    <t>Management Services</t>
  </si>
  <si>
    <t>Residential Construction, Nec</t>
  </si>
  <si>
    <t xml:space="preserve">New Multifamily Housing Construction (except For-Sale Builders) </t>
  </si>
  <si>
    <t>Operative Builders</t>
  </si>
  <si>
    <t xml:space="preserve">New Housing For-Sale Builders </t>
  </si>
  <si>
    <t xml:space="preserve">Residential Remodelers </t>
  </si>
  <si>
    <t xml:space="preserve">Industrial Building Construction </t>
  </si>
  <si>
    <t>Industrial Buildings and Warehouses</t>
  </si>
  <si>
    <t>Heavy Construction, Nec</t>
  </si>
  <si>
    <t xml:space="preserve">Commercial and Institutional Building Construction </t>
  </si>
  <si>
    <t>Nonresidential Construction, Nec</t>
  </si>
  <si>
    <t>Special Trade Contractors, Nec</t>
  </si>
  <si>
    <t>Water, Sewer, and Utility Lines</t>
  </si>
  <si>
    <t xml:space="preserve">Water and Sewer Line and Related Structures Construction </t>
  </si>
  <si>
    <t>Water Well Drilling</t>
  </si>
  <si>
    <t xml:space="preserve">Oil and Gas Pipeline and Related Structures Construction </t>
  </si>
  <si>
    <t xml:space="preserve">Power and Communication Line and Related Structures Construction </t>
  </si>
  <si>
    <t>Subdividers and Developers, Nec</t>
  </si>
  <si>
    <t xml:space="preserve">Land Subdivision </t>
  </si>
  <si>
    <t>Highway and Street Construction</t>
  </si>
  <si>
    <t xml:space="preserve">Highway, Street, and Bridge Construction </t>
  </si>
  <si>
    <t>Bridge, Tunnel, and Elevated Highway</t>
  </si>
  <si>
    <t>Painting and Paper Hanging</t>
  </si>
  <si>
    <t xml:space="preserve">Other Heavy and Civil Engineering Construction </t>
  </si>
  <si>
    <t>Concrete Work</t>
  </si>
  <si>
    <t xml:space="preserve">Poured Concrete Foundation and Structure Contractors </t>
  </si>
  <si>
    <t>Structural Steel Erection</t>
  </si>
  <si>
    <t xml:space="preserve">Structural Steel and Precast Concrete Contractors </t>
  </si>
  <si>
    <t>Carpentry Work</t>
  </si>
  <si>
    <t xml:space="preserve">Framing Contractors </t>
  </si>
  <si>
    <t>Masonry and Other Stonework</t>
  </si>
  <si>
    <t xml:space="preserve">Masonry Contractors </t>
  </si>
  <si>
    <t>Glass and Glazing Work</t>
  </si>
  <si>
    <t xml:space="preserve">Glass and Glazing Contractors </t>
  </si>
  <si>
    <t>Roofing, Siding, and Sheetmetal Work</t>
  </si>
  <si>
    <t xml:space="preserve">Roofing Contractors </t>
  </si>
  <si>
    <t xml:space="preserve">Siding Contractors </t>
  </si>
  <si>
    <t xml:space="preserve">Other Foundation, Structure, and Building Exterior Contractors </t>
  </si>
  <si>
    <t>Plumbing, Heating, Air-conditioning</t>
  </si>
  <si>
    <t>Electrical Work</t>
  </si>
  <si>
    <t xml:space="preserve">Plumbing, Heating, and Air-Conditioning Contractors </t>
  </si>
  <si>
    <t>Installing Building Equipment</t>
  </si>
  <si>
    <t xml:space="preserve">Other Building Equipment Contractors </t>
  </si>
  <si>
    <t>Radio and Television Repair</t>
  </si>
  <si>
    <t>Plastering, Drywall, and Insulation</t>
  </si>
  <si>
    <t xml:space="preserve">Drywall and Insulation Contractors </t>
  </si>
  <si>
    <t>Terrazzo, Tile, Marble, Mosaic Work</t>
  </si>
  <si>
    <t>Floor Laying and Floor Work, Nec</t>
  </si>
  <si>
    <t>Nonmetallic Mineral Services</t>
  </si>
  <si>
    <t>Wrecking and Demolition Work</t>
  </si>
  <si>
    <t>Heavy Construction Equipment Rental</t>
  </si>
  <si>
    <t>Dog and Cat Food</t>
  </si>
  <si>
    <t xml:space="preserve">Dog and Cat Food Manufacturing </t>
  </si>
  <si>
    <t xml:space="preserve">Other Animal Food Manufacturing </t>
  </si>
  <si>
    <t>Prepared Feeds, Nec</t>
  </si>
  <si>
    <t>Dehydrated Fruits, Vegetables, Soups</t>
  </si>
  <si>
    <t xml:space="preserve">Flour Milling </t>
  </si>
  <si>
    <t xml:space="preserve">Rice Milling </t>
  </si>
  <si>
    <t>Malt</t>
  </si>
  <si>
    <t xml:space="preserve">Malt Manufacturing </t>
  </si>
  <si>
    <t xml:space="preserve">Wet Corn Milling and Starch Manufacturing </t>
  </si>
  <si>
    <t>Cottonseed Oil Mills</t>
  </si>
  <si>
    <t xml:space="preserve">Soybean and Other Oilseed Processing </t>
  </si>
  <si>
    <t>Soybean Oil Mills</t>
  </si>
  <si>
    <t>Vegetable Oil Mills, Nec</t>
  </si>
  <si>
    <t>Edible Fats and Oils</t>
  </si>
  <si>
    <t xml:space="preserve">Fats and Oils Refining and Blending </t>
  </si>
  <si>
    <t>Cereal Breakfast Foods</t>
  </si>
  <si>
    <t>Beet Sugar</t>
  </si>
  <si>
    <t xml:space="preserve">Beet Sugar Manufacturing </t>
  </si>
  <si>
    <t>Raw Cane Sugar</t>
  </si>
  <si>
    <t xml:space="preserve">Cane Sugar Manufacturing </t>
  </si>
  <si>
    <t>Cane Sugar Refining</t>
  </si>
  <si>
    <t>Candy and Other Confectionery Products</t>
  </si>
  <si>
    <t>Chewing Gum</t>
  </si>
  <si>
    <t>Candy, Nut, and Confectionery Stores</t>
  </si>
  <si>
    <t>Chocolate and Cocoa Products</t>
  </si>
  <si>
    <t xml:space="preserve">Chocolate and Confectionery Manufacturing from Cacao Beans </t>
  </si>
  <si>
    <t xml:space="preserve">Confectionery Manufacturing from Purchased Chocolate </t>
  </si>
  <si>
    <t>Frozen Fruits and Vegetables</t>
  </si>
  <si>
    <t xml:space="preserve">Frozen Fruit, Juice, and Vegetable Manufacturing </t>
  </si>
  <si>
    <t>Frozen Specialties, Nec</t>
  </si>
  <si>
    <t xml:space="preserve">Frozen Specialty Food Manufacturing </t>
  </si>
  <si>
    <t>Canned Fruits and Specialties</t>
  </si>
  <si>
    <t xml:space="preserve">Fruit and Vegetable Canning </t>
  </si>
  <si>
    <t>Pickles, Sauces, and Salad Dressings</t>
  </si>
  <si>
    <t>Canned Specialties</t>
  </si>
  <si>
    <t xml:space="preserve">Specialty Canning </t>
  </si>
  <si>
    <t xml:space="preserve">Dried and Dehydrated Food Manufacturing </t>
  </si>
  <si>
    <t>Dry, Condensed, Evaporated Products</t>
  </si>
  <si>
    <t xml:space="preserve">Fluid Milk Manufacturing </t>
  </si>
  <si>
    <t>Fluid Milk</t>
  </si>
  <si>
    <t>Creamery Butter</t>
  </si>
  <si>
    <t xml:space="preserve">Creamery Butter Manufacturing </t>
  </si>
  <si>
    <t>Cheese; Natural and Processed</t>
  </si>
  <si>
    <t xml:space="preserve">Cheese Manufacturing </t>
  </si>
  <si>
    <t xml:space="preserve">Dry, Condensed, and Evaporated Dairy Product Manufacturing </t>
  </si>
  <si>
    <t>Ice Cream and Frozen Desserts</t>
  </si>
  <si>
    <t xml:space="preserve">Animal (except Poultry) Slaughtering </t>
  </si>
  <si>
    <t>Meat Packing Plants</t>
  </si>
  <si>
    <t>Sausages and Other Prepared Meats</t>
  </si>
  <si>
    <t xml:space="preserve">Meat Processed from Carcasses </t>
  </si>
  <si>
    <t>Meats and Meat Products</t>
  </si>
  <si>
    <t xml:space="preserve">Rendering and Meat Byproduct Processing </t>
  </si>
  <si>
    <t>Animal and Marine Fats and Oils</t>
  </si>
  <si>
    <t>Poultry Slaughtering and Processing</t>
  </si>
  <si>
    <t xml:space="preserve">Poultry Processing </t>
  </si>
  <si>
    <t>Canned and Cured Fish and Seafoods</t>
  </si>
  <si>
    <t>Fresh or Frozen Packaged Fish</t>
  </si>
  <si>
    <t xml:space="preserve">Retail Bakeries </t>
  </si>
  <si>
    <t>Bread, Cake, and Related Products</t>
  </si>
  <si>
    <t xml:space="preserve">Commercial Bakeries </t>
  </si>
  <si>
    <t>Cookies and Crackers</t>
  </si>
  <si>
    <t>Frozen Bakery Products, Except Bread</t>
  </si>
  <si>
    <t xml:space="preserve">Frozen Cakes, Pies, and Other Pastries Manufacturing </t>
  </si>
  <si>
    <t xml:space="preserve">Cookie and Cracker Manufacturing </t>
  </si>
  <si>
    <t>Prepared Flour Mixes and Doughs</t>
  </si>
  <si>
    <t xml:space="preserve">Dry Pasta, Dough, and Flour Mixes Manufacturing from Purchased Flour </t>
  </si>
  <si>
    <t>Macaroni and Spaghetti</t>
  </si>
  <si>
    <t>Salted and Roasted Nuts and Seeds</t>
  </si>
  <si>
    <t xml:space="preserve">Roasted Nuts and Peanut Butter Manufacturing </t>
  </si>
  <si>
    <t xml:space="preserve">Other Snack Food Manufacturing </t>
  </si>
  <si>
    <t>Potato Chips and Similar Snacks</t>
  </si>
  <si>
    <t xml:space="preserve">Coffee and Tea Manufacturing </t>
  </si>
  <si>
    <t>Flavoring Extracts and Syrups, Nec</t>
  </si>
  <si>
    <t>Roasted Coffee</t>
  </si>
  <si>
    <t xml:space="preserve">Mayonnaise, Dressing, and Other Prepared Sauce Manufacturing </t>
  </si>
  <si>
    <t>Malt Beverages</t>
  </si>
  <si>
    <t xml:space="preserve">Spice and Extract Manufacturing </t>
  </si>
  <si>
    <t>Chemical Preparations, Nec</t>
  </si>
  <si>
    <t xml:space="preserve">Perishable Prepared Food Manufacturing </t>
  </si>
  <si>
    <t xml:space="preserve">All Other Miscellaneous Food Manufacturing </t>
  </si>
  <si>
    <t>Bottled and Canned Soft Drinks</t>
  </si>
  <si>
    <t xml:space="preserve">Soft Drink Manufacturing </t>
  </si>
  <si>
    <t xml:space="preserve">Bottled Water Manufacturing </t>
  </si>
  <si>
    <t>Groceries and Related Products, Nec</t>
  </si>
  <si>
    <t>Manufactured Ice</t>
  </si>
  <si>
    <t xml:space="preserve">Ice Manufacturing </t>
  </si>
  <si>
    <t>Wines, Brandy, and Brandy Spirits</t>
  </si>
  <si>
    <t xml:space="preserve">Wineries </t>
  </si>
  <si>
    <t>Distilled and Blended Liquors</t>
  </si>
  <si>
    <t xml:space="preserve">Distilleries </t>
  </si>
  <si>
    <t>Cigarettes</t>
  </si>
  <si>
    <t xml:space="preserve">Tobacco Manufacturing </t>
  </si>
  <si>
    <t>Cigars</t>
  </si>
  <si>
    <t>Chewing and Smoking Tobacco</t>
  </si>
  <si>
    <t>Tobacco Stemming and Redrying</t>
  </si>
  <si>
    <t>Business Services, Nec</t>
  </si>
  <si>
    <t>Yarn Spinning Mills</t>
  </si>
  <si>
    <t xml:space="preserve">Fiber, Yarn, and Thread Mills </t>
  </si>
  <si>
    <t>Throwing and Winding Mills</t>
  </si>
  <si>
    <t>Thread Mills</t>
  </si>
  <si>
    <t>Cordage and Twine</t>
  </si>
  <si>
    <t>Textile Goods, Nec</t>
  </si>
  <si>
    <t>Broadwoven Fabric Mills, Cotton</t>
  </si>
  <si>
    <t>Broadwoven Fabric Mills, Manmade</t>
  </si>
  <si>
    <t>Broadwoven Fabric Mills, Wool</t>
  </si>
  <si>
    <t>Narrow Fabric Mills</t>
  </si>
  <si>
    <t>Schiffli Machine Embroideries</t>
  </si>
  <si>
    <t>Nonwoven Fabrics</t>
  </si>
  <si>
    <t>Weft Knit Fabric Mills</t>
  </si>
  <si>
    <t>Lace and Warp Knit Fabric Mills</t>
  </si>
  <si>
    <t>Knitting Mills, Nec</t>
  </si>
  <si>
    <r>
      <t>Textile and Fabric Finishing Mills</t>
    </r>
    <r>
      <rPr>
        <sz val="10"/>
        <color indexed="8"/>
        <rFont val="Arial"/>
        <family val="2"/>
      </rPr>
      <t xml:space="preserve"> </t>
    </r>
  </si>
  <si>
    <t>Women's Hosiery, Except Socks</t>
  </si>
  <si>
    <t>Hosiery, Nec</t>
  </si>
  <si>
    <t>Knit Outerwear Mills</t>
  </si>
  <si>
    <t>Knit Underwear Mills</t>
  </si>
  <si>
    <t>Finishing Plants, Cotton</t>
  </si>
  <si>
    <t>Finishing Plants, Manmade</t>
  </si>
  <si>
    <t>Finishing Plants, Nec</t>
  </si>
  <si>
    <t>Piece Goods and Notions</t>
  </si>
  <si>
    <t>Coated Fabrics, Not Rubberized</t>
  </si>
  <si>
    <t>Fabricated Rubber Products, Nec</t>
  </si>
  <si>
    <t>Carpets and Rugs</t>
  </si>
  <si>
    <t>Curtains and Draperies</t>
  </si>
  <si>
    <t>Household Furnishings, Nec</t>
  </si>
  <si>
    <t>Drapery and Upholstery Stores</t>
  </si>
  <si>
    <t xml:space="preserve">Textile Bag and Canvas Mills </t>
  </si>
  <si>
    <t>Textile Bags</t>
  </si>
  <si>
    <t>Canvas and Related Products</t>
  </si>
  <si>
    <t>Tire Cord and Fabrics</t>
  </si>
  <si>
    <t xml:space="preserve">Rope, Cordage, Twine, Tire Cord, and Tire Fabric Mills </t>
  </si>
  <si>
    <t xml:space="preserve">All Other Miscellaneous Textile Product Mills </t>
  </si>
  <si>
    <t>Men's and Boy's Suits and Coats</t>
  </si>
  <si>
    <t>Men's and Boy's Furnishings</t>
  </si>
  <si>
    <t>Men's and Boy's Underwear and Nightwear</t>
  </si>
  <si>
    <t>Men's and Boy's Neckwear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</si>
  <si>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</si>
  <si>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</si>
  <si>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</si>
  <si>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</si>
  <si>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</si>
  <si>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</si>
  <si>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</si>
  <si>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</si>
  <si>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</si>
  <si>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</si>
  <si>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</si>
  <si>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</si>
  <si>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</si>
  <si>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</si>
  <si>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</si>
  <si>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</si>
  <si>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</si>
  <si>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</si>
  <si>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</si>
  <si>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Pleating and Stitching</t>
  </si>
  <si>
    <t>Automotive and Apparel Trimmings</t>
  </si>
  <si>
    <t>Fabricated Textile Products, Nec</t>
  </si>
  <si>
    <t>Leather Gloves and Mittens</t>
  </si>
  <si>
    <t>General Industrial Machinery,</t>
  </si>
  <si>
    <t xml:space="preserve">Cut and Sew Apparel Contractors </t>
  </si>
  <si>
    <t xml:space="preserve">Cut and Sew Apparel Manufacturing (except Contractors) </t>
  </si>
  <si>
    <t>Miscellaneous Apparel and Accessories</t>
  </si>
  <si>
    <t xml:space="preserve">Apparel Accessories and Other Apparel Manufacturing </t>
  </si>
  <si>
    <t>Leather Tanning and Finishing</t>
  </si>
  <si>
    <t>Manufacturing Industries, Nec</t>
  </si>
  <si>
    <t>Rubber and Plastics Footwear</t>
  </si>
  <si>
    <t xml:space="preserve">Footwear Manufacturing </t>
  </si>
  <si>
    <t>House Slippers</t>
  </si>
  <si>
    <t>Men's Footwear, Except athletic</t>
  </si>
  <si>
    <t>Women's Footwear, Except athletic</t>
  </si>
  <si>
    <t>Footwear, Except Rubber, Nec</t>
  </si>
  <si>
    <t>Footwear Cut Stock</t>
  </si>
  <si>
    <t xml:space="preserve">Other Leather and Allied Product Manufacturing </t>
  </si>
  <si>
    <t>Luggage</t>
  </si>
  <si>
    <t>Personal Leather Goods, Nec</t>
  </si>
  <si>
    <t>Leather Goods, Nec</t>
  </si>
  <si>
    <t>Women's Handbags and Purses</t>
  </si>
  <si>
    <t>Sawmills and Planing Mills, General</t>
  </si>
  <si>
    <t xml:space="preserve">Sawmills </t>
  </si>
  <si>
    <t>Hardwood Dimension and Flooring Mills</t>
  </si>
  <si>
    <t>Special Product Sawmills, Nec</t>
  </si>
  <si>
    <t>Wood Preserving</t>
  </si>
  <si>
    <t xml:space="preserve">Wood Preservation </t>
  </si>
  <si>
    <t>Hardwood Veneer and Plywood</t>
  </si>
  <si>
    <t xml:space="preserve">Hardwood Veneer and Plywood Manufacturing </t>
  </si>
  <si>
    <t>Softwood Veneer and Plywood</t>
  </si>
  <si>
    <t xml:space="preserve">Softwood Veneer and Plywood Manufacturing </t>
  </si>
  <si>
    <t>Structural Wood Members, Nec</t>
  </si>
  <si>
    <t xml:space="preserve">Engineered Wood Member Manufacturing </t>
  </si>
  <si>
    <t>Reconstituted Wood Products</t>
  </si>
  <si>
    <t xml:space="preserve">Reconstituted Wood Product Manufacturing </t>
  </si>
  <si>
    <t>Millwork</t>
  </si>
  <si>
    <t xml:space="preserve">Wood Window and Door Manufacturing </t>
  </si>
  <si>
    <t xml:space="preserve">Cut Stock, Resawing Lumber, and Planing </t>
  </si>
  <si>
    <t xml:space="preserve">Other Millwork (including Flooring) </t>
  </si>
  <si>
    <t>Nailed Wood Boxes and Shook</t>
  </si>
  <si>
    <t>Wood Pallets and Skids</t>
  </si>
  <si>
    <t>Wood Containers, Nec</t>
  </si>
  <si>
    <t>Wood Products, Nec</t>
  </si>
  <si>
    <t>Mobile Homes</t>
  </si>
  <si>
    <t xml:space="preserve">Manufactured Home (Mobile Home) Manufacturing </t>
  </si>
  <si>
    <t>Prefabricated Wood Buildings</t>
  </si>
  <si>
    <t xml:space="preserve">Prefabricated Wood Building Manufacturing </t>
  </si>
  <si>
    <t xml:space="preserve">All Other Miscellaneous Wood Product Manufacturing </t>
  </si>
  <si>
    <t>Wood Television and Radio Cabinets</t>
  </si>
  <si>
    <t xml:space="preserve">Pulp Mills </t>
  </si>
  <si>
    <t xml:space="preserve">Paper Mills </t>
  </si>
  <si>
    <t xml:space="preserve">Paperboard Mills </t>
  </si>
  <si>
    <t>Corrugated and Solid Fiber Boxes</t>
  </si>
  <si>
    <t xml:space="preserve">Corrugated and Solid Fiber Box Manufacturing </t>
  </si>
  <si>
    <t>Converted Paper Products, Nec</t>
  </si>
  <si>
    <t>Folding Paperboard Boxes</t>
  </si>
  <si>
    <t xml:space="preserve">Folding Paperboard Box Manufacturing </t>
  </si>
  <si>
    <t>Setup Paperboard Boxes</t>
  </si>
  <si>
    <t xml:space="preserve">Other Paperboard Container Manufacturing </t>
  </si>
  <si>
    <t>Fiber Cans, Drums, and Similar Products</t>
  </si>
  <si>
    <t>Sanitary Food Containers</t>
  </si>
  <si>
    <t>Paper; Coated and Laminated Packaging</t>
  </si>
  <si>
    <t>Paper; Coated and Laminated, Nec</t>
  </si>
  <si>
    <t>Bags: Plastic, Laminated, and Coated</t>
  </si>
  <si>
    <t>Bags: Uncoated Paper and Multiwall</t>
  </si>
  <si>
    <t>Die-cut Paper and Board</t>
  </si>
  <si>
    <t>Metal Foil and Leaf</t>
  </si>
  <si>
    <t>Envelopes</t>
  </si>
  <si>
    <t>Stationery Products</t>
  </si>
  <si>
    <t>Sanitary Paper Products</t>
  </si>
  <si>
    <t xml:space="preserve">Sanitary Paper Product Manufacturing </t>
  </si>
  <si>
    <t>Surgical Appliances and Supplies</t>
  </si>
  <si>
    <t xml:space="preserve">All Other Converted Paper Product Manufacturing </t>
  </si>
  <si>
    <t>Commercial Printing, Lithographic</t>
  </si>
  <si>
    <t xml:space="preserve">Commercial Printing (except Screen and Books) </t>
  </si>
  <si>
    <t>Commercial Printing, Gravure</t>
  </si>
  <si>
    <t>Commercial Printing, Nec</t>
  </si>
  <si>
    <t>Manifold Business Forms</t>
  </si>
  <si>
    <t>Greeting Cards</t>
  </si>
  <si>
    <t>Blankbooks and Looseleaf Binders</t>
  </si>
  <si>
    <t>Photocopying and Duplicating Services</t>
  </si>
  <si>
    <t xml:space="preserve">Commercial Screen Printing </t>
  </si>
  <si>
    <t>Signs and Advertising Specialties</t>
  </si>
  <si>
    <t>Book Printing</t>
  </si>
  <si>
    <t xml:space="preserve">Books Printing </t>
  </si>
  <si>
    <t>Bookbinding and Related Work</t>
  </si>
  <si>
    <t>Support Activities for Printing</t>
  </si>
  <si>
    <t>Typesetting</t>
  </si>
  <si>
    <t>Platemaking Services</t>
  </si>
  <si>
    <t>Asphalt Paving Mixtures and Blocks</t>
  </si>
  <si>
    <t xml:space="preserve">Asphalt Paving Mixture and Block Manufacturing </t>
  </si>
  <si>
    <t>Asphalt Felts and Coatings</t>
  </si>
  <si>
    <t xml:space="preserve">Asphalt Shingle and Coating Materials Manufacturing </t>
  </si>
  <si>
    <t xml:space="preserve">Petroleum Lubricating Oil and Grease Manufacturing </t>
  </si>
  <si>
    <t>Petroleum and Coal Products, Nec</t>
  </si>
  <si>
    <t xml:space="preserve">All Other Petroleum and Coal Products Manufacturing </t>
  </si>
  <si>
    <t>Blast Furnaces and Steel Mills</t>
  </si>
  <si>
    <t>Cyclic Crudes and Intermediates</t>
  </si>
  <si>
    <t>Industrial Organic Chemicals, Nec</t>
  </si>
  <si>
    <t>Industrial Gases</t>
  </si>
  <si>
    <t>Inorganic Pigments</t>
  </si>
  <si>
    <t xml:space="preserve">Other Basic Inorganic Chemical Manufacturing </t>
  </si>
  <si>
    <t>Carbon Black</t>
  </si>
  <si>
    <t xml:space="preserve">Ethyl Alcohol Manufacturing </t>
  </si>
  <si>
    <t>Gum and Wood Chemicals</t>
  </si>
  <si>
    <t xml:space="preserve">Cyclic Crude, Intermediate, and Gum and Wood Chemical Manufacturing </t>
  </si>
  <si>
    <t xml:space="preserve">All Other Basic Organic Chemical Manufacturing </t>
  </si>
  <si>
    <t>Plastics Materials and Resins</t>
  </si>
  <si>
    <t xml:space="preserve">Plastics Material and Resin Manufacturing </t>
  </si>
  <si>
    <t xml:space="preserve">Synthetic Rubber Manufacturing </t>
  </si>
  <si>
    <t>Cellulosic Manmade Fibers</t>
  </si>
  <si>
    <t>Organic Fibers, Noncellulosic</t>
  </si>
  <si>
    <t>Nitrogenous Fertilizers</t>
  </si>
  <si>
    <t xml:space="preserve">Nitrogenous Fertilizer Manufacturing </t>
  </si>
  <si>
    <t>Phosphatic Fertilizers</t>
  </si>
  <si>
    <t xml:space="preserve">Phosphatic Fertilizer Manufacturing </t>
  </si>
  <si>
    <t>Fertilizers, Mixing Only</t>
  </si>
  <si>
    <t xml:space="preserve">Fertilizer (Mixing Only) Manufacturing </t>
  </si>
  <si>
    <t>Agricultural Chemicals, Nec</t>
  </si>
  <si>
    <t>Medicinals and Botanicals</t>
  </si>
  <si>
    <t xml:space="preserve">Medicinal and Botanical Manufacturing </t>
  </si>
  <si>
    <t>Pharmaceutical Preparations</t>
  </si>
  <si>
    <t xml:space="preserve">Pharmaceutical Preparation Manufacturing </t>
  </si>
  <si>
    <t>Diagnostic Substances</t>
  </si>
  <si>
    <t xml:space="preserve">In-Vitro Diagnostic Substance Manufacturing </t>
  </si>
  <si>
    <t>Biological Products, Except Diagnostic</t>
  </si>
  <si>
    <t xml:space="preserve">Biological Product (except Diagnostic) Manufacturing </t>
  </si>
  <si>
    <t>Paints and Allied Products</t>
  </si>
  <si>
    <t>Adhesives and Sealants</t>
  </si>
  <si>
    <t>Soap and Other Detergents</t>
  </si>
  <si>
    <t xml:space="preserve">Soap and Other Detergent Manufacturing </t>
  </si>
  <si>
    <t>Toilet Preparations</t>
  </si>
  <si>
    <t>Polishes and Sanitation Goods</t>
  </si>
  <si>
    <t xml:space="preserve">Polish and Other Sanitation Good Manufacturing </t>
  </si>
  <si>
    <t>Surface Active Agents</t>
  </si>
  <si>
    <t xml:space="preserve">Surface Active Agent Manufacturing </t>
  </si>
  <si>
    <t>Printing Ink</t>
  </si>
  <si>
    <t>Custom Compound Purchased Resins</t>
  </si>
  <si>
    <t xml:space="preserve">Custom Compounding of Purchased Resins </t>
  </si>
  <si>
    <t>Photographic Equipment and Supplies</t>
  </si>
  <si>
    <t xml:space="preserve">Photographic Film, Paper, Plate, Chemical, and Copy Toner Manufacturing </t>
  </si>
  <si>
    <t xml:space="preserve">All Other Miscellaneous Chemical Product and Preparation Manufacturing </t>
  </si>
  <si>
    <t>Lead Pencils and Art Goods</t>
  </si>
  <si>
    <t xml:space="preserve">Plastics Bag and Pouch Manufacturing </t>
  </si>
  <si>
    <t xml:space="preserve">Plastics Packaging Film and Sheet (including Laminated) Manufacturing </t>
  </si>
  <si>
    <t>Unsupported Plastics Film and Sheet</t>
  </si>
  <si>
    <t xml:space="preserve">Unlaminated Plastics Film and Sheet (except Packaging) Manufacturing </t>
  </si>
  <si>
    <t>Unsupported Plastics Profile Shapes</t>
  </si>
  <si>
    <t xml:space="preserve">Unlaminated Plastics Profile Shape Manufacturing </t>
  </si>
  <si>
    <t>Plastics Products, Nec</t>
  </si>
  <si>
    <t>Plastics Pipe</t>
  </si>
  <si>
    <t xml:space="preserve">Plastics Pipe and Pipe Fitting Manufacturing </t>
  </si>
  <si>
    <t>Laminated Plastics Plate and Sheet</t>
  </si>
  <si>
    <t>Plastics Foam Products</t>
  </si>
  <si>
    <t>Plastics Bottles</t>
  </si>
  <si>
    <t>Plastics Plumbing Fixtures</t>
  </si>
  <si>
    <t xml:space="preserve">Plastics Plumbing Fixture Manufacturing </t>
  </si>
  <si>
    <t xml:space="preserve">All Other Plastics Product Manufacturing </t>
  </si>
  <si>
    <t>Hard Surface Floor Coverings, Nec</t>
  </si>
  <si>
    <t xml:space="preserve">Tire Manufacturing (except Retreading) </t>
  </si>
  <si>
    <t>Tire Retreading and Repair Shops</t>
  </si>
  <si>
    <t xml:space="preserve">Tire Retreading </t>
  </si>
  <si>
    <t>Rubber and Plastics Hose and Beltings</t>
  </si>
  <si>
    <t>Mechanical Rubber Goods</t>
  </si>
  <si>
    <t xml:space="preserve">Rubber Product Manufacturing for Mechanical Use </t>
  </si>
  <si>
    <t xml:space="preserve">All Other Rubber Product Manufacturing </t>
  </si>
  <si>
    <t>Vitreous Plumbing Fixtures</t>
  </si>
  <si>
    <t xml:space="preserve">Pottery, Ceramics, and Plumbing Fixture Manufacturing </t>
  </si>
  <si>
    <t>Vitreous China Table and Kitchenware</t>
  </si>
  <si>
    <t>Semivitreous Table and Kitchenware</t>
  </si>
  <si>
    <t>Porcelain Electrical Supplies</t>
  </si>
  <si>
    <t>Pottery Products, Nec</t>
  </si>
  <si>
    <t>Nonmetallic Mineral Products,</t>
  </si>
  <si>
    <t>Miscellaneous Homefurnishings</t>
  </si>
  <si>
    <t>Brick and Structural Clay Tile</t>
  </si>
  <si>
    <t xml:space="preserve">Clay Building Material and Refractories Manufacturing </t>
  </si>
  <si>
    <t>Ceramic Wall and Floor Tile</t>
  </si>
  <si>
    <t>Clay Refractories</t>
  </si>
  <si>
    <t>Structural Clay Products, Nec</t>
  </si>
  <si>
    <t>Nonclay Refractories</t>
  </si>
  <si>
    <t>Flat Glass</t>
  </si>
  <si>
    <t xml:space="preserve">Flat Glass Manufacturing </t>
  </si>
  <si>
    <t>Pressed and Blown Glass, Nec</t>
  </si>
  <si>
    <t xml:space="preserve">Other Pressed and Blown Glass and Glassware Manufacturing </t>
  </si>
  <si>
    <t>Glass Containers</t>
  </si>
  <si>
    <t xml:space="preserve">Glass Container Manufacturing </t>
  </si>
  <si>
    <t>Products of Purchased Glass</t>
  </si>
  <si>
    <t xml:space="preserve">Glass Product Manufacturing Made of Purchased Glass </t>
  </si>
  <si>
    <t>Ready-mixed Concrete</t>
  </si>
  <si>
    <t xml:space="preserve">Concrete Block and Brick Manufacturing </t>
  </si>
  <si>
    <t>Concrete Block and Brick</t>
  </si>
  <si>
    <t>Concrete Products, Nec</t>
  </si>
  <si>
    <t xml:space="preserve">Concrete Pipe Manufacturing </t>
  </si>
  <si>
    <t xml:space="preserve">Other Concrete Product Manufacturing </t>
  </si>
  <si>
    <t>Lime</t>
  </si>
  <si>
    <t>Gypsum Products</t>
  </si>
  <si>
    <t>Abrasive Products</t>
  </si>
  <si>
    <t>Cut Stone and Stone Products</t>
  </si>
  <si>
    <t xml:space="preserve">Cut Stone and Stone Product Manufacturing </t>
  </si>
  <si>
    <t xml:space="preserve">Ground or Treated Mineral and Earth Manufacturing </t>
  </si>
  <si>
    <t>Mineral Wool</t>
  </si>
  <si>
    <t xml:space="preserve">Mineral Wool Manufacturing </t>
  </si>
  <si>
    <t xml:space="preserve">All Other Miscellaneous Nonmetallic Mineral Product Manufacturing </t>
  </si>
  <si>
    <t>Asbestos Products</t>
  </si>
  <si>
    <t xml:space="preserve">Iron and Steel Mills and Ferroalloy Manufacturing </t>
  </si>
  <si>
    <t>Electrometallurgical Products</t>
  </si>
  <si>
    <t>Primary Metal Products</t>
  </si>
  <si>
    <t>Steel Pipe and Tubes</t>
  </si>
  <si>
    <t xml:space="preserve">Rolled Steel Shape Manufacturing </t>
  </si>
  <si>
    <t>Cold Finishing of Steel Shapes</t>
  </si>
  <si>
    <t>Steel Wire and Related Products</t>
  </si>
  <si>
    <t xml:space="preserve">Steel Wire Drawing </t>
  </si>
  <si>
    <t xml:space="preserve">Alumina Refining and Primary Aluminum Production </t>
  </si>
  <si>
    <t>Primary Aluminum</t>
  </si>
  <si>
    <t>Secondary Nonferrous Metals</t>
  </si>
  <si>
    <t xml:space="preserve">Secondary Smelting and Alloying of Aluminum </t>
  </si>
  <si>
    <t>Aluminum Sheet, Plate, and Foil</t>
  </si>
  <si>
    <t xml:space="preserve">Aluminum Sheet, Plate, and Foil Manufacturing </t>
  </si>
  <si>
    <t>Aluminum Extruded Products</t>
  </si>
  <si>
    <t xml:space="preserve">Other Aluminum Rolling, Drawing, and Extruding </t>
  </si>
  <si>
    <t>Aluminum Rolling and Drawing, Nec</t>
  </si>
  <si>
    <t>Nonferrous Wiredrawing and Insulating</t>
  </si>
  <si>
    <t>Primary Copper</t>
  </si>
  <si>
    <t xml:space="preserve">Nonferrous Metal (except Aluminum) Smelting and Refining </t>
  </si>
  <si>
    <t>Primary Nonferrous Metals, Nec</t>
  </si>
  <si>
    <t>Copper Rolling and Drawing</t>
  </si>
  <si>
    <t>Nonferrous Rolling and Drawing, Nec</t>
  </si>
  <si>
    <t xml:space="preserve">Nonferrous Metal (except Copper and Aluminum) Rolling, Drawing, and Extruding </t>
  </si>
  <si>
    <t xml:space="preserve">Secondary Smelting, Refining, and Alloying of Nonferrous Metal (except Copper and Aluminum) </t>
  </si>
  <si>
    <t>Gray and Ductile Iron Foundries</t>
  </si>
  <si>
    <t xml:space="preserve">Iron Foundries </t>
  </si>
  <si>
    <t>Malleable Iron Foundries</t>
  </si>
  <si>
    <t xml:space="preserve">Steel Investment Foundries </t>
  </si>
  <si>
    <t>Steel Foundries, Nec</t>
  </si>
  <si>
    <t xml:space="preserve">Steel Foundries (except Investment) </t>
  </si>
  <si>
    <t>Aluminum Die-castings</t>
  </si>
  <si>
    <t xml:space="preserve">Nonferrous Metal Die-Casting Foundries </t>
  </si>
  <si>
    <t>Nonferrous Die-castings Except Aluminum</t>
  </si>
  <si>
    <t>Aluminum Foundries</t>
  </si>
  <si>
    <t xml:space="preserve">Aluminum Foundries (except Die-Casting) </t>
  </si>
  <si>
    <t>Copper Foundries</t>
  </si>
  <si>
    <t xml:space="preserve">Other Nonferrous Metal Foundries (except Die-Casting) </t>
  </si>
  <si>
    <t>Nonferrous Foundries, Nec</t>
  </si>
  <si>
    <t>Iron and Steel Forgings</t>
  </si>
  <si>
    <t xml:space="preserve">Iron and Steel Forging </t>
  </si>
  <si>
    <t>Nonferrous Forgings</t>
  </si>
  <si>
    <t xml:space="preserve">Nonferrous Forging </t>
  </si>
  <si>
    <t>Miscellaneous Metalwork</t>
  </si>
  <si>
    <t xml:space="preserve">Custom Roll Forming </t>
  </si>
  <si>
    <t>Fabricated Metal Products, Nec</t>
  </si>
  <si>
    <t xml:space="preserve">Powder Metallurgy Part Manufacturing </t>
  </si>
  <si>
    <t>Crowns and Closures</t>
  </si>
  <si>
    <t xml:space="preserve">Metal Crown, Closure, and Other Metal Stamping (except Automotive) </t>
  </si>
  <si>
    <t>Metal Stampings, Nec</t>
  </si>
  <si>
    <t>Cutlery</t>
  </si>
  <si>
    <t xml:space="preserve">Metal Kitchen Cookware, Utensil, Cutlery, and Flatware (except Precious) Manufacturing </t>
  </si>
  <si>
    <t>Miscellaneous Fabricated Wire Products</t>
  </si>
  <si>
    <t>Silverware and Plated Ware</t>
  </si>
  <si>
    <t xml:space="preserve">Saw Blade and Handtool Manufacturing </t>
  </si>
  <si>
    <t>Hand and Edge Tools, Nec</t>
  </si>
  <si>
    <t>Saw Blades and Handsaws</t>
  </si>
  <si>
    <t>Farm Machinery and Equipment</t>
  </si>
  <si>
    <t>Lawn and Garden Equipment</t>
  </si>
  <si>
    <t>Machine Tool Accessories</t>
  </si>
  <si>
    <t>Noncurrent-carrying Wiring Devices</t>
  </si>
  <si>
    <t>Prefabricated Metal Buildings</t>
  </si>
  <si>
    <t xml:space="preserve">Prefabricated Metal Building and Component Manufacturing </t>
  </si>
  <si>
    <t>Fabricated Structural Metal</t>
  </si>
  <si>
    <t xml:space="preserve">Fabricated Structural Metal Manufacturing </t>
  </si>
  <si>
    <t>Fabricated Plate Work (boiler Shop)</t>
  </si>
  <si>
    <t xml:space="preserve">Plate Work Manufacturing </t>
  </si>
  <si>
    <t>Metal Doors, Sash, and Trim</t>
  </si>
  <si>
    <t xml:space="preserve">Metal Window and Door Manufacturing </t>
  </si>
  <si>
    <t>Sheet Metalwork</t>
  </si>
  <si>
    <t xml:space="preserve">Sheet Metal Work Manufacturing </t>
  </si>
  <si>
    <t>Architectural Metalwork</t>
  </si>
  <si>
    <t xml:space="preserve">Ornamental and Architectural Metal Work Manufacturing </t>
  </si>
  <si>
    <t>Special Industry Machinery, Nec</t>
  </si>
  <si>
    <t>Metal Cans</t>
  </si>
  <si>
    <t xml:space="preserve">Metal Can Manufacturing </t>
  </si>
  <si>
    <t>Metal Barrels, Drums, and Pails</t>
  </si>
  <si>
    <t xml:space="preserve">Other Metal Container Manufacturing </t>
  </si>
  <si>
    <t>Hardware, Nec</t>
  </si>
  <si>
    <t>Industrial Trucks and Tractors</t>
  </si>
  <si>
    <t>Steel Springs, Except Wire</t>
  </si>
  <si>
    <t xml:space="preserve">Spring Manufacturing </t>
  </si>
  <si>
    <t>Wire Springs</t>
  </si>
  <si>
    <t xml:space="preserve">Other Fabricated Wire Product Manufacturing </t>
  </si>
  <si>
    <t>Industrial Machinery, Nec</t>
  </si>
  <si>
    <t>Screw Machine Products</t>
  </si>
  <si>
    <t xml:space="preserve">Precision Turned Product Manufacturing </t>
  </si>
  <si>
    <t xml:space="preserve">Bolt, Nut, Screw, Rivet, and Washer Manufacturing </t>
  </si>
  <si>
    <t>Bolts, Nuts, Rivets, and Washers</t>
  </si>
  <si>
    <t xml:space="preserve">Metal Heat Treating </t>
  </si>
  <si>
    <t>Metal Coating and Allied Services</t>
  </si>
  <si>
    <t xml:space="preserve">Metal Coating, Engraving (except Jewelry and Silverware), and Allied Services to Manufacturers </t>
  </si>
  <si>
    <t xml:space="preserve">Electroplating, Plating, Polishing, Anodizing, and Coloring </t>
  </si>
  <si>
    <t>Plating and Polishing</t>
  </si>
  <si>
    <t>Industrial Valves</t>
  </si>
  <si>
    <t xml:space="preserve">Industrial Valve Manufacturing </t>
  </si>
  <si>
    <t>Fluid Power Valves and Hose Fittings</t>
  </si>
  <si>
    <t xml:space="preserve">Fluid Power Valve and Hose Fitting Manufacturing </t>
  </si>
  <si>
    <t>Aircraft Parts and Equipment, Nec</t>
  </si>
  <si>
    <t>Plumbing Fixture Fittings and Trim</t>
  </si>
  <si>
    <t xml:space="preserve">Plumbing Fixture Fitting and Trim Manufacturing </t>
  </si>
  <si>
    <t xml:space="preserve">Other Metal Valve and Pipe Fitting Manufacturing </t>
  </si>
  <si>
    <t>Valves and Pipe Fittings, Nec</t>
  </si>
  <si>
    <t>Ball and Roller Bearings</t>
  </si>
  <si>
    <t>Small Arms Ammunition</t>
  </si>
  <si>
    <t xml:space="preserve">Small Arms Ammunition Manufacturing </t>
  </si>
  <si>
    <t>Ammunition, Except For Small Arms, Nec</t>
  </si>
  <si>
    <t xml:space="preserve">Ammunition (except Small Arms) Manufacturing </t>
  </si>
  <si>
    <t>Small Arms</t>
  </si>
  <si>
    <t xml:space="preserve">Small Arms, Ordnance, and Ordnance Accessories Manufacturing </t>
  </si>
  <si>
    <t>Ordnance and Accessories, Nec</t>
  </si>
  <si>
    <t>Surgical and Medical Instruments</t>
  </si>
  <si>
    <t>Fabricated Pipe and Fittings</t>
  </si>
  <si>
    <t xml:space="preserve">Fabricated Pipe and Pipe Fitting Manufacturing </t>
  </si>
  <si>
    <t xml:space="preserve">All Other Miscellaneous Fabricated Metal Product Manufacturing </t>
  </si>
  <si>
    <t>Metal Sanitary Ware</t>
  </si>
  <si>
    <t>Industrial Patterns</t>
  </si>
  <si>
    <t xml:space="preserve">Farm Machinery and Equipment Manufacturing </t>
  </si>
  <si>
    <t xml:space="preserve">Lawn and Garden Tractor and Home Lawn and Garden Equipment Manufacturing </t>
  </si>
  <si>
    <t>Construction Machinery</t>
  </si>
  <si>
    <t>Mining Machinery</t>
  </si>
  <si>
    <t xml:space="preserve">Mining Machinery and Equipment Manufacturing </t>
  </si>
  <si>
    <t>Oil and Gas Field Machinery</t>
  </si>
  <si>
    <t xml:space="preserve">Oil and Gas Field Machinery and Equipment Manufacturing </t>
  </si>
  <si>
    <t>Food Products Machinery</t>
  </si>
  <si>
    <t xml:space="preserve">Food Product Machinery Manufacturing </t>
  </si>
  <si>
    <t xml:space="preserve">Semiconductor Machinery Manufacturing </t>
  </si>
  <si>
    <t>Woodworking Machinery</t>
  </si>
  <si>
    <t xml:space="preserve">Sawmill, Woodworking, and Paper Machinery Manufacturing </t>
  </si>
  <si>
    <t>Paper Industries Machinery</t>
  </si>
  <si>
    <t>Furniture and Fixtures, Nec</t>
  </si>
  <si>
    <t xml:space="preserve">All Other Industrial Machinery Manufacturing </t>
  </si>
  <si>
    <t>Household Appliances, Nec</t>
  </si>
  <si>
    <t>Laboratory Apparatus and Furniture</t>
  </si>
  <si>
    <t>Printing Trades Machinery</t>
  </si>
  <si>
    <t>Computer Peripheral Equipment, Nec</t>
  </si>
  <si>
    <t xml:space="preserve">Commercial and Service Industry Machinery Manufacturing </t>
  </si>
  <si>
    <t>Calculating and Accounting Equipment</t>
  </si>
  <si>
    <t>Office Machines, Nec</t>
  </si>
  <si>
    <t>Automatic Vending Machines</t>
  </si>
  <si>
    <t>Commercial Laundry Equipment</t>
  </si>
  <si>
    <t>Service Industry Machinery, Nec</t>
  </si>
  <si>
    <t>Electrical Equipment and Supplies, Nec</t>
  </si>
  <si>
    <t>Optical Instruments and Lenses</t>
  </si>
  <si>
    <t>Blowers and Fans</t>
  </si>
  <si>
    <t xml:space="preserve">Industrial and Commercial Fan and Blower and Air Purification Equipment Manufacturing </t>
  </si>
  <si>
    <t>Heating Equipment, Except Electric</t>
  </si>
  <si>
    <t xml:space="preserve">Heating Equipment (except Warm Air Furnaces) Manufacturing </t>
  </si>
  <si>
    <t>Electric Housewares and Fans</t>
  </si>
  <si>
    <t xml:space="preserve">Air-Conditioning and Warm Air Heating Equipment and Commercial and Industrial Refrigeration Equipment Manufacturing </t>
  </si>
  <si>
    <t>Refrigeration and Heating Equipment</t>
  </si>
  <si>
    <t>Special Dies, Tools, Jigs, and Fixtures</t>
  </si>
  <si>
    <t xml:space="preserve">Industrial Mold Manufacturing </t>
  </si>
  <si>
    <t xml:space="preserve">Special Die and Tool, Die Set, Jig, and Fixture Manufacturing </t>
  </si>
  <si>
    <t xml:space="preserve">Cutting Tool and Machine Tool Accessory Manufacturing </t>
  </si>
  <si>
    <t>Machine Tools, Metal Cutting Type</t>
  </si>
  <si>
    <t xml:space="preserve">Machine Tool Manufacturing </t>
  </si>
  <si>
    <t>Machine Tools, Metal Forming Type</t>
  </si>
  <si>
    <t>Rolling Mill Machinery</t>
  </si>
  <si>
    <t xml:space="preserve">Rolling Mill and Other Metalworking Machinery Manufacturing </t>
  </si>
  <si>
    <t>Metalworking Machinery, Nec</t>
  </si>
  <si>
    <t>Turbines and Turbine Generator Sets</t>
  </si>
  <si>
    <t xml:space="preserve">Turbine and Turbine Generator Set Units Manufacturing </t>
  </si>
  <si>
    <t>Speed Changers, Drives, and Gears</t>
  </si>
  <si>
    <t xml:space="preserve">Speed Changer, Industrial High-Speed Drive, and Gear Manufacturing </t>
  </si>
  <si>
    <t>Power Transmission Equipment, Nec</t>
  </si>
  <si>
    <t xml:space="preserve">Mechanical Power Transmission Equipment Manufacturing </t>
  </si>
  <si>
    <t>Internal Combustion Engines, Nec</t>
  </si>
  <si>
    <t xml:space="preserve">Other Engine Equipment Manufacturing </t>
  </si>
  <si>
    <t>Air and Gas Compressors</t>
  </si>
  <si>
    <t xml:space="preserve">Air and Gas Compressor Manufacturing </t>
  </si>
  <si>
    <t xml:space="preserve">Measuring, Dispensing, and Other Pumping Equipment Manufacturing </t>
  </si>
  <si>
    <t>Measuring and Dispensing Pumps</t>
  </si>
  <si>
    <t>Railroad Equipment</t>
  </si>
  <si>
    <t>Elevators and Moving Stairways</t>
  </si>
  <si>
    <t xml:space="preserve">Elevator and Moving Stairway Manufacturing </t>
  </si>
  <si>
    <t xml:space="preserve">Conveyor and Conveying Equipment Manufacturing </t>
  </si>
  <si>
    <t>Conveyors and Conveying Equipment</t>
  </si>
  <si>
    <t xml:space="preserve">Overhead Traveling Crane, Hoist, and Monorail System Manufacturing </t>
  </si>
  <si>
    <t>Hoists, Cranes, and Monorails</t>
  </si>
  <si>
    <t xml:space="preserve">Industrial Truck, Tractor, Trailer, and Stacker Machinery Manufacturing </t>
  </si>
  <si>
    <t>Transportation Equipment, Nec</t>
  </si>
  <si>
    <t>Power-driven Handtools</t>
  </si>
  <si>
    <t xml:space="preserve">Power-Driven Handtool Manufacturing </t>
  </si>
  <si>
    <t>Welding Apparatus</t>
  </si>
  <si>
    <t xml:space="preserve">Welding and Soldering Equipment Manufacturing </t>
  </si>
  <si>
    <t>Packaging Machinery</t>
  </si>
  <si>
    <t xml:space="preserve">Packaging Machinery Manufacturing </t>
  </si>
  <si>
    <t xml:space="preserve">Industrial Process Furnace and Oven Manufacturing </t>
  </si>
  <si>
    <t>Industrial Furnaces and Ovens</t>
  </si>
  <si>
    <t>Fluid Power Cylinders and Actuators</t>
  </si>
  <si>
    <t xml:space="preserve">Fluid Power Cylinder and Actuator Manufacturing </t>
  </si>
  <si>
    <t>Fluid Power Pumps and Motors</t>
  </si>
  <si>
    <t xml:space="preserve">Fluid Power Pump and Motor Manufacturing </t>
  </si>
  <si>
    <t xml:space="preserve">All Other Miscellaneous General Purpose Machinery Manufacturing </t>
  </si>
  <si>
    <t>Scales and Balances, Except Laboratory</t>
  </si>
  <si>
    <t>Electronic Computers</t>
  </si>
  <si>
    <t xml:space="preserve">Electronic Computer Manufacturing </t>
  </si>
  <si>
    <t>Computer Storage Devices</t>
  </si>
  <si>
    <t xml:space="preserve">Computer Storage Device Manufacturing </t>
  </si>
  <si>
    <t>Computer Terminals</t>
  </si>
  <si>
    <t xml:space="preserve">Computer Terminal and Other Computer Peripheral Equipment Manufacturing </t>
  </si>
  <si>
    <t>Telephone and Telegraph Apparatus</t>
  </si>
  <si>
    <t>Radio and T.v. Communications Equipment</t>
  </si>
  <si>
    <t>Electronic Components, Nec</t>
  </si>
  <si>
    <t>Communications Equipment, Nec</t>
  </si>
  <si>
    <t>Household Audio and Video Equipment</t>
  </si>
  <si>
    <t>Printed Circuit Boards</t>
  </si>
  <si>
    <t xml:space="preserve">Bare Printed Circuit Board Manufacturing  </t>
  </si>
  <si>
    <t>Semiconductors and Related Devices</t>
  </si>
  <si>
    <t xml:space="preserve">Semiconductor and Related Device Manufacturing </t>
  </si>
  <si>
    <t xml:space="preserve">Capacitor, Resistor, Coil, Transformer, and Other Inductor Manufacturing </t>
  </si>
  <si>
    <t>Electronic Resistors</t>
  </si>
  <si>
    <t>Electronic Coils and Transformers</t>
  </si>
  <si>
    <t>Electronic Connectors</t>
  </si>
  <si>
    <t xml:space="preserve">Electronic Connector Manufacturing </t>
  </si>
  <si>
    <t xml:space="preserve">Printed Circuit Assembly (Electronic Assembly) Manufacturing </t>
  </si>
  <si>
    <t>Electron Tubes</t>
  </si>
  <si>
    <t xml:space="preserve">Other Electronic Component Manufacturing </t>
  </si>
  <si>
    <t xml:space="preserve">Electromedical and Electrotherapeutic Apparatus Manufacturing </t>
  </si>
  <si>
    <t>Electromedical Equipment</t>
  </si>
  <si>
    <t>Search and Navigation Equipment</t>
  </si>
  <si>
    <t xml:space="preserve">Search, Detection, Navigation, Guidance, Aeronautical, and Nautical System and Instrument Manufacturing </t>
  </si>
  <si>
    <t>Environmental Controls</t>
  </si>
  <si>
    <t xml:space="preserve">Automatic Environmental Control Manufacturing for Residential, Commercial, and Appliance Use </t>
  </si>
  <si>
    <t>Process Control Instruments</t>
  </si>
  <si>
    <t xml:space="preserve">Instruments and Related Products Manufacturing for Measuring, Displaying, and Controlling Industrial Process Variables </t>
  </si>
  <si>
    <t>Fluid Meters and Counting Devices</t>
  </si>
  <si>
    <t xml:space="preserve">Totalizing Fluid Meter and Counting Device Manufacturing </t>
  </si>
  <si>
    <t>Instruments To Measure Electricity</t>
  </si>
  <si>
    <t>Measuring and Controlling Devices, Nec</t>
  </si>
  <si>
    <t xml:space="preserve">Instrument Manufacturing for Measuring and Testing Electricity and Electrical Signals </t>
  </si>
  <si>
    <t>Analytical Instruments</t>
  </si>
  <si>
    <t xml:space="preserve">Analytical Laboratory Instrument Manufacturing </t>
  </si>
  <si>
    <t>X-ray Apparatus and Tubes</t>
  </si>
  <si>
    <t xml:space="preserve">Irradiation Apparatus Manufacturing </t>
  </si>
  <si>
    <t xml:space="preserve">Other Measuring and Controlling Device Manufacturing </t>
  </si>
  <si>
    <t>Watches, Clocks, Watchcases, and Parts</t>
  </si>
  <si>
    <t>Jewelers' Materials and Lapidary Work</t>
  </si>
  <si>
    <t xml:space="preserve">Manufacturing and Reproducing Magnetic and Optical Media </t>
  </si>
  <si>
    <t>Magnetic and Optical Recording Media</t>
  </si>
  <si>
    <t>Prerecorded Records and Tapes</t>
  </si>
  <si>
    <t>Prepackaged Software</t>
  </si>
  <si>
    <t>Services Allied To Motion Pictures</t>
  </si>
  <si>
    <t>Residential Lighting Fixtures</t>
  </si>
  <si>
    <t xml:space="preserve">Residential Electric Lighting Fixture Manufacturing </t>
  </si>
  <si>
    <t>Commercial, Industrial, and Institutional Electric Lighting Fixtures</t>
  </si>
  <si>
    <t xml:space="preserve">Commercial, Industrial, and Institutional Electric Lighting Fixture Manufacturing </t>
  </si>
  <si>
    <t>Electric Lamps</t>
  </si>
  <si>
    <t xml:space="preserve">Electric Lamp Bulb and Other Lighting Equipment Manufacturing </t>
  </si>
  <si>
    <t>Lighting Equipment, Nec</t>
  </si>
  <si>
    <t>Household Vacuum Cleaners</t>
  </si>
  <si>
    <t>Household Cooking Equipment</t>
  </si>
  <si>
    <t xml:space="preserve">Major Household Appliance Manufacturing </t>
  </si>
  <si>
    <t>Household Refrigerators and Freezers</t>
  </si>
  <si>
    <t>Household Laundry Equipment</t>
  </si>
  <si>
    <t xml:space="preserve">Power, Distribution, and Specialty Transformer Manufacturing </t>
  </si>
  <si>
    <t>Power, Distribution and Specialty Transformers</t>
  </si>
  <si>
    <t xml:space="preserve">Motor and Generator Manufacturing </t>
  </si>
  <si>
    <t>Armature Rewinding Shops</t>
  </si>
  <si>
    <t>Switchgear and Switchboard Apparatus</t>
  </si>
  <si>
    <t xml:space="preserve">Switchgear and Switchboard Apparatus Manufacturing </t>
  </si>
  <si>
    <t>Relays and Industrial Controls</t>
  </si>
  <si>
    <t xml:space="preserve">Relay and Industrial Control Manufacturing </t>
  </si>
  <si>
    <t>Storage Batteries</t>
  </si>
  <si>
    <t xml:space="preserve">Battery Manufacturing </t>
  </si>
  <si>
    <t>Primary Batteries, Dry and Wet</t>
  </si>
  <si>
    <t xml:space="preserve">Fiber Optic Cable Manufacturing </t>
  </si>
  <si>
    <t xml:space="preserve">Other Communication and Energy Wire Manufacturing </t>
  </si>
  <si>
    <t>Current-carrying Wiring Devices</t>
  </si>
  <si>
    <t xml:space="preserve">Current-Carrying Wiring Device Manufacturing </t>
  </si>
  <si>
    <t xml:space="preserve">Noncurrent-Carrying Wiring Device Manufacturing </t>
  </si>
  <si>
    <t>Carbon and Graphite Products</t>
  </si>
  <si>
    <t xml:space="preserve">Carbon and Graphite Product Manufacturing </t>
  </si>
  <si>
    <t>Electrical Industrial Apparatus</t>
  </si>
  <si>
    <t xml:space="preserve">All Other Miscellaneous Electrical Equipment and Component Manufacturing </t>
  </si>
  <si>
    <t>Motor Vehicles and Car Bodies</t>
  </si>
  <si>
    <t xml:space="preserve">Automobile and Light Duty Motor Vehicle Manufacturing </t>
  </si>
  <si>
    <t xml:space="preserve">Motor Vehicle Body Manufacturing </t>
  </si>
  <si>
    <t>Truck and Bus Bodies</t>
  </si>
  <si>
    <t>Motor Vehicle Parts and Accessories</t>
  </si>
  <si>
    <t>Truck Trailers</t>
  </si>
  <si>
    <t xml:space="preserve">Truck Trailer Manufacturing </t>
  </si>
  <si>
    <t>Motor Homes</t>
  </si>
  <si>
    <t xml:space="preserve">Motor Home Manufacturing </t>
  </si>
  <si>
    <t>Travel Trailers and Campers</t>
  </si>
  <si>
    <t xml:space="preserve">Travel Trailer and Camper Manufacturing </t>
  </si>
  <si>
    <t>Carburetors, Pistons, Rings, Valves</t>
  </si>
  <si>
    <t>Vehicular Lighting Equipment</t>
  </si>
  <si>
    <t>Engine Electrical Equipment</t>
  </si>
  <si>
    <t>Public Building and Related Furniture</t>
  </si>
  <si>
    <t>Automotive Stampings</t>
  </si>
  <si>
    <t>Aircraft</t>
  </si>
  <si>
    <t xml:space="preserve">Aircraft Manufacturing </t>
  </si>
  <si>
    <t>Aircraft Engines and Engine Parts</t>
  </si>
  <si>
    <t xml:space="preserve">Aircraft Engine and Engine Parts Manufacturing </t>
  </si>
  <si>
    <t xml:space="preserve">Other Aircraft Parts and Auxiliary Equipment Manufacturing </t>
  </si>
  <si>
    <t>Guided Missiles and Space Vehicles</t>
  </si>
  <si>
    <t xml:space="preserve">Guided Missile and Space Vehicle Manufacturing </t>
  </si>
  <si>
    <t>Space Propulsion Units and Parts</t>
  </si>
  <si>
    <t xml:space="preserve">Guided Missile and Space Vehicle Propulsion Unit and Propulsion Unit Parts Manufacturing </t>
  </si>
  <si>
    <t>Space Vehicle Equipment, Nec</t>
  </si>
  <si>
    <t xml:space="preserve">Other Guided Missile and Space Vehicle Parts and Auxiliary Equipment Manufacturing </t>
  </si>
  <si>
    <t>Shipbuilding and Repairing</t>
  </si>
  <si>
    <t xml:space="preserve">Ship Building and Repairing </t>
  </si>
  <si>
    <t xml:space="preserve">Boat Building </t>
  </si>
  <si>
    <t>Boatbuilding and Repairing</t>
  </si>
  <si>
    <t>Motorcycles, Bicycles, and Parts</t>
  </si>
  <si>
    <t xml:space="preserve">Motorcycle, Bicycle, and Parts Manufacturing </t>
  </si>
  <si>
    <t>Games, Toys, and Children's Vehicles</t>
  </si>
  <si>
    <t xml:space="preserve">Military Armored Vehicle, Tank, and Tank Component Manufacturing </t>
  </si>
  <si>
    <t>Tanks and Tank Components</t>
  </si>
  <si>
    <t xml:space="preserve">All Other Transportation Equipment Manufacturing </t>
  </si>
  <si>
    <t>Wood Kitchen Cabinets</t>
  </si>
  <si>
    <t>Wood Partitions and Fixtures</t>
  </si>
  <si>
    <t>Upholstered Household Furniture</t>
  </si>
  <si>
    <t xml:space="preserve">Upholstered Household Furniture Manufacturing </t>
  </si>
  <si>
    <t>Metal Household Furniture</t>
  </si>
  <si>
    <t>Mattresses and Bedsprings</t>
  </si>
  <si>
    <t>Wood Household Furniture</t>
  </si>
  <si>
    <t xml:space="preserve">Nonupholstered Wood Household Furniture Manufacturing </t>
  </si>
  <si>
    <t xml:space="preserve">Household Furniture (except Wood and Upholstered) Manufacturing </t>
  </si>
  <si>
    <t>Household Furniture, Nec</t>
  </si>
  <si>
    <t xml:space="preserve">Institutional Furniture Manufacturing </t>
  </si>
  <si>
    <t>Partitions and Fixtures, Except Wood</t>
  </si>
  <si>
    <t>Wood Office Furniture</t>
  </si>
  <si>
    <t xml:space="preserve">Wood Office Furniture Manufacturing </t>
  </si>
  <si>
    <t xml:space="preserve">Custom Architectural Woodwork and Millwork Manufacturing </t>
  </si>
  <si>
    <t>Office Furniture, Except Wood</t>
  </si>
  <si>
    <t xml:space="preserve">Office Furniture (except Wood) Manufacturing </t>
  </si>
  <si>
    <t xml:space="preserve">Showcase, Partition, Shelving, and Locker Manufacturing </t>
  </si>
  <si>
    <t>Drapery Hardware and Blinds and Shades</t>
  </si>
  <si>
    <t xml:space="preserve">Surgical and Medical Instrument Manufacturing </t>
  </si>
  <si>
    <t xml:space="preserve">Surgical Appliance and Supplies Manufacturing </t>
  </si>
  <si>
    <t>Ophthalmic Goods</t>
  </si>
  <si>
    <t>Miscellaneous Retail Stores, Nec</t>
  </si>
  <si>
    <t>Dental Equipment and Supplies</t>
  </si>
  <si>
    <t xml:space="preserve">Dental Equipment and Supplies Manufacturing </t>
  </si>
  <si>
    <t xml:space="preserve">Ophthalmic Goods Manufacturing </t>
  </si>
  <si>
    <t xml:space="preserve">Dental Laboratories </t>
  </si>
  <si>
    <t xml:space="preserve">Jewelry and Silverware Manufacturing </t>
  </si>
  <si>
    <t>Jewelry, Precious Metal</t>
  </si>
  <si>
    <t>Costume Jewelry</t>
  </si>
  <si>
    <t>Sporting and athletic Goods, Nec</t>
  </si>
  <si>
    <t>Dolls and Stuffed Toys</t>
  </si>
  <si>
    <t>Pens and Mechanical Pencils</t>
  </si>
  <si>
    <t>Marking Devices</t>
  </si>
  <si>
    <t>Carbon Paper and Inked Ribbons</t>
  </si>
  <si>
    <t>Gaskets; Packing and Sealing Devices</t>
  </si>
  <si>
    <t xml:space="preserve">Gasket, Packing, and Sealing Device Manufacturing </t>
  </si>
  <si>
    <t>Musical Instruments</t>
  </si>
  <si>
    <t xml:space="preserve">Musical Instrument Manufacturing </t>
  </si>
  <si>
    <t xml:space="preserve">Fastener, Button, Needle, and Pin Manufacturing </t>
  </si>
  <si>
    <t>Fasteners, Buttons, Needles, and Pins</t>
  </si>
  <si>
    <t xml:space="preserve">Broom, Brush, and Mop Manufacturing </t>
  </si>
  <si>
    <t>Brooms and Brushes</t>
  </si>
  <si>
    <t>Burial Caskets</t>
  </si>
  <si>
    <t xml:space="preserve">Burial Casket Manufacturing </t>
  </si>
  <si>
    <t xml:space="preserve">All Other Miscellaneous Manufacturing </t>
  </si>
  <si>
    <t>Automobiles and Other Motor Vehicles</t>
  </si>
  <si>
    <t xml:space="preserve">Automobile and Other Motor Vehicle Merchant Wholesalers </t>
  </si>
  <si>
    <t>Motor Vehicle Supplies and New Parts</t>
  </si>
  <si>
    <t xml:space="preserve">Motor Vehicle Supplies and New Parts Merchant Wholesalers </t>
  </si>
  <si>
    <t>Tires and Tubes</t>
  </si>
  <si>
    <t xml:space="preserve">Tire and Tube Merchant Wholesalers </t>
  </si>
  <si>
    <t>Motor Vehicle Parts, Used</t>
  </si>
  <si>
    <t xml:space="preserve">Motor Vehicle Parts (Used) Merchant Wholesalers </t>
  </si>
  <si>
    <t>Furniture</t>
  </si>
  <si>
    <t xml:space="preserve">Furniture Merchant Wholesalers </t>
  </si>
  <si>
    <t>Homefurnishings</t>
  </si>
  <si>
    <t xml:space="preserve">Home Furnishing Merchant Wholesalers </t>
  </si>
  <si>
    <t>Lumber, Plywood, and Millwork</t>
  </si>
  <si>
    <t xml:space="preserve">Lumber, Plywood, Millwork, and Wood Panel Merchant Wholesalers </t>
  </si>
  <si>
    <t>Construction Materials, Nec</t>
  </si>
  <si>
    <t>Brick, Stone, and Related Material</t>
  </si>
  <si>
    <t xml:space="preserve">Brick, Stone, and Related Construction Material Merchant Wholesalers </t>
  </si>
  <si>
    <t>Roofing, Siding, and Insulation</t>
  </si>
  <si>
    <t xml:space="preserve">Roofing, Siding, and Insulation Material Merchant Wholesalers </t>
  </si>
  <si>
    <t xml:space="preserve">Other Construction Material Merchant Wholesalers </t>
  </si>
  <si>
    <t xml:space="preserve">Photographic Equipment and Supplies Merchant Wholesalers </t>
  </si>
  <si>
    <t>Office Equipment</t>
  </si>
  <si>
    <t xml:space="preserve">Office Equipment Merchant Wholesalers </t>
  </si>
  <si>
    <t>Computers, Peripherals, and Software</t>
  </si>
  <si>
    <t xml:space="preserve">Computer and Computer Peripheral Equipment and Software Merchant Wholesalers </t>
  </si>
  <si>
    <t>Commercial Equipment, Nec</t>
  </si>
  <si>
    <t xml:space="preserve">Other Commercial Equipment Merchant Wholesalers </t>
  </si>
  <si>
    <t>Medical and Hospital Equipment</t>
  </si>
  <si>
    <t xml:space="preserve">Medical, Dental, and Hospital Equipment and Supplies Merchant Wholesalers </t>
  </si>
  <si>
    <t xml:space="preserve">Ophthalmic Goods Merchant Wholesalers </t>
  </si>
  <si>
    <t>Professional Equipment, Nec</t>
  </si>
  <si>
    <t xml:space="preserve">Other Professional Equipment and Supplies Merchant Wholesalers </t>
  </si>
  <si>
    <t>Metals Service Centers and Offices</t>
  </si>
  <si>
    <t xml:space="preserve">Metal Service Centers and Other Metal Merchant Wholesalers </t>
  </si>
  <si>
    <t>Coal and Other Minerals and Ores</t>
  </si>
  <si>
    <t xml:space="preserve">Coal and Other Mineral and Ore Merchant Wholesalers </t>
  </si>
  <si>
    <t>Electrical Apparatus and Equipment</t>
  </si>
  <si>
    <t xml:space="preserve">Electrical Apparatus and Equipment, Wiring Supplies, and Related Equipment Merchant Wholesalers </t>
  </si>
  <si>
    <t>Electrical Appliances, Television and Radio</t>
  </si>
  <si>
    <t xml:space="preserve">Household Appliances, Electric Housewares, and Consumer Electronics Merchant Wholesalers </t>
  </si>
  <si>
    <t>Plumbing and Hydronic Heating Supplies</t>
  </si>
  <si>
    <t>Electronic Parts and Equipment, Nec</t>
  </si>
  <si>
    <t xml:space="preserve">Other Electronic Parts and Equipment Merchant Wholesalers </t>
  </si>
  <si>
    <t>Hardware</t>
  </si>
  <si>
    <t xml:space="preserve">Hardware Merchant Wholesalers </t>
  </si>
  <si>
    <t xml:space="preserve">Plumbing and Heating Equipment and Supplies (Hydronics) Merchant Wholesalers </t>
  </si>
  <si>
    <t>Warm Air Heating and Air Conditioning</t>
  </si>
  <si>
    <t xml:space="preserve">Warm Air Heating and Air-Conditioning Equipment and Supplies Merchant Wholesalers </t>
  </si>
  <si>
    <t>Refrigeration Equipment and Supplies</t>
  </si>
  <si>
    <t xml:space="preserve">Refrigeration Equipment and Supplies Merchant Wholesalers </t>
  </si>
  <si>
    <t>Construction and Mining Machinery</t>
  </si>
  <si>
    <t xml:space="preserve">Construction and Mining (except Oil Well) Machinery and Equipment Merchant Wholesalers </t>
  </si>
  <si>
    <t>Farm and Garden Machinery</t>
  </si>
  <si>
    <t xml:space="preserve">Farm and Garden Machinery and Equipment Merchant Wholesalers </t>
  </si>
  <si>
    <t>Industrial Machinery and Equipment</t>
  </si>
  <si>
    <t xml:space="preserve">Industrial Machinery and Equipment Merchant Wholesalers </t>
  </si>
  <si>
    <t>Industrial Supplies</t>
  </si>
  <si>
    <t>Service Establishment Equipment</t>
  </si>
  <si>
    <t xml:space="preserve">Service Establishment Equipment and Supplies Merchant Wholesalers </t>
  </si>
  <si>
    <t>Transportation Equipment and Supplies</t>
  </si>
  <si>
    <t xml:space="preserve">Transportation Equipment and Supplies (except Motor Vehicle) Merchant Wholesalers </t>
  </si>
  <si>
    <t>Sporting and Recreation Goods</t>
  </si>
  <si>
    <t xml:space="preserve">Sporting and Recreational Goods and Supplies Merchant Wholesalers </t>
  </si>
  <si>
    <t>Men's and Boy's Clothing</t>
  </si>
  <si>
    <t>Women's and Children's Clothing</t>
  </si>
  <si>
    <t>Toys and Hobby Goods and Supplies</t>
  </si>
  <si>
    <t xml:space="preserve">Toy and Hobby Goods and Supplies Merchant Wholesalers </t>
  </si>
  <si>
    <t>Scrap and Waste Materials</t>
  </si>
  <si>
    <t xml:space="preserve">Recyclable Material Merchant Wholesalers </t>
  </si>
  <si>
    <t>Jewelry and Precious Stones</t>
  </si>
  <si>
    <t xml:space="preserve">Jewelry, Watch, Precious Stone, and Precious Metal Merchant Wholesalers </t>
  </si>
  <si>
    <t>Durable Goods, Nec</t>
  </si>
  <si>
    <t xml:space="preserve">Other Miscellaneous Durable Goods Merchant Wholesalers </t>
  </si>
  <si>
    <t>Motion Picture and Tape Distribution</t>
  </si>
  <si>
    <t>Printing and Writing Paper</t>
  </si>
  <si>
    <t xml:space="preserve">Printing and Writing Paper Merchant Wholesalers </t>
  </si>
  <si>
    <t>Stationery and Office Supplies</t>
  </si>
  <si>
    <t xml:space="preserve">Stationery and Office Supplies Merchant Wholesalers </t>
  </si>
  <si>
    <t>Industrial and Personal Service Paper</t>
  </si>
  <si>
    <t xml:space="preserve">Industrial and Personal Service Paper Merchant Wholesalers </t>
  </si>
  <si>
    <t>Drugs, Proprietaries, and Sundries</t>
  </si>
  <si>
    <t xml:space="preserve">Drugs and Druggists' Sundries Merchant Wholesalers </t>
  </si>
  <si>
    <t xml:space="preserve">Piece Goods, Notions, and Other Dry Goods Merchant Wholesalers </t>
  </si>
  <si>
    <t>Nondurable Goods, Nec</t>
  </si>
  <si>
    <t>Footwear</t>
  </si>
  <si>
    <t xml:space="preserve">Footwear Merchant Wholesalers </t>
  </si>
  <si>
    <t>Groceries, General Line</t>
  </si>
  <si>
    <t xml:space="preserve">General Line Grocery Merchant Wholesalers </t>
  </si>
  <si>
    <t>Packaged Frozen Goods</t>
  </si>
  <si>
    <t xml:space="preserve">Packaged Frozen Food Merchant Wholesalers </t>
  </si>
  <si>
    <t>Dairy Products, Except Dried or Canned</t>
  </si>
  <si>
    <t xml:space="preserve">Dairy Product (except Dried or Canned) Merchant Wholesalers </t>
  </si>
  <si>
    <t>Poultry and Poultry Products</t>
  </si>
  <si>
    <t xml:space="preserve">Poultry and Poultry Product Merchant Wholesalers </t>
  </si>
  <si>
    <t>Confectionery</t>
  </si>
  <si>
    <t xml:space="preserve">Confectionery Merchant Wholesalers </t>
  </si>
  <si>
    <t>Fish and Seafoods</t>
  </si>
  <si>
    <t xml:space="preserve">Fish and Seafood Merchant Wholesalers </t>
  </si>
  <si>
    <t xml:space="preserve">Meat and Meat Product Merchant Wholesalers </t>
  </si>
  <si>
    <t>Fresh Fruits and Vegetables</t>
  </si>
  <si>
    <t xml:space="preserve">Fresh Fruit and Vegetable Merchant Wholesalers </t>
  </si>
  <si>
    <t xml:space="preserve">Other Grocery and Related Products Merchant Wholesalers </t>
  </si>
  <si>
    <t>Grain and Field Beans</t>
  </si>
  <si>
    <t xml:space="preserve">Grain and Field Bean Merchant Wholesalers </t>
  </si>
  <si>
    <t>Livestock</t>
  </si>
  <si>
    <t xml:space="preserve">Livestock Merchant Wholesalers </t>
  </si>
  <si>
    <t>Farm-product Raw Materials, Nec</t>
  </si>
  <si>
    <t xml:space="preserve">Other Farm Product Raw Material Merchant Wholesalers </t>
  </si>
  <si>
    <t>Plastics Materials and Basic Shapes</t>
  </si>
  <si>
    <t xml:space="preserve">Plastics Materials and Basic Forms and Shapes Merchant Wholesalers </t>
  </si>
  <si>
    <t>Chemicals and Allied Products, Nec</t>
  </si>
  <si>
    <t xml:space="preserve">Other Chemical and Allied Products Merchant Wholesalers </t>
  </si>
  <si>
    <t xml:space="preserve">Petroleum Bulk Stations and Terminals </t>
  </si>
  <si>
    <t>Petroleum Products, Nec</t>
  </si>
  <si>
    <t xml:space="preserve">Petroleum and Petroleum Products Merchant Wholesalers (except Bulk Stations and Terminals) </t>
  </si>
  <si>
    <t>Beer and Ale</t>
  </si>
  <si>
    <t xml:space="preserve">Beer and Ale Merchant Wholesalers </t>
  </si>
  <si>
    <t>Wine and Distilled Beverages</t>
  </si>
  <si>
    <t xml:space="preserve">Wine and Distilled Alcoholic Beverage Merchant Wholesalers </t>
  </si>
  <si>
    <t>Farm Supplies</t>
  </si>
  <si>
    <t xml:space="preserve">Farm Supplies Merchant Wholesalers </t>
  </si>
  <si>
    <t>Books, Periodicals, and Newspapers</t>
  </si>
  <si>
    <t xml:space="preserve">Book, Periodical, and Newspaper Merchant Wholesalers </t>
  </si>
  <si>
    <t>Flowers and Florists Supplies</t>
  </si>
  <si>
    <t xml:space="preserve">Flower, Nursery Stock, and Florists' Supplies Merchant Wholesalers </t>
  </si>
  <si>
    <t>Tobacco and Tobacco Products</t>
  </si>
  <si>
    <t xml:space="preserve">Tobacco Product and Electronic Cigarette Merchant Wholesalers </t>
  </si>
  <si>
    <t>Paints, Varnishes, and Supplies</t>
  </si>
  <si>
    <t xml:space="preserve">Paint, Varnish, and Supplies Merchant Wholesalers </t>
  </si>
  <si>
    <t xml:space="preserve">Other Miscellaneous Nondurable Goods Merchant Wholesalers </t>
  </si>
  <si>
    <t xml:space="preserve">Wholesale Trade Agents and Brokers </t>
  </si>
  <si>
    <t>New and Used Car Dealers</t>
  </si>
  <si>
    <t xml:space="preserve">New Car Dealers </t>
  </si>
  <si>
    <t xml:space="preserve">Used Car Dealers </t>
  </si>
  <si>
    <t xml:space="preserve">Recreational Vehicle Dealers </t>
  </si>
  <si>
    <t xml:space="preserve">Boat Dealers </t>
  </si>
  <si>
    <t>Motorcycle Dealers</t>
  </si>
  <si>
    <t xml:space="preserve">Motorcycle, ATV, and All Other Motor Vehicle Dealers </t>
  </si>
  <si>
    <t>Automotive Dealers, Nec</t>
  </si>
  <si>
    <t>Catalog and Mail-order Houses</t>
  </si>
  <si>
    <t xml:space="preserve">Automotive Parts and Accessories Retailers </t>
  </si>
  <si>
    <t>Auto and Home Supply Stores</t>
  </si>
  <si>
    <t>Radio, Television, and Electronic Stores</t>
  </si>
  <si>
    <t>Direct Selling Establishments</t>
  </si>
  <si>
    <t xml:space="preserve">Tire Dealers </t>
  </si>
  <si>
    <t xml:space="preserve">Home Centers </t>
  </si>
  <si>
    <t>Lumber and Other Building Materials</t>
  </si>
  <si>
    <t>Paint, Glass, and Wallpaper Stores</t>
  </si>
  <si>
    <t xml:space="preserve">Paint and Wallpaper Retailers </t>
  </si>
  <si>
    <t xml:space="preserve">Hardware Retailers </t>
  </si>
  <si>
    <t xml:space="preserve">Other Building Material Dealers </t>
  </si>
  <si>
    <t xml:space="preserve">Outdoor Power Equipment Retailers </t>
  </si>
  <si>
    <t>Retail Nurseries and Garden Stores</t>
  </si>
  <si>
    <t xml:space="preserve">Nursery, Garden Center, and Farm Supply Retailers </t>
  </si>
  <si>
    <t xml:space="preserve">Supermarkets and Other Grocery Retailers (except Convenience Retailers) </t>
  </si>
  <si>
    <t>Grocery Stores</t>
  </si>
  <si>
    <t>Merchandising Machine Operators</t>
  </si>
  <si>
    <t xml:space="preserve">Vending Machine Operators </t>
  </si>
  <si>
    <t xml:space="preserve">Fruit and Vegetable Retailers </t>
  </si>
  <si>
    <t xml:space="preserve">Meat Retailers </t>
  </si>
  <si>
    <t>Meat and Fish Markets</t>
  </si>
  <si>
    <t>Miscellaneous Food Stores</t>
  </si>
  <si>
    <t xml:space="preserve">Fish and Seafood Retailers </t>
  </si>
  <si>
    <t xml:space="preserve">Baked Goods Retailers </t>
  </si>
  <si>
    <t xml:space="preserve">Confectionery and Nut Retailers </t>
  </si>
  <si>
    <t xml:space="preserve">All Other Specialty Food Retailers </t>
  </si>
  <si>
    <t>Dairy Products Stores</t>
  </si>
  <si>
    <t xml:space="preserve">Beer, Wine, and Liquor Retailers </t>
  </si>
  <si>
    <t>Liquor Stores</t>
  </si>
  <si>
    <t xml:space="preserve">Furniture Retailers </t>
  </si>
  <si>
    <t xml:space="preserve">Floor Covering Retailers </t>
  </si>
  <si>
    <t xml:space="preserve">Window Treatment Retailers </t>
  </si>
  <si>
    <t xml:space="preserve">All Other Home Furnishings Retailers </t>
  </si>
  <si>
    <t>Refrigeration Service and Repair</t>
  </si>
  <si>
    <t>Electrical Repair Shops</t>
  </si>
  <si>
    <t>Computer and Software Stores</t>
  </si>
  <si>
    <t>Record and Prerecorded Tape Stores</t>
  </si>
  <si>
    <t>Camera and Photographic Supply Stores</t>
  </si>
  <si>
    <t>Computer Maintenance and Repair</t>
  </si>
  <si>
    <t xml:space="preserve">Department Stores </t>
  </si>
  <si>
    <t>Miscellaneous General Merchandise</t>
  </si>
  <si>
    <t xml:space="preserve">Warehouse Clubs and Supercenters </t>
  </si>
  <si>
    <t>Variety Stores</t>
  </si>
  <si>
    <t xml:space="preserve">All Other General Merchandise Retailers </t>
  </si>
  <si>
    <t xml:space="preserve">Pharmacies and Drug Retailers </t>
  </si>
  <si>
    <t>Drug Stores and Proprietary Stores</t>
  </si>
  <si>
    <t xml:space="preserve">Cosmetics, Beauty Supplies, and Perfume Retailers </t>
  </si>
  <si>
    <t xml:space="preserve">Optical Goods Retailers </t>
  </si>
  <si>
    <t xml:space="preserve">Food (Health) Supplement Retailers </t>
  </si>
  <si>
    <t xml:space="preserve">All Other Health and Personal Care Retailers </t>
  </si>
  <si>
    <t xml:space="preserve">Gasoline Stations with Convenience Stores </t>
  </si>
  <si>
    <t>Gasoline Service Stations</t>
  </si>
  <si>
    <t xml:space="preserve">Other Gasoline Stations </t>
  </si>
  <si>
    <t xml:space="preserve">Fuel Dealers </t>
  </si>
  <si>
    <t>Fuel Oil Dealers</t>
  </si>
  <si>
    <t>Liquefied Petroleum Gas Dealers</t>
  </si>
  <si>
    <t>Fuel Dealers, Nec</t>
  </si>
  <si>
    <t xml:space="preserve">Clothing and Clothing Accessories Retailers </t>
  </si>
  <si>
    <t>Men's and Boys' Clothing Stores</t>
  </si>
  <si>
    <t>Children's and Infants' Wear Stores</t>
  </si>
  <si>
    <t>Women's Accessory and Specialty Stores</t>
  </si>
  <si>
    <t xml:space="preserve">Shoe Retailers </t>
  </si>
  <si>
    <t xml:space="preserve">Jewelry Retailers </t>
  </si>
  <si>
    <t>Watch, Clock, and Jewelry Repair</t>
  </si>
  <si>
    <t xml:space="preserve">Luggage and Leather Goods Retailers </t>
  </si>
  <si>
    <t xml:space="preserve">Sporting Goods Retailers </t>
  </si>
  <si>
    <t>Sporting Goods and Bicycle Shops</t>
  </si>
  <si>
    <t xml:space="preserve">Hobby, Toy, and Game Retailers </t>
  </si>
  <si>
    <t>Hobby, Toy, and Game Shops</t>
  </si>
  <si>
    <t xml:space="preserve">Sewing, Needlework, and Piece Goods Retailers </t>
  </si>
  <si>
    <t>Sewing, Needlework, and Piece Goods</t>
  </si>
  <si>
    <t>Musical Instrument Stores</t>
  </si>
  <si>
    <t xml:space="preserve">Musical Instrument and Supplies Retailers </t>
  </si>
  <si>
    <t xml:space="preserve">Book Retailers and News Dealers </t>
  </si>
  <si>
    <t xml:space="preserve">Florists </t>
  </si>
  <si>
    <t xml:space="preserve">Office Supplies and Stationery Retailers </t>
  </si>
  <si>
    <t>Stationery Stores</t>
  </si>
  <si>
    <t xml:space="preserve">Gift, Novelty, and Souvenir Retailers </t>
  </si>
  <si>
    <t>Gift, Novelty, and Souvenir Shop</t>
  </si>
  <si>
    <t xml:space="preserve">Used Merchandise Retailers </t>
  </si>
  <si>
    <t xml:space="preserve">Pet and Pet Supplies Retailers </t>
  </si>
  <si>
    <t xml:space="preserve">Art Dealers </t>
  </si>
  <si>
    <t>Mobile Home Dealers</t>
  </si>
  <si>
    <t xml:space="preserve">Manufactured (Mobile) Home Dealers </t>
  </si>
  <si>
    <t xml:space="preserve">Tobacco, Electronic Cigarette, and Other Smoking Supplies Retailers </t>
  </si>
  <si>
    <t>Tobacco Stores and Stands</t>
  </si>
  <si>
    <t xml:space="preserve">All Other Miscellaneous Retailers </t>
  </si>
  <si>
    <t>Air Transportation, Scheduled</t>
  </si>
  <si>
    <t xml:space="preserve">Scheduled Passenger Air Transportation </t>
  </si>
  <si>
    <t xml:space="preserve">Scheduled Freight Air Transportation </t>
  </si>
  <si>
    <t>Air Transportation, Nonscheduled</t>
  </si>
  <si>
    <t xml:space="preserve">Nonscheduled Chartered Passenger Air Transportation </t>
  </si>
  <si>
    <t xml:space="preserve">Nonscheduled Chartered Freight Air Transportation </t>
  </si>
  <si>
    <t xml:space="preserve">Other Nonscheduled Air Transportation </t>
  </si>
  <si>
    <t>Advertising, Nec</t>
  </si>
  <si>
    <t>Membership Sports and Recreation Clubs</t>
  </si>
  <si>
    <t>Railroads, Line-haul Operating</t>
  </si>
  <si>
    <t xml:space="preserve">Line-Haul Railroads </t>
  </si>
  <si>
    <t>Switching and Terminal Services</t>
  </si>
  <si>
    <t xml:space="preserve">Short Line Railroads </t>
  </si>
  <si>
    <t>Deep Sea Foreign Transportation of Freight</t>
  </si>
  <si>
    <t xml:space="preserve">Deep Sea Freight Transportation </t>
  </si>
  <si>
    <t>Deep Sea Passenger Transportation, Except Ferry</t>
  </si>
  <si>
    <t xml:space="preserve">Deep Sea Passenger Transportation </t>
  </si>
  <si>
    <t>Deep Sea Domestic Transportation of Freight</t>
  </si>
  <si>
    <t xml:space="preserve">Coastal and Great Lakes Freight Transportation </t>
  </si>
  <si>
    <t>Freight Transportation On The Great Lakes</t>
  </si>
  <si>
    <t xml:space="preserve">Coastal and Great Lakes Passenger Transportation </t>
  </si>
  <si>
    <t>Ferries</t>
  </si>
  <si>
    <t>Water Transportation of Freight</t>
  </si>
  <si>
    <t xml:space="preserve">Inland Water Freight Transportation </t>
  </si>
  <si>
    <t>Water Transportation Services, Nec</t>
  </si>
  <si>
    <t xml:space="preserve">Inland Water Passenger Transportation </t>
  </si>
  <si>
    <t>Water Passenger Transportation</t>
  </si>
  <si>
    <t>Local Trucking, Without Storage</t>
  </si>
  <si>
    <t xml:space="preserve">General Freight Trucking, Local </t>
  </si>
  <si>
    <t>Local Trucking With Storage</t>
  </si>
  <si>
    <t>Trucking, Except Local</t>
  </si>
  <si>
    <t xml:space="preserve">General Freight Trucking, Long-Distance, Truckload </t>
  </si>
  <si>
    <t xml:space="preserve">General Freight Trucking, Long-Distance, Less Than Truckload </t>
  </si>
  <si>
    <t xml:space="preserve">Specialized Freight (except Used Goods) Trucking, Local </t>
  </si>
  <si>
    <t xml:space="preserve">Specialized Freight (except Used Goods) Trucking, Long-Distance </t>
  </si>
  <si>
    <t>Local and Suburban Transit</t>
  </si>
  <si>
    <t xml:space="preserve">Mixed Mode Transit Systems </t>
  </si>
  <si>
    <t xml:space="preserve">Commuter Rail Systems </t>
  </si>
  <si>
    <t xml:space="preserve">Bus and Other Motor Vehicle Transit Systems </t>
  </si>
  <si>
    <t xml:space="preserve">Other Urban Transit Systems </t>
  </si>
  <si>
    <t>Intercity and Rural Bus Transportation</t>
  </si>
  <si>
    <t>Taxicabs</t>
  </si>
  <si>
    <t xml:space="preserve">Taxi and Ridesharing Services </t>
  </si>
  <si>
    <t>Communication Services, Nec</t>
  </si>
  <si>
    <t>Local Passenger Transportation, Nec</t>
  </si>
  <si>
    <t>School Buses</t>
  </si>
  <si>
    <t>Local Bus Charter Service</t>
  </si>
  <si>
    <t>Bus Charter Service, Except Local</t>
  </si>
  <si>
    <t xml:space="preserve">Special Needs Transportation </t>
  </si>
  <si>
    <t xml:space="preserve">All Other Transit and Ground Passenger Transportation </t>
  </si>
  <si>
    <t>Crude Petroleum Pipelines</t>
  </si>
  <si>
    <t>Natural Gas Transmission</t>
  </si>
  <si>
    <t>Pipelines, Nec</t>
  </si>
  <si>
    <t>Transportation Services, Nec</t>
  </si>
  <si>
    <t>Amusement and Recreation, Nec</t>
  </si>
  <si>
    <t>Airports, Flying Fields, and Services</t>
  </si>
  <si>
    <t>Regulation, Administration of Transportation</t>
  </si>
  <si>
    <t xml:space="preserve">Other Airport Operations </t>
  </si>
  <si>
    <t>Sanitary Services, Nec</t>
  </si>
  <si>
    <t>Rental of Railroad Cars</t>
  </si>
  <si>
    <t>Towing and Tugboat Service</t>
  </si>
  <si>
    <t xml:space="preserve">Navigational Services to Shipping </t>
  </si>
  <si>
    <t>Inspection and Fixed Facilities</t>
  </si>
  <si>
    <t>Automotive Services, Nec</t>
  </si>
  <si>
    <t>Bus Terminal and Service Facilities</t>
  </si>
  <si>
    <t xml:space="preserve">Other Support Activities for Road Transportation </t>
  </si>
  <si>
    <t>Trucking Terminal Facilities</t>
  </si>
  <si>
    <t xml:space="preserve">Freight Transportation Arrangement </t>
  </si>
  <si>
    <t xml:space="preserve">Packing and Crating </t>
  </si>
  <si>
    <t>Passenger Transportation Arrangement</t>
  </si>
  <si>
    <t xml:space="preserve">All Other Support Activities for Transportation </t>
  </si>
  <si>
    <t>U.S. Postal Service</t>
  </si>
  <si>
    <t>Courier Services, Except By Air</t>
  </si>
  <si>
    <t>Air Courier Services</t>
  </si>
  <si>
    <t xml:space="preserve">General Warehousing and Storage </t>
  </si>
  <si>
    <t>Special Warehousing and Storage, Nec</t>
  </si>
  <si>
    <t xml:space="preserve">Motion Picture and Video Production </t>
  </si>
  <si>
    <t>Motion Picture Distribution Services</t>
  </si>
  <si>
    <t>Motion Picture Theaters, Except Drive-in</t>
  </si>
  <si>
    <t xml:space="preserve">Motion Picture Theaters (except Drive-Ins) </t>
  </si>
  <si>
    <t>Drive-in Motion Picture Theaters</t>
  </si>
  <si>
    <t xml:space="preserve">Drive-In Motion Picture Theaters </t>
  </si>
  <si>
    <t xml:space="preserve">Teleproduction and Other Postproduction Services </t>
  </si>
  <si>
    <t xml:space="preserve">Other Motion Picture and Video Industries </t>
  </si>
  <si>
    <t>Book Publishing</t>
  </si>
  <si>
    <t>Miscellaneous Publishing</t>
  </si>
  <si>
    <t>Services, Nec</t>
  </si>
  <si>
    <t>Theatrical Producers and Services</t>
  </si>
  <si>
    <t>Newspapers</t>
  </si>
  <si>
    <t xml:space="preserve">Newspaper Publishers </t>
  </si>
  <si>
    <t>Periodicals</t>
  </si>
  <si>
    <t xml:space="preserve">Periodical Publishers </t>
  </si>
  <si>
    <t xml:space="preserve">Book Publishers </t>
  </si>
  <si>
    <t xml:space="preserve">Directory and Mailing List Publishers </t>
  </si>
  <si>
    <t>Direct Mail Advertising Services</t>
  </si>
  <si>
    <t xml:space="preserve">Greeting Card Publishers </t>
  </si>
  <si>
    <t xml:space="preserve">All Other Publishers </t>
  </si>
  <si>
    <t xml:space="preserve">Radio Broadcasting Stations </t>
  </si>
  <si>
    <t xml:space="preserve">Television Broadcasting Stations </t>
  </si>
  <si>
    <t>Cable and Other Pay Television Services</t>
  </si>
  <si>
    <t>Telephone Communications, Except Radiotelephone</t>
  </si>
  <si>
    <t xml:space="preserve">Wired Telecommunications Carriers </t>
  </si>
  <si>
    <t>Telegraph and Other Message Communications</t>
  </si>
  <si>
    <t>Information Retrieval Services</t>
  </si>
  <si>
    <t>Radiotelephone Communication</t>
  </si>
  <si>
    <t>Telephone Communication, Except Radio</t>
  </si>
  <si>
    <t>Telegraph and Other Communications</t>
  </si>
  <si>
    <t xml:space="preserve">All Other Telecommunications </t>
  </si>
  <si>
    <t>Data Processing and Preparation</t>
  </si>
  <si>
    <t>Computer Related Services, Nec</t>
  </si>
  <si>
    <t xml:space="preserve">Libraries and Archives </t>
  </si>
  <si>
    <t>Libraries</t>
  </si>
  <si>
    <t>Federal Reserve Banks</t>
  </si>
  <si>
    <t>National Commercial Banks</t>
  </si>
  <si>
    <t xml:space="preserve">Commercial Banking </t>
  </si>
  <si>
    <t>State Commercial Banks</t>
  </si>
  <si>
    <t>Commercial Banks, Nec</t>
  </si>
  <si>
    <t>Foreign Bank and Branches and Agencies</t>
  </si>
  <si>
    <t>Federal Credit Unions</t>
  </si>
  <si>
    <t xml:space="preserve">Credit Unions </t>
  </si>
  <si>
    <t>State Credit Unions</t>
  </si>
  <si>
    <t xml:space="preserve">Savings Institutions and Other Depository Credit Intermediation </t>
  </si>
  <si>
    <t>Federal Savings Institutions</t>
  </si>
  <si>
    <t>Savings Institutions, Except Federal</t>
  </si>
  <si>
    <t xml:space="preserve">Credit Card Issuing </t>
  </si>
  <si>
    <t>Personal Credit Institutions</t>
  </si>
  <si>
    <t>Short-term Business Credit</t>
  </si>
  <si>
    <t xml:space="preserve">Sales Financing </t>
  </si>
  <si>
    <t>Miscellaneous Business Credit</t>
  </si>
  <si>
    <t xml:space="preserve">Consumer Lending </t>
  </si>
  <si>
    <t>Federal and Federally Sponsored Credit</t>
  </si>
  <si>
    <t xml:space="preserve">Real Estate Credit </t>
  </si>
  <si>
    <t>Mortgage Bankers and Correspondents</t>
  </si>
  <si>
    <t xml:space="preserve">International, Secondary Market, and All Other Nondepository Credit Intermediation </t>
  </si>
  <si>
    <t>Foreign Trade and International Banks</t>
  </si>
  <si>
    <t>Central Reserve Depository, Nec</t>
  </si>
  <si>
    <t>Loan Brokers</t>
  </si>
  <si>
    <t xml:space="preserve">Mortgage and Nonmortgage Loan Brokers </t>
  </si>
  <si>
    <t>Functions Related To Depository Banking</t>
  </si>
  <si>
    <t xml:space="preserve">Financial Transactions Processing, Reserve, and Clearinghouse Activities </t>
  </si>
  <si>
    <t xml:space="preserve">Other Activities Related to Credit Intermediation </t>
  </si>
  <si>
    <t>Security Brokers and Dealers</t>
  </si>
  <si>
    <t xml:space="preserve">Investment Banking and Securities Intermediation </t>
  </si>
  <si>
    <t xml:space="preserve">Commodity Contracts Intermediation </t>
  </si>
  <si>
    <t>Commodity Contracts Brokers, Dealers</t>
  </si>
  <si>
    <t>Investors, Nec</t>
  </si>
  <si>
    <t>Security and Commodity Exchanges</t>
  </si>
  <si>
    <t xml:space="preserve">Miscellaneous Intermediation </t>
  </si>
  <si>
    <t>Oil Royalty Traders</t>
  </si>
  <si>
    <t xml:space="preserve">Portfolio Management and Investment Advice </t>
  </si>
  <si>
    <t>Pension, Health, and Welfare Funds</t>
  </si>
  <si>
    <t>Trusts, Nec</t>
  </si>
  <si>
    <t>Nondeposit Trust Facilities</t>
  </si>
  <si>
    <t xml:space="preserve">Trust, Fiduciary, and Custody Activities </t>
  </si>
  <si>
    <t>Security and Commodity Service</t>
  </si>
  <si>
    <t xml:space="preserve">Miscellaneous Financial Investment Activities </t>
  </si>
  <si>
    <t>Life Insurance</t>
  </si>
  <si>
    <t xml:space="preserve">Direct Life Insurance Carriers </t>
  </si>
  <si>
    <t>Accident and Health Insurance</t>
  </si>
  <si>
    <t xml:space="preserve">Direct Health and Medical Insurance Carriers </t>
  </si>
  <si>
    <t>Hospital and Medical Service Plans</t>
  </si>
  <si>
    <t>Fire, Marine, and Casualty Insurance</t>
  </si>
  <si>
    <t xml:space="preserve">Direct Property and Casualty Insurance Carriers </t>
  </si>
  <si>
    <t>Surety Insurance</t>
  </si>
  <si>
    <t>Title Insurance</t>
  </si>
  <si>
    <t xml:space="preserve">Direct Title Insurance Carriers </t>
  </si>
  <si>
    <t xml:space="preserve">Other Direct Insurance (except Life, Health, and Medical) Carriers </t>
  </si>
  <si>
    <t>Insurance Carriers, Nec</t>
  </si>
  <si>
    <t xml:space="preserve">Reinsurance Carriers </t>
  </si>
  <si>
    <t>Insurance Agents, Brokers, and Service</t>
  </si>
  <si>
    <t xml:space="preserve">Insurance Agencies and Brokerages </t>
  </si>
  <si>
    <t xml:space="preserve">Claims Adjusting </t>
  </si>
  <si>
    <t xml:space="preserve">Pharmacy Benefit Management and Other Third Party Administration of Insurance and Pension Funds </t>
  </si>
  <si>
    <t xml:space="preserve">All Other Insurance Related Activities </t>
  </si>
  <si>
    <t xml:space="preserve">Pension Funds </t>
  </si>
  <si>
    <t xml:space="preserve">Health and Welfare Funds </t>
  </si>
  <si>
    <t xml:space="preserve">Other Insurance Funds </t>
  </si>
  <si>
    <t>Management Investment, Open-ended</t>
  </si>
  <si>
    <t xml:space="preserve">Open-End Investment Funds </t>
  </si>
  <si>
    <t xml:space="preserve">Trusts, Estates, and Agency Accounts </t>
  </si>
  <si>
    <t xml:space="preserve">Other Financial Vehicles </t>
  </si>
  <si>
    <t>Investment Offices, Nec</t>
  </si>
  <si>
    <t>Real Estate Investment Trusts</t>
  </si>
  <si>
    <t>Apartment Building Operators</t>
  </si>
  <si>
    <t xml:space="preserve">Lessors of Residential Buildings and Dwellings </t>
  </si>
  <si>
    <t>Dwelling Operators, Except Apartments</t>
  </si>
  <si>
    <t>Real Estate Agents and Managers</t>
  </si>
  <si>
    <t>Nonresidential Building Operators</t>
  </si>
  <si>
    <t xml:space="preserve">Lessors of Nonresidential Buildings (except Miniwarehouses) </t>
  </si>
  <si>
    <t xml:space="preserve">Lessors of Miniwarehouses and Self-Storage Units </t>
  </si>
  <si>
    <t>Mobile Home Site Operators</t>
  </si>
  <si>
    <t xml:space="preserve">Lessors of Other Real Estate Property </t>
  </si>
  <si>
    <t>Railroad Property Lessors</t>
  </si>
  <si>
    <t>Real Property Lessors, Nec</t>
  </si>
  <si>
    <t xml:space="preserve">Residential Property Managers </t>
  </si>
  <si>
    <t xml:space="preserve">Nonresidential Property Managers </t>
  </si>
  <si>
    <t xml:space="preserve">Offices of Real Estate Appraisers </t>
  </si>
  <si>
    <t xml:space="preserve">Other Activities Related to Real Estate </t>
  </si>
  <si>
    <t xml:space="preserve">Passenger Car Rental </t>
  </si>
  <si>
    <t xml:space="preserve">Passenger Car Leasing </t>
  </si>
  <si>
    <t>Truck Rental and Leasing, Without Drivers</t>
  </si>
  <si>
    <t xml:space="preserve">Truck, Utility Trailer, and RV (Recreational Vehicle) Rental and Leasing </t>
  </si>
  <si>
    <t>Utility Trailer Rental</t>
  </si>
  <si>
    <t>Equipment Rental and Leasing, Nec</t>
  </si>
  <si>
    <t>Miscellaneous Personal Services</t>
  </si>
  <si>
    <t>Video Tape Rental</t>
  </si>
  <si>
    <t>Medical Equipment Rental</t>
  </si>
  <si>
    <t xml:space="preserve">Home Health Equipment Rental </t>
  </si>
  <si>
    <t xml:space="preserve">Recreational Goods Rental </t>
  </si>
  <si>
    <t xml:space="preserve">All Other Consumer Goods Rental </t>
  </si>
  <si>
    <t xml:space="preserve">Commercial Air, Rail, and Water Transportation Equipment Rental and Leasing </t>
  </si>
  <si>
    <t xml:space="preserve">Construction, Mining, and Forestry Machinery and Equipment Rental and Leasing </t>
  </si>
  <si>
    <t>Computer Rental and Leasing</t>
  </si>
  <si>
    <t xml:space="preserve">Other Commercial and Industrial Machinery and Equipment Rental and Leasing </t>
  </si>
  <si>
    <t>Patent Owners and Lessors</t>
  </si>
  <si>
    <t>Legal Services</t>
  </si>
  <si>
    <t>Title abstract Offices</t>
  </si>
  <si>
    <t xml:space="preserve">Title Abstract and Settlement Offices </t>
  </si>
  <si>
    <t xml:space="preserve">All Other Legal Services </t>
  </si>
  <si>
    <t>Accounting, Auditing, and Bookkeeping</t>
  </si>
  <si>
    <t xml:space="preserve">Offices of Certified Public Accountants </t>
  </si>
  <si>
    <t>Tax Return Preparation Services</t>
  </si>
  <si>
    <t xml:space="preserve">Tax Preparation Services </t>
  </si>
  <si>
    <t xml:space="preserve">Payroll Services </t>
  </si>
  <si>
    <t xml:space="preserve">Other Accounting Services </t>
  </si>
  <si>
    <t>Landscape Counseling and Planning</t>
  </si>
  <si>
    <t>Business Consulting, Nec</t>
  </si>
  <si>
    <t>Surveying Services</t>
  </si>
  <si>
    <t>Commercial Art and Graphic Design</t>
  </si>
  <si>
    <t>Health and Allied Services, Nec</t>
  </si>
  <si>
    <t xml:space="preserve">Custom Computer Programming Services </t>
  </si>
  <si>
    <t>Computer Integrated Systems Design</t>
  </si>
  <si>
    <t xml:space="preserve">Computer Systems Design Services </t>
  </si>
  <si>
    <t>Computer Facilities Management</t>
  </si>
  <si>
    <t xml:space="preserve">Computer Facilities Management Services </t>
  </si>
  <si>
    <t>Management Consulting Services</t>
  </si>
  <si>
    <t xml:space="preserve">Administrative Management and General Management Consulting Services </t>
  </si>
  <si>
    <t>Employment Agencies</t>
  </si>
  <si>
    <t xml:space="preserve">Human Resources Consulting Services </t>
  </si>
  <si>
    <t xml:space="preserve">Marketing Consulting Services </t>
  </si>
  <si>
    <t xml:space="preserve">Process, Physical Distribution, and Logistics Consulting Services </t>
  </si>
  <si>
    <t xml:space="preserve">Other Management Consulting Services </t>
  </si>
  <si>
    <t>Aircraft (research and development not producing prototypes)</t>
  </si>
  <si>
    <t xml:space="preserve">Research and Development in Nanotechnology </t>
  </si>
  <si>
    <t>Aircraft Engines and Engine Parts (research and development not producing prototypes)</t>
  </si>
  <si>
    <t>Aircraft Parts and Auxiliary Equipment, NEC (research and development not producing prototypes)</t>
  </si>
  <si>
    <t>Guided Missiles and Space Vehicles (research and development not producing prototypes)</t>
  </si>
  <si>
    <t>Space Propulsion Units and Parts (research and development not producing prototypes)</t>
  </si>
  <si>
    <t>Space Vehicle Equipment, Nec (research and development not producing prototypes)</t>
  </si>
  <si>
    <t>Commercial Physical Research</t>
  </si>
  <si>
    <t>Noncommercial Research Organizations</t>
  </si>
  <si>
    <t xml:space="preserve">Research and Development in the Physical, Engineering, and Life Sciences (except Nanotechnology and Biotechnology) </t>
  </si>
  <si>
    <t>Commercial Nonphysical Research</t>
  </si>
  <si>
    <t xml:space="preserve">Research and Development in the Social Sciences and Humanities </t>
  </si>
  <si>
    <t>Public Relations Services</t>
  </si>
  <si>
    <t>Radio, Television, Publisher Representatives</t>
  </si>
  <si>
    <t>Outdoor Advertising Services</t>
  </si>
  <si>
    <t xml:space="preserve">Other Services Related to Advertising </t>
  </si>
  <si>
    <t>Photographic Studios, Portrait</t>
  </si>
  <si>
    <t xml:space="preserve">Photography Studios, Portrait </t>
  </si>
  <si>
    <t xml:space="preserve">Commercial Photography </t>
  </si>
  <si>
    <t>Veterinary Services For Livestock</t>
  </si>
  <si>
    <t xml:space="preserve">Veterinary Services </t>
  </si>
  <si>
    <t>Veterinary Services, Specialties</t>
  </si>
  <si>
    <t>Bank Holding Companies</t>
  </si>
  <si>
    <t xml:space="preserve">Offices of Bank Holding Companies </t>
  </si>
  <si>
    <t>Holding Companies, Nec</t>
  </si>
  <si>
    <t xml:space="preserve">Offices of Other Holding Companies </t>
  </si>
  <si>
    <t xml:space="preserve">Corporate, Subsidiary, and Regional Managing Offices </t>
  </si>
  <si>
    <t xml:space="preserve">Employment Placement Agencies </t>
  </si>
  <si>
    <r>
      <t>Executive Search Services</t>
    </r>
    <r>
      <rPr>
        <sz val="10"/>
        <color indexed="8"/>
        <rFont val="Arial"/>
        <family val="2"/>
      </rPr>
      <t xml:space="preserve"> </t>
    </r>
  </si>
  <si>
    <t>Help Supply Services</t>
  </si>
  <si>
    <t>Secretarial and Court Reporting</t>
  </si>
  <si>
    <r>
      <t>Telephone Answering Services</t>
    </r>
    <r>
      <rPr>
        <sz val="10"/>
        <color indexed="8"/>
        <rFont val="Arial"/>
        <family val="2"/>
      </rPr>
      <t xml:space="preserve"> </t>
    </r>
  </si>
  <si>
    <t xml:space="preserve">Telemarketing Bureaus and Other Contact Centers </t>
  </si>
  <si>
    <t xml:space="preserve">Private Mail Centers </t>
  </si>
  <si>
    <t xml:space="preserve">Other Business Service Centers (including Copy Shops) </t>
  </si>
  <si>
    <t>Adjustment and Collection Services</t>
  </si>
  <si>
    <t>Credit Reporting Services</t>
  </si>
  <si>
    <t xml:space="preserve">Repossession Services </t>
  </si>
  <si>
    <t xml:space="preserve">Court Reporting and Stenotype Services </t>
  </si>
  <si>
    <t xml:space="preserve">All Other Business Support Services </t>
  </si>
  <si>
    <t xml:space="preserve">Convention and Visitors Bureaus </t>
  </si>
  <si>
    <t xml:space="preserve">All Other Travel Arrangement and Reservation Services </t>
  </si>
  <si>
    <t>Membership Organizations, Nec</t>
  </si>
  <si>
    <t>Detective and Armored Car Services</t>
  </si>
  <si>
    <t xml:space="preserve">Investigation and Personal Background Check Services </t>
  </si>
  <si>
    <t xml:space="preserve">Security Guards and Patrol Services </t>
  </si>
  <si>
    <t xml:space="preserve">Armored Car Services </t>
  </si>
  <si>
    <t>Security Systems Services</t>
  </si>
  <si>
    <t xml:space="preserve">Security Systems Services (except Locksmiths) </t>
  </si>
  <si>
    <t xml:space="preserve">Locksmiths </t>
  </si>
  <si>
    <t>Disinfecting and Pest Control Services</t>
  </si>
  <si>
    <t xml:space="preserve">Janitorial Services </t>
  </si>
  <si>
    <t>Building Maintenance Services, Nec</t>
  </si>
  <si>
    <t>Lawn and Garden Services</t>
  </si>
  <si>
    <t>Ornamental Shrub and Tree Services</t>
  </si>
  <si>
    <t>Carpet and Upholstery Cleaning</t>
  </si>
  <si>
    <t xml:space="preserve">Other Services to Buildings and Dwellings </t>
  </si>
  <si>
    <t xml:space="preserve">Solid Waste Collection </t>
  </si>
  <si>
    <t xml:space="preserve">Hazardous Waste Collection </t>
  </si>
  <si>
    <t xml:space="preserve">Other Waste Collection </t>
  </si>
  <si>
    <t>Refuse Systems</t>
  </si>
  <si>
    <t xml:space="preserve">Hazardous Waste Treatment and Disposal </t>
  </si>
  <si>
    <t xml:space="preserve">Solid Waste Landfill </t>
  </si>
  <si>
    <t xml:space="preserve">Solid Waste Combustors and Incinerators </t>
  </si>
  <si>
    <t xml:space="preserve">Other Nonhazardous Waste Treatment and Disposal </t>
  </si>
  <si>
    <t xml:space="preserve">Remediation Services </t>
  </si>
  <si>
    <t xml:space="preserve">Materials Recovery Facilities </t>
  </si>
  <si>
    <t xml:space="preserve">Septic Tank and Related Services </t>
  </si>
  <si>
    <t xml:space="preserve">All Other Miscellaneous Waste Management Services </t>
  </si>
  <si>
    <t xml:space="preserve">Elementary and Secondary Schools </t>
  </si>
  <si>
    <t xml:space="preserve">Junior Colleges </t>
  </si>
  <si>
    <t>Colleges and Universities</t>
  </si>
  <si>
    <t xml:space="preserve">Colleges, Universities, and Professional Schools </t>
  </si>
  <si>
    <t xml:space="preserve">Business and Secretarial Schools </t>
  </si>
  <si>
    <t>Data Processing Schools</t>
  </si>
  <si>
    <t xml:space="preserve">Computer Training </t>
  </si>
  <si>
    <t>Schools and Educational Services</t>
  </si>
  <si>
    <t xml:space="preserve">Professional and Management Development Training </t>
  </si>
  <si>
    <t>Beauty Shops</t>
  </si>
  <si>
    <t xml:space="preserve">Cosmetology and Barber Schools </t>
  </si>
  <si>
    <t>Vocational Schools, Nec</t>
  </si>
  <si>
    <t xml:space="preserve">Flight Training </t>
  </si>
  <si>
    <t xml:space="preserve">Apprenticeship Training </t>
  </si>
  <si>
    <t xml:space="preserve">Other Technical and Trade Schools </t>
  </si>
  <si>
    <t>Dance Studios, Schools, and Halls</t>
  </si>
  <si>
    <t xml:space="preserve">Fine Arts Schools </t>
  </si>
  <si>
    <t xml:space="preserve">Sports and Recreation Instruction </t>
  </si>
  <si>
    <t xml:space="preserve">Language Schools </t>
  </si>
  <si>
    <t xml:space="preserve">Exam Preparation and Tutoring </t>
  </si>
  <si>
    <t xml:space="preserve">Automobile Driving Schools </t>
  </si>
  <si>
    <t xml:space="preserve">All Other Miscellaneous Schools and Instruction </t>
  </si>
  <si>
    <t>Offices and Clinics of Medical Doctors</t>
  </si>
  <si>
    <t xml:space="preserve">Offices of Physicians (except Mental Health Specialists) </t>
  </si>
  <si>
    <t>Offices and Clinics of Osteopathic Physicians</t>
  </si>
  <si>
    <t xml:space="preserve">Offices of Physicians, Mental Health Specialists </t>
  </si>
  <si>
    <t>Offices and Clinics of Dentists</t>
  </si>
  <si>
    <t xml:space="preserve">Offices of Dentists </t>
  </si>
  <si>
    <t>Offices and Clinics of Chiropractors</t>
  </si>
  <si>
    <t xml:space="preserve">Offices of Chiropractors </t>
  </si>
  <si>
    <t>Offices and Clinics of Optometrists</t>
  </si>
  <si>
    <t>Offices of Health Practitioner</t>
  </si>
  <si>
    <t xml:space="preserve">Offices of Mental Health Practitioners (except Physicians) </t>
  </si>
  <si>
    <t xml:space="preserve">Offices of Physical, Occupational and Speech Therapists, and Audiologists </t>
  </si>
  <si>
    <t>Offices and Clinics of Podiatrists</t>
  </si>
  <si>
    <t xml:space="preserve">Offices of Podiatrists </t>
  </si>
  <si>
    <t xml:space="preserve">Offices of All Other Miscellaneous Health Practitioners </t>
  </si>
  <si>
    <t>Specialty Outpatient Clinics, Nec</t>
  </si>
  <si>
    <t xml:space="preserve">Family Planning Centers </t>
  </si>
  <si>
    <t xml:space="preserve">Outpatient Mental Health and Substance Abuse Centers </t>
  </si>
  <si>
    <t xml:space="preserve">HMO Medical Centers </t>
  </si>
  <si>
    <t xml:space="preserve">Kidney Dialysis Centers </t>
  </si>
  <si>
    <t xml:space="preserve">Freestanding Ambulatory Surgical and Emergency Centers </t>
  </si>
  <si>
    <t xml:space="preserve">All Other Outpatient Care Centers </t>
  </si>
  <si>
    <t xml:space="preserve">Medical Laboratories </t>
  </si>
  <si>
    <t xml:space="preserve">Diagnostic Imaging Centers </t>
  </si>
  <si>
    <t xml:space="preserve">Ambulance Services </t>
  </si>
  <si>
    <t xml:space="preserve">Blood and Organ Banks </t>
  </si>
  <si>
    <t xml:space="preserve">All Other Miscellaneous Ambulatory Health Care Services </t>
  </si>
  <si>
    <t xml:space="preserve">General Medical and Surgical Hospitals </t>
  </si>
  <si>
    <t>Specialty Hospitals, Except Psychiatric</t>
  </si>
  <si>
    <t>Psychiatric Hospitals</t>
  </si>
  <si>
    <t xml:space="preserve">Psychiatric and Substance Abuse Hospitals </t>
  </si>
  <si>
    <t xml:space="preserve">Specialty (except Psychiatric and Substance Abuse) Hospitals </t>
  </si>
  <si>
    <t>Skilled Nursing Care Facilities</t>
  </si>
  <si>
    <t xml:space="preserve">Nursing Care Facilities (Skilled Nursing Facilities) </t>
  </si>
  <si>
    <t>Intermediate Care Facilities</t>
  </si>
  <si>
    <t>Nursing and Personal Care, Nec</t>
  </si>
  <si>
    <t xml:space="preserve">Residential Intellectual and Developmental Disability Facilities </t>
  </si>
  <si>
    <t>Residential Care</t>
  </si>
  <si>
    <t xml:space="preserve">Residential Mental Health and Substance Abuse Facilities </t>
  </si>
  <si>
    <t xml:space="preserve">Continuing Care Retirement Communities </t>
  </si>
  <si>
    <t xml:space="preserve">Assisted Living Facilities for the Elderly </t>
  </si>
  <si>
    <t xml:space="preserve">Other Residential Care Facilities </t>
  </si>
  <si>
    <t>Individual and Family Services</t>
  </si>
  <si>
    <t xml:space="preserve">Child and Youth Services </t>
  </si>
  <si>
    <t xml:space="preserve">Services for the Elderly and Persons with Disabilities </t>
  </si>
  <si>
    <t xml:space="preserve">Other Individual and Family Services </t>
  </si>
  <si>
    <t xml:space="preserve">Community Food Services </t>
  </si>
  <si>
    <t xml:space="preserve">Temporary Shelters </t>
  </si>
  <si>
    <t xml:space="preserve">Other Community Housing Services </t>
  </si>
  <si>
    <t xml:space="preserve">Emergency and Other Relief Services </t>
  </si>
  <si>
    <t>Job Training and Related Services</t>
  </si>
  <si>
    <t xml:space="preserve">Vocational Rehabilitation Services </t>
  </si>
  <si>
    <t xml:space="preserve">Child Care Services </t>
  </si>
  <si>
    <t>Eating Places</t>
  </si>
  <si>
    <t xml:space="preserve">Theater Companies and Dinner Theaters </t>
  </si>
  <si>
    <t xml:space="preserve">Dance Companies </t>
  </si>
  <si>
    <t>Entertainers and Entertainment Groups</t>
  </si>
  <si>
    <t xml:space="preserve">Musical Groups and Artists </t>
  </si>
  <si>
    <t xml:space="preserve">Other Performing Arts Companies </t>
  </si>
  <si>
    <t>Sports Clubs, Managers, and Promoters</t>
  </si>
  <si>
    <t xml:space="preserve">Sports Teams and Clubs </t>
  </si>
  <si>
    <t>Racing, Including Track Operation</t>
  </si>
  <si>
    <t xml:space="preserve">Racetracks </t>
  </si>
  <si>
    <t xml:space="preserve">Other Spectator Sports </t>
  </si>
  <si>
    <t xml:space="preserve">Promoters of Performing Arts, Sports, and Similar Events with Facilities </t>
  </si>
  <si>
    <t xml:space="preserve">Promoters of Performing Arts, Sports, and Similar Events without Facilities </t>
  </si>
  <si>
    <t xml:space="preserve">Independent Artists, Writers, and Performers </t>
  </si>
  <si>
    <t>Museums and Art Galleries</t>
  </si>
  <si>
    <t xml:space="preserve">Museums </t>
  </si>
  <si>
    <t>Botanical and Zoological Gardens</t>
  </si>
  <si>
    <t xml:space="preserve">Zoos and Botanical Gardens </t>
  </si>
  <si>
    <t>Amusement Parks</t>
  </si>
  <si>
    <t xml:space="preserve">Amusement and Theme Parks </t>
  </si>
  <si>
    <t>Coin-operated Amusement Devices</t>
  </si>
  <si>
    <t xml:space="preserve">Other Gambling Industries </t>
  </si>
  <si>
    <t>Public Golf Courses</t>
  </si>
  <si>
    <t>Physical Fitness Facilities</t>
  </si>
  <si>
    <t xml:space="preserve">Fitness and Recreational Sports Centers </t>
  </si>
  <si>
    <t xml:space="preserve">All Other Amusement and Recreation Industries </t>
  </si>
  <si>
    <t>Hotels and Motels</t>
  </si>
  <si>
    <t xml:space="preserve">Hotels (except Casino Hotels) and Motels </t>
  </si>
  <si>
    <t>Membership-basis Organization Hotels</t>
  </si>
  <si>
    <t xml:space="preserve">Bed-and-Breakfast Inns </t>
  </si>
  <si>
    <t xml:space="preserve">All Other Traveler Accommodation </t>
  </si>
  <si>
    <t>Trailer Parks and Campsites</t>
  </si>
  <si>
    <t xml:space="preserve">RV (Recreational Vehicle) Parks and Campgrounds </t>
  </si>
  <si>
    <t>Sporting and Recreational Camps</t>
  </si>
  <si>
    <t xml:space="preserve">Recreational and Vacation Camps (except Campgrounds) </t>
  </si>
  <si>
    <t>Rooming and Boarding Houses</t>
  </si>
  <si>
    <t xml:space="preserve">Rooming and Boarding Houses, Dormitories, and Workers' Camps </t>
  </si>
  <si>
    <t>Drinking Places</t>
  </si>
  <si>
    <t xml:space="preserve">Drinking Places (Alcoholic Beverages) </t>
  </si>
  <si>
    <t xml:space="preserve">Full-Service Restaurants </t>
  </si>
  <si>
    <t xml:space="preserve">Limited-Service Restaurants </t>
  </si>
  <si>
    <t xml:space="preserve">Cafeterias, Grill Buffets, and Buffets </t>
  </si>
  <si>
    <t xml:space="preserve">Snack and Nonalcoholic Beverage Bars </t>
  </si>
  <si>
    <t>General Automotive Repair Shops</t>
  </si>
  <si>
    <t xml:space="preserve">General Automotive Repair </t>
  </si>
  <si>
    <t>Auto Exhaust System Repair Shops</t>
  </si>
  <si>
    <t xml:space="preserve">Specialized Automotive Repair </t>
  </si>
  <si>
    <t>Automotive Transmission Repair Shops</t>
  </si>
  <si>
    <t>Automotive Repair Shops, Nec</t>
  </si>
  <si>
    <t>Top and Body Repair and Paint Shops</t>
  </si>
  <si>
    <t xml:space="preserve">Automotive Body, Paint, and Interior Repair and Maintenance </t>
  </si>
  <si>
    <t xml:space="preserve">Automotive Glass Replacement Shops </t>
  </si>
  <si>
    <t xml:space="preserve">Automotive Oil Change and Lubrication Shops </t>
  </si>
  <si>
    <t>Carwashes</t>
  </si>
  <si>
    <t xml:space="preserve">Car Washes </t>
  </si>
  <si>
    <t xml:space="preserve">All Other Automotive Repair and Maintenance </t>
  </si>
  <si>
    <t xml:space="preserve">Electronic and Precision Equipment Repair and Maintenance </t>
  </si>
  <si>
    <t xml:space="preserve">Commercial and Industrial Machinery and Equipment (except Automotive and Electronic) Repair and Maintenance </t>
  </si>
  <si>
    <t>Welding Repair</t>
  </si>
  <si>
    <t xml:space="preserve">Home and Garden Equipment Repair and Maintenance </t>
  </si>
  <si>
    <t xml:space="preserve">Appliance Repair and Maintenance </t>
  </si>
  <si>
    <t>Shoe Repair and Shoeshine Parlors</t>
  </si>
  <si>
    <t xml:space="preserve">Other Personal and Household Goods Repair and Maintenance </t>
  </si>
  <si>
    <t>Laundry and Garment Services, Nec</t>
  </si>
  <si>
    <t xml:space="preserve">Barber Shops </t>
  </si>
  <si>
    <t xml:space="preserve">Beauty Salons </t>
  </si>
  <si>
    <t xml:space="preserve">Nail Salons </t>
  </si>
  <si>
    <t xml:space="preserve">Diet and Weight Reducing Centers </t>
  </si>
  <si>
    <t xml:space="preserve">Other Personal Care Services </t>
  </si>
  <si>
    <t>Funeral Service and Crematories</t>
  </si>
  <si>
    <t xml:space="preserve">Funeral Homes and Funeral Services </t>
  </si>
  <si>
    <t xml:space="preserve">Cemeteries and Crematories </t>
  </si>
  <si>
    <t>Cemetery Subdividers and Developers</t>
  </si>
  <si>
    <t>Coin-operated Laundries and Cleaning</t>
  </si>
  <si>
    <t xml:space="preserve">Coin-Operated Laundries and Drycleaners </t>
  </si>
  <si>
    <t>Power Laundries, Family and Commercial</t>
  </si>
  <si>
    <t xml:space="preserve">Drycleaning and Laundry Services (except Coin-Operated) </t>
  </si>
  <si>
    <t>Garment Pressing and Cleaners' Agents</t>
  </si>
  <si>
    <t>Drycleaning Plants, Except Rugs</t>
  </si>
  <si>
    <t xml:space="preserve">Linen Supply </t>
  </si>
  <si>
    <t xml:space="preserve">Industrial Launderers </t>
  </si>
  <si>
    <t xml:space="preserve">Pet Care (except Veterinary) Services </t>
  </si>
  <si>
    <t>Photofinish Laboratories</t>
  </si>
  <si>
    <t xml:space="preserve">Photofinishing Laboratories (except One-Hour) </t>
  </si>
  <si>
    <t xml:space="preserve">One-Hour Photofinishing </t>
  </si>
  <si>
    <t xml:space="preserve">Parking Lots and Garages </t>
  </si>
  <si>
    <t>Automobile Parking</t>
  </si>
  <si>
    <t xml:space="preserve">All Other Personal Services </t>
  </si>
  <si>
    <t xml:space="preserve">Religious Organizations </t>
  </si>
  <si>
    <t>Trusts: Educational, Religious, Etc.</t>
  </si>
  <si>
    <t xml:space="preserve">Grantmaking Foundations </t>
  </si>
  <si>
    <t>Social Services, Nec</t>
  </si>
  <si>
    <t xml:space="preserve">Voluntary Health Organizations </t>
  </si>
  <si>
    <t xml:space="preserve">Other Grantmaking and Giving Services </t>
  </si>
  <si>
    <t xml:space="preserve">Human Rights Organizations </t>
  </si>
  <si>
    <t xml:space="preserve">Environment, Conservation and Wildlife Organizations </t>
  </si>
  <si>
    <t xml:space="preserve">Other Social Advocacy Organizations </t>
  </si>
  <si>
    <t>Civic and Social Associations</t>
  </si>
  <si>
    <t xml:space="preserve">Civic and Social Organizations </t>
  </si>
  <si>
    <t xml:space="preserve">Business Associations </t>
  </si>
  <si>
    <t xml:space="preserve">Professional Organizations </t>
  </si>
  <si>
    <t>Labor Organizations</t>
  </si>
  <si>
    <t xml:space="preserve">Labor Unions and Similar Labor Organizations </t>
  </si>
  <si>
    <t xml:space="preserve">Political Organizations </t>
  </si>
  <si>
    <t xml:space="preserve">Other Similar Organizations (except Business, Professional, Labor, and Political Organizations) </t>
  </si>
  <si>
    <t xml:space="preserve">Executive Offices </t>
  </si>
  <si>
    <t xml:space="preserve">Legislative Bodies </t>
  </si>
  <si>
    <t>Finance, Taxation, and Monetary Policy</t>
  </si>
  <si>
    <t xml:space="preserve">Public Finance Activities </t>
  </si>
  <si>
    <t>Executive and Legislative Combined</t>
  </si>
  <si>
    <t xml:space="preserve">Executive and Legislative Offices, Combined </t>
  </si>
  <si>
    <t xml:space="preserve">American Indian and Alaska Native Tribal Governments </t>
  </si>
  <si>
    <t>General Government, Nec</t>
  </si>
  <si>
    <t xml:space="preserve">Other General Government Support </t>
  </si>
  <si>
    <t xml:space="preserve">Courts </t>
  </si>
  <si>
    <t xml:space="preserve">Police Protection </t>
  </si>
  <si>
    <t xml:space="preserve">Legal Counsel and Prosecution </t>
  </si>
  <si>
    <t xml:space="preserve">Correctional Institutions </t>
  </si>
  <si>
    <t xml:space="preserve">Parole Offices and Probation Offices </t>
  </si>
  <si>
    <t xml:space="preserve">Fire Protection </t>
  </si>
  <si>
    <t>Public Order and Safety, Nec</t>
  </si>
  <si>
    <t xml:space="preserve">Other Justice, Public Order, and Safety Activities </t>
  </si>
  <si>
    <t>Administration of Educational Programs</t>
  </si>
  <si>
    <t xml:space="preserve">Administration of Education Programs </t>
  </si>
  <si>
    <t xml:space="preserve">Administration of Public Health Programs </t>
  </si>
  <si>
    <t>Administration of Social and Manpower Programs</t>
  </si>
  <si>
    <t xml:space="preserve">Administration of Human Resource Programs (except Education, Public Health, and Veterans' Affairs Programs) </t>
  </si>
  <si>
    <t xml:space="preserve">Administration of Veterans' Affairs </t>
  </si>
  <si>
    <t>Air, Water, and Solid Waste Management</t>
  </si>
  <si>
    <t xml:space="preserve">Administration of Air and Water Resource and Solid Waste Management Programs </t>
  </si>
  <si>
    <t>Land, Mineral, and Wildlife Conservation</t>
  </si>
  <si>
    <t xml:space="preserve">Administration of Conservation Programs </t>
  </si>
  <si>
    <t>Housing Programs</t>
  </si>
  <si>
    <t xml:space="preserve">Administration of Housing Programs </t>
  </si>
  <si>
    <t>Urban and Community Development</t>
  </si>
  <si>
    <t xml:space="preserve">Administration of Urban Planning and Community and Rural Development </t>
  </si>
  <si>
    <t xml:space="preserve">Administration of General Economic Programs </t>
  </si>
  <si>
    <t xml:space="preserve">Regulation and Administration of Transportation Programs </t>
  </si>
  <si>
    <t>Regulation, Administration of Utilities</t>
  </si>
  <si>
    <t xml:space="preserve">Regulation and Administration of Communications, Electric, Gas, and Other Utilities </t>
  </si>
  <si>
    <t>Regulation of Agricultural Marketing</t>
  </si>
  <si>
    <t xml:space="preserve">Regulation of Agricultural Marketing and Commodities </t>
  </si>
  <si>
    <t>Regulation, Miscellaneous Commercial Sectors</t>
  </si>
  <si>
    <t xml:space="preserve">Regulation, Licensing, and Inspection of Miscellaneous Commercial Sectors </t>
  </si>
  <si>
    <t xml:space="preserve">Space Research and Technology </t>
  </si>
  <si>
    <t xml:space="preserve">National Security </t>
  </si>
  <si>
    <t xml:space="preserve">International Affairs </t>
  </si>
  <si>
    <t>Primary NAICS/SIC Code</t>
  </si>
  <si>
    <t>CDR IS Code</t>
  </si>
  <si>
    <t>CDR Industry Sector Description</t>
  </si>
  <si>
    <t>IS2</t>
  </si>
  <si>
    <t>Oil and Gas Drilling, Extraction, and Support Activities</t>
  </si>
  <si>
    <t>IS3</t>
  </si>
  <si>
    <t>Mining (except Oil and Gas) and Support Activities</t>
  </si>
  <si>
    <t>IS4</t>
  </si>
  <si>
    <t>Utilities</t>
  </si>
  <si>
    <t>IS6</t>
  </si>
  <si>
    <t>Food, beverage, and tobacco product manufacturing</t>
  </si>
  <si>
    <t>IS7</t>
  </si>
  <si>
    <t>Textiles, apparel, and leather manufacturing</t>
  </si>
  <si>
    <t>IS8</t>
  </si>
  <si>
    <t>Wood Product Manufacturing</t>
  </si>
  <si>
    <t>IS9</t>
  </si>
  <si>
    <t>Paper Manufacturing</t>
  </si>
  <si>
    <t>IS10</t>
  </si>
  <si>
    <t>Printing and Related Support Activities</t>
  </si>
  <si>
    <t>IS15-IS21</t>
  </si>
  <si>
    <t>Multiple</t>
  </si>
  <si>
    <t>IS26</t>
  </si>
  <si>
    <t>Pharmaceutical and Medicine Manufacturing</t>
  </si>
  <si>
    <t>IS30-IS34</t>
  </si>
  <si>
    <t>IS35</t>
  </si>
  <si>
    <t>Plastics Product Manufacturing</t>
  </si>
  <si>
    <t>IS37</t>
  </si>
  <si>
    <t>Nonmetallic Mineral Product Manufacturing (includes clay, glass, cement, concrete,
lime, gypsum, and other nonmetallic mineral product manufacturing)</t>
  </si>
  <si>
    <t>IS38</t>
  </si>
  <si>
    <t>Primary Metal Manufacturing</t>
  </si>
  <si>
    <t>IS39</t>
  </si>
  <si>
    <t>Fabricated Metal Product Manufacturing</t>
  </si>
  <si>
    <t>IS40</t>
  </si>
  <si>
    <t>Machinery Manufacturing</t>
  </si>
  <si>
    <t>IS45</t>
  </si>
  <si>
    <t>Miscellaneous Manufacturing</t>
  </si>
  <si>
    <t>IS41</t>
  </si>
  <si>
    <t>Computer and Electronic Product Manufacturing</t>
  </si>
  <si>
    <t>IS43</t>
  </si>
  <si>
    <t>Transportation Equipment Manufacturing</t>
  </si>
  <si>
    <t>IS44</t>
  </si>
  <si>
    <t>Furniture and Related Product Manufacturing</t>
  </si>
  <si>
    <t>IS46</t>
  </si>
  <si>
    <t>Wholesale and Retail Trade</t>
  </si>
  <si>
    <t>IS47</t>
  </si>
  <si>
    <t>Services</t>
  </si>
  <si>
    <t>IS1</t>
  </si>
  <si>
    <t>Agriculture, Forestry, Fishing and Hunting</t>
  </si>
  <si>
    <t>IS11</t>
  </si>
  <si>
    <t>IS12</t>
  </si>
  <si>
    <t>Asphalt Paving, Roofing, and Coating Materials Manufacturing</t>
  </si>
  <si>
    <t>IS16</t>
  </si>
  <si>
    <t>IS17</t>
  </si>
  <si>
    <t>IS19</t>
  </si>
  <si>
    <t>All Other Basic Inorganic Chemical Manufacturing</t>
  </si>
  <si>
    <t>IS21</t>
  </si>
  <si>
    <t>IS22-IS23</t>
  </si>
  <si>
    <t>Plastic Material and Resin Manufacturing/Synthetic Rubber Manufacturing</t>
  </si>
  <si>
    <t>IS25</t>
  </si>
  <si>
    <t>Pesticide, Fertilizer, and Other Agricultural Chemical Manufacturing</t>
  </si>
  <si>
    <t>IS27</t>
  </si>
  <si>
    <t>IS28</t>
  </si>
  <si>
    <t>IS29</t>
  </si>
  <si>
    <t>Soap, Cleaning Compound, and Toilet Preparation Manufacturing</t>
  </si>
  <si>
    <t>IS30</t>
  </si>
  <si>
    <t>IS31</t>
  </si>
  <si>
    <t>IS36</t>
  </si>
  <si>
    <t>Rubber Product Manufacturing</t>
  </si>
  <si>
    <t>IS42</t>
  </si>
  <si>
    <t>Electrical Equipment, Appliance, and Component Manufacturing</t>
  </si>
  <si>
    <t>IS5</t>
  </si>
  <si>
    <t>Construction</t>
  </si>
  <si>
    <t>IS13</t>
  </si>
  <si>
    <t>IS14</t>
  </si>
  <si>
    <t>IS15</t>
  </si>
  <si>
    <t>IS22</t>
  </si>
  <si>
    <t>Plastic Material and Resin Manufacturing</t>
  </si>
  <si>
    <t>IS23</t>
  </si>
  <si>
    <t>IS24</t>
  </si>
  <si>
    <t>Organic Fiber Manufacturing</t>
  </si>
  <si>
    <t>IS32</t>
  </si>
  <si>
    <t>Custom Compounding of Purchased Resin</t>
  </si>
  <si>
    <t>IS33</t>
  </si>
  <si>
    <t>Photographic Film Paper, Plate, and Chemical Manufacturing</t>
  </si>
  <si>
    <t>IS34</t>
  </si>
  <si>
    <t>All Other Chemical Product and Preparation Manufacturing</t>
  </si>
  <si>
    <t>Facility Type Indicator</t>
  </si>
  <si>
    <t>NON-POTW</t>
  </si>
  <si>
    <t>FEDERAL</t>
  </si>
  <si>
    <t>Manufacture</t>
  </si>
  <si>
    <t>PUBLIC RELEASE DRAFT</t>
  </si>
  <si>
    <t>July 2026</t>
  </si>
  <si>
    <t>CASRN 78-87-5</t>
  </si>
  <si>
    <t xml:space="preserve">Draft Water Releases for 1,2-Dichloropropane </t>
  </si>
  <si>
    <t>Latitude</t>
  </si>
  <si>
    <t>Facility is a Superfund site according to internet search, which indicates remediation (https://cumulis.epa.gov/supercpad/SiteProfiles/index.cfm?fuseaction=second.Cleanup&amp;id=0100438#bkground)</t>
  </si>
  <si>
    <t>According to internet search this is a Superfund site, which indicates remediation (https://cumulis.epa.gov/supercpad/CurSites/csitinfo.cfm?id=0200211)</t>
  </si>
  <si>
    <t>Facility is a Superfund site according to internet search, which indicates remediation (https://cumulis.epa.gov/supercpad/cursites/csitinfo.cfm?id=0100524)</t>
  </si>
  <si>
    <t>Unknown how 1,1-DCA is used in elementary and secondary schools</t>
  </si>
  <si>
    <t>Mapping from 1,1-dichloroethane (11DCA) risk evaluation - reviewed as reference for mapping 1,2-dichloropropane</t>
  </si>
  <si>
    <t>Plastics SIC/NAICS - EPA-HQ-OPPT-2018-0428-0011 indicates 1,2-dichloropropane can be a residual/byproduct in PVC plastics or a flame retardant plasticizer.</t>
  </si>
  <si>
    <t>Kodak potentially uses 1,2-dichloropropane as a paper sizing agent similar to Solenis which would fall under processing aid.</t>
  </si>
  <si>
    <t>Assumed based on 1,1,2-trichloroethane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</si>
</sst>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
    <numFmt numFmtId="165" formatCode="_(* #,##0_);_(* \(#,##0\);_(* &quot;-&quot;??_);_(@_)"/>
    <numFmt numFmtId="166" formatCode="000000000000000000000000000000000000000000000"/>
  </numFmts>
  <fonts count="50" x14ac:knownFonts="1">
    <font>
      <sz val="11"/>
      <color theme="1"/>
      <name val="Calibri"/>
      <family val="2"/>
      <scheme val="minor"/>
    </font>
    <font>
      <b/>
      <sz val="11"/>
      <color theme="1"/>
      <name val="Calibri"/>
      <family val="2"/>
      <scheme val="minor"/>
    </font>
    <font>
      <b/>
      <sz val="10"/>
      <name val="Arial"/>
      <family val="2"/>
    </font>
    <font>
      <sz val="10"/>
      <name val="Arial"/>
      <family val="2"/>
    </font>
    <font>
      <b/>
      <sz val="14"/>
      <name val="Arial"/>
      <family val="2"/>
    </font>
    <font>
      <b/>
      <i/>
      <sz val="10"/>
      <name val="Arial"/>
      <family val="2"/>
    </font>
    <font>
      <i/>
      <sz val="10"/>
      <name val="Arial"/>
      <family val="2"/>
    </font>
    <font>
      <sz val="8"/>
      <name val="Calibri"/>
      <family val="2"/>
      <scheme val="minor"/>
    </font>
    <font>
      <sz val="11"/>
      <color rgb="FFFF0000"/>
      <name val="Calibri"/>
      <family val="2"/>
      <scheme val="minor"/>
    </font>
    <font>
      <u/>
      <sz val="11"/>
      <color theme="10"/>
      <name val="Calibri"/>
      <family val="2"/>
      <scheme val="minor"/>
    </font>
    <font>
      <sz val="11"/>
      <name val="Calibri"/>
      <family val="2"/>
      <scheme val="minor"/>
    </font>
    <font>
      <sz val="10"/>
      <color indexed="8"/>
      <name val="Arial"/>
      <family val="2"/>
    </font>
    <font>
      <sz val="11"/>
      <color rgb="FF000000"/>
      <name val="Calibri"/>
      <family val="2"/>
    </font>
    <font>
      <b/>
      <sz val="11"/>
      <color rgb="FF000000"/>
      <name val="Calibri"/>
      <family val="2"/>
    </font>
    <font>
      <sz val="11"/>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7"/>
      <color rgb="FFFFFFFF"/>
      <name val="Arial"/>
      <family val="2"/>
    </font>
    <font>
      <b/>
      <sz val="17"/>
      <name val="Arial"/>
      <family val="2"/>
    </font>
    <font>
      <b/>
      <u/>
      <sz val="11"/>
      <name val="Arial"/>
      <family val="2"/>
    </font>
    <font>
      <b/>
      <u/>
      <sz val="11"/>
      <color rgb="FFFFFFFF"/>
      <name val="Arial"/>
      <family val="2"/>
    </font>
    <font>
      <b/>
      <sz val="11"/>
      <name val="Calibri"/>
      <family val="2"/>
      <scheme val="minor"/>
    </font>
    <font>
      <b/>
      <sz val="11"/>
      <color rgb="FF000000"/>
      <name val="Calibri"/>
      <family val="2"/>
      <scheme val="minor"/>
    </font>
    <font>
      <sz val="9"/>
      <name val="Calibri"/>
      <family val="2"/>
      <scheme val="minor"/>
    </font>
    <font>
      <u/>
      <sz val="9"/>
      <name val="Calibri"/>
      <family val="2"/>
      <scheme val="minor"/>
    </font>
    <font>
      <b/>
      <sz val="11"/>
      <color rgb="FFFFFFFF"/>
      <name val="Calibri"/>
      <family val="2"/>
    </font>
    <font>
      <b/>
      <sz val="11"/>
      <name val="Calibri"/>
      <family val="2"/>
    </font>
    <font>
      <b/>
      <sz val="11"/>
      <color theme="0"/>
      <name val="Calibri"/>
      <family val="2"/>
    </font>
    <font>
      <sz val="10"/>
      <color theme="1"/>
      <name val="Arial"/>
      <family val="2"/>
    </font>
    <font>
      <b/>
      <sz val="11"/>
      <color theme="1"/>
      <name val="Calibri"/>
      <family val="2"/>
    </font>
    <font>
      <b/>
      <i/>
      <sz val="11"/>
      <name val="Calibri"/>
      <family val="2"/>
      <scheme val="minor"/>
    </font>
    <font>
      <sz val="14"/>
      <color rgb="FFFF0000"/>
      <name val="Times New Roman"/>
      <family val="1"/>
    </font>
    <font>
      <b/>
      <sz val="16"/>
      <color rgb="FF000000"/>
      <name val="Times New Roman"/>
      <family val="1"/>
    </font>
    <font>
      <b/>
      <sz val="14"/>
      <color theme="1"/>
      <name val="Times New Roman"/>
      <family val="1"/>
    </font>
    <font>
      <sz val="12"/>
      <color theme="1"/>
      <name val="Times New Roman"/>
      <family val="1"/>
    </font>
    <font>
      <b/>
      <sz val="12"/>
      <color theme="1"/>
      <name val="Times New Roman"/>
      <family val="1"/>
    </font>
  </fonts>
  <fills count="58">
    <fill>
      <patternFill patternType="none"/>
    </fill>
    <fill>
      <patternFill patternType="gray125"/>
    </fill>
    <fill>
      <patternFill patternType="solid">
        <fgColor indexed="47"/>
        <bgColor indexed="64"/>
      </patternFill>
    </fill>
    <fill>
      <patternFill patternType="solid">
        <fgColor theme="4"/>
        <bgColor indexed="64"/>
      </patternFill>
    </fill>
    <fill>
      <patternFill patternType="solid">
        <fgColor theme="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rgb="FF528DD4"/>
      </patternFill>
    </fill>
    <fill>
      <patternFill patternType="solid">
        <fgColor theme="0" tint="-0.249977111117893"/>
        <bgColor indexed="64"/>
      </patternFill>
    </fill>
    <fill>
      <patternFill patternType="solid">
        <fgColor theme="0" tint="-0.34998626667073579"/>
        <bgColor indexed="64"/>
      </patternFill>
    </fill>
    <fill>
      <patternFill patternType="solid">
        <fgColor rgb="FFDADADA"/>
        <bgColor indexed="64"/>
      </patternFill>
    </fill>
    <fill>
      <patternFill patternType="solid">
        <fgColor theme="6"/>
        <bgColor rgb="FF000000"/>
      </patternFill>
    </fill>
    <fill>
      <patternFill patternType="solid">
        <fgColor rgb="FFFFC000"/>
        <bgColor rgb="FF000000"/>
      </patternFill>
    </fill>
    <fill>
      <patternFill patternType="solid">
        <fgColor rgb="FFFFFF00"/>
        <bgColor rgb="FF000000"/>
      </patternFill>
    </fill>
    <fill>
      <patternFill patternType="solid">
        <fgColor rgb="FF9933FF"/>
        <bgColor rgb="FF000000"/>
      </patternFill>
    </fill>
    <fill>
      <patternFill patternType="solid">
        <fgColor theme="6"/>
        <bgColor theme="4"/>
      </patternFill>
    </fill>
    <fill>
      <patternFill patternType="solid">
        <fgColor theme="7"/>
        <bgColor indexed="64"/>
      </patternFill>
    </fill>
    <fill>
      <patternFill patternType="solid">
        <fgColor rgb="FF9933FF"/>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thin">
        <color rgb="FF394E7D"/>
      </left>
      <right/>
      <top style="thin">
        <color rgb="FF394E7D"/>
      </top>
      <bottom style="thin">
        <color rgb="FF394E7D"/>
      </bottom>
      <diagonal/>
    </border>
    <border>
      <left/>
      <right/>
      <top style="thin">
        <color rgb="FF394E7D"/>
      </top>
      <bottom style="thin">
        <color rgb="FF394E7D"/>
      </bottom>
      <diagonal/>
    </border>
    <border>
      <left/>
      <right style="thin">
        <color rgb="FF394E7D"/>
      </right>
      <top style="thin">
        <color rgb="FF394E7D"/>
      </top>
      <bottom style="thin">
        <color rgb="FF394E7D"/>
      </bottom>
      <diagonal/>
    </border>
    <border>
      <left style="thin">
        <color rgb="FF394E7D"/>
      </left>
      <right style="thin">
        <color rgb="FF394E7D"/>
      </right>
      <top style="thin">
        <color rgb="FF394E7D"/>
      </top>
      <bottom style="thin">
        <color rgb="FF394E7D"/>
      </bottom>
      <diagonal/>
    </border>
    <border>
      <left/>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thin">
        <color rgb="FF4472C4"/>
      </top>
      <bottom/>
      <diagonal/>
    </border>
    <border>
      <left style="thin">
        <color rgb="FF4472C4"/>
      </left>
      <right/>
      <top style="thin">
        <color rgb="FF4472C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s>
  <cellStyleXfs count="92">
    <xf numFmtId="0" fontId="0" fillId="0" borderId="0"/>
    <xf numFmtId="0" fontId="9" fillId="0" borderId="0" applyNumberFormat="0" applyFill="0" applyBorder="0" applyAlignment="0" applyProtection="0"/>
    <xf numFmtId="0" fontId="16" fillId="0" borderId="0" applyNumberFormat="0" applyFill="0" applyBorder="0" applyAlignment="0" applyProtection="0"/>
    <xf numFmtId="0" fontId="17" fillId="0" borderId="23" applyNumberFormat="0" applyFill="0" applyAlignment="0" applyProtection="0"/>
    <xf numFmtId="0" fontId="18" fillId="0" borderId="24" applyNumberFormat="0" applyFill="0" applyAlignment="0" applyProtection="0"/>
    <xf numFmtId="0" fontId="19" fillId="0" borderId="25" applyNumberFormat="0" applyFill="0" applyAlignment="0" applyProtection="0"/>
    <xf numFmtId="0" fontId="19" fillId="0" borderId="0" applyNumberFormat="0" applyFill="0" applyBorder="0" applyAlignment="0" applyProtection="0"/>
    <xf numFmtId="0" fontId="20" fillId="5" borderId="0" applyNumberFormat="0" applyBorder="0" applyAlignment="0" applyProtection="0"/>
    <xf numFmtId="0" fontId="21" fillId="6" borderId="0" applyNumberFormat="0" applyBorder="0" applyAlignment="0" applyProtection="0"/>
    <xf numFmtId="0" fontId="22" fillId="7" borderId="0" applyNumberFormat="0" applyBorder="0" applyAlignment="0" applyProtection="0"/>
    <xf numFmtId="0" fontId="23" fillId="8" borderId="26" applyNumberFormat="0" applyAlignment="0" applyProtection="0"/>
    <xf numFmtId="0" fontId="24" fillId="9" borderId="27" applyNumberFormat="0" applyAlignment="0" applyProtection="0"/>
    <xf numFmtId="0" fontId="25" fillId="9" borderId="26" applyNumberFormat="0" applyAlignment="0" applyProtection="0"/>
    <xf numFmtId="0" fontId="26" fillId="0" borderId="28" applyNumberFormat="0" applyFill="0" applyAlignment="0" applyProtection="0"/>
    <xf numFmtId="0" fontId="27" fillId="10" borderId="29" applyNumberFormat="0" applyAlignment="0" applyProtection="0"/>
    <xf numFmtId="0" fontId="8" fillId="0" borderId="0" applyNumberFormat="0" applyFill="0" applyBorder="0" applyAlignment="0" applyProtection="0"/>
    <xf numFmtId="0" fontId="15" fillId="11" borderId="30" applyNumberFormat="0" applyFont="0" applyAlignment="0" applyProtection="0"/>
    <xf numFmtId="0" fontId="28" fillId="0" borderId="0" applyNumberFormat="0" applyFill="0" applyBorder="0" applyAlignment="0" applyProtection="0"/>
    <xf numFmtId="0" fontId="1" fillId="0" borderId="31" applyNumberFormat="0" applyFill="0" applyAlignment="0" applyProtection="0"/>
    <xf numFmtId="0" fontId="29"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29"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29"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29"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29"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29"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26">
    <xf numFmtId="0" fontId="0" fillId="0" borderId="0" xfId="0"/>
    <xf numFmtId="1" fontId="0" fillId="0" borderId="0" xfId="0" applyNumberFormat="1"/>
    <xf numFmtId="0" fontId="2" fillId="2" borderId="3" xfId="0" applyFont="1" applyFill="1" applyBorder="1" applyAlignment="1">
      <alignment horizontal="center" vertical="top" wrapText="1"/>
    </xf>
    <xf numFmtId="0" fontId="3" fillId="0" borderId="3" xfId="0" applyFont="1" applyBorder="1" applyAlignment="1">
      <alignment horizontal="left" vertical="top" wrapText="1"/>
    </xf>
    <xf numFmtId="0" fontId="2" fillId="0" borderId="3" xfId="0" applyFont="1" applyBorder="1" applyAlignment="1">
      <alignment horizontal="left" vertical="top" wrapText="1"/>
    </xf>
    <xf numFmtId="0" fontId="6" fillId="0" borderId="3" xfId="0" applyFont="1" applyBorder="1" applyAlignment="1">
      <alignment horizontal="left" vertical="top" wrapText="1"/>
    </xf>
    <xf numFmtId="0" fontId="3" fillId="0" borderId="3" xfId="0" applyFont="1" applyBorder="1" applyAlignment="1">
      <alignment horizontal="left" vertical="top"/>
    </xf>
    <xf numFmtId="0" fontId="0" fillId="0" borderId="0" xfId="0" applyAlignment="1">
      <alignment wrapText="1"/>
    </xf>
    <xf numFmtId="0" fontId="0" fillId="0" borderId="0" xfId="0" applyAlignment="1">
      <alignment horizontal="center"/>
    </xf>
    <xf numFmtId="0" fontId="0" fillId="0" borderId="3" xfId="0" applyBorder="1"/>
    <xf numFmtId="0" fontId="0" fillId="0" borderId="3" xfId="0" applyBorder="1" applyAlignment="1">
      <alignment wrapText="1"/>
    </xf>
    <xf numFmtId="0" fontId="0" fillId="0" borderId="16" xfId="0" applyBorder="1"/>
    <xf numFmtId="0" fontId="0" fillId="0" borderId="3" xfId="0" applyBorder="1" applyAlignment="1">
      <alignment horizontal="center"/>
    </xf>
    <xf numFmtId="1" fontId="0" fillId="0" borderId="3" xfId="0" applyNumberFormat="1" applyBorder="1"/>
    <xf numFmtId="0" fontId="0" fillId="0" borderId="0" xfId="0" applyAlignment="1">
      <alignment horizontal="left" wrapText="1"/>
    </xf>
    <xf numFmtId="165" fontId="30" fillId="0" borderId="3" xfId="43" applyNumberFormat="1" applyFont="1" applyFill="1" applyBorder="1"/>
    <xf numFmtId="0" fontId="9" fillId="0" borderId="0" xfId="1" applyAlignment="1">
      <alignment horizontal="left"/>
    </xf>
    <xf numFmtId="0" fontId="0" fillId="0" borderId="12" xfId="0" applyBorder="1" applyAlignment="1">
      <alignment wrapText="1"/>
    </xf>
    <xf numFmtId="0" fontId="1" fillId="39" borderId="0" xfId="0" applyFont="1" applyFill="1"/>
    <xf numFmtId="0" fontId="13" fillId="0" borderId="10" xfId="0" applyFont="1" applyBorder="1" applyAlignment="1">
      <alignment horizontal="center"/>
    </xf>
    <xf numFmtId="0" fontId="30" fillId="0" borderId="5" xfId="0" applyFont="1" applyBorder="1"/>
    <xf numFmtId="0" fontId="13" fillId="0" borderId="11" xfId="0" applyFont="1" applyBorder="1" applyAlignment="1">
      <alignment horizontal="center"/>
    </xf>
    <xf numFmtId="0" fontId="30" fillId="0" borderId="12" xfId="0" applyFont="1" applyBorder="1"/>
    <xf numFmtId="165" fontId="30" fillId="0" borderId="17" xfId="43" applyNumberFormat="1" applyFont="1" applyFill="1" applyBorder="1" applyAlignment="1">
      <alignment horizontal="right"/>
    </xf>
    <xf numFmtId="0" fontId="1" fillId="4" borderId="3" xfId="0" applyFont="1" applyFill="1" applyBorder="1" applyAlignment="1">
      <alignment horizontal="center" wrapText="1"/>
    </xf>
    <xf numFmtId="0" fontId="0" fillId="0" borderId="0" xfId="0" applyAlignment="1">
      <alignment horizontal="right" wrapText="1"/>
    </xf>
    <xf numFmtId="0" fontId="0" fillId="0" borderId="34" xfId="0" applyBorder="1" applyAlignment="1">
      <alignment wrapText="1"/>
    </xf>
    <xf numFmtId="166" fontId="2" fillId="2" borderId="3" xfId="0" applyNumberFormat="1" applyFont="1" applyFill="1" applyBorder="1" applyAlignment="1">
      <alignment horizontal="center" vertical="top" wrapText="1"/>
    </xf>
    <xf numFmtId="0" fontId="3" fillId="0" borderId="0" xfId="0" applyFont="1"/>
    <xf numFmtId="0" fontId="3" fillId="0" borderId="3" xfId="44" applyBorder="1" applyAlignment="1">
      <alignment horizontal="left" vertical="top" wrapText="1"/>
    </xf>
    <xf numFmtId="0" fontId="3" fillId="0" borderId="3" xfId="45" applyBorder="1" applyAlignment="1">
      <alignment horizontal="left" vertical="top" wrapText="1"/>
    </xf>
    <xf numFmtId="0" fontId="3" fillId="0" borderId="3" xfId="46" applyBorder="1" applyAlignment="1">
      <alignment horizontal="left" vertical="top" wrapText="1"/>
    </xf>
    <xf numFmtId="0" fontId="3" fillId="0" borderId="3" xfId="47" applyBorder="1" applyAlignment="1">
      <alignment horizontal="left" vertical="top" wrapText="1"/>
    </xf>
    <xf numFmtId="0" fontId="3" fillId="0" borderId="3" xfId="48" applyBorder="1" applyAlignment="1">
      <alignment horizontal="left" vertical="top" wrapText="1"/>
    </xf>
    <xf numFmtId="0" fontId="3" fillId="0" borderId="3" xfId="49" applyBorder="1" applyAlignment="1">
      <alignment horizontal="left" vertical="top" wrapText="1"/>
    </xf>
    <xf numFmtId="0" fontId="3" fillId="0" borderId="3" xfId="50" applyBorder="1" applyAlignment="1">
      <alignment horizontal="left" vertical="top" wrapText="1"/>
    </xf>
    <xf numFmtId="0" fontId="3" fillId="0" borderId="3" xfId="51" applyBorder="1" applyAlignment="1">
      <alignment horizontal="left" vertical="top" wrapText="1"/>
    </xf>
    <xf numFmtId="0" fontId="3" fillId="0" borderId="3" xfId="52" applyBorder="1" applyAlignment="1">
      <alignment horizontal="left" vertical="top" wrapText="1"/>
    </xf>
    <xf numFmtId="0" fontId="3" fillId="0" borderId="3" xfId="53" applyBorder="1" applyAlignment="1">
      <alignment horizontal="left" vertical="top" wrapText="1"/>
    </xf>
    <xf numFmtId="0" fontId="2" fillId="0" borderId="3" xfId="53" applyFont="1" applyBorder="1" applyAlignment="1">
      <alignment horizontal="left" vertical="top" wrapText="1"/>
    </xf>
    <xf numFmtId="0" fontId="3" fillId="0" borderId="3" xfId="54" applyBorder="1" applyAlignment="1">
      <alignment horizontal="left" vertical="top" wrapText="1"/>
    </xf>
    <xf numFmtId="0" fontId="2" fillId="0" borderId="3" xfId="54" applyFont="1" applyBorder="1" applyAlignment="1">
      <alignment horizontal="left" vertical="top" wrapText="1"/>
    </xf>
    <xf numFmtId="0" fontId="3" fillId="0" borderId="3" xfId="55" applyBorder="1" applyAlignment="1">
      <alignment horizontal="left" vertical="top" wrapText="1"/>
    </xf>
    <xf numFmtId="0" fontId="2" fillId="0" borderId="3" xfId="55" applyFont="1" applyBorder="1" applyAlignment="1">
      <alignment horizontal="left" vertical="top" wrapText="1"/>
    </xf>
    <xf numFmtId="0" fontId="3" fillId="0" borderId="3" xfId="56" applyBorder="1" applyAlignment="1">
      <alignment horizontal="left" vertical="top" wrapText="1"/>
    </xf>
    <xf numFmtId="0" fontId="3" fillId="0" borderId="3" xfId="57" applyBorder="1" applyAlignment="1">
      <alignment horizontal="left" vertical="top" wrapText="1"/>
    </xf>
    <xf numFmtId="0" fontId="3" fillId="0" borderId="3" xfId="58" applyBorder="1" applyAlignment="1">
      <alignment horizontal="left" vertical="top" wrapText="1"/>
    </xf>
    <xf numFmtId="0" fontId="3" fillId="0" borderId="3" xfId="59" applyBorder="1" applyAlignment="1">
      <alignment horizontal="left" vertical="top" wrapText="1"/>
    </xf>
    <xf numFmtId="0" fontId="3" fillId="0" borderId="3" xfId="60" applyBorder="1" applyAlignment="1">
      <alignment horizontal="left" vertical="top" wrapText="1"/>
    </xf>
    <xf numFmtId="0" fontId="3" fillId="0" borderId="3" xfId="61" applyBorder="1" applyAlignment="1">
      <alignment horizontal="left" vertical="top" wrapText="1"/>
    </xf>
    <xf numFmtId="0" fontId="3" fillId="0" borderId="3" xfId="62" applyBorder="1" applyAlignment="1">
      <alignment horizontal="left" vertical="top" wrapText="1"/>
    </xf>
    <xf numFmtId="0" fontId="3" fillId="0" borderId="3" xfId="63" applyBorder="1" applyAlignment="1">
      <alignment horizontal="left" vertical="top" wrapText="1"/>
    </xf>
    <xf numFmtId="0" fontId="3" fillId="0" borderId="3" xfId="64" applyBorder="1" applyAlignment="1">
      <alignment horizontal="left" vertical="top" wrapText="1"/>
    </xf>
    <xf numFmtId="0" fontId="3" fillId="0" borderId="3" xfId="65" applyBorder="1" applyAlignment="1">
      <alignment horizontal="left" vertical="top" wrapText="1"/>
    </xf>
    <xf numFmtId="0" fontId="3" fillId="0" borderId="3" xfId="66" applyBorder="1" applyAlignment="1">
      <alignment horizontal="left" vertical="top" wrapText="1"/>
    </xf>
    <xf numFmtId="0" fontId="3" fillId="0" borderId="3" xfId="67" applyBorder="1" applyAlignment="1">
      <alignment horizontal="left" vertical="top" wrapText="1"/>
    </xf>
    <xf numFmtId="0" fontId="3" fillId="0" borderId="3" xfId="68" applyBorder="1" applyAlignment="1">
      <alignment horizontal="left" vertical="top" wrapText="1"/>
    </xf>
    <xf numFmtId="0" fontId="3" fillId="0" borderId="3" xfId="69" applyBorder="1" applyAlignment="1">
      <alignment horizontal="left" vertical="top" wrapText="1"/>
    </xf>
    <xf numFmtId="0" fontId="3" fillId="0" borderId="3" xfId="70" applyBorder="1" applyAlignment="1">
      <alignment horizontal="left" vertical="top" wrapText="1"/>
    </xf>
    <xf numFmtId="0" fontId="3" fillId="0" borderId="3" xfId="71" applyBorder="1" applyAlignment="1">
      <alignment horizontal="left" vertical="top" wrapText="1"/>
    </xf>
    <xf numFmtId="0" fontId="3" fillId="0" borderId="3" xfId="72" applyBorder="1" applyAlignment="1">
      <alignment horizontal="left" vertical="top" wrapText="1"/>
    </xf>
    <xf numFmtId="0" fontId="3" fillId="0" borderId="3" xfId="73" applyBorder="1" applyAlignment="1">
      <alignment horizontal="left" vertical="top" wrapText="1"/>
    </xf>
    <xf numFmtId="0" fontId="2" fillId="0" borderId="3" xfId="73" applyFont="1" applyBorder="1" applyAlignment="1">
      <alignment horizontal="left" vertical="top" wrapText="1"/>
    </xf>
    <xf numFmtId="0" fontId="3" fillId="0" borderId="0" xfId="0" applyFont="1" applyAlignment="1">
      <alignment horizontal="left" vertical="top" wrapText="1"/>
    </xf>
    <xf numFmtId="0" fontId="3" fillId="0" borderId="3" xfId="74" applyBorder="1" applyAlignment="1">
      <alignment horizontal="left" vertical="top" wrapText="1"/>
    </xf>
    <xf numFmtId="0" fontId="2" fillId="0" borderId="3" xfId="74" applyFont="1" applyBorder="1" applyAlignment="1">
      <alignment horizontal="left" vertical="top" wrapText="1"/>
    </xf>
    <xf numFmtId="0" fontId="3" fillId="0" borderId="3" xfId="75" applyBorder="1" applyAlignment="1">
      <alignment horizontal="left" vertical="top" wrapText="1"/>
    </xf>
    <xf numFmtId="0" fontId="3" fillId="0" borderId="3" xfId="76" applyBorder="1" applyAlignment="1">
      <alignment horizontal="left" vertical="top" wrapText="1"/>
    </xf>
    <xf numFmtId="0" fontId="3" fillId="0" borderId="3" xfId="77" applyBorder="1" applyAlignment="1">
      <alignment horizontal="left" vertical="top" wrapText="1"/>
    </xf>
    <xf numFmtId="0" fontId="3" fillId="0" borderId="3" xfId="78" applyBorder="1" applyAlignment="1">
      <alignment horizontal="left" vertical="top" wrapText="1"/>
    </xf>
    <xf numFmtId="0" fontId="3" fillId="0" borderId="3" xfId="79" applyBorder="1" applyAlignment="1">
      <alignment horizontal="left" vertical="top" wrapText="1"/>
    </xf>
    <xf numFmtId="0" fontId="3" fillId="0" borderId="3" xfId="80" applyBorder="1" applyAlignment="1">
      <alignment horizontal="left" vertical="top" wrapText="1"/>
    </xf>
    <xf numFmtId="0" fontId="3" fillId="0" borderId="3" xfId="81" applyBorder="1" applyAlignment="1">
      <alignment horizontal="left" vertical="top" wrapText="1"/>
    </xf>
    <xf numFmtId="0" fontId="2" fillId="0" borderId="3" xfId="81" applyFont="1" applyBorder="1" applyAlignment="1">
      <alignment horizontal="left" vertical="top" wrapText="1"/>
    </xf>
    <xf numFmtId="0" fontId="3" fillId="0" borderId="3" xfId="82" applyBorder="1" applyAlignment="1">
      <alignment horizontal="left" vertical="top" wrapText="1"/>
    </xf>
    <xf numFmtId="0" fontId="3" fillId="0" borderId="3" xfId="83" applyBorder="1" applyAlignment="1">
      <alignment horizontal="left" vertical="top" wrapText="1"/>
    </xf>
    <xf numFmtId="0" fontId="3" fillId="0" borderId="3" xfId="84" applyBorder="1" applyAlignment="1">
      <alignment horizontal="left" vertical="top" wrapText="1"/>
    </xf>
    <xf numFmtId="0" fontId="3" fillId="0" borderId="3" xfId="85" applyBorder="1" applyAlignment="1">
      <alignment horizontal="left" vertical="top" wrapText="1"/>
    </xf>
    <xf numFmtId="0" fontId="3" fillId="0" borderId="3" xfId="86" applyBorder="1" applyAlignment="1">
      <alignment horizontal="left" vertical="top" wrapText="1"/>
    </xf>
    <xf numFmtId="0" fontId="3" fillId="0" borderId="3" xfId="87" applyBorder="1" applyAlignment="1">
      <alignment horizontal="left" vertical="top" wrapText="1"/>
    </xf>
    <xf numFmtId="0" fontId="3" fillId="0" borderId="3" xfId="88" applyBorder="1" applyAlignment="1">
      <alignment horizontal="left" vertical="top" wrapText="1"/>
    </xf>
    <xf numFmtId="0" fontId="3" fillId="0" borderId="3" xfId="89" applyBorder="1" applyAlignment="1">
      <alignment horizontal="left" vertical="top" wrapText="1"/>
    </xf>
    <xf numFmtId="0" fontId="2" fillId="0" borderId="3" xfId="89" applyFont="1" applyBorder="1" applyAlignment="1">
      <alignment horizontal="left" vertical="top" wrapText="1"/>
    </xf>
    <xf numFmtId="0" fontId="3" fillId="0" borderId="3" xfId="90" applyBorder="1" applyAlignment="1">
      <alignment horizontal="left" vertical="top" wrapText="1"/>
    </xf>
    <xf numFmtId="0" fontId="3" fillId="0" borderId="3" xfId="91" applyBorder="1" applyAlignment="1">
      <alignment horizontal="left" vertical="top" wrapText="1"/>
    </xf>
    <xf numFmtId="0" fontId="0" fillId="0" borderId="0" xfId="0" applyAlignment="1">
      <alignment horizontal="left" vertical="top"/>
    </xf>
    <xf numFmtId="0" fontId="33" fillId="41" borderId="40" xfId="0" applyFont="1" applyFill="1" applyBorder="1" applyAlignment="1">
      <alignment horizontal="left" vertical="top" wrapText="1" indent="1"/>
    </xf>
    <xf numFmtId="0" fontId="33" fillId="41" borderId="40" xfId="0" applyFont="1" applyFill="1" applyBorder="1" applyAlignment="1">
      <alignment horizontal="left" vertical="top" wrapText="1" indent="10"/>
    </xf>
    <xf numFmtId="0" fontId="33" fillId="41" borderId="40" xfId="0" applyFont="1" applyFill="1" applyBorder="1" applyAlignment="1">
      <alignment horizontal="center" vertical="top" wrapText="1"/>
    </xf>
    <xf numFmtId="0" fontId="33" fillId="41" borderId="40" xfId="0" applyFont="1" applyFill="1" applyBorder="1" applyAlignment="1">
      <alignment horizontal="left" vertical="top" wrapText="1" indent="9"/>
    </xf>
    <xf numFmtId="0" fontId="12" fillId="0" borderId="0" xfId="0" applyFont="1"/>
    <xf numFmtId="0" fontId="12" fillId="0" borderId="0" xfId="0" applyFont="1" applyAlignment="1">
      <alignment wrapText="1"/>
    </xf>
    <xf numFmtId="0" fontId="1" fillId="4" borderId="0" xfId="0" applyFont="1" applyFill="1" applyAlignment="1">
      <alignment wrapText="1"/>
    </xf>
    <xf numFmtId="0" fontId="35" fillId="4" borderId="0" xfId="0" applyFont="1" applyFill="1" applyAlignment="1">
      <alignment wrapText="1"/>
    </xf>
    <xf numFmtId="2" fontId="0" fillId="0" borderId="0" xfId="0" applyNumberFormat="1"/>
    <xf numFmtId="1" fontId="1" fillId="4" borderId="0" xfId="0" applyNumberFormat="1" applyFont="1" applyFill="1" applyAlignment="1">
      <alignment wrapText="1"/>
    </xf>
    <xf numFmtId="1" fontId="35" fillId="4" borderId="0" xfId="0" applyNumberFormat="1" applyFont="1" applyFill="1" applyAlignment="1">
      <alignment wrapText="1"/>
    </xf>
    <xf numFmtId="0" fontId="0" fillId="0" borderId="12" xfId="0" applyBorder="1"/>
    <xf numFmtId="0" fontId="0" fillId="0" borderId="10" xfId="0" applyBorder="1"/>
    <xf numFmtId="0" fontId="1" fillId="39" borderId="41" xfId="0" applyFont="1" applyFill="1" applyBorder="1"/>
    <xf numFmtId="0" fontId="0" fillId="0" borderId="0" xfId="0" applyAlignment="1">
      <alignment horizontal="right"/>
    </xf>
    <xf numFmtId="0" fontId="10" fillId="0" borderId="0" xfId="0" applyFont="1"/>
    <xf numFmtId="0" fontId="2" fillId="0" borderId="0" xfId="0" applyFont="1" applyAlignment="1">
      <alignment horizontal="left" vertical="top" wrapText="1"/>
    </xf>
    <xf numFmtId="0" fontId="3" fillId="0" borderId="0" xfId="44" applyAlignment="1">
      <alignment horizontal="left" vertical="top" wrapText="1"/>
    </xf>
    <xf numFmtId="0" fontId="3" fillId="0" borderId="0" xfId="45" applyAlignment="1">
      <alignment horizontal="left" vertical="top" wrapText="1"/>
    </xf>
    <xf numFmtId="0" fontId="3" fillId="0" borderId="0" xfId="48" applyAlignment="1">
      <alignment horizontal="left" vertical="top" wrapText="1"/>
    </xf>
    <xf numFmtId="0" fontId="3" fillId="0" borderId="0" xfId="49" applyAlignment="1">
      <alignment horizontal="left" vertical="top" wrapText="1"/>
    </xf>
    <xf numFmtId="0" fontId="2" fillId="0" borderId="0" xfId="54" applyFont="1" applyAlignment="1">
      <alignment horizontal="left" vertical="top" wrapText="1"/>
    </xf>
    <xf numFmtId="0" fontId="3" fillId="0" borderId="0" xfId="54" applyAlignment="1">
      <alignment horizontal="left" vertical="top" wrapText="1"/>
    </xf>
    <xf numFmtId="0" fontId="3" fillId="0" borderId="0" xfId="55" applyAlignment="1">
      <alignment horizontal="left" vertical="top" wrapText="1"/>
    </xf>
    <xf numFmtId="0" fontId="2" fillId="0" borderId="0" xfId="55" applyFont="1" applyAlignment="1">
      <alignment horizontal="left" vertical="top" wrapText="1"/>
    </xf>
    <xf numFmtId="0" fontId="3" fillId="0" borderId="0" xfId="56" applyAlignment="1">
      <alignment horizontal="left" vertical="top" wrapText="1"/>
    </xf>
    <xf numFmtId="0" fontId="3" fillId="0" borderId="0" xfId="57" applyAlignment="1">
      <alignment horizontal="left" vertical="top" wrapText="1"/>
    </xf>
    <xf numFmtId="0" fontId="3" fillId="0" borderId="0" xfId="61" applyAlignment="1">
      <alignment horizontal="left" vertical="top" wrapText="1"/>
    </xf>
    <xf numFmtId="0" fontId="3" fillId="0" borderId="0" xfId="62" applyAlignment="1">
      <alignment horizontal="left" vertical="top" wrapText="1"/>
    </xf>
    <xf numFmtId="0" fontId="3" fillId="0" borderId="0" xfId="65" applyAlignment="1">
      <alignment horizontal="left" vertical="top" wrapText="1"/>
    </xf>
    <xf numFmtId="0" fontId="3" fillId="0" borderId="0" xfId="66" applyAlignment="1">
      <alignment horizontal="left" vertical="top" wrapText="1"/>
    </xf>
    <xf numFmtId="0" fontId="3" fillId="0" borderId="0" xfId="67" applyAlignment="1">
      <alignment horizontal="left" vertical="top" wrapText="1"/>
    </xf>
    <xf numFmtId="0" fontId="3" fillId="0" borderId="0" xfId="68" applyAlignment="1">
      <alignment horizontal="left" vertical="top" wrapText="1"/>
    </xf>
    <xf numFmtId="0" fontId="3" fillId="0" borderId="0" xfId="69" applyAlignment="1">
      <alignment horizontal="left" vertical="top" wrapText="1"/>
    </xf>
    <xf numFmtId="0" fontId="3" fillId="0" borderId="0" xfId="70" applyAlignment="1">
      <alignment horizontal="left" vertical="top" wrapText="1"/>
    </xf>
    <xf numFmtId="0" fontId="3" fillId="0" borderId="0" xfId="71" applyAlignment="1">
      <alignment horizontal="left" vertical="top" wrapText="1"/>
    </xf>
    <xf numFmtId="0" fontId="3" fillId="0" borderId="0" xfId="72" applyAlignment="1">
      <alignment horizontal="left" vertical="top" wrapText="1"/>
    </xf>
    <xf numFmtId="0" fontId="3" fillId="0" borderId="0" xfId="76" applyAlignment="1">
      <alignment horizontal="left" vertical="top" wrapText="1"/>
    </xf>
    <xf numFmtId="0" fontId="3" fillId="0" borderId="0" xfId="77" applyAlignment="1">
      <alignment horizontal="left" vertical="top" wrapText="1"/>
    </xf>
    <xf numFmtId="0" fontId="3" fillId="0" borderId="0" xfId="78" applyAlignment="1">
      <alignment horizontal="left" vertical="top" wrapText="1"/>
    </xf>
    <xf numFmtId="0" fontId="3" fillId="0" borderId="0" xfId="79" applyAlignment="1">
      <alignment horizontal="left" vertical="top" wrapText="1"/>
    </xf>
    <xf numFmtId="0" fontId="3" fillId="0" borderId="0" xfId="80" applyAlignment="1">
      <alignment horizontal="left" vertical="top" wrapText="1"/>
    </xf>
    <xf numFmtId="0" fontId="3" fillId="0" borderId="0" xfId="81" applyAlignment="1">
      <alignment horizontal="left" vertical="top" wrapText="1"/>
    </xf>
    <xf numFmtId="0" fontId="2" fillId="0" borderId="0" xfId="81" applyFont="1" applyAlignment="1">
      <alignment horizontal="left" vertical="top" wrapText="1"/>
    </xf>
    <xf numFmtId="0" fontId="3" fillId="0" borderId="0" xfId="82" applyAlignment="1">
      <alignment horizontal="left" vertical="top" wrapText="1"/>
    </xf>
    <xf numFmtId="0" fontId="3" fillId="0" borderId="0" xfId="83" applyAlignment="1">
      <alignment horizontal="left" vertical="top" wrapText="1"/>
    </xf>
    <xf numFmtId="0" fontId="3" fillId="0" borderId="0" xfId="84" applyAlignment="1">
      <alignment horizontal="left" vertical="top" wrapText="1"/>
    </xf>
    <xf numFmtId="0" fontId="3" fillId="0" borderId="0" xfId="85" applyAlignment="1">
      <alignment horizontal="left" vertical="top" wrapText="1"/>
    </xf>
    <xf numFmtId="0" fontId="3" fillId="0" borderId="0" xfId="86" applyAlignment="1">
      <alignment horizontal="left" vertical="top" wrapText="1"/>
    </xf>
    <xf numFmtId="0" fontId="3" fillId="0" borderId="0" xfId="88" applyAlignment="1">
      <alignment horizontal="left" vertical="top" wrapText="1"/>
    </xf>
    <xf numFmtId="0" fontId="3" fillId="0" borderId="0" xfId="91" applyAlignment="1">
      <alignment horizontal="left" vertical="top" wrapText="1"/>
    </xf>
    <xf numFmtId="0" fontId="35" fillId="43" borderId="3" xfId="0" applyFont="1" applyFill="1" applyBorder="1"/>
    <xf numFmtId="1" fontId="35" fillId="43" borderId="3" xfId="0" applyNumberFormat="1" applyFont="1" applyFill="1" applyBorder="1"/>
    <xf numFmtId="0" fontId="35" fillId="43" borderId="3" xfId="0" applyFont="1" applyFill="1" applyBorder="1" applyAlignment="1">
      <alignment wrapText="1"/>
    </xf>
    <xf numFmtId="0" fontId="1" fillId="43" borderId="19" xfId="0" applyFont="1" applyFill="1" applyBorder="1" applyAlignment="1">
      <alignment wrapText="1"/>
    </xf>
    <xf numFmtId="0" fontId="36" fillId="43" borderId="22" xfId="0" applyFont="1" applyFill="1" applyBorder="1" applyAlignment="1">
      <alignment wrapText="1"/>
    </xf>
    <xf numFmtId="0" fontId="1" fillId="43" borderId="22" xfId="0" applyFont="1" applyFill="1" applyBorder="1" applyAlignment="1">
      <alignment wrapText="1"/>
    </xf>
    <xf numFmtId="0" fontId="1" fillId="43" borderId="32" xfId="0" applyFont="1" applyFill="1" applyBorder="1" applyAlignment="1">
      <alignment wrapText="1"/>
    </xf>
    <xf numFmtId="0" fontId="36" fillId="43" borderId="10" xfId="0" applyFont="1" applyFill="1" applyBorder="1" applyAlignment="1">
      <alignment wrapText="1"/>
    </xf>
    <xf numFmtId="1" fontId="36" fillId="43" borderId="10" xfId="0" applyNumberFormat="1" applyFont="1" applyFill="1" applyBorder="1" applyAlignment="1">
      <alignment wrapText="1"/>
    </xf>
    <xf numFmtId="0" fontId="1" fillId="43" borderId="11" xfId="0" applyFont="1" applyFill="1" applyBorder="1" applyAlignment="1">
      <alignment wrapText="1"/>
    </xf>
    <xf numFmtId="0" fontId="0" fillId="4" borderId="9" xfId="0" applyFill="1" applyBorder="1" applyAlignment="1">
      <alignment horizontal="center"/>
    </xf>
    <xf numFmtId="0" fontId="0" fillId="0" borderId="36" xfId="0" applyBorder="1"/>
    <xf numFmtId="0" fontId="1" fillId="4" borderId="43" xfId="0" applyFont="1" applyFill="1" applyBorder="1" applyAlignment="1">
      <alignment horizontal="center" wrapText="1"/>
    </xf>
    <xf numFmtId="0" fontId="1" fillId="4" borderId="33" xfId="0" applyFont="1" applyFill="1" applyBorder="1" applyAlignment="1">
      <alignment horizontal="center" wrapText="1"/>
    </xf>
    <xf numFmtId="0" fontId="0" fillId="4" borderId="35" xfId="0" applyFill="1" applyBorder="1"/>
    <xf numFmtId="0" fontId="0" fillId="4" borderId="35" xfId="0" applyFill="1" applyBorder="1" applyAlignment="1">
      <alignment horizontal="center"/>
    </xf>
    <xf numFmtId="0" fontId="0" fillId="4" borderId="44" xfId="0" applyFill="1" applyBorder="1"/>
    <xf numFmtId="0" fontId="0" fillId="4" borderId="33" xfId="0" applyFill="1" applyBorder="1" applyAlignment="1">
      <alignment horizontal="center"/>
    </xf>
    <xf numFmtId="1" fontId="0" fillId="0" borderId="3" xfId="0" applyNumberFormat="1" applyBorder="1" applyAlignment="1">
      <alignment horizontal="center"/>
    </xf>
    <xf numFmtId="0" fontId="1" fillId="40" borderId="19" xfId="0" applyFont="1" applyFill="1" applyBorder="1" applyAlignment="1">
      <alignment horizontal="center" wrapText="1"/>
    </xf>
    <xf numFmtId="0" fontId="1" fillId="40" borderId="22" xfId="0" applyFont="1" applyFill="1" applyBorder="1" applyAlignment="1">
      <alignment horizontal="center" wrapText="1"/>
    </xf>
    <xf numFmtId="0" fontId="0" fillId="0" borderId="13" xfId="0" applyBorder="1" applyAlignment="1">
      <alignment wrapText="1"/>
    </xf>
    <xf numFmtId="0" fontId="1" fillId="37" borderId="19" xfId="0" applyFont="1" applyFill="1" applyBorder="1" applyAlignment="1">
      <alignment horizontal="center" wrapText="1"/>
    </xf>
    <xf numFmtId="0" fontId="1" fillId="37" borderId="22" xfId="0" applyFont="1" applyFill="1" applyBorder="1" applyAlignment="1">
      <alignment horizontal="center" wrapText="1"/>
    </xf>
    <xf numFmtId="0" fontId="1" fillId="37" borderId="20" xfId="0" applyFont="1" applyFill="1" applyBorder="1" applyAlignment="1">
      <alignment horizontal="center" wrapText="1"/>
    </xf>
    <xf numFmtId="0" fontId="1" fillId="38" borderId="19" xfId="0" applyFont="1" applyFill="1" applyBorder="1" applyAlignment="1">
      <alignment horizontal="center" wrapText="1"/>
    </xf>
    <xf numFmtId="0" fontId="1" fillId="38" borderId="22" xfId="0" applyFont="1" applyFill="1" applyBorder="1" applyAlignment="1">
      <alignment horizontal="center" wrapText="1"/>
    </xf>
    <xf numFmtId="0" fontId="1" fillId="38" borderId="20" xfId="0" applyFont="1" applyFill="1" applyBorder="1" applyAlignment="1">
      <alignment horizontal="center" wrapText="1"/>
    </xf>
    <xf numFmtId="1" fontId="0" fillId="0" borderId="1" xfId="0" applyNumberFormat="1" applyBorder="1" applyAlignment="1">
      <alignment horizontal="center"/>
    </xf>
    <xf numFmtId="0" fontId="1" fillId="3" borderId="19" xfId="0" applyFont="1" applyFill="1" applyBorder="1" applyAlignment="1">
      <alignment horizontal="center" wrapText="1"/>
    </xf>
    <xf numFmtId="0" fontId="1" fillId="3" borderId="22" xfId="0" applyFont="1" applyFill="1" applyBorder="1" applyAlignment="1">
      <alignment horizontal="center" wrapText="1"/>
    </xf>
    <xf numFmtId="0" fontId="1" fillId="3" borderId="20" xfId="0" applyFont="1" applyFill="1" applyBorder="1" applyAlignment="1">
      <alignment horizontal="center" wrapText="1"/>
    </xf>
    <xf numFmtId="165" fontId="30" fillId="0" borderId="13" xfId="43" applyNumberFormat="1" applyFont="1" applyFill="1" applyBorder="1"/>
    <xf numFmtId="0" fontId="35" fillId="0" borderId="19" xfId="0" applyFont="1" applyBorder="1" applyAlignment="1">
      <alignment horizontal="center"/>
    </xf>
    <xf numFmtId="0" fontId="35" fillId="0" borderId="20" xfId="0" applyFont="1" applyBorder="1" applyAlignment="1">
      <alignment horizontal="center"/>
    </xf>
    <xf numFmtId="0" fontId="10" fillId="0" borderId="13" xfId="0" applyFont="1" applyBorder="1" applyAlignment="1">
      <alignment wrapText="1"/>
    </xf>
    <xf numFmtId="0" fontId="14" fillId="0" borderId="13" xfId="0" applyFont="1" applyBorder="1" applyAlignment="1">
      <alignment wrapText="1"/>
    </xf>
    <xf numFmtId="0" fontId="10" fillId="0" borderId="13" xfId="0" applyFont="1" applyBorder="1" applyAlignment="1">
      <alignment vertical="center" wrapText="1"/>
    </xf>
    <xf numFmtId="0" fontId="30" fillId="0" borderId="0" xfId="0" applyFont="1"/>
    <xf numFmtId="165" fontId="37" fillId="0" borderId="0" xfId="43" applyNumberFormat="1" applyFont="1" applyFill="1" applyBorder="1" applyAlignment="1">
      <alignment horizontal="left"/>
    </xf>
    <xf numFmtId="0" fontId="38" fillId="0" borderId="0" xfId="0" applyFont="1" applyAlignment="1">
      <alignment horizontal="left" wrapText="1"/>
    </xf>
    <xf numFmtId="0" fontId="0" fillId="0" borderId="0" xfId="0" applyAlignment="1">
      <alignment horizontal="left"/>
    </xf>
    <xf numFmtId="0" fontId="1" fillId="4" borderId="33" xfId="0" applyFont="1" applyFill="1" applyBorder="1" applyAlignment="1">
      <alignment horizontal="left" wrapText="1"/>
    </xf>
    <xf numFmtId="0" fontId="1" fillId="4" borderId="3" xfId="0" applyFont="1" applyFill="1" applyBorder="1" applyAlignment="1">
      <alignment horizontal="left" wrapText="1"/>
    </xf>
    <xf numFmtId="0" fontId="0" fillId="0" borderId="3" xfId="0" applyBorder="1" applyAlignment="1">
      <alignment horizontal="left" wrapText="1"/>
    </xf>
    <xf numFmtId="0" fontId="10" fillId="0" borderId="18" xfId="0" applyFont="1" applyBorder="1" applyAlignment="1">
      <alignment vertical="center" wrapText="1"/>
    </xf>
    <xf numFmtId="1" fontId="30" fillId="0" borderId="0" xfId="0" applyNumberFormat="1" applyFont="1"/>
    <xf numFmtId="0" fontId="30" fillId="0" borderId="0" xfId="0" applyFont="1" applyAlignment="1">
      <alignment horizontal="center"/>
    </xf>
    <xf numFmtId="0" fontId="30" fillId="0" borderId="0" xfId="0" applyFont="1" applyAlignment="1">
      <alignment wrapText="1"/>
    </xf>
    <xf numFmtId="0" fontId="0" fillId="0" borderId="0" xfId="0" quotePrefix="1"/>
    <xf numFmtId="0" fontId="1" fillId="43" borderId="43" xfId="0" applyFont="1" applyFill="1" applyBorder="1" applyAlignment="1">
      <alignment wrapText="1"/>
    </xf>
    <xf numFmtId="0" fontId="1" fillId="43" borderId="35" xfId="0" applyFont="1" applyFill="1" applyBorder="1" applyAlignment="1">
      <alignment wrapText="1"/>
    </xf>
    <xf numFmtId="1" fontId="1" fillId="43" borderId="35" xfId="0" applyNumberFormat="1" applyFont="1" applyFill="1" applyBorder="1" applyAlignment="1">
      <alignment wrapText="1"/>
    </xf>
    <xf numFmtId="0" fontId="40" fillId="45" borderId="0" xfId="0" applyFont="1" applyFill="1"/>
    <xf numFmtId="1" fontId="40" fillId="45" borderId="0" xfId="0" applyNumberFormat="1" applyFont="1" applyFill="1"/>
    <xf numFmtId="0" fontId="40" fillId="47" borderId="46" xfId="0" applyFont="1" applyFill="1" applyBorder="1" applyAlignment="1">
      <alignment wrapText="1"/>
    </xf>
    <xf numFmtId="0" fontId="40" fillId="47" borderId="45" xfId="0" applyFont="1" applyFill="1" applyBorder="1" applyAlignment="1">
      <alignment wrapText="1"/>
    </xf>
    <xf numFmtId="0" fontId="14" fillId="46" borderId="0" xfId="0" applyFont="1" applyFill="1"/>
    <xf numFmtId="164" fontId="42" fillId="0" borderId="0" xfId="0" applyNumberFormat="1" applyFont="1" applyAlignment="1">
      <alignment horizontal="right"/>
    </xf>
    <xf numFmtId="0" fontId="42" fillId="0" borderId="0" xfId="0" applyFont="1"/>
    <xf numFmtId="0" fontId="42" fillId="0" borderId="0" xfId="44" applyFont="1" applyAlignment="1">
      <alignment vertical="top"/>
    </xf>
    <xf numFmtId="0" fontId="3" fillId="0" borderId="0" xfId="44" applyAlignment="1">
      <alignment vertical="top" wrapText="1"/>
    </xf>
    <xf numFmtId="0" fontId="3" fillId="0" borderId="0" xfId="0" applyFont="1" applyAlignment="1">
      <alignment vertical="top" wrapText="1"/>
    </xf>
    <xf numFmtId="0" fontId="43" fillId="45" borderId="0" xfId="0" applyFont="1" applyFill="1" applyAlignment="1">
      <alignment wrapText="1"/>
    </xf>
    <xf numFmtId="0" fontId="41" fillId="48" borderId="0" xfId="0" applyFont="1" applyFill="1"/>
    <xf numFmtId="0" fontId="39" fillId="48" borderId="45" xfId="0" applyFont="1" applyFill="1" applyBorder="1" applyAlignment="1">
      <alignment horizontal="center" wrapText="1"/>
    </xf>
    <xf numFmtId="0" fontId="39" fillId="48" borderId="45" xfId="0" applyFont="1" applyFill="1" applyBorder="1" applyAlignment="1">
      <alignment wrapText="1"/>
    </xf>
    <xf numFmtId="0" fontId="41" fillId="48" borderId="45" xfId="0" applyFont="1" applyFill="1" applyBorder="1" applyAlignment="1">
      <alignment wrapText="1"/>
    </xf>
    <xf numFmtId="0" fontId="10" fillId="4" borderId="0" xfId="0" applyFont="1" applyFill="1" applyAlignment="1">
      <alignment wrapText="1"/>
    </xf>
    <xf numFmtId="0" fontId="35" fillId="49" borderId="1" xfId="0" applyFont="1" applyFill="1" applyBorder="1" applyAlignment="1">
      <alignment vertical="top" wrapText="1"/>
    </xf>
    <xf numFmtId="0" fontId="35" fillId="4" borderId="0" xfId="0" applyFont="1" applyFill="1"/>
    <xf numFmtId="0" fontId="35" fillId="50" borderId="0" xfId="0" applyFont="1" applyFill="1"/>
    <xf numFmtId="0" fontId="35" fillId="52" borderId="3" xfId="0" applyFont="1" applyFill="1" applyBorder="1" applyAlignment="1">
      <alignment wrapText="1"/>
    </xf>
    <xf numFmtId="0" fontId="1" fillId="0" borderId="0" xfId="0" applyFont="1"/>
    <xf numFmtId="0" fontId="1" fillId="50" borderId="22" xfId="0" applyFont="1" applyFill="1" applyBorder="1" applyAlignment="1">
      <alignment wrapText="1"/>
    </xf>
    <xf numFmtId="0" fontId="1" fillId="50" borderId="42" xfId="0" applyFont="1" applyFill="1" applyBorder="1" applyAlignment="1">
      <alignment wrapText="1"/>
    </xf>
    <xf numFmtId="0" fontId="35" fillId="52" borderId="48" xfId="0" applyFont="1" applyFill="1" applyBorder="1" applyAlignment="1">
      <alignment vertical="top" wrapText="1"/>
    </xf>
    <xf numFmtId="0" fontId="0" fillId="53" borderId="3" xfId="0" applyFill="1" applyBorder="1"/>
    <xf numFmtId="0" fontId="40" fillId="45" borderId="0" xfId="0" applyFont="1" applyFill="1" applyAlignment="1">
      <alignment wrapText="1"/>
    </xf>
    <xf numFmtId="1" fontId="0" fillId="0" borderId="0" xfId="0" applyNumberFormat="1" applyAlignment="1">
      <alignment horizontal="left" indent="1"/>
    </xf>
    <xf numFmtId="0" fontId="1" fillId="52" borderId="15" xfId="0" applyFont="1" applyFill="1" applyBorder="1" applyAlignment="1">
      <alignment wrapText="1"/>
    </xf>
    <xf numFmtId="0" fontId="1" fillId="4" borderId="14" xfId="0" applyFont="1" applyFill="1" applyBorder="1" applyAlignment="1">
      <alignment wrapText="1"/>
    </xf>
    <xf numFmtId="0" fontId="1" fillId="4" borderId="14" xfId="0" applyFont="1" applyFill="1" applyBorder="1" applyAlignment="1">
      <alignment horizontal="right" wrapText="1"/>
    </xf>
    <xf numFmtId="0" fontId="1" fillId="52" borderId="14" xfId="0" applyFont="1" applyFill="1" applyBorder="1" applyAlignment="1">
      <alignment wrapText="1"/>
    </xf>
    <xf numFmtId="0" fontId="1" fillId="42" borderId="14" xfId="0" applyFont="1" applyFill="1" applyBorder="1"/>
    <xf numFmtId="0" fontId="1" fillId="42" borderId="14" xfId="0" applyFont="1" applyFill="1" applyBorder="1" applyAlignment="1">
      <alignment horizontal="right"/>
    </xf>
    <xf numFmtId="0" fontId="27" fillId="51" borderId="14" xfId="0" applyFont="1" applyFill="1" applyBorder="1"/>
    <xf numFmtId="0" fontId="27" fillId="51" borderId="14" xfId="0" applyFont="1" applyFill="1" applyBorder="1" applyAlignment="1">
      <alignment wrapText="1"/>
    </xf>
    <xf numFmtId="0" fontId="1" fillId="54" borderId="50" xfId="0" applyFont="1" applyFill="1" applyBorder="1" applyAlignment="1">
      <alignment horizontal="center" wrapText="1"/>
    </xf>
    <xf numFmtId="0" fontId="1" fillId="54" borderId="14" xfId="0" applyFont="1" applyFill="1" applyBorder="1" applyAlignment="1">
      <alignment horizontal="center" wrapText="1"/>
    </xf>
    <xf numFmtId="0" fontId="0" fillId="0" borderId="1" xfId="0" applyBorder="1" applyAlignment="1">
      <alignment horizontal="center"/>
    </xf>
    <xf numFmtId="0" fontId="1" fillId="0" borderId="0" xfId="0" applyFont="1" applyAlignment="1">
      <alignment horizontal="center"/>
    </xf>
    <xf numFmtId="0" fontId="1" fillId="0" borderId="0" xfId="0" applyFont="1" applyAlignment="1">
      <alignment wrapText="1"/>
    </xf>
    <xf numFmtId="0" fontId="1" fillId="54" borderId="3" xfId="0" applyFont="1" applyFill="1" applyBorder="1" applyAlignment="1">
      <alignment horizontal="center" wrapText="1"/>
    </xf>
    <xf numFmtId="0" fontId="0" fillId="0" borderId="14" xfId="0" applyBorder="1"/>
    <xf numFmtId="0" fontId="13" fillId="44" borderId="51" xfId="0" applyFont="1" applyFill="1" applyBorder="1" applyAlignment="1">
      <alignment horizontal="center" vertical="center"/>
    </xf>
    <xf numFmtId="0" fontId="13" fillId="44" borderId="52" xfId="0" applyFont="1" applyFill="1" applyBorder="1" applyAlignment="1">
      <alignment horizontal="center" vertical="center"/>
    </xf>
    <xf numFmtId="0" fontId="13" fillId="44" borderId="52" xfId="0" applyFont="1" applyFill="1" applyBorder="1" applyAlignment="1">
      <alignment horizontal="center" vertical="center" wrapText="1"/>
    </xf>
    <xf numFmtId="0" fontId="0" fillId="0" borderId="0" xfId="0" quotePrefix="1" applyAlignment="1">
      <alignment horizontal="left" vertical="top"/>
    </xf>
    <xf numFmtId="1" fontId="0" fillId="53" borderId="3" xfId="0" applyNumberFormat="1" applyFill="1" applyBorder="1"/>
    <xf numFmtId="0" fontId="0" fillId="53" borderId="0" xfId="0" applyFill="1"/>
    <xf numFmtId="1" fontId="0" fillId="53" borderId="0" xfId="0" applyNumberFormat="1" applyFill="1"/>
    <xf numFmtId="0" fontId="0" fillId="53" borderId="10" xfId="0" applyFill="1" applyBorder="1"/>
    <xf numFmtId="0" fontId="0" fillId="0" borderId="53" xfId="0" applyBorder="1"/>
    <xf numFmtId="0" fontId="1" fillId="55" borderId="14" xfId="0" applyFont="1" applyFill="1" applyBorder="1" applyAlignment="1">
      <alignment horizontal="center" vertical="center" wrapText="1"/>
    </xf>
    <xf numFmtId="0" fontId="0" fillId="0" borderId="0" xfId="0" applyAlignment="1">
      <alignment vertical="center"/>
    </xf>
    <xf numFmtId="0" fontId="35" fillId="52" borderId="0" xfId="0" applyFont="1" applyFill="1" applyAlignment="1">
      <alignment vertical="top" wrapText="1"/>
    </xf>
    <xf numFmtId="0" fontId="0" fillId="52" borderId="0" xfId="0" applyFill="1" applyAlignment="1">
      <alignment wrapText="1"/>
    </xf>
    <xf numFmtId="0" fontId="0" fillId="0" borderId="1" xfId="0" quotePrefix="1" applyBorder="1" applyAlignment="1">
      <alignment horizontal="center"/>
    </xf>
    <xf numFmtId="1" fontId="10" fillId="0" borderId="3" xfId="0" applyNumberFormat="1" applyFont="1" applyBorder="1" applyAlignment="1">
      <alignment horizontal="center" vertical="center"/>
    </xf>
    <xf numFmtId="0" fontId="1" fillId="0" borderId="54" xfId="0" applyFont="1" applyBorder="1" applyAlignment="1">
      <alignment wrapText="1"/>
    </xf>
    <xf numFmtId="0" fontId="35" fillId="52" borderId="3" xfId="0" applyFont="1" applyFill="1" applyBorder="1" applyAlignment="1">
      <alignment horizontal="left" vertical="top" wrapText="1"/>
    </xf>
    <xf numFmtId="0" fontId="0" fillId="0" borderId="0" xfId="0" applyAlignment="1">
      <alignment horizontal="left" vertical="top" wrapText="1"/>
    </xf>
    <xf numFmtId="0" fontId="12" fillId="56" borderId="0" xfId="0" applyFont="1" applyFill="1" applyAlignment="1">
      <alignment wrapText="1"/>
    </xf>
    <xf numFmtId="0" fontId="0" fillId="0" borderId="1" xfId="0" applyBorder="1" applyAlignment="1">
      <alignment wrapText="1"/>
    </xf>
    <xf numFmtId="0" fontId="30" fillId="0" borderId="1" xfId="0" applyFont="1" applyBorder="1"/>
    <xf numFmtId="0" fontId="27" fillId="51" borderId="35" xfId="0" applyFont="1" applyFill="1" applyBorder="1"/>
    <xf numFmtId="0" fontId="1" fillId="52" borderId="35" xfId="0" applyFont="1" applyFill="1" applyBorder="1"/>
    <xf numFmtId="0" fontId="1" fillId="50" borderId="35" xfId="0" applyFont="1" applyFill="1" applyBorder="1"/>
    <xf numFmtId="0" fontId="1" fillId="50" borderId="35" xfId="0" applyFont="1" applyFill="1" applyBorder="1" applyAlignment="1">
      <alignment wrapText="1"/>
    </xf>
    <xf numFmtId="1" fontId="0" fillId="0" borderId="0" xfId="0" applyNumberFormat="1" applyAlignment="1">
      <alignment horizontal="center"/>
    </xf>
    <xf numFmtId="2" fontId="0" fillId="0" borderId="3" xfId="0" applyNumberFormat="1" applyBorder="1"/>
    <xf numFmtId="1" fontId="30" fillId="0" borderId="3" xfId="0" applyNumberFormat="1" applyFont="1" applyBorder="1"/>
    <xf numFmtId="2" fontId="0" fillId="0" borderId="3" xfId="0" applyNumberFormat="1" applyBorder="1" applyAlignment="1">
      <alignment wrapText="1"/>
    </xf>
    <xf numFmtId="0" fontId="1" fillId="40" borderId="55" xfId="0" applyFont="1" applyFill="1" applyBorder="1" applyAlignment="1">
      <alignment horizontal="center" wrapText="1"/>
    </xf>
    <xf numFmtId="0" fontId="1" fillId="52" borderId="3" xfId="0" applyFont="1" applyFill="1" applyBorder="1" applyAlignment="1">
      <alignment wrapText="1"/>
    </xf>
    <xf numFmtId="0" fontId="10" fillId="3" borderId="12" xfId="0" applyFont="1" applyFill="1" applyBorder="1" applyAlignment="1">
      <alignment horizontal="left" vertical="center" wrapText="1"/>
    </xf>
    <xf numFmtId="0" fontId="10" fillId="3" borderId="12" xfId="0" applyFont="1" applyFill="1" applyBorder="1" applyAlignment="1">
      <alignment horizontal="left" vertical="center"/>
    </xf>
    <xf numFmtId="0" fontId="10" fillId="56" borderId="12" xfId="0" applyFont="1" applyFill="1" applyBorder="1" applyAlignment="1">
      <alignment horizontal="left" vertical="center"/>
    </xf>
    <xf numFmtId="0" fontId="10" fillId="55" borderId="12" xfId="0" applyFont="1" applyFill="1" applyBorder="1"/>
    <xf numFmtId="0" fontId="10" fillId="55" borderId="12" xfId="0" applyFont="1" applyFill="1" applyBorder="1" applyAlignment="1">
      <alignment horizontal="left" vertical="center"/>
    </xf>
    <xf numFmtId="0" fontId="10" fillId="0" borderId="56" xfId="0" applyFont="1" applyBorder="1" applyAlignment="1">
      <alignment vertical="center" wrapText="1"/>
    </xf>
    <xf numFmtId="0" fontId="10" fillId="51" borderId="47" xfId="0" applyFont="1" applyFill="1" applyBorder="1" applyAlignment="1">
      <alignment horizontal="left" vertical="center"/>
    </xf>
    <xf numFmtId="0" fontId="10" fillId="51" borderId="16" xfId="0" applyFont="1" applyFill="1" applyBorder="1" applyAlignment="1">
      <alignment horizontal="left" vertical="center" wrapText="1"/>
    </xf>
    <xf numFmtId="0" fontId="29" fillId="57" borderId="12" xfId="0" applyFont="1" applyFill="1" applyBorder="1"/>
    <xf numFmtId="0" fontId="1" fillId="4" borderId="3" xfId="0" applyFont="1" applyFill="1" applyBorder="1" applyAlignment="1">
      <alignment wrapText="1"/>
    </xf>
    <xf numFmtId="0" fontId="1" fillId="4" borderId="1" xfId="0" applyFont="1" applyFill="1" applyBorder="1" applyAlignment="1">
      <alignment horizontal="center" wrapText="1"/>
    </xf>
    <xf numFmtId="0" fontId="35" fillId="4" borderId="3" xfId="0" applyFont="1" applyFill="1" applyBorder="1"/>
    <xf numFmtId="0" fontId="35" fillId="4" borderId="3" xfId="0" applyFont="1" applyFill="1" applyBorder="1" applyAlignment="1">
      <alignment wrapText="1"/>
    </xf>
    <xf numFmtId="0" fontId="35" fillId="4" borderId="3" xfId="0" applyFont="1" applyFill="1" applyBorder="1" applyAlignment="1">
      <alignment horizontal="center" wrapText="1"/>
    </xf>
    <xf numFmtId="0" fontId="37" fillId="0" borderId="0" xfId="0" applyFont="1" applyAlignment="1">
      <alignment horizontal="left" wrapText="1"/>
    </xf>
    <xf numFmtId="0" fontId="37" fillId="0" borderId="0" xfId="0" applyFont="1" applyAlignment="1">
      <alignment horizontal="left"/>
    </xf>
    <xf numFmtId="0" fontId="1" fillId="54" borderId="49" xfId="0" applyFont="1" applyFill="1" applyBorder="1" applyAlignment="1">
      <alignment horizontal="center" wrapText="1"/>
    </xf>
    <xf numFmtId="0" fontId="27" fillId="10" borderId="9" xfId="14" applyBorder="1" applyAlignment="1">
      <alignment horizontal="center"/>
    </xf>
    <xf numFmtId="0" fontId="45" fillId="0" borderId="0" xfId="0" applyFont="1" applyAlignment="1">
      <alignment horizontal="center"/>
    </xf>
    <xf numFmtId="49" fontId="45" fillId="0" borderId="0" xfId="0" applyNumberFormat="1" applyFont="1" applyAlignment="1">
      <alignment horizontal="center"/>
    </xf>
    <xf numFmtId="0" fontId="47" fillId="53" borderId="0" xfId="0" applyFont="1" applyFill="1" applyAlignment="1">
      <alignment horizontal="center" vertical="center"/>
    </xf>
    <xf numFmtId="0" fontId="48" fillId="0" borderId="0" xfId="0" applyFont="1" applyAlignment="1">
      <alignment horizontal="center"/>
    </xf>
    <xf numFmtId="49" fontId="49" fillId="0" borderId="0" xfId="0" applyNumberFormat="1" applyFont="1" applyAlignment="1">
      <alignment horizontal="left"/>
    </xf>
    <xf numFmtId="0" fontId="46" fillId="0" borderId="0" xfId="0" applyFont="1" applyAlignment="1">
      <alignment horizontal="center" wrapText="1"/>
    </xf>
    <xf numFmtId="0" fontId="10" fillId="0" borderId="0" xfId="0" applyFont="1" applyAlignment="1">
      <alignment horizontal="left" vertical="top" wrapText="1"/>
    </xf>
    <xf numFmtId="0" fontId="44" fillId="0" borderId="21" xfId="0" applyFont="1" applyBorder="1" applyAlignment="1">
      <alignment horizontal="center"/>
    </xf>
    <xf numFmtId="0" fontId="44" fillId="0" borderId="36" xfId="0" applyFont="1" applyBorder="1" applyAlignment="1">
      <alignment horizontal="center"/>
    </xf>
    <xf numFmtId="0" fontId="37" fillId="0" borderId="0" xfId="0" applyFont="1" applyAlignment="1">
      <alignment horizontal="left" wrapText="1"/>
    </xf>
    <xf numFmtId="0" fontId="13" fillId="39" borderId="19" xfId="0" applyFont="1" applyFill="1" applyBorder="1" applyAlignment="1">
      <alignment horizontal="center"/>
    </xf>
    <xf numFmtId="0" fontId="13" fillId="39" borderId="22" xfId="0" applyFont="1" applyFill="1" applyBorder="1" applyAlignment="1">
      <alignment horizontal="center"/>
    </xf>
    <xf numFmtId="0" fontId="13" fillId="39" borderId="20" xfId="0" applyFont="1" applyFill="1" applyBorder="1" applyAlignment="1">
      <alignment horizontal="center"/>
    </xf>
    <xf numFmtId="0" fontId="13" fillId="36" borderId="12" xfId="0" applyFont="1" applyFill="1" applyBorder="1" applyAlignment="1">
      <alignment horizontal="center"/>
    </xf>
    <xf numFmtId="0" fontId="13" fillId="36" borderId="3" xfId="0" applyFont="1" applyFill="1" applyBorder="1" applyAlignment="1">
      <alignment horizontal="center"/>
    </xf>
    <xf numFmtId="0" fontId="13" fillId="36" borderId="13" xfId="0" applyFont="1" applyFill="1" applyBorder="1" applyAlignment="1">
      <alignment horizontal="center"/>
    </xf>
    <xf numFmtId="0" fontId="13" fillId="36" borderId="21" xfId="0" applyFont="1" applyFill="1" applyBorder="1" applyAlignment="1">
      <alignment horizontal="center"/>
    </xf>
    <xf numFmtId="0" fontId="13" fillId="36" borderId="2" xfId="0" applyFont="1" applyFill="1" applyBorder="1" applyAlignment="1">
      <alignment horizontal="center"/>
    </xf>
    <xf numFmtId="0" fontId="13" fillId="36" borderId="36" xfId="0" applyFont="1" applyFill="1" applyBorder="1" applyAlignment="1">
      <alignment horizontal="center"/>
    </xf>
    <xf numFmtId="0" fontId="37" fillId="0" borderId="0" xfId="0" applyFont="1" applyAlignment="1">
      <alignment horizontal="left"/>
    </xf>
    <xf numFmtId="0" fontId="1" fillId="54" borderId="1" xfId="0" applyFont="1" applyFill="1" applyBorder="1" applyAlignment="1">
      <alignment horizontal="center" wrapText="1"/>
    </xf>
    <xf numFmtId="0" fontId="1" fillId="54" borderId="49" xfId="0" applyFont="1" applyFill="1" applyBorder="1" applyAlignment="1">
      <alignment horizontal="center" wrapText="1"/>
    </xf>
    <xf numFmtId="0" fontId="1" fillId="3" borderId="4" xfId="0" applyFont="1" applyFill="1" applyBorder="1" applyAlignment="1">
      <alignment horizontal="center" wrapText="1"/>
    </xf>
    <xf numFmtId="0" fontId="1" fillId="37" borderId="6" xfId="0" applyFont="1" applyFill="1" applyBorder="1" applyAlignment="1">
      <alignment horizontal="center"/>
    </xf>
    <xf numFmtId="0" fontId="1" fillId="37" borderId="8" xfId="0" applyFont="1" applyFill="1" applyBorder="1" applyAlignment="1">
      <alignment horizontal="center"/>
    </xf>
    <xf numFmtId="0" fontId="1" fillId="38" borderId="4" xfId="0" applyFont="1" applyFill="1" applyBorder="1" applyAlignment="1">
      <alignment horizontal="center" wrapText="1"/>
    </xf>
    <xf numFmtId="0" fontId="1" fillId="38" borderId="9" xfId="0" applyFont="1" applyFill="1" applyBorder="1" applyAlignment="1">
      <alignment horizontal="center" wrapText="1"/>
    </xf>
    <xf numFmtId="0" fontId="1" fillId="40" borderId="6" xfId="0" applyFont="1" applyFill="1" applyBorder="1" applyAlignment="1">
      <alignment horizontal="center"/>
    </xf>
    <xf numFmtId="0" fontId="1" fillId="40" borderId="8" xfId="0" applyFont="1" applyFill="1" applyBorder="1" applyAlignment="1">
      <alignment horizontal="center"/>
    </xf>
    <xf numFmtId="0" fontId="1" fillId="37" borderId="4" xfId="0" applyFont="1" applyFill="1" applyBorder="1" applyAlignment="1">
      <alignment horizontal="center" wrapText="1"/>
    </xf>
    <xf numFmtId="0" fontId="1" fillId="37" borderId="9" xfId="0" applyFont="1" applyFill="1" applyBorder="1" applyAlignment="1">
      <alignment horizontal="center" wrapText="1"/>
    </xf>
    <xf numFmtId="0" fontId="1" fillId="40" borderId="4" xfId="0" applyFont="1" applyFill="1" applyBorder="1" applyAlignment="1">
      <alignment horizontal="center" wrapText="1"/>
    </xf>
    <xf numFmtId="0" fontId="1" fillId="40" borderId="9" xfId="0" applyFont="1" applyFill="1" applyBorder="1" applyAlignment="1">
      <alignment horizontal="center" wrapText="1"/>
    </xf>
    <xf numFmtId="0" fontId="27" fillId="10" borderId="4" xfId="14" applyBorder="1" applyAlignment="1">
      <alignment horizontal="center"/>
    </xf>
    <xf numFmtId="0" fontId="27" fillId="10" borderId="9" xfId="14" applyBorder="1" applyAlignment="1">
      <alignment horizontal="center"/>
    </xf>
    <xf numFmtId="0" fontId="27" fillId="10" borderId="6" xfId="14" applyBorder="1" applyAlignment="1">
      <alignment horizontal="center"/>
    </xf>
    <xf numFmtId="0" fontId="27" fillId="10" borderId="8" xfId="14" applyBorder="1" applyAlignment="1">
      <alignment horizontal="center"/>
    </xf>
    <xf numFmtId="0" fontId="27" fillId="10" borderId="7" xfId="14" applyBorder="1" applyAlignment="1">
      <alignment horizontal="center"/>
    </xf>
    <xf numFmtId="0" fontId="4" fillId="2" borderId="3" xfId="0" applyFont="1" applyFill="1" applyBorder="1" applyAlignment="1">
      <alignment horizontal="center"/>
    </xf>
    <xf numFmtId="0" fontId="0" fillId="2" borderId="3" xfId="0" applyFill="1" applyBorder="1" applyAlignment="1">
      <alignment horizontal="center"/>
    </xf>
    <xf numFmtId="0" fontId="3" fillId="2" borderId="3" xfId="0" applyFont="1" applyFill="1" applyBorder="1" applyAlignment="1">
      <alignment vertical="top" wrapText="1"/>
    </xf>
    <xf numFmtId="0" fontId="0" fillId="2" borderId="3" xfId="0" applyFill="1" applyBorder="1" applyAlignment="1">
      <alignment vertical="top" wrapText="1"/>
    </xf>
    <xf numFmtId="0" fontId="31" fillId="41" borderId="37" xfId="0" applyFont="1" applyFill="1" applyBorder="1" applyAlignment="1">
      <alignment horizontal="center" vertical="top" wrapText="1"/>
    </xf>
    <xf numFmtId="0" fontId="32" fillId="41" borderId="38" xfId="0" applyFont="1" applyFill="1" applyBorder="1" applyAlignment="1">
      <alignment horizontal="center" vertical="top" wrapText="1"/>
    </xf>
    <xf numFmtId="0" fontId="32" fillId="41" borderId="39" xfId="0" applyFont="1" applyFill="1" applyBorder="1" applyAlignment="1">
      <alignment horizontal="center" vertical="top" wrapText="1"/>
    </xf>
  </cellXfs>
  <cellStyles count="92">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3"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rmal 10" xfId="52" xr:uid="{C37BEE22-09F0-4C60-9636-534A53D3E6E3}"/>
    <cellStyle name="Normal 11" xfId="53" xr:uid="{421A9881-BE64-4DCC-A7BB-CFBB6EA4B5C7}"/>
    <cellStyle name="Normal 12" xfId="54" xr:uid="{BABB97A7-A070-4359-AA28-001E25F280DA}"/>
    <cellStyle name="Normal 13" xfId="55" xr:uid="{98661AE4-C778-4E42-B5A9-E3A73F6A1DC9}"/>
    <cellStyle name="Normal 16" xfId="56" xr:uid="{4FA5C94B-1893-4938-8892-04F859C8C08A}"/>
    <cellStyle name="Normal 17" xfId="57" xr:uid="{649ACB0C-671C-40E8-B091-4B748DFE036F}"/>
    <cellStyle name="Normal 2" xfId="44" xr:uid="{36AFE388-5B93-46B7-BE0E-1561ED0B6A1A}"/>
    <cellStyle name="Normal 20" xfId="58" xr:uid="{FF0A9EC6-CF6F-47B7-8D32-040AF5B55CA0}"/>
    <cellStyle name="Normal 21" xfId="59" xr:uid="{1E19643E-796F-4F7B-B460-DB73E02EA35C}"/>
    <cellStyle name="Normal 22" xfId="60" xr:uid="{BFB71921-14A9-4A4F-85F9-38D8B819626A}"/>
    <cellStyle name="Normal 23" xfId="61" xr:uid="{6E063291-0A1F-4CDA-BF8B-77EF88091D89}"/>
    <cellStyle name="Normal 24" xfId="62" xr:uid="{B888A4B3-D2C6-4D02-9F9D-52AA1B718F1C}"/>
    <cellStyle name="Normal 25" xfId="63" xr:uid="{0F8646F2-D4FA-4C1C-A392-CEDE6ABDBFC6}"/>
    <cellStyle name="Normal 26" xfId="64" xr:uid="{4E914E1C-384C-4ED8-9354-A27C627B02BC}"/>
    <cellStyle name="Normal 28" xfId="65" xr:uid="{81FA7B34-6B8F-4665-B15E-7FE7545E826F}"/>
    <cellStyle name="Normal 29" xfId="66" xr:uid="{2B70E9B5-656D-4BE5-9E64-F71F82783714}"/>
    <cellStyle name="Normal 3" xfId="45" xr:uid="{ABFE8AC3-0742-4121-B576-0B39443A44B6}"/>
    <cellStyle name="Normal 30" xfId="67" xr:uid="{FC3C9C1E-FB1E-4453-B0B7-5878BF842EB7}"/>
    <cellStyle name="Normal 32" xfId="68" xr:uid="{620DAB77-1045-4384-BF3E-1D53AF8F6DC4}"/>
    <cellStyle name="Normal 33" xfId="69" xr:uid="{E9ED51DC-696E-4EB4-8682-E78952CB1A96}"/>
    <cellStyle name="Normal 34" xfId="70" xr:uid="{BE3C2E0C-F30C-4045-BD07-90FA34552B84}"/>
    <cellStyle name="Normal 35" xfId="71" xr:uid="{3DBDEDA3-E15A-493F-8045-15EC21FC8009}"/>
    <cellStyle name="Normal 36" xfId="72" xr:uid="{C429115D-4B8A-4187-BB29-CE229233CDC0}"/>
    <cellStyle name="Normal 38" xfId="73" xr:uid="{86B9BCA6-FCC9-4245-817B-7E070D3C3F21}"/>
    <cellStyle name="Normal 39" xfId="75" xr:uid="{F355776E-5276-4A71-85F9-39555A6A085A}"/>
    <cellStyle name="Normal 4" xfId="46" xr:uid="{2D588B8D-1978-4973-99A9-6ED129CD1FFD}"/>
    <cellStyle name="Normal 40" xfId="76" xr:uid="{DE6F1111-B0EB-45AB-943D-E49DF1F2572F}"/>
    <cellStyle name="Normal 41" xfId="77" xr:uid="{E0706171-FB5D-464E-B347-0800EBFB3D61}"/>
    <cellStyle name="Normal 42" xfId="78" xr:uid="{5C5F4E8D-376A-4C4C-87B2-A0230B1EFE38}"/>
    <cellStyle name="Normal 43" xfId="80" xr:uid="{2EE91163-BA02-460D-B327-7D74F34EF767}"/>
    <cellStyle name="Normal 44" xfId="79" xr:uid="{BB8ABA94-B0E9-4DF8-A88E-09DECAD6C443}"/>
    <cellStyle name="Normal 47" xfId="81" xr:uid="{ABFBEA6A-0B92-440D-A04B-98BE851FA8BC}"/>
    <cellStyle name="Normal 48" xfId="82" xr:uid="{1E1D07D9-B94C-459D-9C70-6C62FA002BFD}"/>
    <cellStyle name="Normal 49" xfId="83" xr:uid="{C67CF47B-3952-467C-ACDD-E7C14C586971}"/>
    <cellStyle name="Normal 5" xfId="47" xr:uid="{999D0236-0AFA-459C-8AD6-AD452B022EE3}"/>
    <cellStyle name="Normal 50" xfId="84" xr:uid="{5CDFC3E4-2342-4A05-A979-5835A81B3303}"/>
    <cellStyle name="Normal 51" xfId="85" xr:uid="{A40F6C87-C376-4320-8E87-028878BBBF66}"/>
    <cellStyle name="Normal 52" xfId="86" xr:uid="{B08C15B1-F643-4D11-A207-85911A7A2B0E}"/>
    <cellStyle name="Normal 55" xfId="90" xr:uid="{8D143F7B-8F88-4F05-9B05-FEF32DB0806E}"/>
    <cellStyle name="Normal 56" xfId="91" xr:uid="{8AF8B987-291B-44DD-9997-8EA931426C41}"/>
    <cellStyle name="Normal 57" xfId="74" xr:uid="{95B8C7D6-1E05-44EC-BFE6-D40E5D5E4CFB}"/>
    <cellStyle name="Normal 6" xfId="48" xr:uid="{09736E0E-3C51-4788-AA31-377AFA89F694}"/>
    <cellStyle name="Normal 62" xfId="88" xr:uid="{5C3F771C-71F8-4383-B8A3-6BA49C114310}"/>
    <cellStyle name="Normal 65" xfId="87" xr:uid="{F0F841BC-E963-4430-A0C5-1E0587B98B26}"/>
    <cellStyle name="Normal 66" xfId="89" xr:uid="{71E08A0D-A2BF-4133-8FA4-5685A6A52BA1}"/>
    <cellStyle name="Normal 7" xfId="49" xr:uid="{C8876CFE-D622-4D91-AACB-307AA40BD6CE}"/>
    <cellStyle name="Normal 8" xfId="50" xr:uid="{82232073-BD71-45FE-8899-C4D48CF0E7B6}"/>
    <cellStyle name="Normal 9" xfId="51" xr:uid="{8EA257D7-3947-45E9-A493-18A7E56A49CF}"/>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18">
    <dxf>
      <fill>
        <patternFill>
          <bgColor theme="0"/>
        </patternFill>
      </fill>
    </dxf>
    <dxf>
      <numFmt numFmtId="167" formatCode="0.0E+00"/>
    </dxf>
    <dxf>
      <numFmt numFmtId="4" formatCode="#,##0.00"/>
    </dxf>
    <dxf>
      <numFmt numFmtId="168" formatCode="#,##0.0"/>
    </dxf>
    <dxf>
      <numFmt numFmtId="3" formatCode="#,##0"/>
    </dxf>
    <dxf>
      <numFmt numFmtId="167" formatCode="0.0E+00"/>
    </dxf>
    <dxf>
      <fill>
        <patternFill patternType="solid">
          <fgColor indexed="64"/>
          <bgColor theme="0"/>
        </patternFill>
      </fill>
      <alignment horizontal="general" vertical="bottom" textRotation="0" wrapText="0" indent="0" justifyLastLine="0" shrinkToFit="0" readingOrder="0"/>
    </dxf>
    <dxf>
      <fill>
        <patternFill patternType="solid">
          <fgColor indexed="64"/>
          <bgColor theme="0"/>
        </patternFill>
      </fill>
      <alignment horizontal="general" vertical="bottom" textRotation="0" wrapText="0" indent="0" justifyLastLine="0" shrinkToFit="0" readingOrder="0"/>
    </dxf>
    <dxf>
      <fill>
        <patternFill patternType="solid">
          <fgColor indexed="64"/>
          <bgColor theme="0"/>
        </patternFill>
      </fill>
      <alignment horizontal="general" vertical="bottom" textRotation="0" wrapText="0" indent="0" justifyLastLine="0" shrinkToFit="0" readingOrder="0"/>
    </dxf>
    <dxf>
      <fill>
        <patternFill patternType="solid">
          <fgColor indexed="64"/>
          <bgColor theme="0"/>
        </patternFill>
      </fill>
      <alignment horizontal="general" vertical="bottom" textRotation="0" wrapText="0" indent="0" justifyLastLine="0" shrinkToFit="0" readingOrder="0"/>
    </dxf>
    <dxf>
      <fill>
        <patternFill patternType="solid">
          <fgColor indexed="64"/>
          <bgColor theme="0"/>
        </patternFill>
      </fill>
      <alignment horizontal="general" vertical="bottom" textRotation="0" wrapText="0" indent="0" justifyLastLine="0" shrinkToFit="0" readingOrder="0"/>
    </dxf>
    <dxf>
      <fill>
        <patternFill patternType="solid">
          <fgColor indexed="64"/>
          <bgColor theme="0"/>
        </patternFill>
      </fill>
    </dxf>
    <dxf>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fill>
        <patternFill patternType="solid">
          <fgColor indexed="64"/>
          <bgColor theme="0"/>
        </patternFill>
      </fill>
      <alignment horizontal="general" vertical="bottom" textRotation="0" wrapText="0" indent="0" justifyLastLine="0" shrinkToFit="0" readingOrder="0"/>
    </dxf>
    <dxf>
      <border outline="0">
        <bottom style="thin">
          <color indexed="64"/>
        </bottom>
      </border>
    </dxf>
    <dxf>
      <fill>
        <patternFill patternType="none">
          <bgColor auto="1"/>
        </patternFill>
      </fill>
    </dxf>
  </dxfs>
  <tableStyles count="0" defaultTableStyle="TableStyleMedium2" defaultPivotStyle="PivotStyleLight16"/>
  <colors>
    <mruColors>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2317750</xdr:colOff>
      <xdr:row>7</xdr:row>
      <xdr:rowOff>28575</xdr:rowOff>
    </xdr:from>
    <xdr:to>
      <xdr:col>0</xdr:col>
      <xdr:colOff>5232400</xdr:colOff>
      <xdr:row>22</xdr:row>
      <xdr:rowOff>161925</xdr:rowOff>
    </xdr:to>
    <xdr:pic>
      <xdr:nvPicPr>
        <xdr:cNvPr id="2" name="Picture 1">
          <a:extLst>
            <a:ext uri="{FF2B5EF4-FFF2-40B4-BE49-F238E27FC236}">
              <a16:creationId xmlns:a16="http://schemas.microsoft.com/office/drawing/2014/main" id="{DC64459A-CA6F-4653-B33F-A27250DADD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7750" y="1752600"/>
          <a:ext cx="2914650" cy="3000375"/>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DF1E05-BD04-4170-B010-76355CBEF83A}" name="Table1" displayName="Table1" ref="A1:H7" totalsRowShown="0" headerRowDxfId="17" dataDxfId="15" headerRowBorderDxfId="16" tableBorderDxfId="14">
  <autoFilter ref="A1:H7" xr:uid="{22DF1E05-BD04-4170-B010-76355CBEF83A}"/>
  <tableColumns count="8">
    <tableColumn id="1" xr3:uid="{18CE4E3C-BD28-46DC-A44D-6F140A09D184}" name="FRS Facility ID" dataDxfId="13"/>
    <tableColumn id="2" xr3:uid="{3E4060FB-E9DB-4313-AE73-418539FD6FE3}" name="OES Mapped (ERG)" dataDxfId="12"/>
    <tableColumn id="8" xr3:uid="{FD4382BE-D336-4D69-8825-2AC627A613BF}" name="OES Basis" dataDxfId="11"/>
    <tableColumn id="3" xr3:uid="{0B12C767-B99D-47D8-A3E9-427F33666243}" name="Column1" dataDxfId="10"/>
    <tableColumn id="4" xr3:uid="{C5D0B004-F425-43B6-A164-A8CB3E5BE11B}" name="Column2" dataDxfId="9"/>
    <tableColumn id="5" xr3:uid="{F61FD83C-0DF8-4812-9A76-DDEA9657561A}" name="Column3" dataDxfId="8"/>
    <tableColumn id="6" xr3:uid="{3D3BB99E-3CA7-4CB3-B4E1-DA1B64313DA4}" name="Column4" dataDxfId="7"/>
    <tableColumn id="7" xr3:uid="{E87856D2-C24A-42FA-8FAD-EFD967899FEE}" name="Column5"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7E6DBF-11CF-483F-BC2B-27366DC4325E}" name="Table3" displayName="Table3" ref="A1:C1110" totalsRowShown="0">
  <autoFilter ref="A1:C1110" xr:uid="{C67E6DBF-11CF-483F-BC2B-27366DC4325E}"/>
  <sortState xmlns:xlrd2="http://schemas.microsoft.com/office/spreadsheetml/2017/richdata2" ref="A2:C1110">
    <sortCondition ref="A1:A1110"/>
  </sortState>
  <tableColumns count="3">
    <tableColumn id="1" xr3:uid="{370BFF25-C430-41B8-8A8D-682F0F746B55}" name="Primary NAICS/SIC Code"/>
    <tableColumn id="2" xr3:uid="{23FB9BE4-9202-4023-83AC-F3BC79DC0665}" name="CDR IS Code"/>
    <tableColumn id="3" xr3:uid="{0AFD108C-BA9F-4E87-86FA-7A71AAADBCE0}" name="CDR Industry Sector Description"/>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B849A-0EC8-413C-8219-4CF2EC90364A}">
  <sheetPr codeName="Sheet1">
    <tabColor theme="1"/>
  </sheetPr>
  <dimension ref="A1:A16"/>
  <sheetViews>
    <sheetView showGridLines="0" tabSelected="1" zoomScaleNormal="100" workbookViewId="0"/>
  </sheetViews>
  <sheetFormatPr defaultRowHeight="15" x14ac:dyDescent="0.25"/>
  <cols>
    <col min="1" max="1" width="112.5703125" customWidth="1"/>
  </cols>
  <sheetData>
    <row r="1" spans="1:1" ht="18.75" x14ac:dyDescent="0.3">
      <c r="A1" s="281" t="s">
        <v>5460</v>
      </c>
    </row>
    <row r="2" spans="1:1" ht="18.75" x14ac:dyDescent="0.3">
      <c r="A2" s="282" t="s">
        <v>5461</v>
      </c>
    </row>
    <row r="3" spans="1:1" ht="28.5" customHeight="1" x14ac:dyDescent="0.25">
      <c r="A3" s="8"/>
    </row>
    <row r="4" spans="1:1" ht="20.25" x14ac:dyDescent="0.3">
      <c r="A4" s="286" t="s">
        <v>5463</v>
      </c>
    </row>
    <row r="5" spans="1:1" x14ac:dyDescent="0.25">
      <c r="A5" s="8"/>
    </row>
    <row r="6" spans="1:1" ht="18.75" x14ac:dyDescent="0.25">
      <c r="A6" s="283" t="s">
        <v>5462</v>
      </c>
    </row>
    <row r="7" spans="1:1" ht="15.75" x14ac:dyDescent="0.25">
      <c r="A7" s="284"/>
    </row>
    <row r="9" spans="1:1" x14ac:dyDescent="0.25">
      <c r="A9" s="8"/>
    </row>
    <row r="10" spans="1:1" x14ac:dyDescent="0.25">
      <c r="A10" s="8"/>
    </row>
    <row r="11" spans="1:1" x14ac:dyDescent="0.25">
      <c r="A11" s="8"/>
    </row>
    <row r="12" spans="1:1" x14ac:dyDescent="0.25">
      <c r="A12" s="8"/>
    </row>
    <row r="13" spans="1:1" x14ac:dyDescent="0.25">
      <c r="A13" s="8"/>
    </row>
    <row r="16" spans="1:1" ht="15.75" x14ac:dyDescent="0.25">
      <c r="A16" s="285"/>
    </row>
  </sheetData>
  <sheetProtection sheet="1" objects="1" scenarios="1" formatCells="0" formatColumns="0" formatRows="0" sort="0" autoFilter="0"/>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FD462-FE22-47FE-9CB8-57CD84F92C13}">
  <sheetPr codeName="Sheet2">
    <tabColor theme="1"/>
  </sheetPr>
  <dimension ref="A1:D23"/>
  <sheetViews>
    <sheetView workbookViewId="0"/>
  </sheetViews>
  <sheetFormatPr defaultRowHeight="15" x14ac:dyDescent="0.25"/>
  <cols>
    <col min="1" max="1" width="31.5703125" customWidth="1"/>
    <col min="2" max="2" width="101.85546875" customWidth="1"/>
    <col min="4" max="4" width="95.85546875" customWidth="1"/>
  </cols>
  <sheetData>
    <row r="1" spans="1:4" x14ac:dyDescent="0.25">
      <c r="A1" s="101" t="s">
        <v>0</v>
      </c>
    </row>
    <row r="2" spans="1:4" x14ac:dyDescent="0.25">
      <c r="A2" s="287" t="s">
        <v>1</v>
      </c>
      <c r="B2" s="287"/>
      <c r="C2" t="s">
        <v>2</v>
      </c>
    </row>
    <row r="3" spans="1:4" x14ac:dyDescent="0.25">
      <c r="A3" s="101" t="s">
        <v>3</v>
      </c>
    </row>
    <row r="4" spans="1:4" ht="15.75" thickBot="1" x14ac:dyDescent="0.3">
      <c r="A4" s="16"/>
      <c r="B4" s="14"/>
    </row>
    <row r="5" spans="1:4" x14ac:dyDescent="0.25">
      <c r="A5" s="170" t="s">
        <v>4</v>
      </c>
      <c r="B5" s="171" t="s">
        <v>5</v>
      </c>
    </row>
    <row r="6" spans="1:4" x14ac:dyDescent="0.25">
      <c r="A6" s="271" t="s">
        <v>6</v>
      </c>
      <c r="B6" s="172" t="s">
        <v>7</v>
      </c>
      <c r="D6" t="s">
        <v>2</v>
      </c>
    </row>
    <row r="7" spans="1:4" x14ac:dyDescent="0.25">
      <c r="A7" s="288" t="s">
        <v>8</v>
      </c>
      <c r="B7" s="289"/>
    </row>
    <row r="8" spans="1:4" ht="90" x14ac:dyDescent="0.25">
      <c r="A8" s="263" t="s">
        <v>9</v>
      </c>
      <c r="B8" s="173" t="s">
        <v>10</v>
      </c>
      <c r="D8" t="s">
        <v>2</v>
      </c>
    </row>
    <row r="9" spans="1:4" ht="30" x14ac:dyDescent="0.25">
      <c r="A9" s="263" t="s">
        <v>11</v>
      </c>
      <c r="B9" s="173" t="s">
        <v>12</v>
      </c>
    </row>
    <row r="10" spans="1:4" ht="165" x14ac:dyDescent="0.25">
      <c r="A10" s="264" t="s">
        <v>13</v>
      </c>
      <c r="B10" s="174" t="s">
        <v>14</v>
      </c>
    </row>
    <row r="11" spans="1:4" x14ac:dyDescent="0.25">
      <c r="A11" s="288" t="s">
        <v>15</v>
      </c>
      <c r="B11" s="289"/>
    </row>
    <row r="12" spans="1:4" ht="120" x14ac:dyDescent="0.25">
      <c r="A12" s="265" t="s">
        <v>16</v>
      </c>
      <c r="B12" s="174" t="s">
        <v>17</v>
      </c>
    </row>
    <row r="13" spans="1:4" ht="142.5" customHeight="1" x14ac:dyDescent="0.25">
      <c r="A13" s="265" t="s">
        <v>18</v>
      </c>
      <c r="B13" s="174" t="s">
        <v>19</v>
      </c>
      <c r="D13" s="7"/>
    </row>
    <row r="14" spans="1:4" x14ac:dyDescent="0.25">
      <c r="A14" s="288" t="s">
        <v>20</v>
      </c>
      <c r="B14" s="289"/>
      <c r="D14" s="7"/>
    </row>
    <row r="15" spans="1:4" ht="60" x14ac:dyDescent="0.25">
      <c r="A15" s="266" t="s">
        <v>21</v>
      </c>
      <c r="B15" s="174" t="s">
        <v>22</v>
      </c>
    </row>
    <row r="16" spans="1:4" ht="60" x14ac:dyDescent="0.25">
      <c r="A16" s="266" t="s">
        <v>23</v>
      </c>
      <c r="B16" s="174" t="s">
        <v>24</v>
      </c>
    </row>
    <row r="17" spans="1:2" ht="45" x14ac:dyDescent="0.25">
      <c r="A17" s="267" t="s">
        <v>25</v>
      </c>
      <c r="B17" s="174" t="s">
        <v>26</v>
      </c>
    </row>
    <row r="18" spans="1:2" x14ac:dyDescent="0.25">
      <c r="A18" s="288" t="s">
        <v>27</v>
      </c>
      <c r="B18" s="289"/>
    </row>
    <row r="19" spans="1:2" x14ac:dyDescent="0.25">
      <c r="A19" s="269" t="s">
        <v>28</v>
      </c>
      <c r="B19" s="268" t="s">
        <v>29</v>
      </c>
    </row>
    <row r="20" spans="1:2" ht="30" x14ac:dyDescent="0.25">
      <c r="A20" s="269" t="s">
        <v>30</v>
      </c>
      <c r="B20" s="268" t="s">
        <v>5469</v>
      </c>
    </row>
    <row r="21" spans="1:2" x14ac:dyDescent="0.25">
      <c r="A21" s="269" t="s">
        <v>31</v>
      </c>
      <c r="B21" s="268" t="s">
        <v>32</v>
      </c>
    </row>
    <row r="22" spans="1:2" ht="45.75" thickBot="1" x14ac:dyDescent="0.3">
      <c r="A22" s="270" t="s">
        <v>33</v>
      </c>
      <c r="B22" s="182" t="s">
        <v>34</v>
      </c>
    </row>
    <row r="23" spans="1:2" ht="15.75" thickBot="1" x14ac:dyDescent="0.3">
      <c r="A23" s="270" t="s">
        <v>35</v>
      </c>
      <c r="B23" s="182" t="s">
        <v>36</v>
      </c>
    </row>
  </sheetData>
  <sheetProtection sheet="1" objects="1" scenarios="1" formatCells="0" formatColumns="0" formatRows="0" sort="0" autoFilter="0"/>
  <autoFilter ref="A5:B23" xr:uid="{8B6FD462-FE22-47FE-9CB8-57CD84F92C13}"/>
  <mergeCells count="5">
    <mergeCell ref="A2:B2"/>
    <mergeCell ref="A7:B7"/>
    <mergeCell ref="A11:B11"/>
    <mergeCell ref="A14:B14"/>
    <mergeCell ref="A18:B18"/>
  </mergeCells>
  <pageMargins left="0.7"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AF9E8-8E02-4F93-9612-81509323D1F6}">
  <sheetPr codeName="Sheet3">
    <tabColor theme="4"/>
  </sheetPr>
  <dimension ref="A1:H27"/>
  <sheetViews>
    <sheetView workbookViewId="0">
      <selection sqref="A1:G1"/>
    </sheetView>
  </sheetViews>
  <sheetFormatPr defaultRowHeight="15" x14ac:dyDescent="0.25"/>
  <cols>
    <col min="1" max="1" width="27.42578125" customWidth="1"/>
    <col min="2" max="2" width="14.85546875" customWidth="1"/>
    <col min="3" max="3" width="14.140625" customWidth="1"/>
    <col min="4" max="4" width="19.28515625" customWidth="1"/>
    <col min="5" max="7" width="12.5703125" customWidth="1"/>
  </cols>
  <sheetData>
    <row r="1" spans="1:7" x14ac:dyDescent="0.25">
      <c r="A1" s="291" t="s">
        <v>37</v>
      </c>
      <c r="B1" s="292"/>
      <c r="C1" s="292"/>
      <c r="D1" s="292"/>
      <c r="E1" s="292"/>
      <c r="F1" s="292"/>
      <c r="G1" s="293"/>
    </row>
    <row r="2" spans="1:7" x14ac:dyDescent="0.25">
      <c r="A2" s="294" t="s">
        <v>38</v>
      </c>
      <c r="B2" s="295"/>
      <c r="C2" s="295"/>
      <c r="D2" s="295"/>
      <c r="E2" s="295"/>
      <c r="F2" s="295"/>
      <c r="G2" s="296"/>
    </row>
    <row r="3" spans="1:7" x14ac:dyDescent="0.25">
      <c r="A3" s="20"/>
      <c r="B3" s="19"/>
      <c r="C3" s="19">
        <v>2019</v>
      </c>
      <c r="D3" s="19">
        <v>2020</v>
      </c>
      <c r="E3" s="19">
        <v>2021</v>
      </c>
      <c r="F3" s="19">
        <v>2022</v>
      </c>
      <c r="G3" s="21">
        <v>2023</v>
      </c>
    </row>
    <row r="4" spans="1:7" x14ac:dyDescent="0.25">
      <c r="A4" s="22" t="s">
        <v>39</v>
      </c>
      <c r="B4" s="15">
        <f>SUMIFS('Processed Non-zero TRI Data'!$T$2:$T$6, 'Processed Non-zero TRI Data'!$A$2:$A$6, B3, 'Processed Non-zero TRI Data'!$K$2:$K$6, "R")</f>
        <v>0</v>
      </c>
      <c r="C4" s="15">
        <f>SUMIFS('Processed Non-zero TRI Data'!$T$2:$T$6, 'Processed Non-zero TRI Data'!$A$2:$A$6, C3, 'Processed Non-zero TRI Data'!$K$2:$K$6, "R")</f>
        <v>540.22851266999999</v>
      </c>
      <c r="D4" s="15">
        <f>SUMIFS('Processed Non-zero TRI Data'!$T$2:$T$6, 'Processed Non-zero TRI Data'!$A$2:$A$6, D3, 'Processed Non-zero TRI Data'!$K$2:$K$6, "R")</f>
        <v>43.998459889999999</v>
      </c>
      <c r="E4" s="15">
        <f>SUMIFS('Processed Non-zero TRI Data'!$T$2:$T$6, 'Processed Non-zero TRI Data'!$A$2:$A$6, E3, 'Processed Non-zero TRI Data'!$K$2:$K$6, "R")</f>
        <v>98.883136660000005</v>
      </c>
      <c r="F4" s="15">
        <f>SUMIFS('Processed Non-zero TRI Data'!$T$2:$T$6, 'Processed Non-zero TRI Data'!$A$2:$A$6, F3, 'Processed Non-zero TRI Data'!$K$2:$K$6, "R")</f>
        <v>85.275365560000012</v>
      </c>
      <c r="G4" s="169">
        <f>SUMIFS('Processed Non-zero TRI Data'!$T$2:$T$6, 'Processed Non-zero TRI Data'!$A$2:$A$6, G3, 'Processed Non-zero TRI Data'!$K$2:$K$6, "R")</f>
        <v>0</v>
      </c>
    </row>
    <row r="5" spans="1:7" x14ac:dyDescent="0.25">
      <c r="A5" s="22" t="s">
        <v>40</v>
      </c>
      <c r="B5" s="15">
        <f>SUMIFS('Processed Non-zero TRI Data'!$V$2:$V$6, 'Processed Non-zero TRI Data'!$A$2:$A$6, B3, 'Processed Non-zero TRI Data'!$K$2:$K$6, "R")</f>
        <v>0</v>
      </c>
      <c r="C5" s="15">
        <f>SUMIFS('Processed Non-zero TRI Data'!$V$2:$V$6, 'Processed Non-zero TRI Data'!$A$2:$A$6, C3, 'Processed Non-zero TRI Data'!$K$2:$K$6, "R")</f>
        <v>0</v>
      </c>
      <c r="D5" s="15">
        <f>SUMIFS('Processed Non-zero TRI Data'!$V$2:$V$6, 'Processed Non-zero TRI Data'!$A$2:$A$6, D3, 'Processed Non-zero TRI Data'!$K$2:$K$6, "R")</f>
        <v>0</v>
      </c>
      <c r="E5" s="15">
        <f>SUMIFS('Processed Non-zero TRI Data'!$V$2:$V$6, 'Processed Non-zero TRI Data'!$A$2:$A$6, E3, 'Processed Non-zero TRI Data'!$K$2:$K$6, "R")</f>
        <v>0</v>
      </c>
      <c r="F5" s="15">
        <f>SUMIFS('Processed Non-zero TRI Data'!$V$2:$V$6, 'Processed Non-zero TRI Data'!$A$2:$A$6, F3, 'Processed Non-zero TRI Data'!$K$2:$K$6, "R")</f>
        <v>0</v>
      </c>
      <c r="G5" s="169">
        <f>SUMIFS('Processed Non-zero TRI Data'!$V$2:$V$6, 'Processed Non-zero TRI Data'!$A$2:$A$6, G3, 'Processed Non-zero TRI Data'!$K$2:$K$6, "R")</f>
        <v>0</v>
      </c>
    </row>
    <row r="6" spans="1:7" x14ac:dyDescent="0.25">
      <c r="A6" s="22" t="s">
        <v>41</v>
      </c>
      <c r="B6" s="15">
        <f>SUMIFS('Processed Non-zero TRI Data'!$X$2:$X$6, 'Processed Non-zero TRI Data'!$A$2:$A$6, B3, 'Processed Non-zero TRI Data'!$K$2:$K$6, "R")</f>
        <v>0</v>
      </c>
      <c r="C6" s="15">
        <f>SUMIFS('Processed Non-zero TRI Data'!$X:$X, 'Processed Non-zero TRI Data'!$A:$A, C3, 'Processed Non-zero TRI Data'!$K:$K, "R")</f>
        <v>488.06539012000002</v>
      </c>
      <c r="D6" s="15">
        <f>SUMIFS('Processed Non-zero TRI Data'!$X:$X, 'Processed Non-zero TRI Data'!$A:$A, D3, 'Processed Non-zero TRI Data'!$K:$K, "R")</f>
        <v>3305.7811925600004</v>
      </c>
      <c r="E6" s="15">
        <f>SUMIFS('Processed Non-zero TRI Data'!$X:$X, 'Processed Non-zero TRI Data'!$A:$A, E3, 'Processed Non-zero TRI Data'!$K:$K, "R")</f>
        <v>572.88716331000001</v>
      </c>
      <c r="F6" s="15">
        <f>SUMIFS('Processed Non-zero TRI Data'!$X:$X, 'Processed Non-zero TRI Data'!$A:$A, F3, 'Processed Non-zero TRI Data'!$K:$K, "R")</f>
        <v>1885.1298897200002</v>
      </c>
      <c r="G6" s="15">
        <f>SUMIFS('Processed Non-zero TRI Data'!$X:$X, 'Processed Non-zero TRI Data'!$A:$A, G3, 'Processed Non-zero TRI Data'!$K:$K, "R")</f>
        <v>1124.45548523</v>
      </c>
    </row>
    <row r="7" spans="1:7" x14ac:dyDescent="0.25">
      <c r="A7" s="297" t="s">
        <v>42</v>
      </c>
      <c r="B7" s="298"/>
      <c r="C7" s="298"/>
      <c r="D7" s="298"/>
      <c r="E7" s="298"/>
      <c r="F7" s="298"/>
      <c r="G7" s="299"/>
    </row>
    <row r="8" spans="1:7" ht="15.75" thickBot="1" x14ac:dyDescent="0.3">
      <c r="A8" s="11" t="s">
        <v>39</v>
      </c>
      <c r="B8" s="23"/>
      <c r="C8" s="23">
        <f>SUMIF('Processed Non-zero DMR Data'!$A:$A, 'Total Annual Releases'!C3, 'Processed Non-zero DMR Data'!$W:$W)</f>
        <v>571.87103130456819</v>
      </c>
      <c r="D8" s="23">
        <f>SUMIF('Processed Non-zero DMR Data'!$A:$A, 'Total Annual Releases'!D3, 'Processed Non-zero DMR Data'!$W:$W)</f>
        <v>531.84423601490289</v>
      </c>
      <c r="E8" s="23">
        <f>SUMIF('Processed Non-zero DMR Data'!$A:$A, 'Total Annual Releases'!E3, 'Processed Non-zero DMR Data'!$W:$W)</f>
        <v>937.64273123251314</v>
      </c>
      <c r="F8" s="23">
        <f>SUMIF('Processed Non-zero DMR Data'!$A:$A, 'Total Annual Releases'!F3, 'Processed Non-zero DMR Data'!$W:$W)</f>
        <v>715.00630859686294</v>
      </c>
      <c r="G8" s="23">
        <f>SUMIF('Processed Non-zero DMR Data'!$A:$A, 'Total Annual Releases'!G3, 'Processed Non-zero DMR Data'!$W:$W)</f>
        <v>303.55538388893302</v>
      </c>
    </row>
    <row r="11" spans="1:7" ht="76.5" customHeight="1" x14ac:dyDescent="0.25">
      <c r="A11" s="290" t="s">
        <v>43</v>
      </c>
      <c r="B11" s="290"/>
      <c r="C11" s="290"/>
      <c r="D11" s="290"/>
      <c r="E11" s="290"/>
      <c r="F11" s="290"/>
      <c r="G11" s="290"/>
    </row>
    <row r="12" spans="1:7" x14ac:dyDescent="0.25">
      <c r="A12" s="278" t="s">
        <v>44</v>
      </c>
      <c r="B12" s="278"/>
      <c r="C12" s="277"/>
      <c r="D12" s="277"/>
      <c r="E12" s="277">
        <v>0</v>
      </c>
      <c r="F12" s="278"/>
      <c r="G12" s="277"/>
    </row>
    <row r="13" spans="1:7" ht="21.75" customHeight="1" x14ac:dyDescent="0.25">
      <c r="A13" s="300" t="s">
        <v>45</v>
      </c>
      <c r="B13" s="300"/>
      <c r="C13" s="300"/>
      <c r="D13" s="300"/>
      <c r="E13" s="176">
        <f>E12*CONVERT(500,"lbm","kg")</f>
        <v>0</v>
      </c>
      <c r="F13" s="278" t="s">
        <v>46</v>
      </c>
      <c r="G13" s="278"/>
    </row>
    <row r="14" spans="1:7" x14ac:dyDescent="0.25">
      <c r="A14" s="278" t="s">
        <v>47</v>
      </c>
      <c r="B14" s="278"/>
      <c r="C14" s="278"/>
      <c r="D14" s="278"/>
      <c r="E14" s="278">
        <v>0</v>
      </c>
      <c r="F14" s="278"/>
      <c r="G14" s="278"/>
    </row>
    <row r="15" spans="1:7" x14ac:dyDescent="0.25">
      <c r="A15" s="278" t="s">
        <v>48</v>
      </c>
      <c r="B15" s="278"/>
      <c r="C15" s="278"/>
      <c r="D15" s="278"/>
      <c r="E15" s="176">
        <f>E14*CONVERT(500,"lbm","kg")</f>
        <v>0</v>
      </c>
      <c r="F15" s="278" t="s">
        <v>46</v>
      </c>
      <c r="G15" s="278"/>
    </row>
    <row r="17" spans="1:8" ht="42.75" customHeight="1" x14ac:dyDescent="0.25">
      <c r="A17" s="290"/>
      <c r="B17" s="290"/>
      <c r="C17" s="290"/>
      <c r="D17" s="290"/>
      <c r="E17" s="290"/>
      <c r="F17" s="290"/>
      <c r="G17" s="290"/>
      <c r="H17" s="277"/>
    </row>
    <row r="18" spans="1:8" x14ac:dyDescent="0.25">
      <c r="A18" s="177"/>
      <c r="B18" s="177"/>
      <c r="C18" s="177"/>
      <c r="D18" s="277"/>
      <c r="E18" s="277"/>
      <c r="F18" s="277"/>
      <c r="G18" s="277"/>
      <c r="H18" s="278"/>
    </row>
    <row r="19" spans="1:8" x14ac:dyDescent="0.25">
      <c r="A19" s="277"/>
      <c r="B19" s="277"/>
      <c r="C19" s="277"/>
      <c r="D19" s="277"/>
      <c r="E19" s="277"/>
      <c r="F19" s="277"/>
      <c r="G19" s="277"/>
      <c r="H19" s="278"/>
    </row>
    <row r="20" spans="1:8" x14ac:dyDescent="0.25">
      <c r="A20" s="277"/>
      <c r="B20" s="277"/>
      <c r="C20" s="278"/>
      <c r="D20" s="277"/>
      <c r="E20" s="277"/>
      <c r="F20" s="277"/>
      <c r="G20" s="277"/>
      <c r="H20" s="278"/>
    </row>
    <row r="21" spans="1:8" x14ac:dyDescent="0.25">
      <c r="A21" s="277"/>
      <c r="B21" s="277"/>
      <c r="C21" s="277"/>
      <c r="D21" s="277"/>
      <c r="E21" s="277"/>
      <c r="F21" s="277"/>
      <c r="G21" s="277"/>
      <c r="H21" s="278"/>
    </row>
    <row r="22" spans="1:8" x14ac:dyDescent="0.25">
      <c r="A22" s="277"/>
      <c r="B22" s="277"/>
      <c r="C22" s="277"/>
      <c r="D22" s="277"/>
      <c r="E22" s="277"/>
      <c r="F22" s="277"/>
      <c r="G22" s="277"/>
      <c r="H22" s="278"/>
    </row>
    <row r="23" spans="1:8" ht="39.75" customHeight="1" x14ac:dyDescent="0.25">
      <c r="A23" s="290"/>
      <c r="B23" s="290"/>
      <c r="C23" s="290"/>
      <c r="D23" s="290"/>
      <c r="E23" s="290"/>
      <c r="F23" s="290"/>
      <c r="G23" s="290"/>
      <c r="H23" s="290"/>
    </row>
    <row r="24" spans="1:8" x14ac:dyDescent="0.25">
      <c r="A24" s="277"/>
      <c r="B24" s="177"/>
      <c r="C24" s="177"/>
      <c r="D24" s="277"/>
      <c r="E24" s="277"/>
      <c r="F24" s="277"/>
      <c r="G24" s="277"/>
      <c r="H24" s="278"/>
    </row>
    <row r="25" spans="1:8" x14ac:dyDescent="0.25">
      <c r="A25" s="277"/>
      <c r="B25" s="277"/>
      <c r="C25" s="277"/>
      <c r="D25" s="277"/>
      <c r="E25" s="277"/>
      <c r="F25" s="277"/>
      <c r="G25" s="277"/>
      <c r="H25" s="278"/>
    </row>
    <row r="26" spans="1:8" x14ac:dyDescent="0.25">
      <c r="A26" s="278"/>
      <c r="B26" s="278"/>
      <c r="C26" s="278"/>
      <c r="D26" s="278"/>
      <c r="E26" s="278"/>
      <c r="F26" s="278"/>
      <c r="G26" s="278"/>
      <c r="H26" s="278"/>
    </row>
    <row r="27" spans="1:8" ht="39" customHeight="1" x14ac:dyDescent="0.25">
      <c r="A27" s="290"/>
      <c r="B27" s="290"/>
      <c r="C27" s="290"/>
      <c r="D27" s="290"/>
      <c r="E27" s="290"/>
      <c r="F27" s="290"/>
      <c r="G27" s="290"/>
      <c r="H27" s="290"/>
    </row>
  </sheetData>
  <sheetProtection sheet="1" objects="1" scenarios="1" formatCells="0" formatColumns="0" formatRows="0" sort="0" autoFilter="0"/>
  <autoFilter ref="A3:G3" xr:uid="{091AF9E8-8E02-4F93-9612-81509323D1F6}"/>
  <mergeCells count="8">
    <mergeCell ref="A27:H27"/>
    <mergeCell ref="A23:H23"/>
    <mergeCell ref="A1:G1"/>
    <mergeCell ref="A2:G2"/>
    <mergeCell ref="A7:G7"/>
    <mergeCell ref="A11:G11"/>
    <mergeCell ref="A17:G17"/>
    <mergeCell ref="A13:D13"/>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0629E-2BD5-4EE6-A26D-A0155DEB9627}">
  <sheetPr codeName="Sheet4">
    <tabColor theme="4"/>
  </sheetPr>
  <dimension ref="A1:J23"/>
  <sheetViews>
    <sheetView zoomScale="120" zoomScaleNormal="120" workbookViewId="0"/>
  </sheetViews>
  <sheetFormatPr defaultRowHeight="15" x14ac:dyDescent="0.25"/>
  <cols>
    <col min="1" max="1" width="59.5703125" bestFit="1" customWidth="1"/>
    <col min="2" max="3" width="20.7109375" style="8" customWidth="1"/>
    <col min="4" max="4" width="16.140625" style="8" customWidth="1"/>
    <col min="5" max="5" width="11" customWidth="1"/>
    <col min="6" max="6" width="11.7109375" customWidth="1"/>
    <col min="7" max="7" width="17.28515625" customWidth="1"/>
    <col min="8" max="8" width="14.5703125" bestFit="1" customWidth="1"/>
    <col min="9" max="10" width="16" customWidth="1"/>
    <col min="13" max="13" width="9.140625" bestFit="1" customWidth="1"/>
  </cols>
  <sheetData>
    <row r="1" spans="1:10" x14ac:dyDescent="0.25">
      <c r="A1" s="210" t="s">
        <v>42</v>
      </c>
      <c r="G1" s="301" t="s">
        <v>49</v>
      </c>
      <c r="H1" s="302"/>
      <c r="I1" s="301" t="s">
        <v>50</v>
      </c>
      <c r="J1" s="302"/>
    </row>
    <row r="2" spans="1:10" ht="30" x14ac:dyDescent="0.25">
      <c r="A2" s="279" t="s">
        <v>51</v>
      </c>
      <c r="B2" s="279" t="s">
        <v>52</v>
      </c>
      <c r="C2" s="225" t="s">
        <v>53</v>
      </c>
      <c r="D2" s="225" t="s">
        <v>54</v>
      </c>
      <c r="E2" s="225" t="s">
        <v>55</v>
      </c>
      <c r="F2" s="226" t="s">
        <v>56</v>
      </c>
      <c r="G2" s="226" t="s">
        <v>57</v>
      </c>
      <c r="H2" s="226" t="s">
        <v>58</v>
      </c>
      <c r="I2" s="226" t="s">
        <v>59</v>
      </c>
      <c r="J2" s="226" t="s">
        <v>60</v>
      </c>
    </row>
    <row r="3" spans="1:10" x14ac:dyDescent="0.25">
      <c r="A3" s="9" t="s">
        <v>5459</v>
      </c>
      <c r="B3" s="12" cm="1">
        <f t="array" ref="B3">SUM(--(FREQUENCY(IF(('Processed Non-zero DMR Data'!W:W&gt;0)*('Processed Non-zero DMR Data'!S:S=A3),MATCH('Processed Non-zero DMR Data'!$I:$I,'Processed Non-zero DMR Data'!$I:$I,0)),ROW('Processed Non-zero DMR Data'!$I:$I)-ROW('Processed Non-zero DMR Data'!$I$2)+1)&gt;0))</f>
        <v>1</v>
      </c>
      <c r="C3" s="227">
        <f>COUNTIF('Processed Non-zero DMR Data'!S:S, 'TRI and DMR OES Summary'!A3)</f>
        <v>5</v>
      </c>
      <c r="D3" s="227">
        <v>350</v>
      </c>
      <c r="E3" s="246">
        <f>IF(B3&gt;0, _xlfn.MINIFS('Processed Non-zero DMR Data'!$W:$W,'Processed Non-zero DMR Data'!$S:$S,$A3), "n/a")</f>
        <v>0.51358976999999995</v>
      </c>
      <c r="F3" s="246">
        <f>IF(E3&gt;0, _xlfn.MAXIFS('Processed Non-zero DMR Data'!$W:$W,'Processed Non-zero DMR Data'!$S:$S,$A3), "n/a")</f>
        <v>6.0027198999999998</v>
      </c>
      <c r="G3" s="246" cm="1">
        <f t="array" ref="G3">IFERROR(PERCENTILE(IF('Processed Non-zero DMR Data'!$S:$S=$A3, 'Processed Non-zero DMR Data'!$W:$W),0.5), "n/a")</f>
        <v>1.646431</v>
      </c>
      <c r="H3" s="246" cm="1">
        <f t="array" ref="H3">IFERROR(PERCENTILE(IF('Processed Non-zero DMR Data'!$S:$S=$A3, 'Processed Non-zero DMR Data'!$W:$W),0.95), "n/a")</f>
        <v>5.4283690399999998</v>
      </c>
      <c r="I3" s="246">
        <f t="shared" ref="I3:I15" si="0">IFERROR(G3/D3, "")</f>
        <v>4.7040885714285715E-3</v>
      </c>
      <c r="J3" s="246">
        <f t="shared" ref="J3:J15" si="1">IFERROR(H3/D3, "")</f>
        <v>1.5509625828571428E-2</v>
      </c>
    </row>
    <row r="4" spans="1:10" x14ac:dyDescent="0.25">
      <c r="A4" s="9" t="s">
        <v>61</v>
      </c>
      <c r="B4" s="12" cm="1">
        <f t="array" ref="B4">SUM(--(FREQUENCY(IF(('Processed Non-zero DMR Data'!W:W&gt;0)*('Processed Non-zero DMR Data'!S:S=A4),MATCH('Processed Non-zero DMR Data'!$I:$I,'Processed Non-zero DMR Data'!$I:$I,0)),ROW('Processed Non-zero DMR Data'!$I:$I)-ROW('Processed Non-zero DMR Data'!$I$2)+1)&gt;0))</f>
        <v>4</v>
      </c>
      <c r="C4" s="227">
        <f>COUNTIF('Processed Non-zero DMR Data'!S:S, 'TRI and DMR OES Summary'!A4)</f>
        <v>17</v>
      </c>
      <c r="D4" s="227">
        <v>250</v>
      </c>
      <c r="E4" s="246">
        <f>IF(B4&gt;0, _xlfn.MINIFS('Processed Non-zero DMR Data'!$W:$W,'Processed Non-zero DMR Data'!$S:$S,$A4), "n/a")</f>
        <v>8.5171016250000006E-3</v>
      </c>
      <c r="F4" s="246">
        <f>IF(E4&gt;0, _xlfn.MAXIFS('Processed Non-zero DMR Data'!$W:$W,'Processed Non-zero DMR Data'!$S:$S,$A4), "n/a")</f>
        <v>427.35197305000003</v>
      </c>
      <c r="G4" s="246" cm="1">
        <f t="array" ref="G4">IFERROR(PERCENTILE(IF('Processed Non-zero DMR Data'!$S:$S=$A4, 'Processed Non-zero DMR Data'!$W:$W),0.5), "n/a")</f>
        <v>9.6706749999999994E-2</v>
      </c>
      <c r="H4" s="246" cm="1">
        <f t="array" ref="H4">IFERROR(PERCENTILE(IF('Processed Non-zero DMR Data'!$S:$S=$A4, 'Processed Non-zero DMR Data'!$W:$W),0.95), "n/a")</f>
        <v>87.826254309999698</v>
      </c>
      <c r="I4" s="246">
        <f t="shared" si="0"/>
        <v>3.8682699999999996E-4</v>
      </c>
      <c r="J4" s="246">
        <f t="shared" si="1"/>
        <v>0.3513050172399988</v>
      </c>
    </row>
    <row r="5" spans="1:10" x14ac:dyDescent="0.25">
      <c r="A5" s="9" t="s">
        <v>62</v>
      </c>
      <c r="B5" s="12" cm="1">
        <f t="array" ref="B5">SUM(--(FREQUENCY(IF(('Processed Non-zero DMR Data'!W:W&gt;0)*('Processed Non-zero DMR Data'!S:S=A5),MATCH('Processed Non-zero DMR Data'!$I:$I,'Processed Non-zero DMR Data'!$I:$I,0)),ROW('Processed Non-zero DMR Data'!$I:$I)-ROW('Processed Non-zero DMR Data'!$I$2)+1)&gt;0))</f>
        <v>43</v>
      </c>
      <c r="C5" s="227">
        <f>COUNTIF('Processed Non-zero DMR Data'!S:S, 'TRI and DMR OES Summary'!A5)</f>
        <v>161</v>
      </c>
      <c r="D5" s="227">
        <v>350</v>
      </c>
      <c r="E5" s="246">
        <f>IF(B5&gt;0, _xlfn.MINIFS('Processed Non-zero DMR Data'!$W:$W,'Processed Non-zero DMR Data'!$S:$S,$A5), "n/a")</f>
        <v>1.6570999999999999E-3</v>
      </c>
      <c r="F5" s="246">
        <f>IF(E5&gt;0, _xlfn.MAXIFS('Processed Non-zero DMR Data'!$W:$W,'Processed Non-zero DMR Data'!$S:$S,$A5), "n/a")</f>
        <v>14.064920000000001</v>
      </c>
      <c r="G5" s="246" cm="1">
        <f t="array" ref="G5">IFERROR(PERCENTILE(IF('Processed Non-zero DMR Data'!$S:$S=$A5, 'Processed Non-zero DMR Data'!$W:$W),0.5), "n/a")</f>
        <v>0.414275</v>
      </c>
      <c r="H5" s="246" cm="1">
        <f t="array" ref="H5">IFERROR(PERCENTILE(IF('Processed Non-zero DMR Data'!$S:$S=$A5, 'Processed Non-zero DMR Data'!$W:$W),0.95), "n/a")</f>
        <v>9.7768899999999999</v>
      </c>
      <c r="I5" s="246">
        <f t="shared" si="0"/>
        <v>1.1836428571428571E-3</v>
      </c>
      <c r="J5" s="246">
        <f t="shared" si="1"/>
        <v>2.7933971428571427E-2</v>
      </c>
    </row>
    <row r="6" spans="1:10" x14ac:dyDescent="0.25">
      <c r="A6" s="9" t="s">
        <v>63</v>
      </c>
      <c r="B6" s="12" cm="1">
        <f t="array" ref="B6">SUM(--(FREQUENCY(IF(('Processed Non-zero DMR Data'!W:W&gt;0)*('Processed Non-zero DMR Data'!S:S=A6),MATCH('Processed Non-zero DMR Data'!$I:$I,'Processed Non-zero DMR Data'!$I:$I,0)),ROW('Processed Non-zero DMR Data'!$I:$I)-ROW('Processed Non-zero DMR Data'!$I$2)+1)&gt;0))</f>
        <v>13</v>
      </c>
      <c r="C6" s="227">
        <f>COUNTIF('Processed Non-zero DMR Data'!S:S, 'TRI and DMR OES Summary'!A6)</f>
        <v>46</v>
      </c>
      <c r="D6" s="227">
        <v>350</v>
      </c>
      <c r="E6" s="246">
        <f>IF(B6&gt;0, _xlfn.MINIFS('Processed Non-zero DMR Data'!$W:$W,'Processed Non-zero DMR Data'!$S:$S,$A6), "n/a")</f>
        <v>3.5461939999999999E-3</v>
      </c>
      <c r="F6" s="246">
        <f>IF(E6&gt;0, _xlfn.MAXIFS('Processed Non-zero DMR Data'!$W:$W,'Processed Non-zero DMR Data'!$S:$S,$A6), "n/a")</f>
        <v>10.859680000000001</v>
      </c>
      <c r="G6" s="246" cm="1">
        <f t="array" ref="G6">IFERROR(PERCENTILE(IF('Processed Non-zero DMR Data'!$S:$S=$A6, 'Processed Non-zero DMR Data'!$W:$W),0.5), "n/a")</f>
        <v>0.35913669999999998</v>
      </c>
      <c r="H6" s="246" cm="1">
        <f t="array" ref="H6">IFERROR(PERCENTILE(IF('Processed Non-zero DMR Data'!$S:$S=$A6, 'Processed Non-zero DMR Data'!$W:$W),0.95), "n/a")</f>
        <v>7.3094000000000001</v>
      </c>
      <c r="I6" s="246">
        <f t="shared" ref="I6" si="2">IFERROR(G6/D6, "")</f>
        <v>1.026104857142857E-3</v>
      </c>
      <c r="J6" s="246">
        <f t="shared" ref="J6" si="3">IFERROR(H6/D6, "")</f>
        <v>2.0884E-2</v>
      </c>
    </row>
    <row r="7" spans="1:10" x14ac:dyDescent="0.25">
      <c r="A7" s="9" t="s">
        <v>64</v>
      </c>
      <c r="B7" s="12" cm="1">
        <f t="array" ref="B7">SUM(--(FREQUENCY(IF(('Processed Non-zero DMR Data'!W:W&gt;0)*('Processed Non-zero DMR Data'!S:S=A7),MATCH('Processed Non-zero DMR Data'!$I:$I,'Processed Non-zero DMR Data'!$I:$I,0)),ROW('Processed Non-zero DMR Data'!$I:$I)-ROW('Processed Non-zero DMR Data'!$I$2)+1)&gt;0))</f>
        <v>0</v>
      </c>
      <c r="C7" s="227">
        <f>COUNTIF('Processed Non-zero DMR Data'!S:S, 'TRI and DMR OES Summary'!A7)</f>
        <v>0</v>
      </c>
      <c r="D7" s="227">
        <v>365</v>
      </c>
      <c r="E7" s="246" t="str">
        <f>IF(B7&gt;0, _xlfn.MINIFS('Processed Non-zero DMR Data'!$W:$W,'Processed Non-zero DMR Data'!$S:$S,$A7), "n/a")</f>
        <v>n/a</v>
      </c>
      <c r="F7" s="246">
        <f>IF(E7&gt;0, _xlfn.MAXIFS('Processed Non-zero DMR Data'!$W:$W,'Processed Non-zero DMR Data'!$S:$S,$A7), "n/a")</f>
        <v>0</v>
      </c>
      <c r="G7" s="246" t="str" cm="1">
        <f t="array" ref="G7">IFERROR(PERCENTILE(IF('Processed Non-zero DMR Data'!$S:$S=$A7, 'Processed Non-zero DMR Data'!$W:$W),0.5), "n/a")</f>
        <v>n/a</v>
      </c>
      <c r="H7" s="246" t="str" cm="1">
        <f t="array" ref="H7">IFERROR(PERCENTILE(IF('Processed Non-zero DMR Data'!$S:$S=$A7, 'Processed Non-zero DMR Data'!$W:$W),0.95), "n/a")</f>
        <v>n/a</v>
      </c>
      <c r="I7" s="246" t="str">
        <f t="shared" si="0"/>
        <v/>
      </c>
      <c r="J7" s="246" t="str">
        <f t="shared" si="1"/>
        <v/>
      </c>
    </row>
    <row r="8" spans="1:10" x14ac:dyDescent="0.25">
      <c r="A8" s="9" t="s">
        <v>65</v>
      </c>
      <c r="B8" s="12" cm="1">
        <f t="array" ref="B8">SUM(--(FREQUENCY(IF(('Processed Non-zero DMR Data'!W:W&gt;0)*('Processed Non-zero DMR Data'!S:S=A8),MATCH('Processed Non-zero DMR Data'!$I:$I,'Processed Non-zero DMR Data'!$I:$I,0)),ROW('Processed Non-zero DMR Data'!$I:$I)-ROW('Processed Non-zero DMR Data'!$I$2)+1)&gt;0))</f>
        <v>1</v>
      </c>
      <c r="C8" s="227">
        <f>COUNTIF('Processed Non-zero DMR Data'!S:S, 'TRI and DMR OES Summary'!A8)</f>
        <v>2</v>
      </c>
      <c r="D8" s="227">
        <v>300</v>
      </c>
      <c r="E8" s="246">
        <f>IF(B8&gt;0, _xlfn.MINIFS('Processed Non-zero DMR Data'!$W:$W,'Processed Non-zero DMR Data'!$S:$S,$A8), "n/a")</f>
        <v>3.4622039999999998</v>
      </c>
      <c r="F8" s="246">
        <f>IF(E8&gt;0, _xlfn.MAXIFS('Processed Non-zero DMR Data'!$W:$W,'Processed Non-zero DMR Data'!$S:$S,$A8), "n/a")</f>
        <v>4.2712320000000004</v>
      </c>
      <c r="G8" s="246" cm="1">
        <f t="array" ref="G8">IFERROR(PERCENTILE(IF('Processed Non-zero DMR Data'!$S:$S=$A8, 'Processed Non-zero DMR Data'!$W:$W),0.5), "n/a")</f>
        <v>3.8667180000000001</v>
      </c>
      <c r="H8" s="246" cm="1">
        <f t="array" ref="H8">IFERROR(PERCENTILE(IF('Processed Non-zero DMR Data'!$S:$S=$A8, 'Processed Non-zero DMR Data'!$W:$W),0.95), "n/a")</f>
        <v>4.2307806000000001</v>
      </c>
      <c r="I8" s="246">
        <f t="shared" si="0"/>
        <v>1.2889060000000001E-2</v>
      </c>
      <c r="J8" s="246">
        <f t="shared" si="1"/>
        <v>1.4102602000000001E-2</v>
      </c>
    </row>
    <row r="9" spans="1:10" x14ac:dyDescent="0.25">
      <c r="A9" s="9" t="s">
        <v>66</v>
      </c>
      <c r="B9" s="12" cm="1">
        <f t="array" ref="B9">SUM(--(FREQUENCY(IF(('Processed Non-zero DMR Data'!W:W&gt;0)*('Processed Non-zero DMR Data'!S:S=A9),MATCH('Processed Non-zero DMR Data'!$I:$I,'Processed Non-zero DMR Data'!$I:$I,0)),ROW('Processed Non-zero DMR Data'!$I:$I)-ROW('Processed Non-zero DMR Data'!$I$2)+1)&gt;0))</f>
        <v>1</v>
      </c>
      <c r="C9" s="227">
        <f>COUNTIF('Processed Non-zero DMR Data'!S:S, 'TRI and DMR OES Summary'!A9)</f>
        <v>3</v>
      </c>
      <c r="D9" s="227">
        <v>260</v>
      </c>
      <c r="E9" s="246">
        <f>IF(B9&gt;0, _xlfn.MINIFS('Processed Non-zero DMR Data'!$W:$W,'Processed Non-zero DMR Data'!$S:$S,$A9), "n/a")</f>
        <v>2.6525279999999999E-3</v>
      </c>
      <c r="F9" s="246">
        <f>IF(E9&gt;0, _xlfn.MAXIFS('Processed Non-zero DMR Data'!$W:$W,'Processed Non-zero DMR Data'!$S:$S,$A9), "n/a")</f>
        <v>9.5877835000000005E-3</v>
      </c>
      <c r="G9" s="246" cm="1">
        <f t="array" ref="G9">IFERROR(PERCENTILE(IF('Processed Non-zero DMR Data'!$S:$S=$A9, 'Processed Non-zero DMR Data'!$W:$W),0.5), "n/a")</f>
        <v>4.0637557874999997E-3</v>
      </c>
      <c r="H9" s="246" cm="1">
        <f t="array" ref="H9">IFERROR(PERCENTILE(IF('Processed Non-zero DMR Data'!$S:$S=$A9, 'Processed Non-zero DMR Data'!$W:$W),0.95), "n/a")</f>
        <v>9.0353807287500004E-3</v>
      </c>
      <c r="I9" s="246">
        <f t="shared" si="0"/>
        <v>1.5629829951923077E-5</v>
      </c>
      <c r="J9" s="246">
        <f t="shared" si="1"/>
        <v>3.4751464341346155E-5</v>
      </c>
    </row>
    <row r="10" spans="1:10" x14ac:dyDescent="0.25">
      <c r="A10" s="251" t="s">
        <v>67</v>
      </c>
      <c r="B10" s="12" cm="1">
        <f t="array" ref="B10">SUM(--(FREQUENCY(IF(('Processed Non-zero DMR Data'!W:W&gt;0)*('Processed Non-zero DMR Data'!S:S=A10),MATCH('Processed Non-zero DMR Data'!$I:$I,'Processed Non-zero DMR Data'!$I:$I,0)),ROW('Processed Non-zero DMR Data'!$I:$I)-ROW('Processed Non-zero DMR Data'!$I$2)+1)&gt;0))</f>
        <v>99</v>
      </c>
      <c r="C10" s="227">
        <f>COUNTIF('Processed Non-zero DMR Data'!S:S, 'TRI and DMR OES Summary'!A10)</f>
        <v>229</v>
      </c>
      <c r="D10" s="227">
        <v>365</v>
      </c>
      <c r="E10" s="246">
        <f>IF(B10&gt;0, _xlfn.MINIFS('Processed Non-zero DMR Data'!$W:$W,'Processed Non-zero DMR Data'!$S:$S,$A10), "n/a")</f>
        <v>1.2218897862500001E-3</v>
      </c>
      <c r="F10" s="246">
        <f>IF(E10&gt;0, _xlfn.MAXIFS('Processed Non-zero DMR Data'!$W:$W,'Processed Non-zero DMR Data'!$S:$S,$A10), "n/a")</f>
        <v>358.70799428571399</v>
      </c>
      <c r="G10" s="246" cm="1">
        <f t="array" ref="G10">IFERROR(PERCENTILE(IF('Processed Non-zero DMR Data'!$S:$S=$A10, 'Processed Non-zero DMR Data'!$W:$W),0.5), "n/a")</f>
        <v>2.2311628749999999</v>
      </c>
      <c r="H10" s="246" cm="1">
        <f t="array" ref="H10">IFERROR(PERCENTILE(IF('Processed Non-zero DMR Data'!$S:$S=$A10, 'Processed Non-zero DMR Data'!$W:$W),0.95), "n/a")</f>
        <v>28.959527049999991</v>
      </c>
      <c r="I10" s="246">
        <f t="shared" ref="I10" si="4">IFERROR(G10/D10, "")</f>
        <v>6.112775E-3</v>
      </c>
      <c r="J10" s="246">
        <f t="shared" ref="J10" si="5">IFERROR(H10/D10, "")</f>
        <v>7.9341169999999975E-2</v>
      </c>
    </row>
    <row r="11" spans="1:10" x14ac:dyDescent="0.25">
      <c r="A11" s="252" t="s">
        <v>68</v>
      </c>
      <c r="B11" s="12" cm="1">
        <f t="array" ref="B11">SUM(--(FREQUENCY(IF(('Processed Non-zero DMR Data'!W:W&gt;0)*('Processed Non-zero DMR Data'!S:S=A11),MATCH('Processed Non-zero DMR Data'!$I:$I,'Processed Non-zero DMR Data'!$I:$I,0)),ROW('Processed Non-zero DMR Data'!$I:$I)-ROW('Processed Non-zero DMR Data'!$I$2)+1)&gt;0))</f>
        <v>9</v>
      </c>
      <c r="C11" s="227">
        <f>COUNTIF('Processed Non-zero DMR Data'!S:S, 'TRI and DMR OES Summary'!A11)</f>
        <v>48</v>
      </c>
      <c r="D11" s="227">
        <v>250</v>
      </c>
      <c r="E11" s="246">
        <f>IF(B11&gt;0, _xlfn.MINIFS('Processed Non-zero DMR Data'!$W:$W,'Processed Non-zero DMR Data'!$S:$S,$A11), "n/a")</f>
        <v>2.5072994424999999E-3</v>
      </c>
      <c r="F11" s="246">
        <f>IF(E11&gt;0, _xlfn.MAXIFS('Processed Non-zero DMR Data'!$W:$W,'Processed Non-zero DMR Data'!$S:$S,$A11), "n/a")</f>
        <v>3.8682699999999999</v>
      </c>
      <c r="G11" s="246" cm="1">
        <f t="array" ref="G11">IFERROR(PERCENTILE(IF('Processed Non-zero DMR Data'!$S:$S=$A11, 'Processed Non-zero DMR Data'!$W:$W),0.5), "n/a")</f>
        <v>5.55269435625E-2</v>
      </c>
      <c r="H11" s="246" cm="1">
        <f t="array" ref="H11">IFERROR(PERCENTILE(IF('Processed Non-zero DMR Data'!$S:$S=$A11, 'Processed Non-zero DMR Data'!$W:$W),0.95), "n/a")</f>
        <v>1.5263433581249994</v>
      </c>
      <c r="I11" s="246">
        <f t="shared" ref="I11" si="6">IFERROR(G11/D11, "")</f>
        <v>2.2210777425E-4</v>
      </c>
      <c r="J11" s="246">
        <f t="shared" ref="J11" si="7">IFERROR(H11/D11, "")</f>
        <v>6.1053734324999975E-3</v>
      </c>
    </row>
    <row r="12" spans="1:10" x14ac:dyDescent="0.25">
      <c r="A12" s="252" t="s">
        <v>69</v>
      </c>
      <c r="B12" s="12" cm="1">
        <f t="array" ref="B12">SUM(--(FREQUENCY(IF(('Processed Non-zero DMR Data'!W:W&gt;0)*('Processed Non-zero DMR Data'!S:S=A12),MATCH('Processed Non-zero DMR Data'!$I:$I,'Processed Non-zero DMR Data'!$I:$I,0)),ROW('Processed Non-zero DMR Data'!$I:$I)-ROW('Processed Non-zero DMR Data'!$I$2)+1)&gt;0))</f>
        <v>4</v>
      </c>
      <c r="C12" s="227">
        <f>COUNTIF('Processed Non-zero DMR Data'!S:S, 'TRI and DMR OES Summary'!A12)</f>
        <v>16</v>
      </c>
      <c r="D12" s="227">
        <v>250</v>
      </c>
      <c r="E12" s="246">
        <f>IF(B12&gt;0, _xlfn.MINIFS('Processed Non-zero DMR Data'!$W:$W,'Processed Non-zero DMR Data'!$S:$S,$A12), "n/a")</f>
        <v>1.1851038784399999E-2</v>
      </c>
      <c r="F12" s="246">
        <f>IF(E12&gt;0, _xlfn.MAXIFS('Processed Non-zero DMR Data'!$W:$W,'Processed Non-zero DMR Data'!$S:$S,$A12), "n/a")</f>
        <v>0.21013461751250001</v>
      </c>
      <c r="G12" s="246" cm="1">
        <f t="array" ref="G12">IFERROR(PERCENTILE(IF('Processed Non-zero DMR Data'!$S:$S=$A12, 'Processed Non-zero DMR Data'!$W:$W),0.5), "n/a")</f>
        <v>5.9454117624999997E-2</v>
      </c>
      <c r="H12" s="246" cm="1">
        <f t="array" ref="H12">IFERROR(PERCENTILE(IF('Processed Non-zero DMR Data'!$S:$S=$A12, 'Processed Non-zero DMR Data'!$W:$W),0.95), "n/a")</f>
        <v>0.15938834327562501</v>
      </c>
      <c r="I12" s="246">
        <f t="shared" ref="I12:I13" si="8">IFERROR(G12/D12, "")</f>
        <v>2.3781647049999998E-4</v>
      </c>
      <c r="J12" s="246">
        <f t="shared" ref="J12:J13" si="9">IFERROR(H12/D12, "")</f>
        <v>6.3755337310250008E-4</v>
      </c>
    </row>
    <row r="13" spans="1:10" x14ac:dyDescent="0.25">
      <c r="A13" s="252" t="s">
        <v>70</v>
      </c>
      <c r="B13" s="12" cm="1">
        <f t="array" ref="B13">SUM(--(FREQUENCY(IF(('Processed Non-zero DMR Data'!W:W&gt;0)*('Processed Non-zero DMR Data'!S:S=A13),MATCH('Processed Non-zero DMR Data'!$I:$I,'Processed Non-zero DMR Data'!$I:$I,0)),ROW('Processed Non-zero DMR Data'!$I:$I)-ROW('Processed Non-zero DMR Data'!$I$2)+1)&gt;0))</f>
        <v>3</v>
      </c>
      <c r="C13" s="227">
        <f>COUNTIF('Processed Non-zero DMR Data'!S:S, 'TRI and DMR OES Summary'!A13)</f>
        <v>12</v>
      </c>
      <c r="D13" s="227">
        <v>250</v>
      </c>
      <c r="E13" s="246">
        <f>IF(B13&gt;0, _xlfn.MINIFS('Processed Non-zero DMR Data'!$W:$W,'Processed Non-zero DMR Data'!$S:$S,$A13), "n/a")</f>
        <v>1.9980504024999998E-3</v>
      </c>
      <c r="F13" s="246">
        <f>IF(E13&gt;0, _xlfn.MAXIFS('Processed Non-zero DMR Data'!$W:$W,'Processed Non-zero DMR Data'!$S:$S,$A13), "n/a")</f>
        <v>0.99645802500000002</v>
      </c>
      <c r="G13" s="246" cm="1">
        <f t="array" ref="G13">IFERROR(PERCENTILE(IF('Processed Non-zero DMR Data'!$S:$S=$A13, 'Processed Non-zero DMR Data'!$W:$W),0.5), "n/a")</f>
        <v>0.10706818749999999</v>
      </c>
      <c r="H13" s="246" cm="1">
        <f t="array" ref="H13">IFERROR(PERCENTILE(IF('Processed Non-zero DMR Data'!$S:$S=$A13, 'Processed Non-zero DMR Data'!$W:$W),0.95), "n/a")</f>
        <v>0.95939767062499992</v>
      </c>
      <c r="I13" s="246">
        <f t="shared" si="8"/>
        <v>4.2827274999999998E-4</v>
      </c>
      <c r="J13" s="246">
        <f t="shared" si="9"/>
        <v>3.8375906824999998E-3</v>
      </c>
    </row>
    <row r="14" spans="1:10" x14ac:dyDescent="0.25">
      <c r="A14" s="252" t="s">
        <v>71</v>
      </c>
      <c r="B14" s="12" cm="1">
        <f t="array" ref="B14">SUM(--(FREQUENCY(IF(('Processed Non-zero DMR Data'!W:W&gt;0)*('Processed Non-zero DMR Data'!S:S=A14),MATCH('Processed Non-zero DMR Data'!$I:$I,'Processed Non-zero DMR Data'!$I:$I,0)),ROW('Processed Non-zero DMR Data'!$I:$I)-ROW('Processed Non-zero DMR Data'!$I$2)+1)&gt;0))</f>
        <v>5</v>
      </c>
      <c r="C14" s="227">
        <f>COUNTIF('Processed Non-zero DMR Data'!S:S, 'TRI and DMR OES Summary'!A14)</f>
        <v>23</v>
      </c>
      <c r="D14" s="227">
        <v>250</v>
      </c>
      <c r="E14" s="246">
        <f>IF(B14&gt;0, _xlfn.MINIFS('Processed Non-zero DMR Data'!$W:$W,'Processed Non-zero DMR Data'!$S:$S,$A14), "n/a")</f>
        <v>2.1399557299999999E-3</v>
      </c>
      <c r="F14" s="246">
        <f>IF(E14&gt;0, _xlfn.MAXIFS('Processed Non-zero DMR Data'!$W:$W,'Processed Non-zero DMR Data'!$S:$S,$A14), "n/a")</f>
        <v>0.63700111699999995</v>
      </c>
      <c r="G14" s="246" cm="1">
        <f t="array" ref="G14">IFERROR(PERCENTILE(IF('Processed Non-zero DMR Data'!$S:$S=$A14, 'Processed Non-zero DMR Data'!$W:$W),0.5), "n/a")</f>
        <v>4.4369402281249998E-2</v>
      </c>
      <c r="H14" s="246" cm="1">
        <f t="array" ref="H14">IFERROR(PERCENTILE(IF('Processed Non-zero DMR Data'!$S:$S=$A14, 'Processed Non-zero DMR Data'!$W:$W),0.95), "n/a")</f>
        <v>0.60224028259999995</v>
      </c>
      <c r="I14" s="246">
        <f t="shared" ref="I14" si="10">IFERROR(G14/D14, "")</f>
        <v>1.77477609125E-4</v>
      </c>
      <c r="J14" s="246">
        <f t="shared" ref="J14" si="11">IFERROR(H14/D14, "")</f>
        <v>2.4089611303999997E-3</v>
      </c>
    </row>
    <row r="15" spans="1:10" x14ac:dyDescent="0.25">
      <c r="A15" s="10" t="s">
        <v>72</v>
      </c>
      <c r="B15" s="12" cm="1">
        <f t="array" ref="B15">SUM(--(FREQUENCY(IF(('Processed Non-zero DMR Data'!W:W&gt;0)*('Processed Non-zero DMR Data'!S:S=A15),MATCH('Processed Non-zero DMR Data'!$I:$I,'Processed Non-zero DMR Data'!$I:$I,0)),ROW('Processed Non-zero DMR Data'!$I:$I)-ROW('Processed Non-zero DMR Data'!$I$2)+1)&gt;0))</f>
        <v>30</v>
      </c>
      <c r="C15" s="227">
        <f>COUNTIF('Processed Non-zero DMR Data'!S:S, 'TRI and DMR OES Summary'!A15)</f>
        <v>88</v>
      </c>
      <c r="D15" s="245">
        <v>250</v>
      </c>
      <c r="E15" s="246">
        <f>IF(B15&gt;0, _xlfn.MINIFS('Processed Non-zero DMR Data'!$W:$W,'Processed Non-zero DMR Data'!$S:$S,$A15), "n/a")</f>
        <v>1.9505063768887501E-3</v>
      </c>
      <c r="F15" s="246">
        <f>IF(E15&gt;0, _xlfn.MAXIFS('Processed Non-zero DMR Data'!$W:$W,'Processed Non-zero DMR Data'!$S:$S,$A15), "n/a")</f>
        <v>6.7440745444000001</v>
      </c>
      <c r="G15" s="246" cm="1">
        <f t="array" ref="G15">IFERROR(PERCENTILE(IF('Processed Non-zero DMR Data'!$S:$S=$A15, 'Processed Non-zero DMR Data'!$W:$W),0.5), "n/a")</f>
        <v>4.0160203137500003E-2</v>
      </c>
      <c r="H15" s="246" cm="1">
        <f t="array" ref="H15">IFERROR(PERCENTILE(IF('Processed Non-zero DMR Data'!$S:$S=$A15, 'Processed Non-zero DMR Data'!$W:$W),0.95), "n/a")</f>
        <v>1.8885711699999965</v>
      </c>
      <c r="I15" s="246">
        <f t="shared" si="0"/>
        <v>1.6064081255E-4</v>
      </c>
      <c r="J15" s="246">
        <f t="shared" si="1"/>
        <v>7.5542846799999865E-3</v>
      </c>
    </row>
    <row r="16" spans="1:10" x14ac:dyDescent="0.25">
      <c r="A16" s="247" t="s">
        <v>73</v>
      </c>
      <c r="B16" s="228">
        <f>SUM(B3:B15)</f>
        <v>213</v>
      </c>
      <c r="C16" s="228">
        <f>SUM(C3:C15)</f>
        <v>650</v>
      </c>
      <c r="D16" s="228"/>
    </row>
    <row r="17" spans="1:10" x14ac:dyDescent="0.25">
      <c r="A17" s="7"/>
    </row>
    <row r="18" spans="1:10" x14ac:dyDescent="0.25">
      <c r="A18" s="229" t="s">
        <v>74</v>
      </c>
      <c r="G18" s="301" t="s">
        <v>49</v>
      </c>
      <c r="H18" s="302"/>
      <c r="I18" s="301" t="s">
        <v>50</v>
      </c>
      <c r="J18" s="302"/>
    </row>
    <row r="19" spans="1:10" ht="30" x14ac:dyDescent="0.25">
      <c r="A19" s="279" t="s">
        <v>51</v>
      </c>
      <c r="B19" s="279" t="s">
        <v>52</v>
      </c>
      <c r="C19" s="279" t="s">
        <v>53</v>
      </c>
      <c r="D19" s="279" t="s">
        <v>54</v>
      </c>
      <c r="E19" s="279" t="s">
        <v>55</v>
      </c>
      <c r="F19" s="230" t="s">
        <v>56</v>
      </c>
      <c r="G19" s="230" t="s">
        <v>57</v>
      </c>
      <c r="H19" s="230" t="s">
        <v>58</v>
      </c>
      <c r="I19" s="226" t="s">
        <v>59</v>
      </c>
      <c r="J19" s="226" t="s">
        <v>60</v>
      </c>
    </row>
    <row r="20" spans="1:10" x14ac:dyDescent="0.25">
      <c r="A20" s="9" t="s">
        <v>5459</v>
      </c>
      <c r="B20" s="12" cm="1">
        <f t="array" ref="B20">SUM(--(FREQUENCY(IF(('Processed Non-zero TRI Data'!S:S&gt;0)*('Processed Non-zero TRI Data'!O:O=A20),MATCH('Processed Non-zero TRI Data'!$I:$I,'Processed Non-zero TRI Data'!$I:$I,0)),ROW('Processed Non-zero TRI Data'!$I:$I)-ROW('Processed Non-zero TRI Data'!$I$2)+1)&gt;0))</f>
        <v>4</v>
      </c>
      <c r="C20" s="12">
        <f>COUNTIF('Processed Non-zero TRI Data'!$O:$O,'TRI and DMR OES Summary'!A20)</f>
        <v>16</v>
      </c>
      <c r="D20" s="12">
        <v>350</v>
      </c>
      <c r="E20" s="246">
        <f>_xlfn.MINIFS('Processed Non-zero TRI Data'!$T:$T,'Processed Non-zero TRI Data'!$O:$O,$A20,'Processed Non-zero TRI Data'!$Q:$Q, "Direct")</f>
        <v>0.81601267362999996</v>
      </c>
      <c r="F20" s="246">
        <f>_xlfn.MAXIFS('Processed Non-zero TRI Data'!$T:$T,'Processed Non-zero TRI Data'!$O:$O,'TRI and DMR OES Summary'!$A20,'Processed Non-zero TRI Data'!$Q:$Q, "Direct")</f>
        <v>3305.7811925600004</v>
      </c>
      <c r="G20" s="246" cm="1">
        <f t="array" ref="G20">IFERROR(PERCENTILE(IF(('Processed Non-zero TRI Data'!$O:$O=$A20)*('Processed Non-zero TRI Data'!$Q:$Q="Direct"), 'Processed Non-zero TRI Data'!$T:$T),0.5), "n/a")</f>
        <v>92.079251110000001</v>
      </c>
      <c r="H20" s="246" cm="1">
        <f t="array" ref="H20">IFERROR(PERCENTILE(IF(('Processed Non-zero TRI Data'!$O:$O=$A20)*('Processed Non-zero TRI Data'!$Q:$Q="Direct"), 'Processed Non-zero TRI Data'!$T:$T),0.95), "n/a")</f>
        <v>2240.29271543</v>
      </c>
      <c r="I20" s="246">
        <f>G20/D20</f>
        <v>0.26308357459999998</v>
      </c>
      <c r="J20" s="246">
        <f>H20/D20</f>
        <v>6.4008363297999997</v>
      </c>
    </row>
    <row r="21" spans="1:10" x14ac:dyDescent="0.25">
      <c r="A21" s="9" t="s">
        <v>63</v>
      </c>
      <c r="B21" s="12" cm="1">
        <f t="array" ref="B21">SUM(--(FREQUENCY(IF(('Processed Non-zero TRI Data'!S:S&gt;0)*('Processed Non-zero TRI Data'!O:O=A21),MATCH('Processed Non-zero TRI Data'!$I:$I,'Processed Non-zero TRI Data'!$I:$I,0)),ROW('Processed Non-zero TRI Data'!$I:$I)-ROW('Processed Non-zero TRI Data'!$I$2)+1)&gt;0))</f>
        <v>1</v>
      </c>
      <c r="C21" s="12">
        <f>COUNTIF('Processed Non-zero TRI Data'!$O:$O,'TRI and DMR OES Summary'!A21)</f>
        <v>1</v>
      </c>
      <c r="D21" s="12">
        <v>350</v>
      </c>
      <c r="E21" s="246">
        <f>_xlfn.MINIFS('Processed Non-zero TRI Data'!$T:$T,'Processed Non-zero TRI Data'!$O:$O,$A21,'Processed Non-zero TRI Data'!$Q:$Q, "Direct")</f>
        <v>11.33980925</v>
      </c>
      <c r="F21" s="246">
        <f>_xlfn.MAXIFS('Processed Non-zero TRI Data'!$T:$T,'Processed Non-zero TRI Data'!$O:$O,'TRI and DMR OES Summary'!$A21,'Processed Non-zero TRI Data'!$Q:$Q, "Direct")</f>
        <v>11.33980925</v>
      </c>
      <c r="G21" s="246" cm="1">
        <f t="array" ref="G21">IFERROR(PERCENTILE(IF(('Processed Non-zero TRI Data'!$O:$O=$A21)*('Processed Non-zero TRI Data'!$Q:$Q="Direct"), 'Processed Non-zero TRI Data'!$T:$T),0.5), "n/a")</f>
        <v>11.33980925</v>
      </c>
      <c r="H21" s="246" cm="1">
        <f t="array" ref="H21">IFERROR(PERCENTILE(IF(('Processed Non-zero TRI Data'!$O:$O=$A21)*('Processed Non-zero TRI Data'!$Q:$Q="Direct"), 'Processed Non-zero TRI Data'!$T:$T),0.95), "n/a")</f>
        <v>11.33980925</v>
      </c>
      <c r="I21" s="246">
        <f>G21/D21</f>
        <v>3.2399455000000001E-2</v>
      </c>
      <c r="J21" s="246">
        <f t="shared" ref="J21" si="12">H21/D21</f>
        <v>3.2399455000000001E-2</v>
      </c>
    </row>
    <row r="22" spans="1:10" x14ac:dyDescent="0.25">
      <c r="A22" s="9" t="s">
        <v>65</v>
      </c>
      <c r="B22" s="12" cm="1">
        <f t="array" ref="B22">SUM(--(FREQUENCY(IF(('Processed Non-zero TRI Data'!S:S&gt;0)*('Processed Non-zero TRI Data'!O:O=A22),MATCH('Processed Non-zero TRI Data'!$I:$I,'Processed Non-zero TRI Data'!$I:$I,0)),ROW('Processed Non-zero TRI Data'!$I:$I)-ROW('Processed Non-zero TRI Data'!$I$2)+1)&gt;0))</f>
        <v>1</v>
      </c>
      <c r="C22" s="12">
        <f>COUNTIF('Processed Non-zero TRI Data'!$O:$O,'TRI and DMR OES Summary'!A22)</f>
        <v>5</v>
      </c>
      <c r="D22" s="12">
        <v>300</v>
      </c>
      <c r="E22" s="246">
        <f>_xlfn.MINIFS('Processed Non-zero TRI Data'!$T:$T,'Processed Non-zero TRI Data'!$O:$O,$A22,'Processed Non-zero TRI Data'!$Q:$Q, "Direct")</f>
        <v>10.682100313500001</v>
      </c>
      <c r="F22" s="246">
        <f>_xlfn.MAXIFS('Processed Non-zero TRI Data'!$T:$T,'Processed Non-zero TRI Data'!$O:$O,'TRI and DMR OES Summary'!$A22,'Processed Non-zero TRI Data'!$Q:$Q, "Direct")</f>
        <v>41.0274298665</v>
      </c>
      <c r="G22" s="246" cm="1">
        <f t="array" ref="G22">IFERROR(PERCENTILE(IF(('Processed Non-zero TRI Data'!$O:$O=$A22)*('Processed Non-zero TRI Data'!$Q:$Q="Direct"), 'Processed Non-zero TRI Data'!$T:$T),0.5), "n/a")</f>
        <v>28.004792923800004</v>
      </c>
      <c r="H22" s="246" cm="1">
        <f t="array" ref="H22">IFERROR(PERCENTILE(IF(('Processed Non-zero TRI Data'!$O:$O=$A22)*('Processed Non-zero TRI Data'!$Q:$Q="Direct"), 'Processed Non-zero TRI Data'!$T:$T),0.95), "n/a")</f>
        <v>38.830228426220003</v>
      </c>
      <c r="I22" s="246">
        <f>G22/D22</f>
        <v>9.3349309746000017E-2</v>
      </c>
      <c r="J22" s="246">
        <f t="shared" ref="J22" si="13">H22/D22</f>
        <v>0.12943409475406667</v>
      </c>
    </row>
    <row r="23" spans="1:10" x14ac:dyDescent="0.25">
      <c r="A23" s="229" t="s">
        <v>73</v>
      </c>
      <c r="B23" s="228">
        <f>SUM(B20:B22)</f>
        <v>6</v>
      </c>
      <c r="C23" s="228">
        <f>SUM(C20:C22)</f>
        <v>22</v>
      </c>
    </row>
  </sheetData>
  <sheetProtection sheet="1" objects="1" scenarios="1" formatCells="0" formatColumns="0" formatRows="0" sort="0" autoFilter="0"/>
  <autoFilter ref="A2:J2" xr:uid="{27B0629E-2BD5-4EE6-A26D-A0155DEB9627}"/>
  <mergeCells count="4">
    <mergeCell ref="G1:H1"/>
    <mergeCell ref="I1:J1"/>
    <mergeCell ref="G18:H18"/>
    <mergeCell ref="I18:J18"/>
  </mergeCells>
  <conditionalFormatting sqref="E3:J15 E20:J22">
    <cfRule type="cellIs" dxfId="5" priority="7" operator="greaterThanOrEqual">
      <formula>10000</formula>
    </cfRule>
    <cfRule type="cellIs" dxfId="4" priority="8" operator="greaterThanOrEqual">
      <formula>10</formula>
    </cfRule>
    <cfRule type="cellIs" dxfId="3" priority="9" operator="between">
      <formula>1</formula>
      <formula>9.999</formula>
    </cfRule>
    <cfRule type="cellIs" dxfId="2" priority="10" operator="between">
      <formula>0.1</formula>
      <formula>0.999</formula>
    </cfRule>
    <cfRule type="cellIs" dxfId="1" priority="11" operator="lessThanOrEqual">
      <formula>0.1</formula>
    </cfRule>
    <cfRule type="containsBlanks" dxfId="0" priority="12" stopIfTrue="1">
      <formula>LEN(TRIM(E3))=0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50E4B-BE99-4D18-9F73-4A4D50EDE5B7}">
  <sheetPr codeName="Sheet5">
    <tabColor theme="4"/>
  </sheetPr>
  <dimension ref="A1:AS220"/>
  <sheetViews>
    <sheetView zoomScale="85" zoomScaleNormal="85" workbookViewId="0"/>
  </sheetViews>
  <sheetFormatPr defaultRowHeight="15" x14ac:dyDescent="0.25"/>
  <cols>
    <col min="1" max="1" width="15.140625" style="8" customWidth="1"/>
    <col min="2" max="2" width="19.28515625" style="8" bestFit="1" customWidth="1"/>
    <col min="3" max="3" width="56.7109375" style="178" hidden="1" customWidth="1"/>
    <col min="4" max="4" width="54.85546875" style="14" bestFit="1" customWidth="1"/>
    <col min="5" max="5" width="54.85546875" style="14" customWidth="1"/>
    <col min="6" max="6" width="47.85546875" customWidth="1"/>
    <col min="7" max="7" width="19.140625" bestFit="1" customWidth="1"/>
    <col min="8" max="8" width="9.140625" style="8"/>
    <col min="9" max="9" width="25.7109375" style="8" customWidth="1"/>
    <col min="10" max="10" width="19.140625" style="8" customWidth="1"/>
    <col min="11" max="11" width="21.28515625" style="8" bestFit="1" customWidth="1"/>
    <col min="12" max="12" width="52" bestFit="1" customWidth="1"/>
    <col min="13" max="13" width="27.85546875" style="8" customWidth="1"/>
    <col min="14" max="14" width="36" style="8" bestFit="1" customWidth="1"/>
    <col min="15" max="15" width="36" style="8" customWidth="1"/>
    <col min="16" max="24" width="22.42578125" style="7" customWidth="1"/>
    <col min="25" max="28" width="18" style="7" customWidth="1"/>
    <col min="29" max="29" width="20.7109375" style="7" customWidth="1"/>
    <col min="30" max="31" width="16.5703125" customWidth="1"/>
    <col min="32" max="33" width="14.5703125" customWidth="1"/>
    <col min="34" max="35" width="14.7109375" customWidth="1"/>
    <col min="36" max="36" width="28.28515625" style="7" customWidth="1"/>
    <col min="37" max="38" width="16.42578125" customWidth="1"/>
    <col min="39" max="40" width="11.5703125" customWidth="1"/>
    <col min="41" max="42" width="15.7109375" customWidth="1"/>
    <col min="43" max="43" width="32.7109375" style="7" customWidth="1"/>
    <col min="44" max="44" width="16.7109375" style="7" customWidth="1"/>
    <col min="45" max="45" width="19.5703125" style="7" customWidth="1"/>
    <col min="16375" max="16379" width="8.85546875" bestFit="1" customWidth="1"/>
    <col min="16380" max="16384" width="8.85546875" customWidth="1"/>
  </cols>
  <sheetData>
    <row r="1" spans="1:45" ht="15.75" thickBot="1" x14ac:dyDescent="0.3">
      <c r="P1" s="304" t="s">
        <v>75</v>
      </c>
      <c r="Q1" s="305"/>
      <c r="R1" s="305"/>
      <c r="S1" s="305"/>
      <c r="T1" s="305"/>
      <c r="U1" s="305"/>
      <c r="V1" s="305"/>
      <c r="W1" s="305"/>
      <c r="X1" s="305"/>
      <c r="Y1" s="305"/>
      <c r="Z1" s="305"/>
      <c r="AA1" s="305"/>
      <c r="AB1" s="305"/>
      <c r="AC1" s="305"/>
      <c r="AD1" s="308" t="s">
        <v>76</v>
      </c>
      <c r="AE1" s="309"/>
      <c r="AF1" s="309"/>
      <c r="AG1" s="309"/>
      <c r="AH1" s="309"/>
      <c r="AI1" s="309"/>
      <c r="AJ1" s="309"/>
      <c r="AK1" s="309"/>
      <c r="AL1" s="309"/>
      <c r="AM1" s="309"/>
      <c r="AN1" s="309"/>
      <c r="AO1" s="309"/>
      <c r="AP1" s="309"/>
      <c r="AQ1" s="309"/>
    </row>
    <row r="2" spans="1:45" ht="15.75" thickBot="1" x14ac:dyDescent="0.3">
      <c r="A2" s="149"/>
      <c r="B2" s="150"/>
      <c r="C2" s="179"/>
      <c r="D2" s="179"/>
      <c r="E2" s="179"/>
      <c r="F2" s="151"/>
      <c r="G2" s="151"/>
      <c r="H2" s="152"/>
      <c r="I2" s="152"/>
      <c r="J2" s="152"/>
      <c r="K2" s="152"/>
      <c r="L2" s="153"/>
      <c r="M2" s="152"/>
      <c r="N2" s="154"/>
      <c r="O2" s="147"/>
      <c r="P2" s="303" t="s">
        <v>42</v>
      </c>
      <c r="Q2" s="303"/>
      <c r="R2" s="303"/>
      <c r="S2" s="303"/>
      <c r="T2" s="303"/>
      <c r="U2" s="303"/>
      <c r="V2" s="303"/>
      <c r="W2" s="306" t="s">
        <v>74</v>
      </c>
      <c r="X2" s="307"/>
      <c r="Y2" s="307"/>
      <c r="Z2" s="307"/>
      <c r="AA2" s="307"/>
      <c r="AB2" s="307"/>
      <c r="AC2" s="307"/>
      <c r="AD2" s="310" t="s">
        <v>77</v>
      </c>
      <c r="AE2" s="311"/>
      <c r="AF2" s="311"/>
      <c r="AG2" s="311"/>
      <c r="AH2" s="311"/>
      <c r="AI2" s="311"/>
      <c r="AJ2" s="311"/>
      <c r="AK2" s="312" t="s">
        <v>78</v>
      </c>
      <c r="AL2" s="313"/>
      <c r="AM2" s="313"/>
      <c r="AN2" s="313"/>
      <c r="AO2" s="313"/>
      <c r="AP2" s="313"/>
      <c r="AQ2" s="313"/>
    </row>
    <row r="3" spans="1:45" s="7" customFormat="1" ht="120" x14ac:dyDescent="0.25">
      <c r="A3" s="24" t="s">
        <v>79</v>
      </c>
      <c r="B3" s="24" t="s">
        <v>80</v>
      </c>
      <c r="C3" s="180" t="s">
        <v>81</v>
      </c>
      <c r="D3" s="24" t="s">
        <v>51</v>
      </c>
      <c r="E3" s="24" t="s">
        <v>82</v>
      </c>
      <c r="F3" s="272" t="s">
        <v>83</v>
      </c>
      <c r="G3" s="272" t="s">
        <v>84</v>
      </c>
      <c r="H3" s="24" t="s">
        <v>85</v>
      </c>
      <c r="I3" s="24" t="s">
        <v>86</v>
      </c>
      <c r="J3" s="24" t="s">
        <v>87</v>
      </c>
      <c r="K3" s="24" t="s">
        <v>88</v>
      </c>
      <c r="L3" s="272" t="s">
        <v>89</v>
      </c>
      <c r="M3" s="24" t="s">
        <v>90</v>
      </c>
      <c r="N3" s="24" t="s">
        <v>91</v>
      </c>
      <c r="O3" s="273" t="s">
        <v>92</v>
      </c>
      <c r="P3" s="166" t="s">
        <v>93</v>
      </c>
      <c r="Q3" s="167" t="s">
        <v>94</v>
      </c>
      <c r="R3" s="167" t="s">
        <v>95</v>
      </c>
      <c r="S3" s="167" t="s">
        <v>96</v>
      </c>
      <c r="T3" s="167" t="s">
        <v>97</v>
      </c>
      <c r="U3" s="167" t="s">
        <v>98</v>
      </c>
      <c r="V3" s="168" t="s">
        <v>99</v>
      </c>
      <c r="W3" s="162" t="s">
        <v>93</v>
      </c>
      <c r="X3" s="163" t="s">
        <v>94</v>
      </c>
      <c r="Y3" s="163" t="s">
        <v>95</v>
      </c>
      <c r="Z3" s="163" t="s">
        <v>96</v>
      </c>
      <c r="AA3" s="163" t="s">
        <v>97</v>
      </c>
      <c r="AB3" s="163" t="s">
        <v>98</v>
      </c>
      <c r="AC3" s="164" t="s">
        <v>99</v>
      </c>
      <c r="AD3" s="159" t="s">
        <v>93</v>
      </c>
      <c r="AE3" s="160" t="s">
        <v>94</v>
      </c>
      <c r="AF3" s="160" t="s">
        <v>95</v>
      </c>
      <c r="AG3" s="160" t="s">
        <v>96</v>
      </c>
      <c r="AH3" s="160" t="s">
        <v>97</v>
      </c>
      <c r="AI3" s="160" t="s">
        <v>98</v>
      </c>
      <c r="AJ3" s="161" t="s">
        <v>99</v>
      </c>
      <c r="AK3" s="156" t="s">
        <v>93</v>
      </c>
      <c r="AL3" s="157" t="s">
        <v>94</v>
      </c>
      <c r="AM3" s="157" t="s">
        <v>95</v>
      </c>
      <c r="AN3" s="157" t="s">
        <v>96</v>
      </c>
      <c r="AO3" s="157" t="s">
        <v>97</v>
      </c>
      <c r="AP3" s="157" t="s">
        <v>98</v>
      </c>
      <c r="AQ3" s="261" t="s">
        <v>99</v>
      </c>
      <c r="AR3" s="262" t="s">
        <v>100</v>
      </c>
      <c r="AS3" s="262" t="s">
        <v>101</v>
      </c>
    </row>
    <row r="4" spans="1:45" ht="30" x14ac:dyDescent="0.25">
      <c r="A4" s="12">
        <v>1</v>
      </c>
      <c r="B4" s="10" t="s">
        <v>102</v>
      </c>
      <c r="C4" s="181" t="e">
        <f>VLOOKUP(D4,#REF!, 2, FALSE)</f>
        <v>#REF!</v>
      </c>
      <c r="D4" s="181" t="str">
        <f>IF(I4&lt;&gt;"",INDEX('Processed Non-zero TRI Data'!$O:$O,MATCH(I4,'Processed Non-zero TRI Data'!$I:$I,0)),INDEX('Processed Non-zero DMR Data'!$S:$S,MATCH(J4,'Processed Non-zero DMR Data'!$I:$I,0)))</f>
        <v>Manufacture</v>
      </c>
      <c r="E4" s="181" t="str">
        <f>IF(I4&lt;&gt;"",INDEX('Processed Non-zero TRI Data'!$P:$P,MATCH(I4,'Processed Non-zero TRI Data'!$I:$I,0)),INDEX('Processed Non-zero DMR Data'!$T:$T,MATCH(J4,'Processed Non-zero DMR Data'!$I:$I,0)))</f>
        <v>EarthJustice Technical Report (EPA-HQ-OPPT-2018-0428-0011)</v>
      </c>
      <c r="F4" s="9" t="str">
        <f>_xlfn.XLOOKUP(J4, 'Processed Non-zero DMR Data'!I:I, 'Processed Non-zero DMR Data'!B:B)</f>
        <v>ICL-NORTH AMERICA INC - GALLIPOLIS FERRY PLANT</v>
      </c>
      <c r="G4" s="9" t="str">
        <f>_xlfn.XLOOKUP(J4, 'Processed Non-zero DMR Data'!I:I, 'Processed Non-zero DMR Data'!C:C)</f>
        <v>GALLIPOLIS FERRY</v>
      </c>
      <c r="H4" s="9" t="str">
        <f>_xlfn.XLOOKUP(J4, 'Processed Non-zero DMR Data'!I:I, 'Processed Non-zero DMR Data'!E:E)</f>
        <v>WV</v>
      </c>
      <c r="I4" s="9" t="s">
        <v>103</v>
      </c>
      <c r="J4" s="13">
        <v>110000607772</v>
      </c>
      <c r="K4" s="9" t="str">
        <f>IFERROR(INDEX('Raw Non-zero DMR Data'!$C:$C, MATCH($J4,'Raw Non-zero DMR Data'!$D:$D,0)),"")</f>
        <v>WV0002496</v>
      </c>
      <c r="L4" s="9" t="str">
        <f>IFERROR(INDEX('Raw Non-zero DMR Data'!$U:$U, MATCH($J4,'Raw Non-zero DMR Data'!$D:$D,0)),"")</f>
        <v>Long Run-Ohio River</v>
      </c>
      <c r="M4" s="155" t="str">
        <f>IFERROR(INDEX('Raw Non-zero DMR Data'!$T:$T, MATCH($J4,'Raw Non-zero DMR Data'!$D:$D,0)),"")</f>
        <v>050901010103</v>
      </c>
      <c r="N4" s="155" t="str">
        <f>IFERROR(INDEX('Off-site Locations'!$E:$E,MATCH(I4,'Off-site Locations'!$B:$B,0)),"No offsite transfers")</f>
        <v>No offsite transfers</v>
      </c>
      <c r="O4" s="165">
        <f>INDEX('TRI and DMR OES Summary'!D:D,MATCH('Facility Discharge Summary'!D4,'TRI and DMR OES Summary'!A:A,0))</f>
        <v>350</v>
      </c>
      <c r="P4" s="17" cm="1">
        <f t="array" ref="P4">IFERROR(_xlfn.XLOOKUP(1,  (MAX(IF(J4 = 'Processed Non-zero DMR Data'!$I$2:$I$651,'Processed Non-zero DMR Data'!$A$2:$A$651)) = 'Processed Non-zero DMR Data'!$A$2:$A$651)*('Processed Non-zero DMR Data'!$I$2:$I$651 = J4),'Processed Non-zero DMR Data'!$W$2:$W$651), "N/A- Facility Does Not Report DMRs")</f>
        <v>0.51358976999999995</v>
      </c>
      <c r="Q4" s="10">
        <f t="shared" ref="Q4:Q10" si="0">IFERROR(P4/$O4, "N/A - Facility Does Not Report DMRs")</f>
        <v>1.4673993428571427E-3</v>
      </c>
      <c r="R4" s="10" cm="1">
        <f t="array" ref="R4">IF(COUNTIF('Processed Non-zero DMR Data'!$I:$I,$J4)&gt;0,MEDIAN(IF('Processed Non-zero DMR Data'!$I:$I=J4,'Processed Non-zero DMR Data'!$W:$W)),"N/A - Facility Does Not Report DMRs")</f>
        <v>1.646431</v>
      </c>
      <c r="S4" s="10">
        <f t="shared" ref="S4:S10" si="1">IFERROR(R4/$O4, "N/A - Facility Does Not Report DMRs")</f>
        <v>4.7040885714285715E-3</v>
      </c>
      <c r="T4" s="10">
        <f>IF(COUNTIF('Processed Non-zero DMR Data'!$I:$I,$J4)&gt;0,_xlfn.MAXIFS('Processed Non-zero DMR Data'!$W:$W,'Processed Non-zero DMR Data'!$I:$I,$J4), "N/A - Facility Does Not Report DMRs")</f>
        <v>6.0027198999999998</v>
      </c>
      <c r="U4" s="10">
        <f t="shared" ref="U4:U10" si="2">IFERROR(T4/$O4, "N/A - Facility Does Not Report DMRs")</f>
        <v>1.7150628285714287E-2</v>
      </c>
      <c r="V4" s="158" cm="1">
        <f t="array" ref="V4">IF(COUNTIF('Processed Non-zero DMR Data'!$I:$I,$J4)&gt;0,INDEX('Processed Non-zero DMR Data'!$A:$A,MATCH(1,($J4='Processed Non-zero DMR Data'!$I:$I)*($T4='Processed Non-zero DMR Data'!$W:$W),0)), "N/A - Facility Does Not Report DMRs")</f>
        <v>2021</v>
      </c>
      <c r="W4" s="17" cm="1">
        <f t="array" ref="W4">IFERROR(_xlfn.XLOOKUP(1,  (MAX(IF(I4 = 'Processed Non-zero TRI Data'!$I:$I,'Processed Non-zero TRI Data'!$A:$A)) = 'Processed Non-zero TRI Data'!$A:$A)*('Processed Non-zero TRI Data'!$I:$I = I4), 'Processed Non-zero TRI Data'!$T:$T), "N/A- Facility Does Not Report to TRI")</f>
        <v>0.81601267362999996</v>
      </c>
      <c r="X4" s="10">
        <f t="shared" ref="X4:X10" si="3">IFERROR(W4/$O4, "N/A - Facility Does Not Report to TRI")</f>
        <v>2.3314647817999998E-3</v>
      </c>
      <c r="Y4" s="10" cm="1">
        <f t="array" ref="Y4">IF(COUNTIF('Processed Non-zero TRI Data'!$I:$I,$I4)&gt;0,MEDIAN(IF('Processed Non-zero TRI Data'!$I:$I=I4,'Processed Non-zero TRI Data'!$T:$T)), "N/A - Facility Does Not Report to TRI")</f>
        <v>1.67511662241</v>
      </c>
      <c r="Z4" s="10">
        <f t="shared" ref="Z4:Z10" si="4">IFERROR(Y4/$O4, "N/A - Facility Does Not Report to TRI")</f>
        <v>4.7860474925999997E-3</v>
      </c>
      <c r="AA4" s="10">
        <f>IF(COUNTIF('Processed Non-zero TRI Data'!$I:$I,$I4)&gt;0,_xlfn.MAXIFS('Processed Non-zero TRI Data'!$T:$T,'Processed Non-zero TRI Data'!$I:$I,$I4), "N/A - Facility Does Not Report to TRI")</f>
        <v>5.4208824138700002</v>
      </c>
      <c r="AB4" s="10">
        <f t="shared" ref="AB4:AB10" si="5">IFERROR(AA4/$O4, "N/A - Facility Does Not Report to TRI")</f>
        <v>1.5488235468200001E-2</v>
      </c>
      <c r="AC4" s="158" t="str" cm="1">
        <f t="array" ref="AC4">IFERROR(IF(B4 = "TRI Form R", IF(AA4 = 0, "Facility has no on-site water discharges between 2017-2022.",  IF(COUNTIF('Processed Non-zero TRI Data'!$I:$I,$I4)&gt;0,INDEX('Processed Non-zero TRI Data'!$A:$A,MATCH(1,($I4='Processed Non-zero TRI Data'!$I:$I)*(AA4='Processed Non-zero TRI Data'!$T:$T),0)))), VLOOKUP(I4,#REF!, 2, FALSE)), ("N/A - Facility Does Not Report to TRI"))</f>
        <v>N/A - Facility Does Not Report to TRI</v>
      </c>
      <c r="AD4" s="97" t="str" cm="1">
        <f t="array" ref="AD4">IFERROR(_xlfn.XLOOKUP(1,  (MAX(IF(I4 = 'Processed Non-zero TRI Data'!$I$2:$I$6,'Processed Non-zero TRI Data'!$A$2:$A$6)) = 'Processed Non-zero TRI Data'!$A$2:$A$6)*('Processed Non-zero TRI Data'!$I$2:$I$6 = I4), 'Processed Non-zero TRI Data'!$V$2:$V$6), "N/A- Facility Does Not Report to TRI")</f>
        <v>N/A- Facility Does Not Report to TRI</v>
      </c>
      <c r="AE4" s="9" t="str">
        <f t="shared" ref="AE4:AE10" si="6">IFERROR(AD4/$O4, "N/A - Facility Does Not Report to TRI")</f>
        <v>N/A - Facility Does Not Report to TRI</v>
      </c>
      <c r="AF4" s="9" cm="1">
        <f t="array" ref="AF4">IF(COUNTIF('Processed Non-zero TRI Data'!$I:$I,$I4)&gt;0,MEDIAN(IF('Processed Non-zero TRI Data'!$I:$I=I4,'Processed Non-zero TRI Data'!$V:$V)), "N/A - Facility Does Not Report to TRI")</f>
        <v>0</v>
      </c>
      <c r="AG4" s="9">
        <f t="shared" ref="AG4:AG10" si="7">IFERROR(AF4/$O4, "N/A - Facility Does Not Report to TRI")</f>
        <v>0</v>
      </c>
      <c r="AH4" s="9">
        <f>IF(COUNTIF('Processed Non-zero TRI Data'!$I:$I,$I4)&gt;0,_xlfn.MAXIFS('Processed Non-zero TRI Data'!$V:$V,'Processed Non-zero TRI Data'!$I:$I,$I4), "N/A - Facility Does Not Report to TRI")</f>
        <v>0</v>
      </c>
      <c r="AI4" s="9">
        <f t="shared" ref="AI4:AI10" si="8">IFERROR(AH4/$O4, "N/A - Facility Does Not Report to TRI")</f>
        <v>0</v>
      </c>
      <c r="AJ4" s="158" t="str" cm="1">
        <f t="array" ref="AJ4">IF(B4="TRI Form A",AC4,IF(AH4=0,"Facility has no transfers to POTWs between 2019-2023.",IF(COUNTIF('Processed Non-zero TRI Data'!$I:$I,$I4)&gt;0,INDEX('Processed Non-zero TRI Data'!$A:$A,MATCH(1,($I4='Processed Non-zero TRI Data'!$I:$I)*(AH4='Processed Non-zero TRI Data'!$V:$V),0)),"N/A - Facility Does Not Report to TRI")))</f>
        <v>Facility has no transfers to POTWs between 2019-2023.</v>
      </c>
      <c r="AK4" s="97" t="str" cm="1">
        <f t="array" ref="AK4">IFERROR(_xlfn.XLOOKUP(1,  (MAX(IF(I4 = 'Processed Non-zero TRI Data'!$I$2:$I$6,'Processed Non-zero TRI Data'!$A$2:$A$6)) = 'Processed Non-zero TRI Data'!$A$2:$A$6)*('Processed Non-zero TRI Data'!$I$2:$I$6 = I4), 'Processed Non-zero TRI Data'!$X$2:$X$6), "N/A- Facility Does Not Report to TRI")</f>
        <v>N/A- Facility Does Not Report to TRI</v>
      </c>
      <c r="AL4" s="9" t="str">
        <f t="shared" ref="AL4:AL10" si="9">IFERROR(AK4/$O4, "N/A - Facility Does Not Report to TRI")</f>
        <v>N/A - Facility Does Not Report to TRI</v>
      </c>
      <c r="AM4" s="9" cm="1">
        <f t="array" ref="AM4">IF(COUNTIF('Processed Non-zero TRI Data'!$I:$I,$I4)&gt;0,MEDIAN(IF('Processed Non-zero TRI Data'!$I:$I=I4,'Processed Non-zero TRI Data'!$X:$X)), "N/A - Facility Does Not Report to TRI")</f>
        <v>0</v>
      </c>
      <c r="AN4" s="9">
        <f t="shared" ref="AN4:AN10" si="10">IFERROR(AM4/$O4, "N/A - Facility Does Not Report to TRI")</f>
        <v>0</v>
      </c>
      <c r="AO4" s="9">
        <f>IF(COUNTIF('Processed Non-zero TRI Data'!$I:$I,$I4)&gt;0,_xlfn.MAXIFS('Processed Non-zero TRI Data'!$X:$X,'Processed Non-zero TRI Data'!$I:$I,$I4), "N/A - Facility Does Not Report to TRI")</f>
        <v>0</v>
      </c>
      <c r="AP4" s="9">
        <f t="shared" ref="AP4:AP10" si="11">IFERROR(AO4/$O4, "N/A - Facility Does Not Report to TRI")</f>
        <v>0</v>
      </c>
      <c r="AQ4" s="251" t="str" cm="1">
        <f t="array" ref="AQ4">IF(B4="TRI Form A",AC4,IF(AO4=0,"Facility has no transfers to non-POTWs between 2019-2023.",IF(COUNTIF('Processed Non-zero TRI Data'!$I:$I,$I4)&gt;0,INDEX('Processed Non-zero TRI Data'!$A:$A,MATCH(1,($I4='Processed Non-zero TRI Data'!$I:$I)*(AO4='Processed Non-zero TRI Data'!$X:$X),0)),"N/A - Facility Does Not Report to TRI")))</f>
        <v>Facility has no transfers to non-POTWs between 2019-2023.</v>
      </c>
      <c r="AR4" s="260">
        <f>MAX(AA4,AH4,AO4)</f>
        <v>5.4208824138700002</v>
      </c>
      <c r="AS4" s="260">
        <f>T4</f>
        <v>6.0027198999999998</v>
      </c>
    </row>
    <row r="5" spans="1:45" ht="30" x14ac:dyDescent="0.25">
      <c r="A5" s="12">
        <v>2</v>
      </c>
      <c r="B5" s="10" t="str">
        <f>IFERROR("TRI Form "&amp; VLOOKUP(I5, 'Processed Non-zero TRI Data'!$I$2:$K$6, 3, FALSE), "DMR")</f>
        <v>DMR</v>
      </c>
      <c r="C5" s="181" t="e">
        <f>VLOOKUP(D5,#REF!, 2, FALSE)</f>
        <v>#REF!</v>
      </c>
      <c r="D5" s="181" t="str">
        <f>IF(I5&lt;&gt;"",INDEX('Processed Non-zero TRI Data'!$O:$O,MATCH(I5,'Processed Non-zero TRI Data'!$I:$I,0)),INDEX('Processed Non-zero DMR Data'!$S:$S,MATCH(J5,'Processed Non-zero DMR Data'!$I:$I,0)))</f>
        <v>Manufacture</v>
      </c>
      <c r="E5" s="181" t="str">
        <f>IF(I5&lt;&gt;"",INDEX('Processed Non-zero TRI Data'!$P:$P,MATCH(I5,'Processed Non-zero TRI Data'!$I:$I,0)),INDEX('Processed Non-zero DMR Data'!$T:$T,MATCH(J5,'Processed Non-zero DMR Data'!$I:$I,0)))</f>
        <v>VI Final Study Plan</v>
      </c>
      <c r="F5" s="9" t="s">
        <v>104</v>
      </c>
      <c r="G5" s="9" t="s">
        <v>105</v>
      </c>
      <c r="H5" s="9" t="s">
        <v>106</v>
      </c>
      <c r="I5" s="9" t="s">
        <v>107</v>
      </c>
      <c r="J5" s="13">
        <v>110001244724</v>
      </c>
      <c r="K5" s="9" t="str">
        <f>IFERROR(INDEX('Raw Non-zero DMR Data'!$C:$C, MATCH(J5,'Raw Non-zero DMR Data'!$D:$D,0)),"")</f>
        <v/>
      </c>
      <c r="L5" s="9" t="str">
        <f>IFERROR(INDEX('Raw Non-zero DMR Data'!$U:$U, MATCH($J5,'Raw Non-zero DMR Data'!$D:$D,0)),"")</f>
        <v/>
      </c>
      <c r="M5" s="155" t="str">
        <f>IFERROR(INDEX('Raw Non-zero DMR Data'!$T:$T, MATCH($J5,'Raw Non-zero DMR Data'!$D:$D,0)),"")</f>
        <v/>
      </c>
      <c r="N5" s="155" t="str">
        <f>IFERROR(INDEX('Off-site Locations'!$E:$E,MATCH(I5,'Off-site Locations'!$B:$B,0)),"No offsite transfers")</f>
        <v>No offsite transfers</v>
      </c>
      <c r="O5" s="165">
        <f>INDEX('TRI and DMR OES Summary'!D:D,MATCH('Facility Discharge Summary'!D5,'TRI and DMR OES Summary'!A:A,0))</f>
        <v>350</v>
      </c>
      <c r="P5" s="17" t="str" cm="1">
        <f t="array" ref="P5">IFERROR(_xlfn.XLOOKUP(1,  (MAX(IF(J5 = 'Processed Non-zero DMR Data'!$I$2:$I$651,'Processed Non-zero DMR Data'!$A$2:$A$651)) = 'Processed Non-zero DMR Data'!$A$2:$A$651)*('Processed Non-zero DMR Data'!$I$2:$I$651 = J5),'Processed Non-zero DMR Data'!$W$2:$W$651), "N/A- Facility Does Not Report DMRs")</f>
        <v>N/A- Facility Does Not Report DMRs</v>
      </c>
      <c r="Q5" s="10" t="str">
        <f t="shared" si="0"/>
        <v>N/A - Facility Does Not Report DMRs</v>
      </c>
      <c r="R5" s="10" t="str" cm="1">
        <f t="array" ref="R5">IF(COUNTIF('Processed Non-zero DMR Data'!$I:$I,$J5)&gt;0,MEDIAN(IF('Processed Non-zero DMR Data'!$I:$I=J5,'Processed Non-zero DMR Data'!$W:$W)),"N/A - Facility Does Not Report DMRs")</f>
        <v>N/A - Facility Does Not Report DMRs</v>
      </c>
      <c r="S5" s="10" t="str">
        <f t="shared" si="1"/>
        <v>N/A - Facility Does Not Report DMRs</v>
      </c>
      <c r="T5" s="10" t="str">
        <f>IF(COUNTIF('Processed Non-zero DMR Data'!$I:$I,$J5)&gt;0,_xlfn.MAXIFS('Processed Non-zero DMR Data'!$W:$W,'Processed Non-zero DMR Data'!$I:$I,$J5), "N/A - Facility Does Not Report DMRs")</f>
        <v>N/A - Facility Does Not Report DMRs</v>
      </c>
      <c r="U5" s="10" t="str">
        <f t="shared" si="2"/>
        <v>N/A - Facility Does Not Report DMRs</v>
      </c>
      <c r="V5" s="158" t="str" cm="1">
        <f t="array" ref="V5">IF(COUNTIF('Processed Non-zero DMR Data'!$I:$I,$J5)&gt;0,INDEX('Processed Non-zero DMR Data'!$A:$A,MATCH(1,($J5='Processed Non-zero DMR Data'!$I:$I)*($T5='Processed Non-zero DMR Data'!$W:$W),0)), "N/A - Facility Does Not Report DMRs")</f>
        <v>N/A - Facility Does Not Report DMRs</v>
      </c>
      <c r="W5" s="17" t="str" cm="1">
        <f t="array" ref="W5">IFERROR(_xlfn.XLOOKUP(1,  (MAX(IF(I5 = 'Processed Non-zero TRI Data'!$I$2:$I$6,'Processed Non-zero TRI Data'!$A$2:$A$6)) = 'Processed Non-zero TRI Data'!$A$2:$A$6)*('Processed Non-zero TRI Data'!$I$2:$I$6 = I5), 'Processed Non-zero TRI Data'!$T$2:$T$6), "N/A- Facility Does Not Report to TRI")</f>
        <v>N/A- Facility Does Not Report to TRI</v>
      </c>
      <c r="X5" s="10" t="str">
        <f t="shared" si="3"/>
        <v>N/A - Facility Does Not Report to TRI</v>
      </c>
      <c r="Y5" s="10" cm="1">
        <f t="array" ref="Y5">IF(COUNTIF('Processed Non-zero TRI Data'!$I:$I,$I5)&gt;0,MEDIAN(IF('Processed Non-zero TRI Data'!$I:$I=I5,'Processed Non-zero TRI Data'!$T:$T)), "N/A - Facility Does Not Report to TRI")</f>
        <v>254.01172720000002</v>
      </c>
      <c r="Z5" s="10">
        <f t="shared" si="4"/>
        <v>0.72574779200000006</v>
      </c>
      <c r="AA5" s="10">
        <f>IF(COUNTIF('Processed Non-zero TRI Data'!$I:$I,$I5)&gt;0,_xlfn.MAXIFS('Processed Non-zero TRI Data'!$T:$T,'Processed Non-zero TRI Data'!$I:$I,$I5), "N/A - Facility Does Not Report to TRI")</f>
        <v>302.09251842000003</v>
      </c>
      <c r="AB5" s="10">
        <f t="shared" si="5"/>
        <v>0.8631214812000001</v>
      </c>
      <c r="AC5" s="158" t="str" cm="1">
        <f t="array" ref="AC5">IFERROR(IF(B5 = "TRI Form R", IF(AA5 = 0, "Facility has no on-site water discharges between 2017-2022.",  IF(COUNTIF('Processed Non-zero TRI Data'!$I:$I,$I5)&gt;0,INDEX('Processed Non-zero TRI Data'!$A:$A,MATCH(1,($I5='Processed Non-zero TRI Data'!$I:$I)*(AA5='Processed Non-zero TRI Data'!$T:$T),0)))), VLOOKUP(I5,#REF!, 2, FALSE)), ("N/A - Facility Does Not Report to TRI"))</f>
        <v>N/A - Facility Does Not Report to TRI</v>
      </c>
      <c r="AD5" s="97" t="str" cm="1">
        <f t="array" ref="AD5">IFERROR(_xlfn.XLOOKUP(1,  (MAX(IF(I5 = 'Processed Non-zero TRI Data'!$I$2:$I$6,'Processed Non-zero TRI Data'!$A$2:$A$6)) = 'Processed Non-zero TRI Data'!$A$2:$A$6)*('Processed Non-zero TRI Data'!$I$2:$I$6 = I5), 'Processed Non-zero TRI Data'!$V$2:$V$6), "N/A- Facility Does Not Report to TRI")</f>
        <v>N/A- Facility Does Not Report to TRI</v>
      </c>
      <c r="AE5" s="9" t="str">
        <f t="shared" si="6"/>
        <v>N/A - Facility Does Not Report to TRI</v>
      </c>
      <c r="AF5" s="9" cm="1">
        <f t="array" ref="AF5">IF(COUNTIF('Processed Non-zero TRI Data'!$I:$I,$I5)&gt;0,MEDIAN(IF('Processed Non-zero TRI Data'!$I:$I=I5,'Processed Non-zero TRI Data'!$V:$V)), "N/A - Facility Does Not Report to TRI")</f>
        <v>0</v>
      </c>
      <c r="AG5" s="9">
        <f t="shared" si="7"/>
        <v>0</v>
      </c>
      <c r="AH5" s="9">
        <f>IF(COUNTIF('Processed Non-zero TRI Data'!$I:$I,$I5)&gt;0,_xlfn.MAXIFS('Processed Non-zero TRI Data'!$V:$V,'Processed Non-zero TRI Data'!$I:$I,$I5), "N/A - Facility Does Not Report to TRI")</f>
        <v>0</v>
      </c>
      <c r="AI5" s="9">
        <f t="shared" si="8"/>
        <v>0</v>
      </c>
      <c r="AJ5" s="158" t="str" cm="1">
        <f t="array" ref="AJ5">IF(B5="TRI Form A",AC5,IF(AH5=0,"Facility has no transfers to POTWs between 2019-2023.",IF(COUNTIF('Processed Non-zero TRI Data'!$I:$I,$I5)&gt;0,INDEX('Processed Non-zero TRI Data'!$A:$A,MATCH(1,($I5='Processed Non-zero TRI Data'!$I:$I)*(AH5='Processed Non-zero TRI Data'!$V:$V),0)),"N/A - Facility Does Not Report to TRI")))</f>
        <v>Facility has no transfers to POTWs between 2019-2023.</v>
      </c>
      <c r="AK5" s="97" t="str" cm="1">
        <f t="array" ref="AK5">IFERROR(_xlfn.XLOOKUP(1,  (MAX(IF(I5 = 'Processed Non-zero TRI Data'!$I$2:$I$6,'Processed Non-zero TRI Data'!$A$2:$A$6)) = 'Processed Non-zero TRI Data'!$A$2:$A$6)*('Processed Non-zero TRI Data'!$I$2:$I$6 = I5), 'Processed Non-zero TRI Data'!$X$2:$X$6), "N/A- Facility Does Not Report to TRI")</f>
        <v>N/A- Facility Does Not Report to TRI</v>
      </c>
      <c r="AL5" s="9" t="str">
        <f t="shared" si="9"/>
        <v>N/A - Facility Does Not Report to TRI</v>
      </c>
      <c r="AM5" s="9" cm="1">
        <f t="array" ref="AM5">IF(COUNTIF('Processed Non-zero TRI Data'!$I:$I,$I5)&gt;0,MEDIAN(IF('Processed Non-zero TRI Data'!$I:$I=I5,'Processed Non-zero TRI Data'!$X:$X)), "N/A - Facility Does Not Report to TRI")</f>
        <v>0</v>
      </c>
      <c r="AN5" s="9">
        <f t="shared" si="10"/>
        <v>0</v>
      </c>
      <c r="AO5" s="9">
        <f>IF(COUNTIF('Processed Non-zero TRI Data'!$I:$I,$I5)&gt;0,_xlfn.MAXIFS('Processed Non-zero TRI Data'!$X:$X,'Processed Non-zero TRI Data'!$I:$I,$I5), "N/A - Facility Does Not Report to TRI")</f>
        <v>0</v>
      </c>
      <c r="AP5" s="9">
        <f t="shared" si="11"/>
        <v>0</v>
      </c>
      <c r="AQ5" s="251" t="str" cm="1">
        <f t="array" ref="AQ5">IF(B5="TRI Form A",AC5,IF(AO5=0,"Facility has no transfers to non-POTWs between 2019-2023.",IF(COUNTIF('Processed Non-zero TRI Data'!$I:$I,$I5)&gt;0,INDEX('Processed Non-zero TRI Data'!$A:$A,MATCH(1,($I5='Processed Non-zero TRI Data'!$I:$I)*(AO5='Processed Non-zero TRI Data'!$X:$X),0)),"N/A - Facility Does Not Report to TRI")))</f>
        <v>Facility has no transfers to non-POTWs between 2019-2023.</v>
      </c>
      <c r="AR5" s="260">
        <f t="shared" ref="AR5:AR68" si="12">MAX(AA5,AH5,AO5)</f>
        <v>302.09251842000003</v>
      </c>
      <c r="AS5" s="260" t="str">
        <f t="shared" ref="AS5:AS68" si="13">T5</f>
        <v>N/A - Facility Does Not Report DMRs</v>
      </c>
    </row>
    <row r="6" spans="1:45" ht="30" x14ac:dyDescent="0.25">
      <c r="A6" s="12">
        <v>3</v>
      </c>
      <c r="B6" s="10" t="str">
        <f>IFERROR("TRI Form "&amp; VLOOKUP(I6, 'Processed Non-zero TRI Data'!$I$2:$K$6, 3, FALSE), "DMR")</f>
        <v>DMR</v>
      </c>
      <c r="C6" s="181" t="e">
        <f>VLOOKUP(D6,#REF!, 2, FALSE)</f>
        <v>#REF!</v>
      </c>
      <c r="D6" s="181" t="str">
        <f>IF(I6&lt;&gt;"",INDEX('Processed Non-zero TRI Data'!$O:$O,MATCH(I6,'Processed Non-zero TRI Data'!$I:$I,0)),INDEX('Processed Non-zero DMR Data'!$S:$S,MATCH(J6,'Processed Non-zero DMR Data'!$I:$I,0)))</f>
        <v>Processing aid</v>
      </c>
      <c r="E6" s="181" t="str">
        <f>IF(I6&lt;&gt;"",INDEX('Processed Non-zero TRI Data'!$P:$P,MATCH(I6,'Processed Non-zero TRI Data'!$I:$I,0)),INDEX('Processed Non-zero DMR Data'!$T:$T,MATCH(J6,'Processed Non-zero DMR Data'!$I:$I,0)))</f>
        <v>TRI Use: Chemical Processing Aid</v>
      </c>
      <c r="F6" s="9" t="s">
        <v>108</v>
      </c>
      <c r="G6" s="9" t="s">
        <v>109</v>
      </c>
      <c r="H6" s="9" t="s">
        <v>110</v>
      </c>
      <c r="I6" s="9" t="s">
        <v>111</v>
      </c>
      <c r="J6" s="13">
        <v>110000499611</v>
      </c>
      <c r="K6" s="9" t="str">
        <f>IFERROR(INDEX('Raw Non-zero DMR Data'!$C:$C, MATCH(J6,'Raw Non-zero DMR Data'!$D:$D,0)),"")</f>
        <v/>
      </c>
      <c r="L6" s="9" t="str">
        <f>IFERROR(INDEX('Raw Non-zero DMR Data'!$U:$U, MATCH($J6,'Raw Non-zero DMR Data'!$D:$D,0)),"")</f>
        <v/>
      </c>
      <c r="M6" s="155" t="str">
        <f>IFERROR(INDEX('Raw Non-zero DMR Data'!$T:$T, MATCH($J6,'Raw Non-zero DMR Data'!$D:$D,0)),"")</f>
        <v/>
      </c>
      <c r="N6" s="155" t="str">
        <f>IFERROR(INDEX('Off-site Locations'!$E:$E,MATCH(I6,'Off-site Locations'!$B:$B,0)),"No offsite transfers")</f>
        <v>No offsite transfers</v>
      </c>
      <c r="O6" s="165">
        <f>INDEX('TRI and DMR OES Summary'!D:D,MATCH('Facility Discharge Summary'!D6,'TRI and DMR OES Summary'!A:A,0))</f>
        <v>300</v>
      </c>
      <c r="P6" s="17" t="str" cm="1">
        <f t="array" ref="P6">IFERROR(_xlfn.XLOOKUP(1,  (MAX(IF(J6 = 'Processed Non-zero DMR Data'!$I$2:$I$651,'Processed Non-zero DMR Data'!$A$2:$A$651)) = 'Processed Non-zero DMR Data'!$A$2:$A$651)*('Processed Non-zero DMR Data'!$I$2:$I$651 = J6),'Processed Non-zero DMR Data'!$W$2:$W$651), "N/A- Facility Does Not Report DMRs")</f>
        <v>N/A- Facility Does Not Report DMRs</v>
      </c>
      <c r="Q6" s="10" t="str">
        <f t="shared" si="0"/>
        <v>N/A - Facility Does Not Report DMRs</v>
      </c>
      <c r="R6" s="10" t="str" cm="1">
        <f t="array" ref="R6">IF(COUNTIF('Processed Non-zero DMR Data'!$I:$I,$J6)&gt;0,MEDIAN(IF('Processed Non-zero DMR Data'!$I:$I=J6,'Processed Non-zero DMR Data'!$W:$W)),"N/A - Facility Does Not Report DMRs")</f>
        <v>N/A - Facility Does Not Report DMRs</v>
      </c>
      <c r="S6" s="10" t="str">
        <f t="shared" si="1"/>
        <v>N/A - Facility Does Not Report DMRs</v>
      </c>
      <c r="T6" s="10" t="str">
        <f>IF(COUNTIF('Processed Non-zero DMR Data'!$I:$I,$J6)&gt;0,_xlfn.MAXIFS('Processed Non-zero DMR Data'!$W:$W,'Processed Non-zero DMR Data'!$I:$I,$J6), "N/A - Facility Does Not Report DMRs")</f>
        <v>N/A - Facility Does Not Report DMRs</v>
      </c>
      <c r="U6" s="10" t="str">
        <f t="shared" si="2"/>
        <v>N/A - Facility Does Not Report DMRs</v>
      </c>
      <c r="V6" s="158" t="str" cm="1">
        <f t="array" ref="V6">IF(COUNTIF('Processed Non-zero DMR Data'!$I:$I,$J6)&gt;0,INDEX('Processed Non-zero DMR Data'!$A:$A,MATCH(1,($J6='Processed Non-zero DMR Data'!$I:$I)*($T6='Processed Non-zero DMR Data'!$W:$W),0)), "N/A - Facility Does Not Report DMRs")</f>
        <v>N/A - Facility Does Not Report DMRs</v>
      </c>
      <c r="W6" s="17" t="str" cm="1">
        <f t="array" ref="W6">IFERROR(_xlfn.XLOOKUP(1,  (MAX(IF(I6 = 'Processed Non-zero TRI Data'!$I$2:$I$6,'Processed Non-zero TRI Data'!$A$2:$A$6)) = 'Processed Non-zero TRI Data'!$A$2:$A$6)*('Processed Non-zero TRI Data'!$I$2:$I$6 = I6), 'Processed Non-zero TRI Data'!$T$2:$T$6), "N/A- Facility Does Not Report to TRI")</f>
        <v>N/A- Facility Does Not Report to TRI</v>
      </c>
      <c r="X6" s="10" t="str">
        <f t="shared" si="3"/>
        <v>N/A - Facility Does Not Report to TRI</v>
      </c>
      <c r="Y6" s="10" cm="1">
        <f t="array" ref="Y6">IF(COUNTIF('Processed Non-zero TRI Data'!$I:$I,$I6)&gt;0,MEDIAN(IF('Processed Non-zero TRI Data'!$I:$I=I6,'Processed Non-zero TRI Data'!$T:$T)), "N/A - Facility Does Not Report to TRI")</f>
        <v>28.004792923800004</v>
      </c>
      <c r="Z6" s="10">
        <f t="shared" si="4"/>
        <v>9.3349309746000017E-2</v>
      </c>
      <c r="AA6" s="10">
        <f>IF(COUNTIF('Processed Non-zero TRI Data'!$I:$I,$I6)&gt;0,_xlfn.MAXIFS('Processed Non-zero TRI Data'!$T:$T,'Processed Non-zero TRI Data'!$I:$I,$I6), "N/A - Facility Does Not Report to TRI")</f>
        <v>41.0274298665</v>
      </c>
      <c r="AB6" s="10">
        <f t="shared" si="5"/>
        <v>0.13675809955500001</v>
      </c>
      <c r="AC6" s="158" t="str" cm="1">
        <f t="array" ref="AC6">IFERROR(IF(B6 = "TRI Form R", IF(AA6 = 0, "Facility has no on-site water discharges between 2017-2022.",  IF(COUNTIF('Processed Non-zero TRI Data'!$I:$I,$I6)&gt;0,INDEX('Processed Non-zero TRI Data'!$A:$A,MATCH(1,($I6='Processed Non-zero TRI Data'!$I:$I)*(AA6='Processed Non-zero TRI Data'!$T:$T),0)))), VLOOKUP(I6,#REF!, 2, FALSE)), ("N/A - Facility Does Not Report to TRI"))</f>
        <v>N/A - Facility Does Not Report to TRI</v>
      </c>
      <c r="AD6" s="97" t="str" cm="1">
        <f t="array" ref="AD6">IFERROR(_xlfn.XLOOKUP(1,  (MAX(IF(I6 = 'Processed Non-zero TRI Data'!$I$2:$I$6,'Processed Non-zero TRI Data'!$A$2:$A$6)) = 'Processed Non-zero TRI Data'!$A$2:$A$6)*('Processed Non-zero TRI Data'!$I$2:$I$6 = I6), 'Processed Non-zero TRI Data'!$V$2:$V$6), "N/A- Facility Does Not Report to TRI")</f>
        <v>N/A- Facility Does Not Report to TRI</v>
      </c>
      <c r="AE6" s="9" t="str">
        <f t="shared" si="6"/>
        <v>N/A - Facility Does Not Report to TRI</v>
      </c>
      <c r="AF6" s="9" cm="1">
        <f t="array" ref="AF6">IF(COUNTIF('Processed Non-zero TRI Data'!$I:$I,$I6)&gt;0,MEDIAN(IF('Processed Non-zero TRI Data'!$I:$I=I6,'Processed Non-zero TRI Data'!$V:$V)), "N/A - Facility Does Not Report to TRI")</f>
        <v>0</v>
      </c>
      <c r="AG6" s="9">
        <f t="shared" si="7"/>
        <v>0</v>
      </c>
      <c r="AH6" s="9">
        <f>IF(COUNTIF('Processed Non-zero TRI Data'!$I:$I,$I6)&gt;0,_xlfn.MAXIFS('Processed Non-zero TRI Data'!$V:$V,'Processed Non-zero TRI Data'!$I:$I,$I6), "N/A - Facility Does Not Report to TRI")</f>
        <v>0</v>
      </c>
      <c r="AI6" s="9">
        <f t="shared" si="8"/>
        <v>0</v>
      </c>
      <c r="AJ6" s="158" t="str" cm="1">
        <f t="array" ref="AJ6">IF(B6="TRI Form A",AC6,IF(AH6=0,"Facility has no transfers to POTWs between 2019-2023.",IF(COUNTIF('Processed Non-zero TRI Data'!$I:$I,$I6)&gt;0,INDEX('Processed Non-zero TRI Data'!$A:$A,MATCH(1,($I6='Processed Non-zero TRI Data'!$I:$I)*(AH6='Processed Non-zero TRI Data'!$V:$V),0)),"N/A - Facility Does Not Report to TRI")))</f>
        <v>Facility has no transfers to POTWs between 2019-2023.</v>
      </c>
      <c r="AK6" s="97" t="str" cm="1">
        <f t="array" ref="AK6">IFERROR(_xlfn.XLOOKUP(1,  (MAX(IF(I6 = 'Processed Non-zero TRI Data'!$I$2:$I$6,'Processed Non-zero TRI Data'!$A$2:$A$6)) = 'Processed Non-zero TRI Data'!$A$2:$A$6)*('Processed Non-zero TRI Data'!$I$2:$I$6 = I6), 'Processed Non-zero TRI Data'!$X$2:$X$6), "N/A- Facility Does Not Report to TRI")</f>
        <v>N/A- Facility Does Not Report to TRI</v>
      </c>
      <c r="AL6" s="9" t="str">
        <f t="shared" si="9"/>
        <v>N/A - Facility Does Not Report to TRI</v>
      </c>
      <c r="AM6" s="9" cm="1">
        <f t="array" ref="AM6">IF(COUNTIF('Processed Non-zero TRI Data'!$I:$I,$I6)&gt;0,MEDIAN(IF('Processed Non-zero TRI Data'!$I:$I=I6,'Processed Non-zero TRI Data'!$X:$X)), "N/A - Facility Does Not Report to TRI")</f>
        <v>0</v>
      </c>
      <c r="AN6" s="9">
        <f t="shared" si="10"/>
        <v>0</v>
      </c>
      <c r="AO6" s="9">
        <f>IF(COUNTIF('Processed Non-zero TRI Data'!$I:$I,$I6)&gt;0,_xlfn.MAXIFS('Processed Non-zero TRI Data'!$X:$X,'Processed Non-zero TRI Data'!$I:$I,$I6), "N/A - Facility Does Not Report to TRI")</f>
        <v>0</v>
      </c>
      <c r="AP6" s="9">
        <f t="shared" si="11"/>
        <v>0</v>
      </c>
      <c r="AQ6" s="251" t="str" cm="1">
        <f t="array" ref="AQ6">IF(B6="TRI Form A",AC6,IF(AO6=0,"Facility has no transfers to non-POTWs between 2019-2023.",IF(COUNTIF('Processed Non-zero TRI Data'!$I:$I,$I6)&gt;0,INDEX('Processed Non-zero TRI Data'!$A:$A,MATCH(1,($I6='Processed Non-zero TRI Data'!$I:$I)*(AO6='Processed Non-zero TRI Data'!$X:$X),0)),"N/A - Facility Does Not Report to TRI")))</f>
        <v>Facility has no transfers to non-POTWs between 2019-2023.</v>
      </c>
      <c r="AR6" s="260">
        <f t="shared" si="12"/>
        <v>41.0274298665</v>
      </c>
      <c r="AS6" s="260" t="str">
        <f t="shared" si="13"/>
        <v>N/A - Facility Does Not Report DMRs</v>
      </c>
    </row>
    <row r="7" spans="1:45" ht="30" x14ac:dyDescent="0.25">
      <c r="A7" s="12">
        <v>4</v>
      </c>
      <c r="B7" s="10" t="str">
        <f>IFERROR("TRI Form "&amp; VLOOKUP(I7, 'Processed Non-zero TRI Data'!$I$2:$K$6, 3, FALSE), "DMR")</f>
        <v>TRI Form R</v>
      </c>
      <c r="C7" s="181" t="e">
        <f>VLOOKUP(D7,#REF!, 2, FALSE)</f>
        <v>#REF!</v>
      </c>
      <c r="D7" s="181" t="str">
        <f>IF(I7&lt;&gt;"",INDEX('Processed Non-zero TRI Data'!$O:$O,MATCH(I7,'Processed Non-zero TRI Data'!$I:$I,0)),INDEX('Processed Non-zero DMR Data'!$S:$S,MATCH(J7,'Processed Non-zero DMR Data'!$I:$I,0)))</f>
        <v>Manufacture</v>
      </c>
      <c r="E7" s="181" t="str">
        <f>IF(I7&lt;&gt;"",INDEX('Processed Non-zero TRI Data'!$P:$P,MATCH(I7,'Processed Non-zero TRI Data'!$I:$I,0)),INDEX('Processed Non-zero DMR Data'!$T:$T,MATCH(J7,'Processed Non-zero DMR Data'!$I:$I,0)))</f>
        <v>VI Final Study Plan</v>
      </c>
      <c r="F7" s="9" t="s">
        <v>112</v>
      </c>
      <c r="G7" s="9" t="s">
        <v>113</v>
      </c>
      <c r="H7" s="9" t="s">
        <v>114</v>
      </c>
      <c r="I7" s="9" t="s">
        <v>115</v>
      </c>
      <c r="J7" s="13">
        <v>110008170237</v>
      </c>
      <c r="K7" s="9" t="str">
        <f>IFERROR(INDEX('Raw Non-zero DMR Data'!$C:$C, MATCH(J7,'Raw Non-zero DMR Data'!$D:$D,0)),"")</f>
        <v/>
      </c>
      <c r="L7" s="9" t="str">
        <f>IFERROR(INDEX('Raw Non-zero DMR Data'!$U:$U, MATCH($J7,'Raw Non-zero DMR Data'!$D:$D,0)),"")</f>
        <v/>
      </c>
      <c r="M7" s="155" t="str">
        <f>IFERROR(INDEX('Raw Non-zero DMR Data'!$T:$T, MATCH($J7,'Raw Non-zero DMR Data'!$D:$D,0)),"")</f>
        <v/>
      </c>
      <c r="N7" s="155" t="str">
        <f>IFERROR(INDEX('Off-site Locations'!$E:$E,MATCH(I7,'Off-site Locations'!$B:$B,0)),"No offsite transfers")</f>
        <v>No offsite transfers</v>
      </c>
      <c r="O7" s="165">
        <f>INDEX('TRI and DMR OES Summary'!D:D,MATCH('Facility Discharge Summary'!D7,'TRI and DMR OES Summary'!A:A,0))</f>
        <v>350</v>
      </c>
      <c r="P7" s="17" t="str" cm="1">
        <f t="array" ref="P7">IFERROR(_xlfn.XLOOKUP(1,  (MAX(IF(J7 = 'Processed Non-zero DMR Data'!$I$2:$I$651,'Processed Non-zero DMR Data'!$A$2:$A$651)) = 'Processed Non-zero DMR Data'!$A$2:$A$651)*('Processed Non-zero DMR Data'!$I$2:$I$651 = J7),'Processed Non-zero DMR Data'!$W$2:$W$651), "N/A- Facility Does Not Report DMRs")</f>
        <v>N/A- Facility Does Not Report DMRs</v>
      </c>
      <c r="Q7" s="10" t="str">
        <f t="shared" si="0"/>
        <v>N/A - Facility Does Not Report DMRs</v>
      </c>
      <c r="R7" s="10" t="str" cm="1">
        <f t="array" ref="R7">IF(COUNTIF('Processed Non-zero DMR Data'!$I:$I,$J7)&gt;0,MEDIAN(IF('Processed Non-zero DMR Data'!$I:$I=J7,'Processed Non-zero DMR Data'!$W:$W)),"N/A - Facility Does Not Report DMRs")</f>
        <v>N/A - Facility Does Not Report DMRs</v>
      </c>
      <c r="S7" s="10" t="str">
        <f t="shared" si="1"/>
        <v>N/A - Facility Does Not Report DMRs</v>
      </c>
      <c r="T7" s="10" t="str">
        <f>IF(COUNTIF('Processed Non-zero DMR Data'!$I:$I,$J7)&gt;0,_xlfn.MAXIFS('Processed Non-zero DMR Data'!$W:$W,'Processed Non-zero DMR Data'!$I:$I,$J7), "N/A - Facility Does Not Report DMRs")</f>
        <v>N/A - Facility Does Not Report DMRs</v>
      </c>
      <c r="U7" s="10" t="str">
        <f t="shared" si="2"/>
        <v>N/A - Facility Does Not Report DMRs</v>
      </c>
      <c r="V7" s="158" t="str" cm="1">
        <f t="array" ref="V7">IF(COUNTIF('Processed Non-zero DMR Data'!$I:$I,$J7)&gt;0,INDEX('Processed Non-zero DMR Data'!$A:$A,MATCH(1,($J7='Processed Non-zero DMR Data'!$I:$I)*($T7='Processed Non-zero DMR Data'!$W:$W),0)), "N/A - Facility Does Not Report DMRs")</f>
        <v>N/A - Facility Does Not Report DMRs</v>
      </c>
      <c r="W7" s="17" cm="1">
        <f t="array" ref="W7">IFERROR(_xlfn.XLOOKUP(1,  (MAX(IF(I7 = 'Processed Non-zero TRI Data'!$I$2:$I$6,'Processed Non-zero TRI Data'!$A$2:$A$6)) = 'Processed Non-zero TRI Data'!$A$2:$A$6)*('Processed Non-zero TRI Data'!$I$2:$I$6 = I7), 'Processed Non-zero TRI Data'!$T$2:$T$6), "N/A- Facility Does Not Report to TRI")</f>
        <v>85.275365560000012</v>
      </c>
      <c r="X7" s="10">
        <f t="shared" si="3"/>
        <v>0.24364390160000005</v>
      </c>
      <c r="Y7" s="10" cm="1">
        <f t="array" ref="Y7">IF(COUNTIF('Processed Non-zero TRI Data'!$I:$I,$I7)&gt;0,MEDIAN(IF('Processed Non-zero TRI Data'!$I:$I=I7,'Processed Non-zero TRI Data'!$T:$T)), "N/A - Facility Does Not Report to TRI")</f>
        <v>68.719244055000004</v>
      </c>
      <c r="Z7" s="10">
        <f t="shared" si="4"/>
        <v>0.19634069730000001</v>
      </c>
      <c r="AA7" s="10">
        <f>IF(COUNTIF('Processed Non-zero TRI Data'!$I:$I,$I7)&gt;0,_xlfn.MAXIFS('Processed Non-zero TRI Data'!$T:$T,'Processed Non-zero TRI Data'!$I:$I,$I7), "N/A - Facility Does Not Report to TRI")</f>
        <v>98.883136660000005</v>
      </c>
      <c r="AB7" s="10">
        <f t="shared" si="5"/>
        <v>0.28252324760000003</v>
      </c>
      <c r="AC7" s="158" cm="1">
        <f t="array" ref="AC7">IFERROR(IF(B7 = "TRI Form R", IF(AA7 = 0, "Facility has no on-site water discharges between 2017-2022.",  IF(COUNTIF('Processed Non-zero TRI Data'!$I:$I,$I7)&gt;0,INDEX('Processed Non-zero TRI Data'!$A:$A,MATCH(1,($I7='Processed Non-zero TRI Data'!$I:$I)*(AA7='Processed Non-zero TRI Data'!$T:$T),0)))), VLOOKUP(I7,#REF!, 2, FALSE)), ("N/A - Facility Does Not Report to TRI"))</f>
        <v>2021</v>
      </c>
      <c r="AD7" s="97" cm="1">
        <f t="array" ref="AD7">IFERROR(_xlfn.XLOOKUP(1,  (MAX(IF(I7 = 'Processed Non-zero TRI Data'!$I$2:$I$6,'Processed Non-zero TRI Data'!$A$2:$A$6)) = 'Processed Non-zero TRI Data'!$A$2:$A$6)*('Processed Non-zero TRI Data'!$I$2:$I$6 = I7), 'Processed Non-zero TRI Data'!$V$2:$V$6), "N/A- Facility Does Not Report to TRI")</f>
        <v>0</v>
      </c>
      <c r="AE7" s="9">
        <f t="shared" si="6"/>
        <v>0</v>
      </c>
      <c r="AF7" s="9" cm="1">
        <f t="array" ref="AF7">IF(COUNTIF('Processed Non-zero TRI Data'!$I:$I,$I7)&gt;0,MEDIAN(IF('Processed Non-zero TRI Data'!$I:$I=I7,'Processed Non-zero TRI Data'!$V:$V)), "N/A - Facility Does Not Report to TRI")</f>
        <v>0</v>
      </c>
      <c r="AG7" s="9">
        <f t="shared" si="7"/>
        <v>0</v>
      </c>
      <c r="AH7" s="9">
        <f>IF(COUNTIF('Processed Non-zero TRI Data'!$I:$I,$I7)&gt;0,_xlfn.MAXIFS('Processed Non-zero TRI Data'!$V:$V,'Processed Non-zero TRI Data'!$I:$I,$I7), "N/A - Facility Does Not Report to TRI")</f>
        <v>0</v>
      </c>
      <c r="AI7" s="9">
        <f t="shared" si="8"/>
        <v>0</v>
      </c>
      <c r="AJ7" s="158" t="str" cm="1">
        <f t="array" ref="AJ7">IF(B7="TRI Form A",AC7,IF(AH7=0,"Facility has no transfers to POTWs between 2019-2023.",IF(COUNTIF('Processed Non-zero TRI Data'!$I:$I,$I7)&gt;0,INDEX('Processed Non-zero TRI Data'!$A:$A,MATCH(1,($I7='Processed Non-zero TRI Data'!$I:$I)*(AH7='Processed Non-zero TRI Data'!$V:$V),0)),"N/A - Facility Does Not Report to TRI")))</f>
        <v>Facility has no transfers to POTWs between 2019-2023.</v>
      </c>
      <c r="AK7" s="97" cm="1">
        <f t="array" ref="AK7">IFERROR(_xlfn.XLOOKUP(1,  (MAX(IF(I7 = 'Processed Non-zero TRI Data'!$I$2:$I$6,'Processed Non-zero TRI Data'!$A$2:$A$6)) = 'Processed Non-zero TRI Data'!$A$2:$A$6)*('Processed Non-zero TRI Data'!$I$2:$I$6 = I7), 'Processed Non-zero TRI Data'!$X$2:$X$6), "N/A- Facility Does Not Report to TRI")</f>
        <v>0</v>
      </c>
      <c r="AL7" s="9">
        <f t="shared" si="9"/>
        <v>0</v>
      </c>
      <c r="AM7" s="9" cm="1">
        <f t="array" ref="AM7">IF(COUNTIF('Processed Non-zero TRI Data'!$I:$I,$I7)&gt;0,MEDIAN(IF('Processed Non-zero TRI Data'!$I:$I=I7,'Processed Non-zero TRI Data'!$X:$X)), "N/A - Facility Does Not Report to TRI")</f>
        <v>0</v>
      </c>
      <c r="AN7" s="9">
        <f t="shared" si="10"/>
        <v>0</v>
      </c>
      <c r="AO7" s="9">
        <f>IF(COUNTIF('Processed Non-zero TRI Data'!$I:$I,$I7)&gt;0,_xlfn.MAXIFS('Processed Non-zero TRI Data'!$X:$X,'Processed Non-zero TRI Data'!$I:$I,$I7), "N/A - Facility Does Not Report to TRI")</f>
        <v>0</v>
      </c>
      <c r="AP7" s="9">
        <f t="shared" si="11"/>
        <v>0</v>
      </c>
      <c r="AQ7" s="251" t="str" cm="1">
        <f t="array" ref="AQ7">IF(B7="TRI Form A",AC7,IF(AO7=0,"Facility has no transfers to non-POTWs between 2019-2023.",IF(COUNTIF('Processed Non-zero TRI Data'!$I:$I,$I7)&gt;0,INDEX('Processed Non-zero TRI Data'!$A:$A,MATCH(1,($I7='Processed Non-zero TRI Data'!$I:$I)*(AO7='Processed Non-zero TRI Data'!$X:$X),0)),"N/A - Facility Does Not Report to TRI")))</f>
        <v>Facility has no transfers to non-POTWs between 2019-2023.</v>
      </c>
      <c r="AR7" s="260">
        <f t="shared" si="12"/>
        <v>98.883136660000005</v>
      </c>
      <c r="AS7" s="260" t="str">
        <f t="shared" si="13"/>
        <v>N/A - Facility Does Not Report DMRs</v>
      </c>
    </row>
    <row r="8" spans="1:45" ht="30" x14ac:dyDescent="0.25">
      <c r="A8" s="12">
        <v>5</v>
      </c>
      <c r="B8" s="10" t="str">
        <f>IFERROR("TRI Form "&amp; VLOOKUP(I8, 'Processed Non-zero TRI Data'!$I$2:$K$6, 3, FALSE), "DMR")</f>
        <v>DMR</v>
      </c>
      <c r="C8" s="181" t="e">
        <f>VLOOKUP(D8,#REF!, 2, FALSE)</f>
        <v>#REF!</v>
      </c>
      <c r="D8" s="181" t="str">
        <f>IF(I8&lt;&gt;"",INDEX('Processed Non-zero TRI Data'!$O:$O,MATCH(I8,'Processed Non-zero TRI Data'!$I:$I,0)),INDEX('Processed Non-zero DMR Data'!$S:$S,MATCH(J8,'Processed Non-zero DMR Data'!$I:$I,0)))</f>
        <v>Impurity in Plastics</v>
      </c>
      <c r="E8" s="181" t="str">
        <f>IF(I8&lt;&gt;"",INDEX('Processed Non-zero TRI Data'!$P:$P,MATCH(I8,'Processed Non-zero TRI Data'!$I:$I,0)),INDEX('Processed Non-zero DMR Data'!$T:$T,MATCH(J8,'Processed Non-zero DMR Data'!$I:$I,0)))</f>
        <v>2020 CDR; Import and Processing as a Reactant</v>
      </c>
      <c r="F8" s="9" t="s">
        <v>116</v>
      </c>
      <c r="G8" s="9" t="s">
        <v>117</v>
      </c>
      <c r="H8" s="9" t="s">
        <v>118</v>
      </c>
      <c r="I8" s="9" t="s">
        <v>119</v>
      </c>
      <c r="J8" s="13">
        <v>110043787408</v>
      </c>
      <c r="K8" s="9" t="str">
        <f>IFERROR(INDEX('Raw Non-zero DMR Data'!$C:$C, MATCH(J8,'Raw Non-zero DMR Data'!$D:$D,0)),"")</f>
        <v/>
      </c>
      <c r="L8" s="9" t="str">
        <f>IFERROR(INDEX('Raw Non-zero DMR Data'!$U:$U, MATCH($J8,'Raw Non-zero DMR Data'!$D:$D,0)),"")</f>
        <v/>
      </c>
      <c r="M8" s="155" t="str">
        <f>IFERROR(INDEX('Raw Non-zero DMR Data'!$T:$T, MATCH($J8,'Raw Non-zero DMR Data'!$D:$D,0)),"")</f>
        <v/>
      </c>
      <c r="N8" s="155" t="str">
        <f>IFERROR(INDEX('Off-site Locations'!$E:$E,MATCH(I8,'Off-site Locations'!$B:$B,0)),"No offsite transfers")</f>
        <v>No offsite transfers</v>
      </c>
      <c r="O8" s="165">
        <f>INDEX('TRI and DMR OES Summary'!D:D,MATCH('Facility Discharge Summary'!D8,'TRI and DMR OES Summary'!A:A,0))</f>
        <v>350</v>
      </c>
      <c r="P8" s="17" t="str" cm="1">
        <f t="array" ref="P8">IFERROR(_xlfn.XLOOKUP(1,  (MAX(IF(J8 = 'Processed Non-zero DMR Data'!$I$2:$I$651,'Processed Non-zero DMR Data'!$A$2:$A$651)) = 'Processed Non-zero DMR Data'!$A$2:$A$651)*('Processed Non-zero DMR Data'!$I$2:$I$651 = J8),'Processed Non-zero DMR Data'!$W$2:$W$651), "N/A- Facility Does Not Report DMRs")</f>
        <v>N/A- Facility Does Not Report DMRs</v>
      </c>
      <c r="Q8" s="10" t="str">
        <f t="shared" si="0"/>
        <v>N/A - Facility Does Not Report DMRs</v>
      </c>
      <c r="R8" s="10" t="str" cm="1">
        <f t="array" ref="R8">IF(COUNTIF('Processed Non-zero DMR Data'!$I:$I,$J8)&gt;0,MEDIAN(IF('Processed Non-zero DMR Data'!$I:$I=J8,'Processed Non-zero DMR Data'!$W:$W)),"N/A - Facility Does Not Report DMRs")</f>
        <v>N/A - Facility Does Not Report DMRs</v>
      </c>
      <c r="S8" s="10" t="str">
        <f t="shared" si="1"/>
        <v>N/A - Facility Does Not Report DMRs</v>
      </c>
      <c r="T8" s="10" t="str">
        <f>IF(COUNTIF('Processed Non-zero DMR Data'!$I:$I,$J8)&gt;0,_xlfn.MAXIFS('Processed Non-zero DMR Data'!$W:$W,'Processed Non-zero DMR Data'!$I:$I,$J8), "N/A - Facility Does Not Report DMRs")</f>
        <v>N/A - Facility Does Not Report DMRs</v>
      </c>
      <c r="U8" s="10" t="str">
        <f t="shared" si="2"/>
        <v>N/A - Facility Does Not Report DMRs</v>
      </c>
      <c r="V8" s="158" t="str" cm="1">
        <f t="array" ref="V8">IF(COUNTIF('Processed Non-zero DMR Data'!$I:$I,$J8)&gt;0,INDEX('Processed Non-zero DMR Data'!$A:$A,MATCH(1,($J8='Processed Non-zero DMR Data'!$I:$I)*($T8='Processed Non-zero DMR Data'!$W:$W),0)), "N/A - Facility Does Not Report DMRs")</f>
        <v>N/A - Facility Does Not Report DMRs</v>
      </c>
      <c r="W8" s="17" t="str" cm="1">
        <f t="array" ref="W8">IFERROR(_xlfn.XLOOKUP(1,  (MAX(IF(I8 = 'Processed Non-zero TRI Data'!$I$2:$I$6,'Processed Non-zero TRI Data'!$A$2:$A$6)) = 'Processed Non-zero TRI Data'!$A$2:$A$6)*('Processed Non-zero TRI Data'!$I$2:$I$6 = I8), 'Processed Non-zero TRI Data'!$T$2:$T$6), "N/A- Facility Does Not Report to TRI")</f>
        <v>N/A- Facility Does Not Report to TRI</v>
      </c>
      <c r="X8" s="10" t="str">
        <f t="shared" si="3"/>
        <v>N/A - Facility Does Not Report to TRI</v>
      </c>
      <c r="Y8" s="10" cm="1">
        <f t="array" ref="Y8">IF(COUNTIF('Processed Non-zero TRI Data'!$I:$I,$I8)&gt;0,MEDIAN(IF('Processed Non-zero TRI Data'!$I:$I=I8,'Processed Non-zero TRI Data'!$T:$T)), "N/A - Facility Does Not Report to TRI")</f>
        <v>11.33980925</v>
      </c>
      <c r="Z8" s="10">
        <f t="shared" si="4"/>
        <v>3.2399455000000001E-2</v>
      </c>
      <c r="AA8" s="10">
        <f>IF(COUNTIF('Processed Non-zero TRI Data'!$I:$I,$I8)&gt;0,_xlfn.MAXIFS('Processed Non-zero TRI Data'!$T:$T,'Processed Non-zero TRI Data'!$I:$I,$I8), "N/A - Facility Does Not Report to TRI")</f>
        <v>11.33980925</v>
      </c>
      <c r="AB8" s="10">
        <f t="shared" si="5"/>
        <v>3.2399455000000001E-2</v>
      </c>
      <c r="AC8" s="158" t="str" cm="1">
        <f t="array" ref="AC8">IFERROR(IF(B8 = "TRI Form R", IF(AA8 = 0, "Facility has no on-site water discharges between 2017-2022.",  IF(COUNTIF('Processed Non-zero TRI Data'!$I:$I,$I8)&gt;0,INDEX('Processed Non-zero TRI Data'!$A:$A,MATCH(1,($I8='Processed Non-zero TRI Data'!$I:$I)*(AA8='Processed Non-zero TRI Data'!$T:$T),0)))), VLOOKUP(I8,#REF!, 2, FALSE)), ("N/A - Facility Does Not Report to TRI"))</f>
        <v>N/A - Facility Does Not Report to TRI</v>
      </c>
      <c r="AD8" s="97" t="str" cm="1">
        <f t="array" ref="AD8">IFERROR(_xlfn.XLOOKUP(1,  (MAX(IF(I8 = 'Processed Non-zero TRI Data'!$I$2:$I$6,'Processed Non-zero TRI Data'!$A$2:$A$6)) = 'Processed Non-zero TRI Data'!$A$2:$A$6)*('Processed Non-zero TRI Data'!$I$2:$I$6 = I8), 'Processed Non-zero TRI Data'!$V$2:$V$6), "N/A- Facility Does Not Report to TRI")</f>
        <v>N/A- Facility Does Not Report to TRI</v>
      </c>
      <c r="AE8" s="9" t="str">
        <f t="shared" si="6"/>
        <v>N/A - Facility Does Not Report to TRI</v>
      </c>
      <c r="AF8" s="9" cm="1">
        <f t="array" ref="AF8">IF(COUNTIF('Processed Non-zero TRI Data'!$I:$I,$I8)&gt;0,MEDIAN(IF('Processed Non-zero TRI Data'!$I:$I=I8,'Processed Non-zero TRI Data'!$V:$V)), "N/A - Facility Does Not Report to TRI")</f>
        <v>0</v>
      </c>
      <c r="AG8" s="9">
        <f t="shared" si="7"/>
        <v>0</v>
      </c>
      <c r="AH8" s="9">
        <f>IF(COUNTIF('Processed Non-zero TRI Data'!$I:$I,$I8)&gt;0,_xlfn.MAXIFS('Processed Non-zero TRI Data'!$V:$V,'Processed Non-zero TRI Data'!$I:$I,$I8), "N/A - Facility Does Not Report to TRI")</f>
        <v>0</v>
      </c>
      <c r="AI8" s="9">
        <f t="shared" si="8"/>
        <v>0</v>
      </c>
      <c r="AJ8" s="158" t="str" cm="1">
        <f t="array" ref="AJ8">IF(B8="TRI Form A",AC8,IF(AH8=0,"Facility has no transfers to POTWs between 2019-2023.",IF(COUNTIF('Processed Non-zero TRI Data'!$I:$I,$I8)&gt;0,INDEX('Processed Non-zero TRI Data'!$A:$A,MATCH(1,($I8='Processed Non-zero TRI Data'!$I:$I)*(AH8='Processed Non-zero TRI Data'!$V:$V),0)),"N/A - Facility Does Not Report to TRI")))</f>
        <v>Facility has no transfers to POTWs between 2019-2023.</v>
      </c>
      <c r="AK8" s="97" t="str" cm="1">
        <f t="array" ref="AK8">IFERROR(_xlfn.XLOOKUP(1,  (MAX(IF(I8 = 'Processed Non-zero TRI Data'!$I$2:$I$6,'Processed Non-zero TRI Data'!$A$2:$A$6)) = 'Processed Non-zero TRI Data'!$A$2:$A$6)*('Processed Non-zero TRI Data'!$I$2:$I$6 = I8), 'Processed Non-zero TRI Data'!$X$2:$X$6), "N/A- Facility Does Not Report to TRI")</f>
        <v>N/A- Facility Does Not Report to TRI</v>
      </c>
      <c r="AL8" s="9" t="str">
        <f t="shared" si="9"/>
        <v>N/A - Facility Does Not Report to TRI</v>
      </c>
      <c r="AM8" s="9" cm="1">
        <f t="array" ref="AM8">IF(COUNTIF('Processed Non-zero TRI Data'!$I:$I,$I8)&gt;0,MEDIAN(IF('Processed Non-zero TRI Data'!$I:$I=I8,'Processed Non-zero TRI Data'!$X:$X)), "N/A - Facility Does Not Report to TRI")</f>
        <v>0</v>
      </c>
      <c r="AN8" s="9">
        <f t="shared" si="10"/>
        <v>0</v>
      </c>
      <c r="AO8" s="9">
        <f>IF(COUNTIF('Processed Non-zero TRI Data'!$I:$I,$I8)&gt;0,_xlfn.MAXIFS('Processed Non-zero TRI Data'!$X:$X,'Processed Non-zero TRI Data'!$I:$I,$I8), "N/A - Facility Does Not Report to TRI")</f>
        <v>0</v>
      </c>
      <c r="AP8" s="9">
        <f t="shared" si="11"/>
        <v>0</v>
      </c>
      <c r="AQ8" s="251" t="str" cm="1">
        <f t="array" ref="AQ8">IF(B8="TRI Form A",AC8,IF(AO8=0,"Facility has no transfers to non-POTWs between 2019-2023.",IF(COUNTIF('Processed Non-zero TRI Data'!$I:$I,$I8)&gt;0,INDEX('Processed Non-zero TRI Data'!$A:$A,MATCH(1,($I8='Processed Non-zero TRI Data'!$I:$I)*(AO8='Processed Non-zero TRI Data'!$X:$X),0)),"N/A - Facility Does Not Report to TRI")))</f>
        <v>Facility has no transfers to non-POTWs between 2019-2023.</v>
      </c>
      <c r="AR8" s="260">
        <f t="shared" si="12"/>
        <v>11.33980925</v>
      </c>
      <c r="AS8" s="260" t="str">
        <f t="shared" si="13"/>
        <v>N/A - Facility Does Not Report DMRs</v>
      </c>
    </row>
    <row r="9" spans="1:45" ht="30" x14ac:dyDescent="0.25">
      <c r="A9" s="12">
        <v>6</v>
      </c>
      <c r="B9" s="10" t="str">
        <f>IFERROR("TRI Form "&amp; VLOOKUP(I9, 'Processed Non-zero TRI Data'!$I$2:$K$6, 3, FALSE), "DMR")</f>
        <v>TRI Form R</v>
      </c>
      <c r="C9" s="181" t="e">
        <f>VLOOKUP(D9,#REF!, 2, FALSE)</f>
        <v>#REF!</v>
      </c>
      <c r="D9" s="181" t="str">
        <f>IF(I9&lt;&gt;"",INDEX('Processed Non-zero TRI Data'!$O:$O,MATCH(I9,'Processed Non-zero TRI Data'!$I:$I,0)),INDEX('Processed Non-zero DMR Data'!$S:$S,MATCH(J9,'Processed Non-zero DMR Data'!$I:$I,0)))</f>
        <v>Manufacture</v>
      </c>
      <c r="E9" s="181" t="str">
        <f>IF(I9&lt;&gt;"",INDEX('Processed Non-zero TRI Data'!$P:$P,MATCH(I9,'Processed Non-zero TRI Data'!$I:$I,0)),INDEX('Processed Non-zero DMR Data'!$T:$T,MATCH(J9,'Processed Non-zero DMR Data'!$I:$I,0)))</f>
        <v>VI Final Study Plan</v>
      </c>
      <c r="F9" s="9" t="s">
        <v>120</v>
      </c>
      <c r="G9" s="9" t="s">
        <v>113</v>
      </c>
      <c r="H9" s="9" t="s">
        <v>114</v>
      </c>
      <c r="I9" s="9" t="s">
        <v>121</v>
      </c>
      <c r="J9" s="13">
        <v>110066943605</v>
      </c>
      <c r="K9" s="9" t="str">
        <f>IFERROR(INDEX('Raw Non-zero DMR Data'!$C:$C, MATCH(J9,'Raw Non-zero DMR Data'!$D:$D,0)),"")</f>
        <v/>
      </c>
      <c r="L9" s="9" t="str">
        <f>IFERROR(INDEX('Raw Non-zero DMR Data'!$U:$U, MATCH($J9,'Raw Non-zero DMR Data'!$D:$D,0)),"")</f>
        <v/>
      </c>
      <c r="M9" s="155" t="str">
        <f>IFERROR(INDEX('Raw Non-zero DMR Data'!$T:$T, MATCH($J9,'Raw Non-zero DMR Data'!$D:$D,0)),"")</f>
        <v/>
      </c>
      <c r="N9" s="155" t="str">
        <f>IFERROR(INDEX('Off-site Locations'!$E:$E,MATCH(I9,'Off-site Locations'!$B:$B,0)),"No offsite transfers")</f>
        <v>NA</v>
      </c>
      <c r="O9" s="165">
        <f>INDEX('TRI and DMR OES Summary'!D:D,MATCH('Facility Discharge Summary'!D9,'TRI and DMR OES Summary'!A:A,0))</f>
        <v>350</v>
      </c>
      <c r="P9" s="17" t="str" cm="1">
        <f t="array" ref="P9">IFERROR(_xlfn.XLOOKUP(1,  (MAX(IF(J9 = 'Processed Non-zero DMR Data'!$I$2:$I$651,'Processed Non-zero DMR Data'!$A$2:$A$651)) = 'Processed Non-zero DMR Data'!$A$2:$A$651)*('Processed Non-zero DMR Data'!$I$2:$I$651 = J9),'Processed Non-zero DMR Data'!$W$2:$W$651), "N/A- Facility Does Not Report DMRs")</f>
        <v>N/A- Facility Does Not Report DMRs</v>
      </c>
      <c r="Q9" s="10" t="str">
        <f t="shared" si="0"/>
        <v>N/A - Facility Does Not Report DMRs</v>
      </c>
      <c r="R9" s="10" t="str" cm="1">
        <f t="array" ref="R9">IF(COUNTIF('Processed Non-zero DMR Data'!$I:$I,$J9)&gt;0,MEDIAN(IF('Processed Non-zero DMR Data'!$I:$I=J9,'Processed Non-zero DMR Data'!$W:$W)),"N/A - Facility Does Not Report DMRs")</f>
        <v>N/A - Facility Does Not Report DMRs</v>
      </c>
      <c r="S9" s="10" t="str">
        <f t="shared" si="1"/>
        <v>N/A - Facility Does Not Report DMRs</v>
      </c>
      <c r="T9" s="10" t="str">
        <f>IF(COUNTIF('Processed Non-zero DMR Data'!$I:$I,$J9)&gt;0,_xlfn.MAXIFS('Processed Non-zero DMR Data'!$W:$W,'Processed Non-zero DMR Data'!$I:$I,$J9), "N/A - Facility Does Not Report DMRs")</f>
        <v>N/A - Facility Does Not Report DMRs</v>
      </c>
      <c r="U9" s="10" t="str">
        <f t="shared" si="2"/>
        <v>N/A - Facility Does Not Report DMRs</v>
      </c>
      <c r="V9" s="158" t="str" cm="1">
        <f t="array" ref="V9">IF(COUNTIF('Processed Non-zero DMR Data'!$I:$I,$J9)&gt;0,INDEX('Processed Non-zero DMR Data'!$A:$A,MATCH(1,($J9='Processed Non-zero DMR Data'!$I:$I)*($T9='Processed Non-zero DMR Data'!$W:$W),0)), "N/A - Facility Does Not Report DMRs")</f>
        <v>N/A - Facility Does Not Report DMRs</v>
      </c>
      <c r="W9" s="17" cm="1">
        <f t="array" ref="W9">IFERROR(_xlfn.XLOOKUP(1,  (MAX(IF(I9 = 'Processed Non-zero TRI Data'!$I$2:$I$6,'Processed Non-zero TRI Data'!$A$2:$A$6)) = 'Processed Non-zero TRI Data'!$A$2:$A$6)*('Processed Non-zero TRI Data'!$I$2:$I$6 = I9), 'Processed Non-zero TRI Data'!$T$2:$T$6), "N/A- Facility Does Not Report to TRI")</f>
        <v>488.06539012000002</v>
      </c>
      <c r="X9" s="10">
        <f t="shared" si="3"/>
        <v>1.3944725432</v>
      </c>
      <c r="Y9" s="10" cm="1">
        <f t="array" ref="Y9">IF(COUNTIF('Processed Non-zero TRI Data'!$I:$I,$I9)&gt;0,MEDIAN(IF('Processed Non-zero TRI Data'!$I:$I=I9,'Processed Non-zero TRI Data'!$T:$T)), "N/A - Facility Does Not Report to TRI")</f>
        <v>1124.45548523</v>
      </c>
      <c r="Z9" s="10">
        <f t="shared" si="4"/>
        <v>3.2127299578000001</v>
      </c>
      <c r="AA9" s="10">
        <f>IF(COUNTIF('Processed Non-zero TRI Data'!$I:$I,$I9)&gt;0,_xlfn.MAXIFS('Processed Non-zero TRI Data'!$T:$T,'Processed Non-zero TRI Data'!$I:$I,$I9), "N/A - Facility Does Not Report to TRI")</f>
        <v>3305.7811925600004</v>
      </c>
      <c r="AB9" s="10">
        <f t="shared" si="5"/>
        <v>9.4450891216000006</v>
      </c>
      <c r="AC9" s="158" cm="1">
        <f t="array" ref="AC9">IFERROR(IF(B9 = "TRI Form R", IF(AA9 = 0, "Facility has no on-site water discharges between 2017-2022.",  IF(COUNTIF('Processed Non-zero TRI Data'!$I:$I,$I9)&gt;0,INDEX('Processed Non-zero TRI Data'!$A:$A,MATCH(1,($I9='Processed Non-zero TRI Data'!$I:$I)*(AA9='Processed Non-zero TRI Data'!$T:$T),0)))), VLOOKUP(I9,#REF!, 2, FALSE)), ("N/A - Facility Does Not Report to TRI"))</f>
        <v>2020</v>
      </c>
      <c r="AD9" s="97" cm="1">
        <f t="array" ref="AD9">IFERROR(_xlfn.XLOOKUP(1,  (MAX(IF(I9 = 'Processed Non-zero TRI Data'!$I$2:$I$6,'Processed Non-zero TRI Data'!$A$2:$A$6)) = 'Processed Non-zero TRI Data'!$A$2:$A$6)*('Processed Non-zero TRI Data'!$I$2:$I$6 = I9), 'Processed Non-zero TRI Data'!$V$2:$V$6), "N/A- Facility Does Not Report to TRI")</f>
        <v>0</v>
      </c>
      <c r="AE9" s="9">
        <f t="shared" si="6"/>
        <v>0</v>
      </c>
      <c r="AF9" s="9" cm="1">
        <f t="array" ref="AF9">IF(COUNTIF('Processed Non-zero TRI Data'!$I:$I,$I9)&gt;0,MEDIAN(IF('Processed Non-zero TRI Data'!$I:$I=I9,'Processed Non-zero TRI Data'!$V:$V)), "N/A - Facility Does Not Report to TRI")</f>
        <v>0</v>
      </c>
      <c r="AG9" s="9">
        <f t="shared" si="7"/>
        <v>0</v>
      </c>
      <c r="AH9" s="9">
        <f>IF(COUNTIF('Processed Non-zero TRI Data'!$I:$I,$I9)&gt;0,_xlfn.MAXIFS('Processed Non-zero TRI Data'!$V:$V,'Processed Non-zero TRI Data'!$I:$I,$I9), "N/A - Facility Does Not Report to TRI")</f>
        <v>0</v>
      </c>
      <c r="AI9" s="9">
        <f t="shared" si="8"/>
        <v>0</v>
      </c>
      <c r="AJ9" s="158" t="str" cm="1">
        <f t="array" ref="AJ9">IF(B9="TRI Form A",AC9,IF(AH9=0,"Facility has no transfers to POTWs between 2019-2023.",IF(COUNTIF('Processed Non-zero TRI Data'!$I:$I,$I9)&gt;0,INDEX('Processed Non-zero TRI Data'!$A:$A,MATCH(1,($I9='Processed Non-zero TRI Data'!$I:$I)*(AH9='Processed Non-zero TRI Data'!$V:$V),0)),"N/A - Facility Does Not Report to TRI")))</f>
        <v>Facility has no transfers to POTWs between 2019-2023.</v>
      </c>
      <c r="AK9" s="97" cm="1">
        <f t="array" ref="AK9">IFERROR(_xlfn.XLOOKUP(1,  (MAX(IF(I9 = 'Processed Non-zero TRI Data'!$I$2:$I$6,'Processed Non-zero TRI Data'!$A$2:$A$6)) = 'Processed Non-zero TRI Data'!$A$2:$A$6)*('Processed Non-zero TRI Data'!$I$2:$I$6 = I9), 'Processed Non-zero TRI Data'!$X$2:$X$6), "N/A- Facility Does Not Report to TRI")</f>
        <v>488.06539012000002</v>
      </c>
      <c r="AL9" s="9">
        <f t="shared" si="9"/>
        <v>1.3944725432</v>
      </c>
      <c r="AM9" s="9" cm="1">
        <f t="array" ref="AM9">IF(COUNTIF('Processed Non-zero TRI Data'!$I:$I,$I9)&gt;0,MEDIAN(IF('Processed Non-zero TRI Data'!$I:$I=I9,'Processed Non-zero TRI Data'!$X:$X)), "N/A - Facility Does Not Report to TRI")</f>
        <v>1124.45548523</v>
      </c>
      <c r="AN9" s="9">
        <f t="shared" si="10"/>
        <v>3.2127299578000001</v>
      </c>
      <c r="AO9" s="9">
        <f>IF(COUNTIF('Processed Non-zero TRI Data'!$I:$I,$I9)&gt;0,_xlfn.MAXIFS('Processed Non-zero TRI Data'!$X:$X,'Processed Non-zero TRI Data'!$I:$I,$I9), "N/A - Facility Does Not Report to TRI")</f>
        <v>3305.7811925600004</v>
      </c>
      <c r="AP9" s="9">
        <f t="shared" si="11"/>
        <v>9.4450891216000006</v>
      </c>
      <c r="AQ9" s="251" cm="1">
        <f t="array" ref="AQ9">IF(B9="TRI Form A",AC9,IF(AO9=0,"Facility has no transfers to non-POTWs between 2019-2023.",IF(COUNTIF('Processed Non-zero TRI Data'!$I:$I,$I9)&gt;0,INDEX('Processed Non-zero TRI Data'!$A:$A,MATCH(1,($I9='Processed Non-zero TRI Data'!$I:$I)*(AO9='Processed Non-zero TRI Data'!$X:$X),0)),"N/A - Facility Does Not Report to TRI")))</f>
        <v>2020</v>
      </c>
      <c r="AR9" s="260">
        <f t="shared" si="12"/>
        <v>3305.7811925600004</v>
      </c>
      <c r="AS9" s="260" t="str">
        <f t="shared" si="13"/>
        <v>N/A - Facility Does Not Report DMRs</v>
      </c>
    </row>
    <row r="10" spans="1:45" ht="30" x14ac:dyDescent="0.25">
      <c r="A10" s="12">
        <v>7</v>
      </c>
      <c r="B10" s="10" t="str">
        <f>IFERROR("TRI Form "&amp; VLOOKUP(I10, 'Processed Non-zero TRI Data'!$I$2:$K$6, 3, FALSE), "DMR")</f>
        <v>DMR</v>
      </c>
      <c r="C10" s="181" t="e">
        <f>VLOOKUP(D10,#REF!, 2, FALSE)</f>
        <v>#REF!</v>
      </c>
      <c r="D10" s="181" t="str">
        <f>IF(I10&lt;&gt;"",INDEX('Processed Non-zero TRI Data'!$O:$O,MATCH(I10,'Processed Non-zero TRI Data'!$I:$I,0)),INDEX('Processed Non-zero DMR Data'!$S:$S,MATCH(J10,'Processed Non-zero DMR Data'!$I:$I,0)))</f>
        <v>Waste Handling, Disposal and Treatment (POTW)</v>
      </c>
      <c r="E10" s="181" t="str">
        <f>IF(I10&lt;&gt;"",INDEX('Processed Non-zero TRI Data'!$P:$P,MATCH(I10,'Processed Non-zero TRI Data'!$I:$I,0)),INDEX('Processed Non-zero DMR Data'!$T:$T,MATCH(J10,'Processed Non-zero DMR Data'!$I:$I,0)))</f>
        <v>POTW indicator in DMR</v>
      </c>
      <c r="F10" s="98" t="str">
        <f>_xlfn.XLOOKUP(J10, 'Processed Non-zero DMR Data'!I:I, 'Processed Non-zero DMR Data'!B:B)</f>
        <v>VALLEY CREEK WASTEWATER TREATMENT PLANT</v>
      </c>
      <c r="G10" s="98" t="str">
        <f>_xlfn.XLOOKUP(J10, 'Processed Non-zero DMR Data'!I:I, 'Processed Non-zero DMR Data'!C:C)</f>
        <v>ELIZABETHTOWN</v>
      </c>
      <c r="H10" s="98" t="str">
        <f>_xlfn.XLOOKUP(J10, 'Processed Non-zero DMR Data'!I:I, 'Processed Non-zero DMR Data'!E:E)</f>
        <v>KY</v>
      </c>
      <c r="I10" s="98"/>
      <c r="J10" s="13">
        <v>110000571373</v>
      </c>
      <c r="K10" s="9" t="str">
        <f>IFERROR(INDEX('Raw Non-zero DMR Data'!$C:$C, MATCH(J10,'Raw Non-zero DMR Data'!$D:$D,0)),"")</f>
        <v>KY0022039</v>
      </c>
      <c r="L10" s="9" t="str">
        <f>IFERROR(INDEX('Raw Non-zero DMR Data'!$U:$U, MATCH($J10,'Raw Non-zero DMR Data'!$D:$D,0)),"")</f>
        <v>Lower Valley Creek</v>
      </c>
      <c r="M10" s="155" t="str">
        <f>IFERROR(INDEX('Raw Non-zero DMR Data'!$T:$T, MATCH($J10,'Raw Non-zero DMR Data'!$D:$D,0)),"")</f>
        <v>051100011004</v>
      </c>
      <c r="N10" s="155" t="str">
        <f>IFERROR(INDEX('Off-site Locations'!$E:$E,MATCH(I10,'Off-site Locations'!$B:$B,0)),"No offsite transfers")</f>
        <v>No offsite transfers</v>
      </c>
      <c r="O10" s="165">
        <f>INDEX('TRI and DMR OES Summary'!D:D,MATCH('Facility Discharge Summary'!D10,'TRI and DMR OES Summary'!A:A,0))</f>
        <v>365</v>
      </c>
      <c r="P10" s="17" cm="1">
        <f t="array" ref="P10">IFERROR(_xlfn.XLOOKUP(1,  (MAX(IF(J10 = 'Processed Non-zero DMR Data'!$I$2:$I$651,'Processed Non-zero DMR Data'!$A$2:$A$651)) = 'Processed Non-zero DMR Data'!$A$2:$A$651)*('Processed Non-zero DMR Data'!$I$2:$I$651 = J10),'Processed Non-zero DMR Data'!$W$2:$W$651), "N/A- Facility Does Not Report DMRs")</f>
        <v>3.3156599999999998</v>
      </c>
      <c r="Q10" s="10">
        <f t="shared" si="0"/>
        <v>9.0840000000000001E-3</v>
      </c>
      <c r="R10" s="10" cm="1">
        <f t="array" ref="R10">IF(COUNTIF('Processed Non-zero DMR Data'!$I:$I,$J10)&gt;0,MEDIAN(IF('Processed Non-zero DMR Data'!$I:$I=J10,'Processed Non-zero DMR Data'!$W:$W)),"N/A - Facility Does Not Report DMRs")</f>
        <v>22.7951625</v>
      </c>
      <c r="S10" s="10">
        <f t="shared" si="1"/>
        <v>6.2452500000000001E-2</v>
      </c>
      <c r="T10" s="10">
        <f>IF(COUNTIF('Processed Non-zero DMR Data'!$I:$I,$J10)&gt;0,_xlfn.MAXIFS('Processed Non-zero DMR Data'!$W:$W,'Processed Non-zero DMR Data'!$I:$I,$J10), "N/A - Facility Does Not Report DMRs")</f>
        <v>40.754987499999999</v>
      </c>
      <c r="U10" s="10">
        <f t="shared" si="2"/>
        <v>0.11165749999999999</v>
      </c>
      <c r="V10" s="158" cm="1">
        <f t="array" ref="V10">IF(COUNTIF('Processed Non-zero DMR Data'!$I:$I,$J10)&gt;0,INDEX('Processed Non-zero DMR Data'!$A:$A,MATCH(1,($J10='Processed Non-zero DMR Data'!$I:$I)*($T10='Processed Non-zero DMR Data'!$W:$W),0)), "N/A - Facility Does Not Report DMRs")</f>
        <v>2020</v>
      </c>
      <c r="W10" s="17" t="str" cm="1">
        <f t="array" ref="W10">IFERROR(_xlfn.XLOOKUP(1,  (MAX(IF(I10 = 'Processed Non-zero TRI Data'!$I$2:$I$6,'Processed Non-zero TRI Data'!$A$2:$A$6)) = 'Processed Non-zero TRI Data'!$A$2:$A$6)*('Processed Non-zero TRI Data'!$I$2:$I$6 = I10), 'Processed Non-zero TRI Data'!$T$2:$T$6), "N/A- Facility Does Not Report to TRI")</f>
        <v>N/A- Facility Does Not Report to TRI</v>
      </c>
      <c r="X10" s="10" t="str">
        <f t="shared" si="3"/>
        <v>N/A - Facility Does Not Report to TRI</v>
      </c>
      <c r="Y10" s="10" t="str" cm="1">
        <f t="array" ref="Y10">IF(COUNTIF('Processed Non-zero TRI Data'!$I:$I,$I10)&gt;0,MEDIAN(IF('Processed Non-zero TRI Data'!$I:$I=I10,'Processed Non-zero TRI Data'!$T:$T)), "N/A - Facility Does Not Report to TRI")</f>
        <v>N/A - Facility Does Not Report to TRI</v>
      </c>
      <c r="Z10" s="10" t="str">
        <f t="shared" si="4"/>
        <v>N/A - Facility Does Not Report to TRI</v>
      </c>
      <c r="AA10" s="10" t="str">
        <f>IF(COUNTIF('Processed Non-zero TRI Data'!$I:$I,$I10)&gt;0,_xlfn.MAXIFS('Processed Non-zero TRI Data'!$T:$T,'Processed Non-zero TRI Data'!$I:$I,$I10), "N/A - Facility Does Not Report to TRI")</f>
        <v>N/A - Facility Does Not Report to TRI</v>
      </c>
      <c r="AB10" s="10" t="str">
        <f t="shared" si="5"/>
        <v>N/A - Facility Does Not Report to TRI</v>
      </c>
      <c r="AC10" s="158" t="str" cm="1">
        <f t="array" ref="AC10">IFERROR(IF(B10 = "TRI Form R", IF(AA10 = 0, "Facility has no on-site water discharges between 2017-2022.",  IF(COUNTIF('Processed Non-zero TRI Data'!$I:$I,$I10)&gt;0,INDEX('Processed Non-zero TRI Data'!$A:$A,MATCH(1,($I10='Processed Non-zero TRI Data'!$I:$I)*(AA10='Processed Non-zero TRI Data'!$T:$T),0)))), VLOOKUP(I10,#REF!, 2, FALSE)), ("N/A - Facility Does Not Report to TRI"))</f>
        <v>N/A - Facility Does Not Report to TRI</v>
      </c>
      <c r="AD10" s="97" t="str" cm="1">
        <f t="array" ref="AD10">IFERROR(_xlfn.XLOOKUP(1,  (MAX(IF(I10 = 'Processed Non-zero TRI Data'!$I$2:$I$6,'Processed Non-zero TRI Data'!$A$2:$A$6)) = 'Processed Non-zero TRI Data'!$A$2:$A$6)*('Processed Non-zero TRI Data'!$I$2:$I$6 = I10), 'Processed Non-zero TRI Data'!$V$2:$V$6), "N/A- Facility Does Not Report to TRI")</f>
        <v>N/A- Facility Does Not Report to TRI</v>
      </c>
      <c r="AE10" s="9" t="str">
        <f t="shared" si="6"/>
        <v>N/A - Facility Does Not Report to TRI</v>
      </c>
      <c r="AF10" s="9" t="str" cm="1">
        <f t="array" ref="AF10">IF(COUNTIF('Processed Non-zero TRI Data'!$I:$I,$I10)&gt;0,MEDIAN(IF('Processed Non-zero TRI Data'!$I:$I=I10,'Processed Non-zero TRI Data'!$V:$V)), "N/A - Facility Does Not Report to TRI")</f>
        <v>N/A - Facility Does Not Report to TRI</v>
      </c>
      <c r="AG10" s="9" t="str">
        <f t="shared" si="7"/>
        <v>N/A - Facility Does Not Report to TRI</v>
      </c>
      <c r="AH10" s="9" t="str">
        <f>IF(COUNTIF('Processed Non-zero TRI Data'!$I:$I,$I10)&gt;0,_xlfn.MAXIFS('Processed Non-zero TRI Data'!$V:$V,'Processed Non-zero TRI Data'!$I:$I,$I10), "N/A - Facility Does Not Report to TRI")</f>
        <v>N/A - Facility Does Not Report to TRI</v>
      </c>
      <c r="AI10" s="9" t="str">
        <f t="shared" si="8"/>
        <v>N/A - Facility Does Not Report to TRI</v>
      </c>
      <c r="AJ10" s="158" t="str" cm="1">
        <f t="array" ref="AJ10">IF(B10="TRI Form A",AC10,IF(AH10=0,"Facility has no transfers to POTWs between 2019-2023.",IF(COUNTIF('Processed Non-zero TRI Data'!$I:$I,$I10)&gt;0,INDEX('Processed Non-zero TRI Data'!$A:$A,MATCH(1,($I10='Processed Non-zero TRI Data'!$I:$I)*(AH10='Processed Non-zero TRI Data'!$V:$V),0)),"N/A - Facility Does Not Report to TRI")))</f>
        <v>N/A - Facility Does Not Report to TRI</v>
      </c>
      <c r="AK10" s="97" t="str" cm="1">
        <f t="array" ref="AK10">IFERROR(_xlfn.XLOOKUP(1,  (MAX(IF(I10 = 'Processed Non-zero TRI Data'!$I$2:$I$6,'Processed Non-zero TRI Data'!$A$2:$A$6)) = 'Processed Non-zero TRI Data'!$A$2:$A$6)*('Processed Non-zero TRI Data'!$I$2:$I$6 = I10), 'Processed Non-zero TRI Data'!$X$2:$X$6), "N/A- Facility Does Not Report to TRI")</f>
        <v>N/A- Facility Does Not Report to TRI</v>
      </c>
      <c r="AL10" s="9" t="str">
        <f t="shared" si="9"/>
        <v>N/A - Facility Does Not Report to TRI</v>
      </c>
      <c r="AM10" s="9" t="str" cm="1">
        <f t="array" ref="AM10">IF(COUNTIF('Processed Non-zero TRI Data'!$I:$I,$I10)&gt;0,MEDIAN(IF('Processed Non-zero TRI Data'!$I:$I=I10,'Processed Non-zero TRI Data'!$X:$X)), "N/A - Facility Does Not Report to TRI")</f>
        <v>N/A - Facility Does Not Report to TRI</v>
      </c>
      <c r="AN10" s="9" t="str">
        <f t="shared" si="10"/>
        <v>N/A - Facility Does Not Report to TRI</v>
      </c>
      <c r="AO10" s="9" t="str">
        <f>IF(COUNTIF('Processed Non-zero TRI Data'!$I:$I,$I10)&gt;0,_xlfn.MAXIFS('Processed Non-zero TRI Data'!$X:$X,'Processed Non-zero TRI Data'!$I:$I,$I10), "N/A - Facility Does Not Report to TRI")</f>
        <v>N/A - Facility Does Not Report to TRI</v>
      </c>
      <c r="AP10" s="9" t="str">
        <f t="shared" si="11"/>
        <v>N/A - Facility Does Not Report to TRI</v>
      </c>
      <c r="AQ10" s="251" t="str" cm="1">
        <f t="array" ref="AQ10">IF(B10="TRI Form A",AC10,IF(AO10=0,"Facility has no transfers to non-POTWs between 2019-2023.",IF(COUNTIF('Processed Non-zero TRI Data'!$I:$I,$I10)&gt;0,INDEX('Processed Non-zero TRI Data'!$A:$A,MATCH(1,($I10='Processed Non-zero TRI Data'!$I:$I)*(AO10='Processed Non-zero TRI Data'!$X:$X),0)),"N/A - Facility Does Not Report to TRI")))</f>
        <v>N/A - Facility Does Not Report to TRI</v>
      </c>
      <c r="AR10" s="260">
        <f t="shared" si="12"/>
        <v>0</v>
      </c>
      <c r="AS10" s="260">
        <f t="shared" si="13"/>
        <v>40.754987499999999</v>
      </c>
    </row>
    <row r="11" spans="1:45" ht="105" x14ac:dyDescent="0.25">
      <c r="A11" s="12">
        <v>8</v>
      </c>
      <c r="B11" s="10" t="str">
        <f>IFERROR("TRI Form "&amp; VLOOKUP(I11, 'Processed Non-zero TRI Data'!$I$2:$K$6, 3, FALSE), "DMR")</f>
        <v>DMR</v>
      </c>
      <c r="C11" s="181" t="e">
        <f>VLOOKUP(D11,#REF!, 2, FALSE)</f>
        <v>#REF!</v>
      </c>
      <c r="D11" s="181" t="str">
        <f>IF(I11&lt;&gt;"",INDEX('Processed Non-zero TRI Data'!$O:$O,MATCH(I11,'Processed Non-zero TRI Data'!$I:$I,0)),INDEX('Processed Non-zero DMR Data'!$S:$S,MATCH(J11,'Processed Non-zero DMR Data'!$I:$I,0)))</f>
        <v>Processing as a reactant</v>
      </c>
      <c r="E11" s="181" t="str">
        <f>IF(I11&lt;&gt;"",INDEX('Processed Non-zero TRI Data'!$P:$P,MATCH(I11,'Processed Non-zero TRI Data'!$I:$I,0)),INDEX('Processed Non-zero DMR Data'!$T:$T,MATCH(J11,'Processed Non-zero DMR Data'!$I:$I,0)))</f>
        <v xml:space="preserve">The site produces multiple materials including alkoxylates, alpha sulfo methyl esters, amides, amine oxides, esters, sulfosuccinates, sulfacetates, sulfonates, sulfates, blends, phosphate esters, quaternaries, phthalic anhydride, and polyols (https://www.stepan.com/content/stepan-dot-com/en/you-stepan/locations.html). 1,1 DCA is likely used in the manufacturing process. </v>
      </c>
      <c r="F11" s="9" t="str">
        <f>_xlfn.XLOOKUP(J11, 'Processed Non-zero DMR Data'!I:I, 'Processed Non-zero DMR Data'!B:B)</f>
        <v>STEPAN CO</v>
      </c>
      <c r="G11" s="9" t="str">
        <f>_xlfn.XLOOKUP(J11, 'Processed Non-zero DMR Data'!I:I, 'Processed Non-zero DMR Data'!C:C)</f>
        <v>ELWOOD</v>
      </c>
      <c r="H11" s="9" t="str">
        <f>_xlfn.XLOOKUP(J11, 'Processed Non-zero DMR Data'!I:I, 'Processed Non-zero DMR Data'!E:E)</f>
        <v>IL</v>
      </c>
      <c r="I11" s="9"/>
      <c r="J11" s="13">
        <v>110000432504</v>
      </c>
      <c r="K11" s="9" t="str">
        <f>IFERROR(INDEX('Raw Non-zero DMR Data'!$C:$C, MATCH(J11,'Raw Non-zero DMR Data'!$D:$D,0)),"")</f>
        <v>IL0002453</v>
      </c>
      <c r="L11" s="9" t="str">
        <f>IFERROR(INDEX('Raw Non-zero DMR Data'!$U:$U, MATCH($J11,'Raw Non-zero DMR Data'!$D:$D,0)),"")</f>
        <v>Des Plaines River</v>
      </c>
      <c r="M11" s="155" t="str">
        <f>IFERROR(INDEX('Raw Non-zero DMR Data'!$T:$T, MATCH($J11,'Raw Non-zero DMR Data'!$D:$D,0)),"")</f>
        <v>071200040905</v>
      </c>
      <c r="N11" s="155" t="str">
        <f>IFERROR(INDEX('Off-site Locations'!$E:$E,MATCH(I11,'Off-site Locations'!$B:$B,0)),"No offsite transfers")</f>
        <v>No offsite transfers</v>
      </c>
      <c r="O11" s="165">
        <f>INDEX('TRI and DMR OES Summary'!D:D,MATCH('Facility Discharge Summary'!D11,'TRI and DMR OES Summary'!A:A,0))</f>
        <v>350</v>
      </c>
      <c r="P11" s="17" cm="1">
        <f t="array" ref="P11">IFERROR(_xlfn.XLOOKUP(1,  (MAX(IF(J11 = 'Processed Non-zero DMR Data'!$I$2:$I$651,'Processed Non-zero DMR Data'!$A$2:$A$651)) = 'Processed Non-zero DMR Data'!$A$2:$A$651)*('Processed Non-zero DMR Data'!$I$2:$I$651 = J11),'Processed Non-zero DMR Data'!$W$2:$W$651), "N/A- Facility Does Not Report DMRs")</f>
        <v>0.58066600000000002</v>
      </c>
      <c r="Q11" s="10">
        <f t="shared" ref="Q11:Q48" si="14">IFERROR(P11/$O11, "N/A - Facility Does Not Report DMRs")</f>
        <v>1.6590457142857144E-3</v>
      </c>
      <c r="R11" s="10" cm="1">
        <f t="array" ref="R11">IF(COUNTIF('Processed Non-zero DMR Data'!$I:$I,$J11)&gt;0,MEDIAN(IF('Processed Non-zero DMR Data'!$I:$I=J11,'Processed Non-zero DMR Data'!$W:$W)),"N/A - Facility Does Not Report DMRs")</f>
        <v>0.58066600000000002</v>
      </c>
      <c r="S11" s="10">
        <f t="shared" ref="S11:S48" si="15">IFERROR(R11/$O11, "N/A - Facility Does Not Report DMRs")</f>
        <v>1.6590457142857144E-3</v>
      </c>
      <c r="T11" s="10">
        <f>IF(COUNTIF('Processed Non-zero DMR Data'!$I:$I,$J11)&gt;0,_xlfn.MAXIFS('Processed Non-zero DMR Data'!$W:$W,'Processed Non-zero DMR Data'!$I:$I,$J11), "N/A - Facility Does Not Report DMRs")</f>
        <v>0.74501399999999995</v>
      </c>
      <c r="U11" s="10">
        <f t="shared" ref="U11:U48" si="16">IFERROR(T11/$O11, "N/A - Facility Does Not Report DMRs")</f>
        <v>2.1286114285714287E-3</v>
      </c>
      <c r="V11" s="158" cm="1">
        <f t="array" ref="V11">IF(COUNTIF('Processed Non-zero DMR Data'!$I:$I,$J11)&gt;0,INDEX('Processed Non-zero DMR Data'!$A:$A,MATCH(1,($J11='Processed Non-zero DMR Data'!$I:$I)*($T11='Processed Non-zero DMR Data'!$W:$W),0)), "N/A - Facility Does Not Report DMRs")</f>
        <v>2019</v>
      </c>
      <c r="W11" s="17" t="str" cm="1">
        <f t="array" ref="W11">IFERROR(_xlfn.XLOOKUP(1,  (MAX(IF(I11 = 'Processed Non-zero TRI Data'!$I$2:$I$6,'Processed Non-zero TRI Data'!$A$2:$A$6)) = 'Processed Non-zero TRI Data'!$A$2:$A$6)*('Processed Non-zero TRI Data'!$I$2:$I$6 = I11), 'Processed Non-zero TRI Data'!$T$2:$T$6), "N/A- Facility Does Not Report to TRI")</f>
        <v>N/A- Facility Does Not Report to TRI</v>
      </c>
      <c r="X11" s="10" t="str">
        <f t="shared" ref="X11:X30" si="17">IFERROR(W11/$O11, "N/A - Facility Does Not Report to TRI")</f>
        <v>N/A - Facility Does Not Report to TRI</v>
      </c>
      <c r="Y11" s="10" t="str" cm="1">
        <f t="array" ref="Y11">IF(COUNTIF('Processed Non-zero TRI Data'!$I:$I,$I11)&gt;0,MEDIAN(IF('Processed Non-zero TRI Data'!$I:$I=I11,'Processed Non-zero TRI Data'!$T:$T)), "N/A - Facility Does Not Report to TRI")</f>
        <v>N/A - Facility Does Not Report to TRI</v>
      </c>
      <c r="Z11" s="10" t="str">
        <f t="shared" ref="Z11:Z30" si="18">IFERROR(Y11/$O11, "N/A - Facility Does Not Report to TRI")</f>
        <v>N/A - Facility Does Not Report to TRI</v>
      </c>
      <c r="AA11" s="10" t="str">
        <f>IF(COUNTIF('Processed Non-zero TRI Data'!$I:$I,$I11)&gt;0,_xlfn.MAXIFS('Processed Non-zero TRI Data'!$T:$T,'Processed Non-zero TRI Data'!$I:$I,$I11), "N/A - Facility Does Not Report to TRI")</f>
        <v>N/A - Facility Does Not Report to TRI</v>
      </c>
      <c r="AB11" s="10" t="str">
        <f t="shared" ref="AB11:AB30" si="19">IFERROR(AA11/$O11, "N/A - Facility Does Not Report to TRI")</f>
        <v>N/A - Facility Does Not Report to TRI</v>
      </c>
      <c r="AC11" s="158" t="str" cm="1">
        <f t="array" ref="AC11">IFERROR(IF(B11 = "TRI Form R", IF(AA11 = 0, "Facility has no on-site water discharges between 2017-2022.",  IF(COUNTIF('Processed Non-zero TRI Data'!$I:$I,$I11)&gt;0,INDEX('Processed Non-zero TRI Data'!$A:$A,MATCH(1,($I11='Processed Non-zero TRI Data'!$I:$I)*(AA11='Processed Non-zero TRI Data'!$T:$T),0)))), VLOOKUP(I11,#REF!, 2, FALSE)), ("N/A - Facility Does Not Report to TRI"))</f>
        <v>N/A - Facility Does Not Report to TRI</v>
      </c>
      <c r="AD11" s="97" t="str" cm="1">
        <f t="array" ref="AD11">IFERROR(_xlfn.XLOOKUP(1,  (MAX(IF(I11 = 'Processed Non-zero TRI Data'!$I$2:$I$6,'Processed Non-zero TRI Data'!$A$2:$A$6)) = 'Processed Non-zero TRI Data'!$A$2:$A$6)*('Processed Non-zero TRI Data'!$I$2:$I$6 = I11), 'Processed Non-zero TRI Data'!$V$2:$V$6), "N/A- Facility Does Not Report to TRI")</f>
        <v>N/A- Facility Does Not Report to TRI</v>
      </c>
      <c r="AE11" s="9" t="str">
        <f t="shared" ref="AE11:AE30" si="20">IFERROR(AD11/$O11, "N/A - Facility Does Not Report to TRI")</f>
        <v>N/A - Facility Does Not Report to TRI</v>
      </c>
      <c r="AF11" s="9" t="str" cm="1">
        <f t="array" ref="AF11">IF(COUNTIF('Processed Non-zero TRI Data'!$I:$I,$I11)&gt;0,MEDIAN(IF('Processed Non-zero TRI Data'!$I:$I=I11,'Processed Non-zero TRI Data'!$V:$V)), "N/A - Facility Does Not Report to TRI")</f>
        <v>N/A - Facility Does Not Report to TRI</v>
      </c>
      <c r="AG11" s="9" t="str">
        <f t="shared" ref="AG11:AG30" si="21">IFERROR(AF11/$O11, "N/A - Facility Does Not Report to TRI")</f>
        <v>N/A - Facility Does Not Report to TRI</v>
      </c>
      <c r="AH11" s="9" t="str">
        <f>IF(COUNTIF('Processed Non-zero TRI Data'!$I:$I,$I11)&gt;0,_xlfn.MAXIFS('Processed Non-zero TRI Data'!$V:$V,'Processed Non-zero TRI Data'!$I:$I,$I11), "N/A - Facility Does Not Report to TRI")</f>
        <v>N/A - Facility Does Not Report to TRI</v>
      </c>
      <c r="AI11" s="9" t="str">
        <f t="shared" ref="AI11:AI30" si="22">IFERROR(AH11/$O11, "N/A - Facility Does Not Report to TRI")</f>
        <v>N/A - Facility Does Not Report to TRI</v>
      </c>
      <c r="AJ11" s="158" t="str" cm="1">
        <f t="array" ref="AJ11">IF(B11="TRI Form A",AC11,IF(AH11=0,"Facility has no transfers to POTWs between 2019-2023.",IF(COUNTIF('Processed Non-zero TRI Data'!$I:$I,$I11)&gt;0,INDEX('Processed Non-zero TRI Data'!$A:$A,MATCH(1,($I11='Processed Non-zero TRI Data'!$I:$I)*(AH11='Processed Non-zero TRI Data'!$V:$V),0)),"N/A - Facility Does Not Report to TRI")))</f>
        <v>N/A - Facility Does Not Report to TRI</v>
      </c>
      <c r="AK11" s="97" t="str" cm="1">
        <f t="array" ref="AK11">IFERROR(_xlfn.XLOOKUP(1,  (MAX(IF(I11 = 'Processed Non-zero TRI Data'!$I$2:$I$6,'Processed Non-zero TRI Data'!$A$2:$A$6)) = 'Processed Non-zero TRI Data'!$A$2:$A$6)*('Processed Non-zero TRI Data'!$I$2:$I$6 = I11), 'Processed Non-zero TRI Data'!$X$2:$X$6), "N/A- Facility Does Not Report to TRI")</f>
        <v>N/A- Facility Does Not Report to TRI</v>
      </c>
      <c r="AL11" s="9" t="str">
        <f t="shared" ref="AL11:AL30" si="23">IFERROR(AK11/$O11, "N/A - Facility Does Not Report to TRI")</f>
        <v>N/A - Facility Does Not Report to TRI</v>
      </c>
      <c r="AM11" s="9" t="str" cm="1">
        <f t="array" ref="AM11">IF(COUNTIF('Processed Non-zero TRI Data'!$I:$I,$I11)&gt;0,MEDIAN(IF('Processed Non-zero TRI Data'!$I:$I=I11,'Processed Non-zero TRI Data'!$X:$X)), "N/A - Facility Does Not Report to TRI")</f>
        <v>N/A - Facility Does Not Report to TRI</v>
      </c>
      <c r="AN11" s="9" t="str">
        <f t="shared" ref="AN11:AN30" si="24">IFERROR(AM11/$O11, "N/A - Facility Does Not Report to TRI")</f>
        <v>N/A - Facility Does Not Report to TRI</v>
      </c>
      <c r="AO11" s="9" t="str">
        <f>IF(COUNTIF('Processed Non-zero TRI Data'!$I:$I,$I11)&gt;0,_xlfn.MAXIFS('Processed Non-zero TRI Data'!$X:$X,'Processed Non-zero TRI Data'!$I:$I,$I11), "N/A - Facility Does Not Report to TRI")</f>
        <v>N/A - Facility Does Not Report to TRI</v>
      </c>
      <c r="AP11" s="9" t="str">
        <f t="shared" ref="AP11:AP30" si="25">IFERROR(AO11/$O11, "N/A - Facility Does Not Report to TRI")</f>
        <v>N/A - Facility Does Not Report to TRI</v>
      </c>
      <c r="AQ11" s="251" t="str" cm="1">
        <f t="array" ref="AQ11">IF(B11="TRI Form A",AC11,IF(AO11=0,"Facility has no transfers to non-POTWs between 2019-2023.",IF(COUNTIF('Processed Non-zero TRI Data'!$I:$I,$I11)&gt;0,INDEX('Processed Non-zero TRI Data'!$A:$A,MATCH(1,($I11='Processed Non-zero TRI Data'!$I:$I)*(AO11='Processed Non-zero TRI Data'!$X:$X),0)),"N/A - Facility Does Not Report to TRI")))</f>
        <v>N/A - Facility Does Not Report to TRI</v>
      </c>
      <c r="AR11" s="260">
        <f t="shared" si="12"/>
        <v>0</v>
      </c>
      <c r="AS11" s="260">
        <f t="shared" si="13"/>
        <v>0.74501399999999995</v>
      </c>
    </row>
    <row r="12" spans="1:45" ht="30" x14ac:dyDescent="0.25">
      <c r="A12" s="12">
        <v>9</v>
      </c>
      <c r="B12" s="10" t="str">
        <f>IFERROR("TRI Form "&amp; VLOOKUP(I12, 'Processed Non-zero TRI Data'!$I$2:$K$6, 3, FALSE), "DMR")</f>
        <v>DMR</v>
      </c>
      <c r="C12" s="181" t="e">
        <f>VLOOKUP(D12,#REF!, 2, FALSE)</f>
        <v>#REF!</v>
      </c>
      <c r="D12" s="181" t="str">
        <f>IF(I12&lt;&gt;"",INDEX('Processed Non-zero TRI Data'!$O:$O,MATCH(I12,'Processed Non-zero TRI Data'!$I:$I,0)),INDEX('Processed Non-zero DMR Data'!$S:$S,MATCH(J12,'Processed Non-zero DMR Data'!$I:$I,0)))</f>
        <v>Waste Handling, Disposal and Treatment (POTW)</v>
      </c>
      <c r="E12" s="181" t="str">
        <f>IF(I12&lt;&gt;"",INDEX('Processed Non-zero TRI Data'!$P:$P,MATCH(I12,'Processed Non-zero TRI Data'!$I:$I,0)),INDEX('Processed Non-zero DMR Data'!$T:$T,MATCH(J12,'Processed Non-zero DMR Data'!$I:$I,0)))</f>
        <v>POTW indicator in DMR</v>
      </c>
      <c r="F12" s="9" t="str">
        <f>_xlfn.XLOOKUP(J12, 'Processed Non-zero DMR Data'!I:I, 'Processed Non-zero DMR Data'!B:B)</f>
        <v>CARROLLTON REGIONAL WWTP</v>
      </c>
      <c r="G12" s="9" t="str">
        <f>_xlfn.XLOOKUP(J12, 'Processed Non-zero DMR Data'!I:I, 'Processed Non-zero DMR Data'!C:C)</f>
        <v>CARROLLTON</v>
      </c>
      <c r="H12" s="9" t="str">
        <f>_xlfn.XLOOKUP(J12, 'Processed Non-zero DMR Data'!I:I, 'Processed Non-zero DMR Data'!E:E)</f>
        <v>KY</v>
      </c>
      <c r="I12" s="9"/>
      <c r="J12" s="13">
        <v>110015632216</v>
      </c>
      <c r="K12" s="9" t="str">
        <f>IFERROR(INDEX('Raw Non-zero DMR Data'!$C:$C, MATCH(J12,'Raw Non-zero DMR Data'!$D:$D,0)),"")</f>
        <v>KY0104931</v>
      </c>
      <c r="L12" s="9" t="str">
        <f>IFERROR(INDEX('Raw Non-zero DMR Data'!$U:$U, MATCH($J12,'Raw Non-zero DMR Data'!$D:$D,0)),"")</f>
        <v>Whites Run-Kentucky River</v>
      </c>
      <c r="M12" s="155" t="str">
        <f>IFERROR(INDEX('Raw Non-zero DMR Data'!$T:$T, MATCH($J12,'Raw Non-zero DMR Data'!$D:$D,0)),"")</f>
        <v>051002051510</v>
      </c>
      <c r="N12" s="155" t="str">
        <f>IFERROR(INDEX('Off-site Locations'!$E:$E,MATCH(I12,'Off-site Locations'!$B:$B,0)),"No offsite transfers")</f>
        <v>No offsite transfers</v>
      </c>
      <c r="O12" s="165">
        <f>INDEX('TRI and DMR OES Summary'!D:D,MATCH('Facility Discharge Summary'!D12,'TRI and DMR OES Summary'!A:A,0))</f>
        <v>365</v>
      </c>
      <c r="P12" s="17" cm="1">
        <f t="array" ref="P12">IFERROR(_xlfn.XLOOKUP(1,  (MAX(IF(J12 = 'Processed Non-zero DMR Data'!$I$2:$I$651,'Processed Non-zero DMR Data'!$A$2:$A$651)) = 'Processed Non-zero DMR Data'!$A$2:$A$651)*('Processed Non-zero DMR Data'!$I$2:$I$651 = J12),'Processed Non-zero DMR Data'!$W$2:$W$651), "N/A- Facility Does Not Report DMRs")</f>
        <v>2.7043351874999999</v>
      </c>
      <c r="Q12" s="10">
        <f t="shared" si="14"/>
        <v>7.4091374999999994E-3</v>
      </c>
      <c r="R12" s="10" cm="1">
        <f t="array" ref="R12">IF(COUNTIF('Processed Non-zero DMR Data'!$I:$I,$J12)&gt;0,MEDIAN(IF('Processed Non-zero DMR Data'!$I:$I=J12,'Processed Non-zero DMR Data'!$W:$W)),"N/A - Facility Does Not Report DMRs")</f>
        <v>3.557426875</v>
      </c>
      <c r="S12" s="10">
        <f t="shared" si="15"/>
        <v>9.7463749999999998E-3</v>
      </c>
      <c r="T12" s="10">
        <f>IF(COUNTIF('Processed Non-zero DMR Data'!$I:$I,$J12)&gt;0,_xlfn.MAXIFS('Processed Non-zero DMR Data'!$W:$W,'Processed Non-zero DMR Data'!$I:$I,$J12), "N/A - Facility Does Not Report DMRs")</f>
        <v>5.8714812500000004</v>
      </c>
      <c r="U12" s="10">
        <f t="shared" si="16"/>
        <v>1.608625E-2</v>
      </c>
      <c r="V12" s="158" cm="1">
        <f t="array" ref="V12">IF(COUNTIF('Processed Non-zero DMR Data'!$I:$I,$J12)&gt;0,INDEX('Processed Non-zero DMR Data'!$A:$A,MATCH(1,($J12='Processed Non-zero DMR Data'!$I:$I)*($T12='Processed Non-zero DMR Data'!$W:$W),0)), "N/A - Facility Does Not Report DMRs")</f>
        <v>2019</v>
      </c>
      <c r="W12" s="17" t="str" cm="1">
        <f t="array" ref="W12">IFERROR(_xlfn.XLOOKUP(1,  (MAX(IF(I12 = 'Processed Non-zero TRI Data'!$I$2:$I$6,'Processed Non-zero TRI Data'!$A$2:$A$6)) = 'Processed Non-zero TRI Data'!$A$2:$A$6)*('Processed Non-zero TRI Data'!$I$2:$I$6 = I12), 'Processed Non-zero TRI Data'!$T$2:$T$6), "N/A- Facility Does Not Report to TRI")</f>
        <v>N/A- Facility Does Not Report to TRI</v>
      </c>
      <c r="X12" s="10" t="str">
        <f t="shared" si="17"/>
        <v>N/A - Facility Does Not Report to TRI</v>
      </c>
      <c r="Y12" s="10" t="str" cm="1">
        <f t="array" ref="Y12">IF(COUNTIF('Processed Non-zero TRI Data'!$I:$I,$I12)&gt;0,MEDIAN(IF('Processed Non-zero TRI Data'!$I:$I=I12,'Processed Non-zero TRI Data'!$T:$T)), "N/A - Facility Does Not Report to TRI")</f>
        <v>N/A - Facility Does Not Report to TRI</v>
      </c>
      <c r="Z12" s="10" t="str">
        <f t="shared" si="18"/>
        <v>N/A - Facility Does Not Report to TRI</v>
      </c>
      <c r="AA12" s="10" t="str">
        <f>IF(COUNTIF('Processed Non-zero TRI Data'!$I:$I,$I12)&gt;0,_xlfn.MAXIFS('Processed Non-zero TRI Data'!$T:$T,'Processed Non-zero TRI Data'!$I:$I,$I12), "N/A - Facility Does Not Report to TRI")</f>
        <v>N/A - Facility Does Not Report to TRI</v>
      </c>
      <c r="AB12" s="10" t="str">
        <f t="shared" si="19"/>
        <v>N/A - Facility Does Not Report to TRI</v>
      </c>
      <c r="AC12" s="158" t="str" cm="1">
        <f t="array" ref="AC12">IFERROR(IF(B12 = "TRI Form R", IF(AA12 = 0, "Facility has no on-site water discharges between 2017-2022.",  IF(COUNTIF('Processed Non-zero TRI Data'!$I:$I,$I12)&gt;0,INDEX('Processed Non-zero TRI Data'!$A:$A,MATCH(1,($I12='Processed Non-zero TRI Data'!$I:$I)*(AA12='Processed Non-zero TRI Data'!$T:$T),0)))), VLOOKUP(I12,#REF!, 2, FALSE)), ("N/A - Facility Does Not Report to TRI"))</f>
        <v>N/A - Facility Does Not Report to TRI</v>
      </c>
      <c r="AD12" s="97" t="str" cm="1">
        <f t="array" ref="AD12">IFERROR(_xlfn.XLOOKUP(1,  (MAX(IF(I12 = 'Processed Non-zero TRI Data'!$I$2:$I$6,'Processed Non-zero TRI Data'!$A$2:$A$6)) = 'Processed Non-zero TRI Data'!$A$2:$A$6)*('Processed Non-zero TRI Data'!$I$2:$I$6 = I12), 'Processed Non-zero TRI Data'!$V$2:$V$6), "N/A- Facility Does Not Report to TRI")</f>
        <v>N/A- Facility Does Not Report to TRI</v>
      </c>
      <c r="AE12" s="9" t="str">
        <f t="shared" si="20"/>
        <v>N/A - Facility Does Not Report to TRI</v>
      </c>
      <c r="AF12" s="9" t="str" cm="1">
        <f t="array" ref="AF12">IF(COUNTIF('Processed Non-zero TRI Data'!$I:$I,$I12)&gt;0,MEDIAN(IF('Processed Non-zero TRI Data'!$I:$I=I12,'Processed Non-zero TRI Data'!$V:$V)), "N/A - Facility Does Not Report to TRI")</f>
        <v>N/A - Facility Does Not Report to TRI</v>
      </c>
      <c r="AG12" s="9" t="str">
        <f t="shared" si="21"/>
        <v>N/A - Facility Does Not Report to TRI</v>
      </c>
      <c r="AH12" s="9" t="str">
        <f>IF(COUNTIF('Processed Non-zero TRI Data'!$I:$I,$I12)&gt;0,_xlfn.MAXIFS('Processed Non-zero TRI Data'!$V:$V,'Processed Non-zero TRI Data'!$I:$I,$I12), "N/A - Facility Does Not Report to TRI")</f>
        <v>N/A - Facility Does Not Report to TRI</v>
      </c>
      <c r="AI12" s="9" t="str">
        <f t="shared" si="22"/>
        <v>N/A - Facility Does Not Report to TRI</v>
      </c>
      <c r="AJ12" s="158" t="str" cm="1">
        <f t="array" ref="AJ12">IF(B12="TRI Form A",AC12,IF(AH12=0,"Facility has no transfers to POTWs between 2019-2023.",IF(COUNTIF('Processed Non-zero TRI Data'!$I:$I,$I12)&gt;0,INDEX('Processed Non-zero TRI Data'!$A:$A,MATCH(1,($I12='Processed Non-zero TRI Data'!$I:$I)*(AH12='Processed Non-zero TRI Data'!$V:$V),0)),"N/A - Facility Does Not Report to TRI")))</f>
        <v>N/A - Facility Does Not Report to TRI</v>
      </c>
      <c r="AK12" s="97" t="str" cm="1">
        <f t="array" ref="AK12">IFERROR(_xlfn.XLOOKUP(1,  (MAX(IF(I12 = 'Processed Non-zero TRI Data'!$I$2:$I$6,'Processed Non-zero TRI Data'!$A$2:$A$6)) = 'Processed Non-zero TRI Data'!$A$2:$A$6)*('Processed Non-zero TRI Data'!$I$2:$I$6 = I12), 'Processed Non-zero TRI Data'!$X$2:$X$6), "N/A- Facility Does Not Report to TRI")</f>
        <v>N/A- Facility Does Not Report to TRI</v>
      </c>
      <c r="AL12" s="9" t="str">
        <f t="shared" si="23"/>
        <v>N/A - Facility Does Not Report to TRI</v>
      </c>
      <c r="AM12" s="9" t="str" cm="1">
        <f t="array" ref="AM12">IF(COUNTIF('Processed Non-zero TRI Data'!$I:$I,$I12)&gt;0,MEDIAN(IF('Processed Non-zero TRI Data'!$I:$I=I12,'Processed Non-zero TRI Data'!$X:$X)), "N/A - Facility Does Not Report to TRI")</f>
        <v>N/A - Facility Does Not Report to TRI</v>
      </c>
      <c r="AN12" s="9" t="str">
        <f t="shared" si="24"/>
        <v>N/A - Facility Does Not Report to TRI</v>
      </c>
      <c r="AO12" s="9" t="str">
        <f>IF(COUNTIF('Processed Non-zero TRI Data'!$I:$I,$I12)&gt;0,_xlfn.MAXIFS('Processed Non-zero TRI Data'!$X:$X,'Processed Non-zero TRI Data'!$I:$I,$I12), "N/A - Facility Does Not Report to TRI")</f>
        <v>N/A - Facility Does Not Report to TRI</v>
      </c>
      <c r="AP12" s="9" t="str">
        <f t="shared" si="25"/>
        <v>N/A - Facility Does Not Report to TRI</v>
      </c>
      <c r="AQ12" s="251" t="str" cm="1">
        <f t="array" ref="AQ12">IF(B12="TRI Form A",AC12,IF(AO12=0,"Facility has no transfers to non-POTWs between 2019-2023.",IF(COUNTIF('Processed Non-zero TRI Data'!$I:$I,$I12)&gt;0,INDEX('Processed Non-zero TRI Data'!$A:$A,MATCH(1,($I12='Processed Non-zero TRI Data'!$I:$I)*(AO12='Processed Non-zero TRI Data'!$X:$X),0)),"N/A - Facility Does Not Report to TRI")))</f>
        <v>N/A - Facility Does Not Report to TRI</v>
      </c>
      <c r="AR12" s="260">
        <f t="shared" si="12"/>
        <v>0</v>
      </c>
      <c r="AS12" s="260">
        <f t="shared" si="13"/>
        <v>5.8714812500000004</v>
      </c>
    </row>
    <row r="13" spans="1:45" ht="30" x14ac:dyDescent="0.25">
      <c r="A13" s="12">
        <v>10</v>
      </c>
      <c r="B13" s="10" t="str">
        <f>IFERROR("TRI Form "&amp; VLOOKUP(I13, 'Processed Non-zero TRI Data'!$I$2:$K$6, 3, FALSE), "DMR")</f>
        <v>DMR</v>
      </c>
      <c r="C13" s="181" t="e">
        <f>VLOOKUP(D13,#REF!, 2, FALSE)</f>
        <v>#REF!</v>
      </c>
      <c r="D13" s="181" t="str">
        <f>IF(I13&lt;&gt;"",INDEX('Processed Non-zero TRI Data'!$O:$O,MATCH(I13,'Processed Non-zero TRI Data'!$I:$I,0)),INDEX('Processed Non-zero DMR Data'!$S:$S,MATCH(J13,'Processed Non-zero DMR Data'!$I:$I,0)))</f>
        <v>Waste Handling, Disposal and Treatment (POTW)</v>
      </c>
      <c r="E13" s="181" t="str">
        <f>IF(I13&lt;&gt;"",INDEX('Processed Non-zero TRI Data'!$P:$P,MATCH(I13,'Processed Non-zero TRI Data'!$I:$I,0)),INDEX('Processed Non-zero DMR Data'!$T:$T,MATCH(J13,'Processed Non-zero DMR Data'!$I:$I,0)))</f>
        <v>POTW indicator in DMR</v>
      </c>
      <c r="F13" s="9" t="str">
        <f>_xlfn.XLOOKUP(J13, 'Processed Non-zero DMR Data'!I:I, 'Processed Non-zero DMR Data'!B:B)</f>
        <v>CORNING WASTEWATER TREATMENT PLANT</v>
      </c>
      <c r="G13" s="9" t="str">
        <f>_xlfn.XLOOKUP(J13, 'Processed Non-zero DMR Data'!I:I, 'Processed Non-zero DMR Data'!C:C)</f>
        <v>CORNING</v>
      </c>
      <c r="H13" s="9" t="str">
        <f>_xlfn.XLOOKUP(J13, 'Processed Non-zero DMR Data'!I:I, 'Processed Non-zero DMR Data'!E:E)</f>
        <v>CA</v>
      </c>
      <c r="I13" s="9"/>
      <c r="J13" s="13">
        <v>110000730451</v>
      </c>
      <c r="K13" s="9" t="str">
        <f>IFERROR(INDEX('Raw Non-zero DMR Data'!$C:$C, MATCH(J13,'Raw Non-zero DMR Data'!$D:$D,0)),"")</f>
        <v>CA0004995</v>
      </c>
      <c r="L13" s="9" t="str">
        <f>IFERROR(INDEX('Raw Non-zero DMR Data'!$U:$U, MATCH($J13,'Raw Non-zero DMR Data'!$D:$D,0)),"")</f>
        <v>Kopta Slough</v>
      </c>
      <c r="M13" s="155">
        <f>IFERROR(INDEX('Raw Non-zero DMR Data'!$T:$T, MATCH($J13,'Raw Non-zero DMR Data'!$D:$D,0)),"")</f>
        <v>180201570701</v>
      </c>
      <c r="N13" s="155" t="str">
        <f>IFERROR(INDEX('Off-site Locations'!$E:$E,MATCH(I13,'Off-site Locations'!$B:$B,0)),"No offsite transfers")</f>
        <v>No offsite transfers</v>
      </c>
      <c r="O13" s="165">
        <f>INDEX('TRI and DMR OES Summary'!D:D,MATCH('Facility Discharge Summary'!D13,'TRI and DMR OES Summary'!A:A,0))</f>
        <v>365</v>
      </c>
      <c r="P13" s="17" cm="1">
        <f t="array" ref="P13">IFERROR(_xlfn.XLOOKUP(1,  (MAX(IF(J13 = 'Processed Non-zero DMR Data'!$I$2:$I$651,'Processed Non-zero DMR Data'!$A$2:$A$651)) = 'Processed Non-zero DMR Data'!$A$2:$A$651)*('Processed Non-zero DMR Data'!$I$2:$I$651 = J13),'Processed Non-zero DMR Data'!$W$2:$W$651), "N/A- Facility Does Not Report DMRs")</f>
        <v>1.46376043333333E-2</v>
      </c>
      <c r="Q13" s="10">
        <f t="shared" si="14"/>
        <v>4.0103025570776167E-5</v>
      </c>
      <c r="R13" s="10" cm="1">
        <f t="array" ref="R13">IF(COUNTIF('Processed Non-zero DMR Data'!$I:$I,$J13)&gt;0,MEDIAN(IF('Processed Non-zero DMR Data'!$I:$I=J13,'Processed Non-zero DMR Data'!$W:$W)),"N/A - Facility Does Not Report DMRs")</f>
        <v>3.0948430999999953E-2</v>
      </c>
      <c r="S13" s="10">
        <f t="shared" si="15"/>
        <v>8.4790221917808097E-5</v>
      </c>
      <c r="T13" s="10">
        <f>IF(COUNTIF('Processed Non-zero DMR Data'!$I:$I,$J13)&gt;0,_xlfn.MAXIFS('Processed Non-zero DMR Data'!$W:$W,'Processed Non-zero DMR Data'!$I:$I,$J13), "N/A - Facility Does Not Report DMRs")</f>
        <v>4.7259257666666603E-2</v>
      </c>
      <c r="U13" s="10">
        <f t="shared" si="16"/>
        <v>1.2947741826484002E-4</v>
      </c>
      <c r="V13" s="158" cm="1">
        <f t="array" ref="V13">IF(COUNTIF('Processed Non-zero DMR Data'!$I:$I,$J13)&gt;0,INDEX('Processed Non-zero DMR Data'!$A:$A,MATCH(1,($J13='Processed Non-zero DMR Data'!$I:$I)*($T13='Processed Non-zero DMR Data'!$W:$W),0)), "N/A - Facility Does Not Report DMRs")</f>
        <v>2019</v>
      </c>
      <c r="W13" s="17" t="str" cm="1">
        <f t="array" ref="W13">IFERROR(_xlfn.XLOOKUP(1,  (MAX(IF(I13 = 'Processed Non-zero TRI Data'!$I$2:$I$6,'Processed Non-zero TRI Data'!$A$2:$A$6)) = 'Processed Non-zero TRI Data'!$A$2:$A$6)*('Processed Non-zero TRI Data'!$I$2:$I$6 = I13), 'Processed Non-zero TRI Data'!$T$2:$T$6), "N/A- Facility Does Not Report to TRI")</f>
        <v>N/A- Facility Does Not Report to TRI</v>
      </c>
      <c r="X13" s="10" t="str">
        <f t="shared" si="17"/>
        <v>N/A - Facility Does Not Report to TRI</v>
      </c>
      <c r="Y13" s="10" t="str" cm="1">
        <f t="array" ref="Y13">IF(COUNTIF('Processed Non-zero TRI Data'!$I:$I,$I13)&gt;0,MEDIAN(IF('Processed Non-zero TRI Data'!$I:$I=I13,'Processed Non-zero TRI Data'!$T:$T)), "N/A - Facility Does Not Report to TRI")</f>
        <v>N/A - Facility Does Not Report to TRI</v>
      </c>
      <c r="Z13" s="10" t="str">
        <f t="shared" si="18"/>
        <v>N/A - Facility Does Not Report to TRI</v>
      </c>
      <c r="AA13" s="10" t="str">
        <f>IF(COUNTIF('Processed Non-zero TRI Data'!$I:$I,$I13)&gt;0,_xlfn.MAXIFS('Processed Non-zero TRI Data'!$T:$T,'Processed Non-zero TRI Data'!$I:$I,$I13), "N/A - Facility Does Not Report to TRI")</f>
        <v>N/A - Facility Does Not Report to TRI</v>
      </c>
      <c r="AB13" s="10" t="str">
        <f t="shared" si="19"/>
        <v>N/A - Facility Does Not Report to TRI</v>
      </c>
      <c r="AC13" s="158" t="str" cm="1">
        <f t="array" ref="AC13">IFERROR(IF(B13 = "TRI Form R", IF(AA13 = 0, "Facility has no on-site water discharges between 2017-2022.",  IF(COUNTIF('Processed Non-zero TRI Data'!$I:$I,$I13)&gt;0,INDEX('Processed Non-zero TRI Data'!$A:$A,MATCH(1,($I13='Processed Non-zero TRI Data'!$I:$I)*(AA13='Processed Non-zero TRI Data'!$T:$T),0)))), VLOOKUP(I13,#REF!, 2, FALSE)), ("N/A - Facility Does Not Report to TRI"))</f>
        <v>N/A - Facility Does Not Report to TRI</v>
      </c>
      <c r="AD13" s="97" t="str" cm="1">
        <f t="array" ref="AD13">IFERROR(_xlfn.XLOOKUP(1,  (MAX(IF(I13 = 'Processed Non-zero TRI Data'!$I$2:$I$6,'Processed Non-zero TRI Data'!$A$2:$A$6)) = 'Processed Non-zero TRI Data'!$A$2:$A$6)*('Processed Non-zero TRI Data'!$I$2:$I$6 = I13), 'Processed Non-zero TRI Data'!$V$2:$V$6), "N/A- Facility Does Not Report to TRI")</f>
        <v>N/A- Facility Does Not Report to TRI</v>
      </c>
      <c r="AE13" s="9" t="str">
        <f t="shared" si="20"/>
        <v>N/A - Facility Does Not Report to TRI</v>
      </c>
      <c r="AF13" s="9" t="str" cm="1">
        <f t="array" ref="AF13">IF(COUNTIF('Processed Non-zero TRI Data'!$I:$I,$I13)&gt;0,MEDIAN(IF('Processed Non-zero TRI Data'!$I:$I=I13,'Processed Non-zero TRI Data'!$V:$V)), "N/A - Facility Does Not Report to TRI")</f>
        <v>N/A - Facility Does Not Report to TRI</v>
      </c>
      <c r="AG13" s="9" t="str">
        <f t="shared" si="21"/>
        <v>N/A - Facility Does Not Report to TRI</v>
      </c>
      <c r="AH13" s="9" t="str">
        <f>IF(COUNTIF('Processed Non-zero TRI Data'!$I:$I,$I13)&gt;0,_xlfn.MAXIFS('Processed Non-zero TRI Data'!$V:$V,'Processed Non-zero TRI Data'!$I:$I,$I13), "N/A - Facility Does Not Report to TRI")</f>
        <v>N/A - Facility Does Not Report to TRI</v>
      </c>
      <c r="AI13" s="9" t="str">
        <f t="shared" si="22"/>
        <v>N/A - Facility Does Not Report to TRI</v>
      </c>
      <c r="AJ13" s="158" t="str" cm="1">
        <f t="array" ref="AJ13">IF(B13="TRI Form A",AC13,IF(AH13=0,"Facility has no transfers to POTWs between 2019-2023.",IF(COUNTIF('Processed Non-zero TRI Data'!$I:$I,$I13)&gt;0,INDEX('Processed Non-zero TRI Data'!$A:$A,MATCH(1,($I13='Processed Non-zero TRI Data'!$I:$I)*(AH13='Processed Non-zero TRI Data'!$V:$V),0)),"N/A - Facility Does Not Report to TRI")))</f>
        <v>N/A - Facility Does Not Report to TRI</v>
      </c>
      <c r="AK13" s="97" t="str" cm="1">
        <f t="array" ref="AK13">IFERROR(_xlfn.XLOOKUP(1,  (MAX(IF(I13 = 'Processed Non-zero TRI Data'!$I$2:$I$6,'Processed Non-zero TRI Data'!$A$2:$A$6)) = 'Processed Non-zero TRI Data'!$A$2:$A$6)*('Processed Non-zero TRI Data'!$I$2:$I$6 = I13), 'Processed Non-zero TRI Data'!$X$2:$X$6), "N/A- Facility Does Not Report to TRI")</f>
        <v>N/A- Facility Does Not Report to TRI</v>
      </c>
      <c r="AL13" s="9" t="str">
        <f t="shared" si="23"/>
        <v>N/A - Facility Does Not Report to TRI</v>
      </c>
      <c r="AM13" s="9" t="str" cm="1">
        <f t="array" ref="AM13">IF(COUNTIF('Processed Non-zero TRI Data'!$I:$I,$I13)&gt;0,MEDIAN(IF('Processed Non-zero TRI Data'!$I:$I=I13,'Processed Non-zero TRI Data'!$X:$X)), "N/A - Facility Does Not Report to TRI")</f>
        <v>N/A - Facility Does Not Report to TRI</v>
      </c>
      <c r="AN13" s="9" t="str">
        <f t="shared" si="24"/>
        <v>N/A - Facility Does Not Report to TRI</v>
      </c>
      <c r="AO13" s="9" t="str">
        <f>IF(COUNTIF('Processed Non-zero TRI Data'!$I:$I,$I13)&gt;0,_xlfn.MAXIFS('Processed Non-zero TRI Data'!$X:$X,'Processed Non-zero TRI Data'!$I:$I,$I13), "N/A - Facility Does Not Report to TRI")</f>
        <v>N/A - Facility Does Not Report to TRI</v>
      </c>
      <c r="AP13" s="9" t="str">
        <f t="shared" si="25"/>
        <v>N/A - Facility Does Not Report to TRI</v>
      </c>
      <c r="AQ13" s="251" t="str" cm="1">
        <f t="array" ref="AQ13">IF(B13="TRI Form A",AC13,IF(AO13=0,"Facility has no transfers to non-POTWs between 2019-2023.",IF(COUNTIF('Processed Non-zero TRI Data'!$I:$I,$I13)&gt;0,INDEX('Processed Non-zero TRI Data'!$A:$A,MATCH(1,($I13='Processed Non-zero TRI Data'!$I:$I)*(AO13='Processed Non-zero TRI Data'!$X:$X),0)),"N/A - Facility Does Not Report to TRI")))</f>
        <v>N/A - Facility Does Not Report to TRI</v>
      </c>
      <c r="AR13" s="260">
        <f t="shared" si="12"/>
        <v>0</v>
      </c>
      <c r="AS13" s="260">
        <f t="shared" si="13"/>
        <v>4.7259257666666603E-2</v>
      </c>
    </row>
    <row r="14" spans="1:45" ht="30" x14ac:dyDescent="0.25">
      <c r="A14" s="12">
        <v>11</v>
      </c>
      <c r="B14" s="10" t="str">
        <f>IFERROR("TRI Form "&amp; VLOOKUP(I14, 'Processed Non-zero TRI Data'!$I$2:$K$6, 3, FALSE), "DMR")</f>
        <v>DMR</v>
      </c>
      <c r="C14" s="181" t="e">
        <f>VLOOKUP(D14,#REF!, 2, FALSE)</f>
        <v>#REF!</v>
      </c>
      <c r="D14" s="181" t="str">
        <f>IF(I14&lt;&gt;"",INDEX('Processed Non-zero TRI Data'!$O:$O,MATCH(I14,'Processed Non-zero TRI Data'!$I:$I,0)),INDEX('Processed Non-zero DMR Data'!$S:$S,MATCH(J14,'Processed Non-zero DMR Data'!$I:$I,0)))</f>
        <v>Waste Handling, Disposal and Treatment (POTW)</v>
      </c>
      <c r="E14" s="181" t="str">
        <f>IF(I14&lt;&gt;"",INDEX('Processed Non-zero TRI Data'!$P:$P,MATCH(I14,'Processed Non-zero TRI Data'!$I:$I,0)),INDEX('Processed Non-zero DMR Data'!$T:$T,MATCH(J14,'Processed Non-zero DMR Data'!$I:$I,0)))</f>
        <v>POTW indicator in DMR</v>
      </c>
      <c r="F14" s="9" t="str">
        <f>_xlfn.XLOOKUP(J14, 'Processed Non-zero DMR Data'!I:I, 'Processed Non-zero DMR Data'!B:B)</f>
        <v>RADCLIFF STP</v>
      </c>
      <c r="G14" s="9" t="str">
        <f>_xlfn.XLOOKUP(J14, 'Processed Non-zero DMR Data'!I:I, 'Processed Non-zero DMR Data'!C:C)</f>
        <v>RADCLIFF</v>
      </c>
      <c r="H14" s="9" t="str">
        <f>_xlfn.XLOOKUP(J14, 'Processed Non-zero DMR Data'!I:I, 'Processed Non-zero DMR Data'!E:E)</f>
        <v>KY</v>
      </c>
      <c r="I14" s="9"/>
      <c r="J14" s="13">
        <v>110000732253</v>
      </c>
      <c r="K14" s="9" t="str">
        <f>IFERROR(INDEX('Raw Non-zero DMR Data'!$C:$C, MATCH(J14,'Raw Non-zero DMR Data'!$D:$D,0)),"")</f>
        <v>KY0022390</v>
      </c>
      <c r="L14" s="9" t="str">
        <f>IFERROR(INDEX('Raw Non-zero DMR Data'!$U:$U, MATCH($J14,'Raw Non-zero DMR Data'!$D:$D,0)),"")</f>
        <v>Lower Mill Creek</v>
      </c>
      <c r="M14" s="155" t="str">
        <f>IFERROR(INDEX('Raw Non-zero DMR Data'!$T:$T, MATCH($J14,'Raw Non-zero DMR Data'!$D:$D,0)),"")</f>
        <v>051401021302</v>
      </c>
      <c r="N14" s="155" t="str">
        <f>IFERROR(INDEX('Off-site Locations'!$E:$E,MATCH(I14,'Off-site Locations'!$B:$B,0)),"No offsite transfers")</f>
        <v>No offsite transfers</v>
      </c>
      <c r="O14" s="165">
        <f>INDEX('TRI and DMR OES Summary'!D:D,MATCH('Facility Discharge Summary'!D14,'TRI and DMR OES Summary'!A:A,0))</f>
        <v>365</v>
      </c>
      <c r="P14" s="17" cm="1">
        <f t="array" ref="P14">IFERROR(_xlfn.XLOOKUP(1,  (MAX(IF(J14 = 'Processed Non-zero DMR Data'!$I$2:$I$651,'Processed Non-zero DMR Data'!$A$2:$A$651)) = 'Processed Non-zero DMR Data'!$A$2:$A$651)*('Processed Non-zero DMR Data'!$I$2:$I$651 = J14),'Processed Non-zero DMR Data'!$W$2:$W$651), "N/A- Facility Does Not Report DMRs")</f>
        <v>8.8935671875000004</v>
      </c>
      <c r="Q14" s="10">
        <f t="shared" si="14"/>
        <v>2.43659375E-2</v>
      </c>
      <c r="R14" s="10" cm="1">
        <f t="array" ref="R14">IF(COUNTIF('Processed Non-zero DMR Data'!$I:$I,$J14)&gt;0,MEDIAN(IF('Processed Non-zero DMR Data'!$I:$I=J14,'Processed Non-zero DMR Data'!$W:$W)),"N/A - Facility Does Not Report DMRs")</f>
        <v>8.8935671875000004</v>
      </c>
      <c r="S14" s="10">
        <f t="shared" si="15"/>
        <v>2.43659375E-2</v>
      </c>
      <c r="T14" s="10">
        <f>IF(COUNTIF('Processed Non-zero DMR Data'!$I:$I,$J14)&gt;0,_xlfn.MAXIFS('Processed Non-zero DMR Data'!$W:$W,'Processed Non-zero DMR Data'!$I:$I,$J14), "N/A - Facility Does Not Report DMRs")</f>
        <v>13.5216759375</v>
      </c>
      <c r="U14" s="10">
        <f t="shared" si="16"/>
        <v>3.70456875E-2</v>
      </c>
      <c r="V14" s="158" cm="1">
        <f t="array" ref="V14">IF(COUNTIF('Processed Non-zero DMR Data'!$I:$I,$J14)&gt;0,INDEX('Processed Non-zero DMR Data'!$A:$A,MATCH(1,($J14='Processed Non-zero DMR Data'!$I:$I)*($T14='Processed Non-zero DMR Data'!$W:$W),0)), "N/A - Facility Does Not Report DMRs")</f>
        <v>2019</v>
      </c>
      <c r="W14" s="17" t="str" cm="1">
        <f t="array" ref="W14">IFERROR(_xlfn.XLOOKUP(1,  (MAX(IF(I14 = 'Processed Non-zero TRI Data'!$I$2:$I$6,'Processed Non-zero TRI Data'!$A$2:$A$6)) = 'Processed Non-zero TRI Data'!$A$2:$A$6)*('Processed Non-zero TRI Data'!$I$2:$I$6 = I14), 'Processed Non-zero TRI Data'!$T$2:$T$6), "N/A- Facility Does Not Report to TRI")</f>
        <v>N/A- Facility Does Not Report to TRI</v>
      </c>
      <c r="X14" s="10" t="str">
        <f t="shared" si="17"/>
        <v>N/A - Facility Does Not Report to TRI</v>
      </c>
      <c r="Y14" s="10" t="str" cm="1">
        <f t="array" ref="Y14">IF(COUNTIF('Processed Non-zero TRI Data'!$I:$I,$I14)&gt;0,MEDIAN(IF('Processed Non-zero TRI Data'!$I:$I=I14,'Processed Non-zero TRI Data'!$T:$T)), "N/A - Facility Does Not Report to TRI")</f>
        <v>N/A - Facility Does Not Report to TRI</v>
      </c>
      <c r="Z14" s="10" t="str">
        <f t="shared" si="18"/>
        <v>N/A - Facility Does Not Report to TRI</v>
      </c>
      <c r="AA14" s="10" t="str">
        <f>IF(COUNTIF('Processed Non-zero TRI Data'!$I:$I,$I14)&gt;0,_xlfn.MAXIFS('Processed Non-zero TRI Data'!$T:$T,'Processed Non-zero TRI Data'!$I:$I,$I14), "N/A - Facility Does Not Report to TRI")</f>
        <v>N/A - Facility Does Not Report to TRI</v>
      </c>
      <c r="AB14" s="10" t="str">
        <f t="shared" si="19"/>
        <v>N/A - Facility Does Not Report to TRI</v>
      </c>
      <c r="AC14" s="158" t="str" cm="1">
        <f t="array" ref="AC14">IFERROR(IF(B14 = "TRI Form R", IF(AA14 = 0, "Facility has no on-site water discharges between 2017-2022.",  IF(COUNTIF('Processed Non-zero TRI Data'!$I:$I,$I14)&gt;0,INDEX('Processed Non-zero TRI Data'!$A:$A,MATCH(1,($I14='Processed Non-zero TRI Data'!$I:$I)*(AA14='Processed Non-zero TRI Data'!$T:$T),0)))), VLOOKUP(I14,#REF!, 2, FALSE)), ("N/A - Facility Does Not Report to TRI"))</f>
        <v>N/A - Facility Does Not Report to TRI</v>
      </c>
      <c r="AD14" s="97" t="str" cm="1">
        <f t="array" ref="AD14">IFERROR(_xlfn.XLOOKUP(1,  (MAX(IF(I14 = 'Processed Non-zero TRI Data'!$I$2:$I$6,'Processed Non-zero TRI Data'!$A$2:$A$6)) = 'Processed Non-zero TRI Data'!$A$2:$A$6)*('Processed Non-zero TRI Data'!$I$2:$I$6 = I14), 'Processed Non-zero TRI Data'!$V$2:$V$6), "N/A- Facility Does Not Report to TRI")</f>
        <v>N/A- Facility Does Not Report to TRI</v>
      </c>
      <c r="AE14" s="9" t="str">
        <f t="shared" si="20"/>
        <v>N/A - Facility Does Not Report to TRI</v>
      </c>
      <c r="AF14" s="9" t="str" cm="1">
        <f t="array" ref="AF14">IF(COUNTIF('Processed Non-zero TRI Data'!$I:$I,$I14)&gt;0,MEDIAN(IF('Processed Non-zero TRI Data'!$I:$I=I14,'Processed Non-zero TRI Data'!$V:$V)), "N/A - Facility Does Not Report to TRI")</f>
        <v>N/A - Facility Does Not Report to TRI</v>
      </c>
      <c r="AG14" s="9" t="str">
        <f t="shared" si="21"/>
        <v>N/A - Facility Does Not Report to TRI</v>
      </c>
      <c r="AH14" s="9" t="str">
        <f>IF(COUNTIF('Processed Non-zero TRI Data'!$I:$I,$I14)&gt;0,_xlfn.MAXIFS('Processed Non-zero TRI Data'!$V:$V,'Processed Non-zero TRI Data'!$I:$I,$I14), "N/A - Facility Does Not Report to TRI")</f>
        <v>N/A - Facility Does Not Report to TRI</v>
      </c>
      <c r="AI14" s="9" t="str">
        <f t="shared" si="22"/>
        <v>N/A - Facility Does Not Report to TRI</v>
      </c>
      <c r="AJ14" s="158" t="str" cm="1">
        <f t="array" ref="AJ14">IF(B14="TRI Form A",AC14,IF(AH14=0,"Facility has no transfers to POTWs between 2019-2023.",IF(COUNTIF('Processed Non-zero TRI Data'!$I:$I,$I14)&gt;0,INDEX('Processed Non-zero TRI Data'!$A:$A,MATCH(1,($I14='Processed Non-zero TRI Data'!$I:$I)*(AH14='Processed Non-zero TRI Data'!$V:$V),0)),"N/A - Facility Does Not Report to TRI")))</f>
        <v>N/A - Facility Does Not Report to TRI</v>
      </c>
      <c r="AK14" s="97" t="str" cm="1">
        <f t="array" ref="AK14">IFERROR(_xlfn.XLOOKUP(1,  (MAX(IF(I14 = 'Processed Non-zero TRI Data'!$I$2:$I$6,'Processed Non-zero TRI Data'!$A$2:$A$6)) = 'Processed Non-zero TRI Data'!$A$2:$A$6)*('Processed Non-zero TRI Data'!$I$2:$I$6 = I14), 'Processed Non-zero TRI Data'!$X$2:$X$6), "N/A- Facility Does Not Report to TRI")</f>
        <v>N/A- Facility Does Not Report to TRI</v>
      </c>
      <c r="AL14" s="9" t="str">
        <f t="shared" si="23"/>
        <v>N/A - Facility Does Not Report to TRI</v>
      </c>
      <c r="AM14" s="9" t="str" cm="1">
        <f t="array" ref="AM14">IF(COUNTIF('Processed Non-zero TRI Data'!$I:$I,$I14)&gt;0,MEDIAN(IF('Processed Non-zero TRI Data'!$I:$I=I14,'Processed Non-zero TRI Data'!$X:$X)), "N/A - Facility Does Not Report to TRI")</f>
        <v>N/A - Facility Does Not Report to TRI</v>
      </c>
      <c r="AN14" s="9" t="str">
        <f t="shared" si="24"/>
        <v>N/A - Facility Does Not Report to TRI</v>
      </c>
      <c r="AO14" s="9" t="str">
        <f>IF(COUNTIF('Processed Non-zero TRI Data'!$I:$I,$I14)&gt;0,_xlfn.MAXIFS('Processed Non-zero TRI Data'!$X:$X,'Processed Non-zero TRI Data'!$I:$I,$I14), "N/A - Facility Does Not Report to TRI")</f>
        <v>N/A - Facility Does Not Report to TRI</v>
      </c>
      <c r="AP14" s="9" t="str">
        <f t="shared" si="25"/>
        <v>N/A - Facility Does Not Report to TRI</v>
      </c>
      <c r="AQ14" s="251" t="str" cm="1">
        <f t="array" ref="AQ14">IF(B14="TRI Form A",AC14,IF(AO14=0,"Facility has no transfers to non-POTWs between 2019-2023.",IF(COUNTIF('Processed Non-zero TRI Data'!$I:$I,$I14)&gt;0,INDEX('Processed Non-zero TRI Data'!$A:$A,MATCH(1,($I14='Processed Non-zero TRI Data'!$I:$I)*(AO14='Processed Non-zero TRI Data'!$X:$X),0)),"N/A - Facility Does Not Report to TRI")))</f>
        <v>N/A - Facility Does Not Report to TRI</v>
      </c>
      <c r="AR14" s="260">
        <f t="shared" si="12"/>
        <v>0</v>
      </c>
      <c r="AS14" s="260">
        <f t="shared" si="13"/>
        <v>13.5216759375</v>
      </c>
    </row>
    <row r="15" spans="1:45" ht="45" x14ac:dyDescent="0.25">
      <c r="A15" s="12">
        <v>12</v>
      </c>
      <c r="B15" s="10" t="str">
        <f>IFERROR("TRI Form "&amp; VLOOKUP(I15, 'Processed Non-zero TRI Data'!$I$2:$K$6, 3, FALSE), "DMR")</f>
        <v>DMR</v>
      </c>
      <c r="C15" s="181" t="e">
        <f>VLOOKUP(D15,#REF!, 2, FALSE)</f>
        <v>#REF!</v>
      </c>
      <c r="D15" s="181" t="str">
        <f>IF(I15&lt;&gt;"",INDEX('Processed Non-zero TRI Data'!$O:$O,MATCH(I15,'Processed Non-zero TRI Data'!$I:$I,0)),INDEX('Processed Non-zero DMR Data'!$S:$S,MATCH(J15,'Processed Non-zero DMR Data'!$I:$I,0)))</f>
        <v>Impurity in Plastics</v>
      </c>
      <c r="E15" s="181" t="str">
        <f>IF(I15&lt;&gt;"",INDEX('Processed Non-zero TRI Data'!$P:$P,MATCH(I15,'Processed Non-zero TRI Data'!$I:$I,0)),INDEX('Processed Non-zero DMR Data'!$T:$T,MATCH(J15,'Processed Non-zero DMR Data'!$I:$I,0)))</f>
        <v>Plastics SIC/NAICS - EPA-HQ-OPPT-2018-0428-0011 indicates 1,2-dichloropropane can be a residual/byproduct in PVC plastics or a flame retardant plasticizer.</v>
      </c>
      <c r="F15" s="9" t="str">
        <f>_xlfn.XLOOKUP(J15, 'Processed Non-zero DMR Data'!I:I, 'Processed Non-zero DMR Data'!B:B)</f>
        <v>OWENSBORO SPECIALTY POLYMERS INC.</v>
      </c>
      <c r="G15" s="9" t="str">
        <f>_xlfn.XLOOKUP(J15, 'Processed Non-zero DMR Data'!I:I, 'Processed Non-zero DMR Data'!C:C)</f>
        <v>OWENSBORO</v>
      </c>
      <c r="H15" s="9" t="str">
        <f>_xlfn.XLOOKUP(J15, 'Processed Non-zero DMR Data'!I:I, 'Processed Non-zero DMR Data'!E:E)</f>
        <v>KY</v>
      </c>
      <c r="I15" s="9"/>
      <c r="J15" s="13">
        <v>110000747835</v>
      </c>
      <c r="K15" s="9" t="str">
        <f>IFERROR(INDEX('Raw Non-zero DMR Data'!$C:$C, MATCH(J15,'Raw Non-zero DMR Data'!$D:$D,0)),"")</f>
        <v>KY0001953</v>
      </c>
      <c r="L15" s="9" t="str">
        <f>IFERROR(INDEX('Raw Non-zero DMR Data'!$U:$U, MATCH($J15,'Raw Non-zero DMR Data'!$D:$D,0)),"")</f>
        <v>Jackson Creek-Ohio River</v>
      </c>
      <c r="M15" s="155" t="str">
        <f>IFERROR(INDEX('Raw Non-zero DMR Data'!$T:$T, MATCH($J15,'Raw Non-zero DMR Data'!$D:$D,0)),"")</f>
        <v>051402011202</v>
      </c>
      <c r="N15" s="155" t="str">
        <f>IFERROR(INDEX('Off-site Locations'!$E:$E,MATCH(I15,'Off-site Locations'!$B:$B,0)),"No offsite transfers")</f>
        <v>No offsite transfers</v>
      </c>
      <c r="O15" s="165">
        <f>INDEX('TRI and DMR OES Summary'!D:D,MATCH('Facility Discharge Summary'!D15,'TRI and DMR OES Summary'!A:A,0))</f>
        <v>350</v>
      </c>
      <c r="P15" s="17" cm="1">
        <f t="array" ref="P15">IFERROR(_xlfn.XLOOKUP(1,  (MAX(IF(J15 = 'Processed Non-zero DMR Data'!$I$2:$I$651,'Processed Non-zero DMR Data'!$A$2:$A$651)) = 'Processed Non-zero DMR Data'!$A$2:$A$651)*('Processed Non-zero DMR Data'!$I$2:$I$651 = J15),'Processed Non-zero DMR Data'!$W$2:$W$651), "N/A- Facility Does Not Report DMRs")</f>
        <v>0.89140380299999999</v>
      </c>
      <c r="Q15" s="10">
        <f t="shared" si="14"/>
        <v>2.5468680085714286E-3</v>
      </c>
      <c r="R15" s="10" cm="1">
        <f t="array" ref="R15">IF(COUNTIF('Processed Non-zero DMR Data'!$I:$I,$J15)&gt;0,MEDIAN(IF('Processed Non-zero DMR Data'!$I:$I=J15,'Processed Non-zero DMR Data'!$W:$W)),"N/A - Facility Does Not Report DMRs")</f>
        <v>0.43623157499999998</v>
      </c>
      <c r="S15" s="10">
        <f t="shared" si="15"/>
        <v>1.2463759285714286E-3</v>
      </c>
      <c r="T15" s="10">
        <f>IF(COUNTIF('Processed Non-zero DMR Data'!$I:$I,$J15)&gt;0,_xlfn.MAXIFS('Processed Non-zero DMR Data'!$W:$W,'Processed Non-zero DMR Data'!$I:$I,$J15), "N/A - Facility Does Not Report DMRs")</f>
        <v>0.89140380299999999</v>
      </c>
      <c r="U15" s="10">
        <f t="shared" si="16"/>
        <v>2.5468680085714286E-3</v>
      </c>
      <c r="V15" s="158" cm="1">
        <f t="array" ref="V15">IF(COUNTIF('Processed Non-zero DMR Data'!$I:$I,$J15)&gt;0,INDEX('Processed Non-zero DMR Data'!$A:$A,MATCH(1,($J15='Processed Non-zero DMR Data'!$I:$I)*($T15='Processed Non-zero DMR Data'!$W:$W),0)), "N/A - Facility Does Not Report DMRs")</f>
        <v>2022</v>
      </c>
      <c r="W15" s="17" t="str" cm="1">
        <f t="array" ref="W15">IFERROR(_xlfn.XLOOKUP(1,  (MAX(IF(I15 = 'Processed Non-zero TRI Data'!$I$2:$I$6,'Processed Non-zero TRI Data'!$A$2:$A$6)) = 'Processed Non-zero TRI Data'!$A$2:$A$6)*('Processed Non-zero TRI Data'!$I$2:$I$6 = I15), 'Processed Non-zero TRI Data'!$T$2:$T$6), "N/A- Facility Does Not Report to TRI")</f>
        <v>N/A- Facility Does Not Report to TRI</v>
      </c>
      <c r="X15" s="10" t="str">
        <f t="shared" si="17"/>
        <v>N/A - Facility Does Not Report to TRI</v>
      </c>
      <c r="Y15" s="10" t="str" cm="1">
        <f t="array" ref="Y15">IF(COUNTIF('Processed Non-zero TRI Data'!$I:$I,$I15)&gt;0,MEDIAN(IF('Processed Non-zero TRI Data'!$I:$I=I15,'Processed Non-zero TRI Data'!$T:$T)), "N/A - Facility Does Not Report to TRI")</f>
        <v>N/A - Facility Does Not Report to TRI</v>
      </c>
      <c r="Z15" s="10" t="str">
        <f t="shared" si="18"/>
        <v>N/A - Facility Does Not Report to TRI</v>
      </c>
      <c r="AA15" s="10" t="str">
        <f>IF(COUNTIF('Processed Non-zero TRI Data'!$I:$I,$I15)&gt;0,_xlfn.MAXIFS('Processed Non-zero TRI Data'!$T:$T,'Processed Non-zero TRI Data'!$I:$I,$I15), "N/A - Facility Does Not Report to TRI")</f>
        <v>N/A - Facility Does Not Report to TRI</v>
      </c>
      <c r="AB15" s="10" t="str">
        <f t="shared" si="19"/>
        <v>N/A - Facility Does Not Report to TRI</v>
      </c>
      <c r="AC15" s="158" t="str" cm="1">
        <f t="array" ref="AC15">IFERROR(IF(B15 = "TRI Form R", IF(AA15 = 0, "Facility has no on-site water discharges between 2017-2022.",  IF(COUNTIF('Processed Non-zero TRI Data'!$I:$I,$I15)&gt;0,INDEX('Processed Non-zero TRI Data'!$A:$A,MATCH(1,($I15='Processed Non-zero TRI Data'!$I:$I)*(AA15='Processed Non-zero TRI Data'!$T:$T),0)))), VLOOKUP(I15,#REF!, 2, FALSE)), ("N/A - Facility Does Not Report to TRI"))</f>
        <v>N/A - Facility Does Not Report to TRI</v>
      </c>
      <c r="AD15" s="97" t="str" cm="1">
        <f t="array" ref="AD15">IFERROR(_xlfn.XLOOKUP(1,  (MAX(IF(I15 = 'Processed Non-zero TRI Data'!$I$2:$I$6,'Processed Non-zero TRI Data'!$A$2:$A$6)) = 'Processed Non-zero TRI Data'!$A$2:$A$6)*('Processed Non-zero TRI Data'!$I$2:$I$6 = I15), 'Processed Non-zero TRI Data'!$V$2:$V$6), "N/A- Facility Does Not Report to TRI")</f>
        <v>N/A- Facility Does Not Report to TRI</v>
      </c>
      <c r="AE15" s="9" t="str">
        <f t="shared" si="20"/>
        <v>N/A - Facility Does Not Report to TRI</v>
      </c>
      <c r="AF15" s="9" t="str" cm="1">
        <f t="array" ref="AF15">IF(COUNTIF('Processed Non-zero TRI Data'!$I:$I,$I15)&gt;0,MEDIAN(IF('Processed Non-zero TRI Data'!$I:$I=I15,'Processed Non-zero TRI Data'!$V:$V)), "N/A - Facility Does Not Report to TRI")</f>
        <v>N/A - Facility Does Not Report to TRI</v>
      </c>
      <c r="AG15" s="9" t="str">
        <f t="shared" si="21"/>
        <v>N/A - Facility Does Not Report to TRI</v>
      </c>
      <c r="AH15" s="9" t="str">
        <f>IF(COUNTIF('Processed Non-zero TRI Data'!$I:$I,$I15)&gt;0,_xlfn.MAXIFS('Processed Non-zero TRI Data'!$V:$V,'Processed Non-zero TRI Data'!$I:$I,$I15), "N/A - Facility Does Not Report to TRI")</f>
        <v>N/A - Facility Does Not Report to TRI</v>
      </c>
      <c r="AI15" s="9" t="str">
        <f t="shared" si="22"/>
        <v>N/A - Facility Does Not Report to TRI</v>
      </c>
      <c r="AJ15" s="158" t="str" cm="1">
        <f t="array" ref="AJ15">IF(B15="TRI Form A",AC15,IF(AH15=0,"Facility has no transfers to POTWs between 2019-2023.",IF(COUNTIF('Processed Non-zero TRI Data'!$I:$I,$I15)&gt;0,INDEX('Processed Non-zero TRI Data'!$A:$A,MATCH(1,($I15='Processed Non-zero TRI Data'!$I:$I)*(AH15='Processed Non-zero TRI Data'!$V:$V),0)),"N/A - Facility Does Not Report to TRI")))</f>
        <v>N/A - Facility Does Not Report to TRI</v>
      </c>
      <c r="AK15" s="97" t="str" cm="1">
        <f t="array" ref="AK15">IFERROR(_xlfn.XLOOKUP(1,  (MAX(IF(I15 = 'Processed Non-zero TRI Data'!$I$2:$I$6,'Processed Non-zero TRI Data'!$A$2:$A$6)) = 'Processed Non-zero TRI Data'!$A$2:$A$6)*('Processed Non-zero TRI Data'!$I$2:$I$6 = I15), 'Processed Non-zero TRI Data'!$X$2:$X$6), "N/A- Facility Does Not Report to TRI")</f>
        <v>N/A- Facility Does Not Report to TRI</v>
      </c>
      <c r="AL15" s="9" t="str">
        <f t="shared" si="23"/>
        <v>N/A - Facility Does Not Report to TRI</v>
      </c>
      <c r="AM15" s="9" t="str" cm="1">
        <f t="array" ref="AM15">IF(COUNTIF('Processed Non-zero TRI Data'!$I:$I,$I15)&gt;0,MEDIAN(IF('Processed Non-zero TRI Data'!$I:$I=I15,'Processed Non-zero TRI Data'!$X:$X)), "N/A - Facility Does Not Report to TRI")</f>
        <v>N/A - Facility Does Not Report to TRI</v>
      </c>
      <c r="AN15" s="9" t="str">
        <f t="shared" si="24"/>
        <v>N/A - Facility Does Not Report to TRI</v>
      </c>
      <c r="AO15" s="9" t="str">
        <f>IF(COUNTIF('Processed Non-zero TRI Data'!$I:$I,$I15)&gt;0,_xlfn.MAXIFS('Processed Non-zero TRI Data'!$X:$X,'Processed Non-zero TRI Data'!$I:$I,$I15), "N/A - Facility Does Not Report to TRI")</f>
        <v>N/A - Facility Does Not Report to TRI</v>
      </c>
      <c r="AP15" s="9" t="str">
        <f t="shared" si="25"/>
        <v>N/A - Facility Does Not Report to TRI</v>
      </c>
      <c r="AQ15" s="251" t="str" cm="1">
        <f t="array" ref="AQ15">IF(B15="TRI Form A",AC15,IF(AO15=0,"Facility has no transfers to non-POTWs between 2019-2023.",IF(COUNTIF('Processed Non-zero TRI Data'!$I:$I,$I15)&gt;0,INDEX('Processed Non-zero TRI Data'!$A:$A,MATCH(1,($I15='Processed Non-zero TRI Data'!$I:$I)*(AO15='Processed Non-zero TRI Data'!$X:$X),0)),"N/A - Facility Does Not Report to TRI")))</f>
        <v>N/A - Facility Does Not Report to TRI</v>
      </c>
      <c r="AR15" s="260">
        <f t="shared" si="12"/>
        <v>0</v>
      </c>
      <c r="AS15" s="260">
        <f t="shared" si="13"/>
        <v>0.89140380299999999</v>
      </c>
    </row>
    <row r="16" spans="1:45" ht="30" x14ac:dyDescent="0.25">
      <c r="A16" s="12">
        <v>13</v>
      </c>
      <c r="B16" s="10" t="str">
        <f>IFERROR("TRI Form "&amp; VLOOKUP(I16, 'Processed Non-zero TRI Data'!$I$2:$K$6, 3, FALSE), "DMR")</f>
        <v>DMR</v>
      </c>
      <c r="C16" s="181" t="e">
        <f>VLOOKUP(D16,#REF!, 2, FALSE)</f>
        <v>#REF!</v>
      </c>
      <c r="D16" s="181" t="str">
        <f>IF(I16&lt;&gt;"",INDEX('Processed Non-zero TRI Data'!$O:$O,MATCH(I16,'Processed Non-zero TRI Data'!$I:$I,0)),INDEX('Processed Non-zero DMR Data'!$S:$S,MATCH(J16,'Processed Non-zero DMR Data'!$I:$I,0)))</f>
        <v>Processing as a reactant</v>
      </c>
      <c r="E16" s="181" t="str">
        <f>IF(I16&lt;&gt;"",INDEX('Processed Non-zero TRI Data'!$P:$P,MATCH(I16,'Processed Non-zero TRI Data'!$I:$I,0)),INDEX('Processed Non-zero DMR Data'!$T:$T,MATCH(J16,'Processed Non-zero DMR Data'!$I:$I,0)))</f>
        <v>Assumed processing as a reactant based on SIC and NAICS; this also matches 1,1,-DCA mapping.</v>
      </c>
      <c r="F16" s="9" t="str">
        <f>_xlfn.XLOOKUP(J16, 'Processed Non-zero DMR Data'!I:I, 'Processed Non-zero DMR Data'!B:B)</f>
        <v>DELAWARE RIVER PLANT</v>
      </c>
      <c r="G16" s="9" t="str">
        <f>_xlfn.XLOOKUP(J16, 'Processed Non-zero DMR Data'!I:I, 'Processed Non-zero DMR Data'!C:C)</f>
        <v>BRIDGEPORT</v>
      </c>
      <c r="H16" s="9" t="str">
        <f>_xlfn.XLOOKUP(J16, 'Processed Non-zero DMR Data'!I:I, 'Processed Non-zero DMR Data'!E:E)</f>
        <v>NJ</v>
      </c>
      <c r="I16" s="9"/>
      <c r="J16" s="13">
        <v>110000582003</v>
      </c>
      <c r="K16" s="9" t="str">
        <f>IFERROR(INDEX('Raw Non-zero DMR Data'!$C:$C, MATCH(J16,'Raw Non-zero DMR Data'!$D:$D,0)),"")</f>
        <v>NJ0005045</v>
      </c>
      <c r="L16" s="9" t="str">
        <f>IFERROR(INDEX('Raw Non-zero DMR Data'!$U:$U, MATCH($J16,'Raw Non-zero DMR Data'!$D:$D,0)),"")</f>
        <v>Raccoon Creek</v>
      </c>
      <c r="M16" s="155" t="str">
        <f>IFERROR(INDEX('Raw Non-zero DMR Data'!$T:$T, MATCH($J16,'Raw Non-zero DMR Data'!$D:$D,0)),"")</f>
        <v>020402020606</v>
      </c>
      <c r="N16" s="155" t="str">
        <f>IFERROR(INDEX('Off-site Locations'!$E:$E,MATCH(I16,'Off-site Locations'!$B:$B,0)),"No offsite transfers")</f>
        <v>No offsite transfers</v>
      </c>
      <c r="O16" s="165">
        <f>INDEX('TRI and DMR OES Summary'!D:D,MATCH('Facility Discharge Summary'!D16,'TRI and DMR OES Summary'!A:A,0))</f>
        <v>350</v>
      </c>
      <c r="P16" s="17" cm="1">
        <f t="array" ref="P16">IFERROR(_xlfn.XLOOKUP(1,  (MAX(IF(J16 = 'Processed Non-zero DMR Data'!$I$2:$I$651,'Processed Non-zero DMR Data'!$A$2:$A$651)) = 'Processed Non-zero DMR Data'!$A$2:$A$651)*('Processed Non-zero DMR Data'!$I$2:$I$651 = J16),'Processed Non-zero DMR Data'!$W$2:$W$651), "N/A- Facility Does Not Report DMRs")</f>
        <v>0.179255</v>
      </c>
      <c r="Q16" s="10">
        <f t="shared" si="14"/>
        <v>5.1215714285714285E-4</v>
      </c>
      <c r="R16" s="10" cm="1">
        <f t="array" ref="R16">IF(COUNTIF('Processed Non-zero DMR Data'!$I:$I,$J16)&gt;0,MEDIAN(IF('Processed Non-zero DMR Data'!$I:$I=J16,'Processed Non-zero DMR Data'!$W:$W)),"N/A - Facility Does Not Report DMRs")</f>
        <v>0.22900000000000001</v>
      </c>
      <c r="S16" s="10">
        <f t="shared" si="15"/>
        <v>6.5428571428571434E-4</v>
      </c>
      <c r="T16" s="10">
        <f>IF(COUNTIF('Processed Non-zero DMR Data'!$I:$I,$J16)&gt;0,_xlfn.MAXIFS('Processed Non-zero DMR Data'!$W:$W,'Processed Non-zero DMR Data'!$I:$I,$J16), "N/A - Facility Does Not Report DMRs")</f>
        <v>1.0629999999999999</v>
      </c>
      <c r="U16" s="10">
        <f t="shared" si="16"/>
        <v>3.0371428571428572E-3</v>
      </c>
      <c r="V16" s="158" cm="1">
        <f t="array" ref="V16">IF(COUNTIF('Processed Non-zero DMR Data'!$I:$I,$J16)&gt;0,INDEX('Processed Non-zero DMR Data'!$A:$A,MATCH(1,($J16='Processed Non-zero DMR Data'!$I:$I)*($T16='Processed Non-zero DMR Data'!$W:$W),0)), "N/A - Facility Does Not Report DMRs")</f>
        <v>2021</v>
      </c>
      <c r="W16" s="17" t="str" cm="1">
        <f t="array" ref="W16">IFERROR(_xlfn.XLOOKUP(1,  (MAX(IF(I16 = 'Processed Non-zero TRI Data'!$I$2:$I$6,'Processed Non-zero TRI Data'!$A$2:$A$6)) = 'Processed Non-zero TRI Data'!$A$2:$A$6)*('Processed Non-zero TRI Data'!$I$2:$I$6 = I16), 'Processed Non-zero TRI Data'!$T$2:$T$6), "N/A- Facility Does Not Report to TRI")</f>
        <v>N/A- Facility Does Not Report to TRI</v>
      </c>
      <c r="X16" s="10" t="str">
        <f t="shared" si="17"/>
        <v>N/A - Facility Does Not Report to TRI</v>
      </c>
      <c r="Y16" s="10" t="str" cm="1">
        <f t="array" ref="Y16">IF(COUNTIF('Processed Non-zero TRI Data'!$I:$I,$I16)&gt;0,MEDIAN(IF('Processed Non-zero TRI Data'!$I:$I=I16,'Processed Non-zero TRI Data'!$T:$T)), "N/A - Facility Does Not Report to TRI")</f>
        <v>N/A - Facility Does Not Report to TRI</v>
      </c>
      <c r="Z16" s="10" t="str">
        <f t="shared" si="18"/>
        <v>N/A - Facility Does Not Report to TRI</v>
      </c>
      <c r="AA16" s="10" t="str">
        <f>IF(COUNTIF('Processed Non-zero TRI Data'!$I:$I,$I16)&gt;0,_xlfn.MAXIFS('Processed Non-zero TRI Data'!$T:$T,'Processed Non-zero TRI Data'!$I:$I,$I16), "N/A - Facility Does Not Report to TRI")</f>
        <v>N/A - Facility Does Not Report to TRI</v>
      </c>
      <c r="AB16" s="10" t="str">
        <f t="shared" si="19"/>
        <v>N/A - Facility Does Not Report to TRI</v>
      </c>
      <c r="AC16" s="158" t="str" cm="1">
        <f t="array" ref="AC16">IFERROR(IF(B16 = "TRI Form R", IF(AA16 = 0, "Facility has no on-site water discharges between 2017-2022.",  IF(COUNTIF('Processed Non-zero TRI Data'!$I:$I,$I16)&gt;0,INDEX('Processed Non-zero TRI Data'!$A:$A,MATCH(1,($I16='Processed Non-zero TRI Data'!$I:$I)*(AA16='Processed Non-zero TRI Data'!$T:$T),0)))), VLOOKUP(I16,#REF!, 2, FALSE)), ("N/A - Facility Does Not Report to TRI"))</f>
        <v>N/A - Facility Does Not Report to TRI</v>
      </c>
      <c r="AD16" s="97" t="str" cm="1">
        <f t="array" ref="AD16">IFERROR(_xlfn.XLOOKUP(1,  (MAX(IF(I16 = 'Processed Non-zero TRI Data'!$I$2:$I$6,'Processed Non-zero TRI Data'!$A$2:$A$6)) = 'Processed Non-zero TRI Data'!$A$2:$A$6)*('Processed Non-zero TRI Data'!$I$2:$I$6 = I16), 'Processed Non-zero TRI Data'!$V$2:$V$6), "N/A- Facility Does Not Report to TRI")</f>
        <v>N/A- Facility Does Not Report to TRI</v>
      </c>
      <c r="AE16" s="9" t="str">
        <f t="shared" si="20"/>
        <v>N/A - Facility Does Not Report to TRI</v>
      </c>
      <c r="AF16" s="9" t="str" cm="1">
        <f t="array" ref="AF16">IF(COUNTIF('Processed Non-zero TRI Data'!$I:$I,$I16)&gt;0,MEDIAN(IF('Processed Non-zero TRI Data'!$I:$I=I16,'Processed Non-zero TRI Data'!$V:$V)), "N/A - Facility Does Not Report to TRI")</f>
        <v>N/A - Facility Does Not Report to TRI</v>
      </c>
      <c r="AG16" s="9" t="str">
        <f t="shared" si="21"/>
        <v>N/A - Facility Does Not Report to TRI</v>
      </c>
      <c r="AH16" s="9" t="str">
        <f>IF(COUNTIF('Processed Non-zero TRI Data'!$I:$I,$I16)&gt;0,_xlfn.MAXIFS('Processed Non-zero TRI Data'!$V:$V,'Processed Non-zero TRI Data'!$I:$I,$I16), "N/A - Facility Does Not Report to TRI")</f>
        <v>N/A - Facility Does Not Report to TRI</v>
      </c>
      <c r="AI16" s="9" t="str">
        <f t="shared" si="22"/>
        <v>N/A - Facility Does Not Report to TRI</v>
      </c>
      <c r="AJ16" s="158" t="str" cm="1">
        <f t="array" ref="AJ16">IF(B16="TRI Form A",AC16,IF(AH16=0,"Facility has no transfers to POTWs between 2019-2023.",IF(COUNTIF('Processed Non-zero TRI Data'!$I:$I,$I16)&gt;0,INDEX('Processed Non-zero TRI Data'!$A:$A,MATCH(1,($I16='Processed Non-zero TRI Data'!$I:$I)*(AH16='Processed Non-zero TRI Data'!$V:$V),0)),"N/A - Facility Does Not Report to TRI")))</f>
        <v>N/A - Facility Does Not Report to TRI</v>
      </c>
      <c r="AK16" s="97" t="str" cm="1">
        <f t="array" ref="AK16">IFERROR(_xlfn.XLOOKUP(1,  (MAX(IF(I16 = 'Processed Non-zero TRI Data'!$I$2:$I$6,'Processed Non-zero TRI Data'!$A$2:$A$6)) = 'Processed Non-zero TRI Data'!$A$2:$A$6)*('Processed Non-zero TRI Data'!$I$2:$I$6 = I16), 'Processed Non-zero TRI Data'!$X$2:$X$6), "N/A- Facility Does Not Report to TRI")</f>
        <v>N/A- Facility Does Not Report to TRI</v>
      </c>
      <c r="AL16" s="9" t="str">
        <f t="shared" si="23"/>
        <v>N/A - Facility Does Not Report to TRI</v>
      </c>
      <c r="AM16" s="9" t="str" cm="1">
        <f t="array" ref="AM16">IF(COUNTIF('Processed Non-zero TRI Data'!$I:$I,$I16)&gt;0,MEDIAN(IF('Processed Non-zero TRI Data'!$I:$I=I16,'Processed Non-zero TRI Data'!$X:$X)), "N/A - Facility Does Not Report to TRI")</f>
        <v>N/A - Facility Does Not Report to TRI</v>
      </c>
      <c r="AN16" s="9" t="str">
        <f t="shared" si="24"/>
        <v>N/A - Facility Does Not Report to TRI</v>
      </c>
      <c r="AO16" s="9" t="str">
        <f>IF(COUNTIF('Processed Non-zero TRI Data'!$I:$I,$I16)&gt;0,_xlfn.MAXIFS('Processed Non-zero TRI Data'!$X:$X,'Processed Non-zero TRI Data'!$I:$I,$I16), "N/A - Facility Does Not Report to TRI")</f>
        <v>N/A - Facility Does Not Report to TRI</v>
      </c>
      <c r="AP16" s="9" t="str">
        <f t="shared" si="25"/>
        <v>N/A - Facility Does Not Report to TRI</v>
      </c>
      <c r="AQ16" s="251" t="str" cm="1">
        <f t="array" ref="AQ16">IF(B16="TRI Form A",AC16,IF(AO16=0,"Facility has no transfers to non-POTWs between 2019-2023.",IF(COUNTIF('Processed Non-zero TRI Data'!$I:$I,$I16)&gt;0,INDEX('Processed Non-zero TRI Data'!$A:$A,MATCH(1,($I16='Processed Non-zero TRI Data'!$I:$I)*(AO16='Processed Non-zero TRI Data'!$X:$X),0)),"N/A - Facility Does Not Report to TRI")))</f>
        <v>N/A - Facility Does Not Report to TRI</v>
      </c>
      <c r="AR16" s="260">
        <f t="shared" si="12"/>
        <v>0</v>
      </c>
      <c r="AS16" s="260">
        <f t="shared" si="13"/>
        <v>1.0629999999999999</v>
      </c>
    </row>
    <row r="17" spans="1:45" ht="30" x14ac:dyDescent="0.25">
      <c r="A17" s="12">
        <v>14</v>
      </c>
      <c r="B17" s="10" t="str">
        <f>IFERROR("TRI Form "&amp; VLOOKUP(I17, 'Processed Non-zero TRI Data'!$I$2:$K$6, 3, FALSE), "DMR")</f>
        <v>DMR</v>
      </c>
      <c r="C17" s="181" t="e">
        <f>VLOOKUP(D17,#REF!, 2, FALSE)</f>
        <v>#REF!</v>
      </c>
      <c r="D17" s="181" t="str">
        <f>IF(I17&lt;&gt;"",INDEX('Processed Non-zero TRI Data'!$O:$O,MATCH(I17,'Processed Non-zero TRI Data'!$I:$I,0)),INDEX('Processed Non-zero DMR Data'!$S:$S,MATCH(J17,'Processed Non-zero DMR Data'!$I:$I,0)))</f>
        <v>Waste Handling, Disposal and Treatment (POTW)</v>
      </c>
      <c r="E17" s="181" t="str">
        <f>IF(I17&lt;&gt;"",INDEX('Processed Non-zero TRI Data'!$P:$P,MATCH(I17,'Processed Non-zero TRI Data'!$I:$I,0)),INDEX('Processed Non-zero DMR Data'!$T:$T,MATCH(J17,'Processed Non-zero DMR Data'!$I:$I,0)))</f>
        <v>POTW indicator in DMR</v>
      </c>
      <c r="F17" s="9" t="str">
        <f>_xlfn.XLOOKUP(J17, 'Processed Non-zero DMR Data'!I:I, 'Processed Non-zero DMR Data'!B:B)</f>
        <v>FLEMINGSBURG STP</v>
      </c>
      <c r="G17" s="9" t="str">
        <f>_xlfn.XLOOKUP(J17, 'Processed Non-zero DMR Data'!I:I, 'Processed Non-zero DMR Data'!C:C)</f>
        <v>FLEMINGSBURG</v>
      </c>
      <c r="H17" s="9" t="str">
        <f>_xlfn.XLOOKUP(J17, 'Processed Non-zero DMR Data'!I:I, 'Processed Non-zero DMR Data'!E:E)</f>
        <v>KY</v>
      </c>
      <c r="I17" s="9"/>
      <c r="J17" s="13">
        <v>110003251427</v>
      </c>
      <c r="K17" s="9" t="str">
        <f>IFERROR(INDEX('Raw Non-zero DMR Data'!$C:$C, MATCH(J17,'Raw Non-zero DMR Data'!$D:$D,0)),"")</f>
        <v>KY0021229</v>
      </c>
      <c r="L17" s="9" t="str">
        <f>IFERROR(INDEX('Raw Non-zero DMR Data'!$U:$U, MATCH($J17,'Raw Non-zero DMR Data'!$D:$D,0)),"")</f>
        <v>Allison Creek-Fleming Creek</v>
      </c>
      <c r="M17" s="155" t="str">
        <f>IFERROR(INDEX('Raw Non-zero DMR Data'!$T:$T, MATCH($J17,'Raw Non-zero DMR Data'!$D:$D,0)),"")</f>
        <v>051001010903</v>
      </c>
      <c r="N17" s="155" t="str">
        <f>IFERROR(INDEX('Off-site Locations'!$E:$E,MATCH(I17,'Off-site Locations'!$B:$B,0)),"No offsite transfers")</f>
        <v>No offsite transfers</v>
      </c>
      <c r="O17" s="165">
        <f>INDEX('TRI and DMR OES Summary'!D:D,MATCH('Facility Discharge Summary'!D17,'TRI and DMR OES Summary'!A:A,0))</f>
        <v>365</v>
      </c>
      <c r="P17" s="17" cm="1">
        <f t="array" ref="P17">IFERROR(_xlfn.XLOOKUP(1,  (MAX(IF(J17 = 'Processed Non-zero DMR Data'!$I$2:$I$651,'Processed Non-zero DMR Data'!$A$2:$A$651)) = 'Processed Non-zero DMR Data'!$A$2:$A$651)*('Processed Non-zero DMR Data'!$I$2:$I$651 = J17),'Processed Non-zero DMR Data'!$W$2:$W$651), "N/A- Facility Does Not Report DMRs")</f>
        <v>0.29150177500000002</v>
      </c>
      <c r="Q17" s="10">
        <f t="shared" si="14"/>
        <v>7.9863500000000001E-4</v>
      </c>
      <c r="R17" s="10" cm="1">
        <f t="array" ref="R17">IF(COUNTIF('Processed Non-zero DMR Data'!$I:$I,$J17)&gt;0,MEDIAN(IF('Processed Non-zero DMR Data'!$I:$I=J17,'Processed Non-zero DMR Data'!$W:$W)),"N/A - Facility Does Not Report DMRs")</f>
        <v>0.29150177500000002</v>
      </c>
      <c r="S17" s="10">
        <f t="shared" si="15"/>
        <v>7.9863500000000001E-4</v>
      </c>
      <c r="T17" s="10">
        <f>IF(COUNTIF('Processed Non-zero DMR Data'!$I:$I,$J17)&gt;0,_xlfn.MAXIFS('Processed Non-zero DMR Data'!$W:$W,'Processed Non-zero DMR Data'!$I:$I,$J17), "N/A - Facility Does Not Report DMRs")</f>
        <v>0.47524460000000002</v>
      </c>
      <c r="U17" s="10">
        <f t="shared" si="16"/>
        <v>1.30204E-3</v>
      </c>
      <c r="V17" s="158" cm="1">
        <f t="array" ref="V17">IF(COUNTIF('Processed Non-zero DMR Data'!$I:$I,$J17)&gt;0,INDEX('Processed Non-zero DMR Data'!$A:$A,MATCH(1,($J17='Processed Non-zero DMR Data'!$I:$I)*($T17='Processed Non-zero DMR Data'!$W:$W),0)), "N/A - Facility Does Not Report DMRs")</f>
        <v>2019</v>
      </c>
      <c r="W17" s="17" t="str" cm="1">
        <f t="array" ref="W17">IFERROR(_xlfn.XLOOKUP(1,  (MAX(IF(I17 = 'Processed Non-zero TRI Data'!$I$2:$I$6,'Processed Non-zero TRI Data'!$A$2:$A$6)) = 'Processed Non-zero TRI Data'!$A$2:$A$6)*('Processed Non-zero TRI Data'!$I$2:$I$6 = I17), 'Processed Non-zero TRI Data'!$T$2:$T$6), "N/A- Facility Does Not Report to TRI")</f>
        <v>N/A- Facility Does Not Report to TRI</v>
      </c>
      <c r="X17" s="10" t="str">
        <f t="shared" si="17"/>
        <v>N/A - Facility Does Not Report to TRI</v>
      </c>
      <c r="Y17" s="10" t="str" cm="1">
        <f t="array" ref="Y17">IF(COUNTIF('Processed Non-zero TRI Data'!$I:$I,$I17)&gt;0,MEDIAN(IF('Processed Non-zero TRI Data'!$I:$I=I17,'Processed Non-zero TRI Data'!$T:$T)), "N/A - Facility Does Not Report to TRI")</f>
        <v>N/A - Facility Does Not Report to TRI</v>
      </c>
      <c r="Z17" s="10" t="str">
        <f t="shared" si="18"/>
        <v>N/A - Facility Does Not Report to TRI</v>
      </c>
      <c r="AA17" s="10" t="str">
        <f>IF(COUNTIF('Processed Non-zero TRI Data'!$I:$I,$I17)&gt;0,_xlfn.MAXIFS('Processed Non-zero TRI Data'!$T:$T,'Processed Non-zero TRI Data'!$I:$I,$I17), "N/A - Facility Does Not Report to TRI")</f>
        <v>N/A - Facility Does Not Report to TRI</v>
      </c>
      <c r="AB17" s="10" t="str">
        <f t="shared" si="19"/>
        <v>N/A - Facility Does Not Report to TRI</v>
      </c>
      <c r="AC17" s="158" t="str" cm="1">
        <f t="array" ref="AC17">IFERROR(IF(B17 = "TRI Form R", IF(AA17 = 0, "Facility has no on-site water discharges between 2017-2022.",  IF(COUNTIF('Processed Non-zero TRI Data'!$I:$I,$I17)&gt;0,INDEX('Processed Non-zero TRI Data'!$A:$A,MATCH(1,($I17='Processed Non-zero TRI Data'!$I:$I)*(AA17='Processed Non-zero TRI Data'!$T:$T),0)))), VLOOKUP(I17,#REF!, 2, FALSE)), ("N/A - Facility Does Not Report to TRI"))</f>
        <v>N/A - Facility Does Not Report to TRI</v>
      </c>
      <c r="AD17" s="97" t="str" cm="1">
        <f t="array" ref="AD17">IFERROR(_xlfn.XLOOKUP(1,  (MAX(IF(I17 = 'Processed Non-zero TRI Data'!$I$2:$I$6,'Processed Non-zero TRI Data'!$A$2:$A$6)) = 'Processed Non-zero TRI Data'!$A$2:$A$6)*('Processed Non-zero TRI Data'!$I$2:$I$6 = I17), 'Processed Non-zero TRI Data'!$V$2:$V$6), "N/A- Facility Does Not Report to TRI")</f>
        <v>N/A- Facility Does Not Report to TRI</v>
      </c>
      <c r="AE17" s="9" t="str">
        <f t="shared" si="20"/>
        <v>N/A - Facility Does Not Report to TRI</v>
      </c>
      <c r="AF17" s="9" t="str" cm="1">
        <f t="array" ref="AF17">IF(COUNTIF('Processed Non-zero TRI Data'!$I:$I,$I17)&gt;0,MEDIAN(IF('Processed Non-zero TRI Data'!$I:$I=I17,'Processed Non-zero TRI Data'!$V:$V)), "N/A - Facility Does Not Report to TRI")</f>
        <v>N/A - Facility Does Not Report to TRI</v>
      </c>
      <c r="AG17" s="9" t="str">
        <f t="shared" si="21"/>
        <v>N/A - Facility Does Not Report to TRI</v>
      </c>
      <c r="AH17" s="9" t="str">
        <f>IF(COUNTIF('Processed Non-zero TRI Data'!$I:$I,$I17)&gt;0,_xlfn.MAXIFS('Processed Non-zero TRI Data'!$V:$V,'Processed Non-zero TRI Data'!$I:$I,$I17), "N/A - Facility Does Not Report to TRI")</f>
        <v>N/A - Facility Does Not Report to TRI</v>
      </c>
      <c r="AI17" s="9" t="str">
        <f t="shared" si="22"/>
        <v>N/A - Facility Does Not Report to TRI</v>
      </c>
      <c r="AJ17" s="158" t="str" cm="1">
        <f t="array" ref="AJ17">IF(B17="TRI Form A",AC17,IF(AH17=0,"Facility has no transfers to POTWs between 2019-2023.",IF(COUNTIF('Processed Non-zero TRI Data'!$I:$I,$I17)&gt;0,INDEX('Processed Non-zero TRI Data'!$A:$A,MATCH(1,($I17='Processed Non-zero TRI Data'!$I:$I)*(AH17='Processed Non-zero TRI Data'!$V:$V),0)),"N/A - Facility Does Not Report to TRI")))</f>
        <v>N/A - Facility Does Not Report to TRI</v>
      </c>
      <c r="AK17" s="97" t="str" cm="1">
        <f t="array" ref="AK17">IFERROR(_xlfn.XLOOKUP(1,  (MAX(IF(I17 = 'Processed Non-zero TRI Data'!$I$2:$I$6,'Processed Non-zero TRI Data'!$A$2:$A$6)) = 'Processed Non-zero TRI Data'!$A$2:$A$6)*('Processed Non-zero TRI Data'!$I$2:$I$6 = I17), 'Processed Non-zero TRI Data'!$X$2:$X$6), "N/A- Facility Does Not Report to TRI")</f>
        <v>N/A- Facility Does Not Report to TRI</v>
      </c>
      <c r="AL17" s="9" t="str">
        <f t="shared" si="23"/>
        <v>N/A - Facility Does Not Report to TRI</v>
      </c>
      <c r="AM17" s="9" t="str" cm="1">
        <f t="array" ref="AM17">IF(COUNTIF('Processed Non-zero TRI Data'!$I:$I,$I17)&gt;0,MEDIAN(IF('Processed Non-zero TRI Data'!$I:$I=I17,'Processed Non-zero TRI Data'!$X:$X)), "N/A - Facility Does Not Report to TRI")</f>
        <v>N/A - Facility Does Not Report to TRI</v>
      </c>
      <c r="AN17" s="9" t="str">
        <f t="shared" si="24"/>
        <v>N/A - Facility Does Not Report to TRI</v>
      </c>
      <c r="AO17" s="9" t="str">
        <f>IF(COUNTIF('Processed Non-zero TRI Data'!$I:$I,$I17)&gt;0,_xlfn.MAXIFS('Processed Non-zero TRI Data'!$X:$X,'Processed Non-zero TRI Data'!$I:$I,$I17), "N/A - Facility Does Not Report to TRI")</f>
        <v>N/A - Facility Does Not Report to TRI</v>
      </c>
      <c r="AP17" s="9" t="str">
        <f t="shared" si="25"/>
        <v>N/A - Facility Does Not Report to TRI</v>
      </c>
      <c r="AQ17" s="251" t="str" cm="1">
        <f t="array" ref="AQ17">IF(B17="TRI Form A",AC17,IF(AO17=0,"Facility has no transfers to non-POTWs between 2019-2023.",IF(COUNTIF('Processed Non-zero TRI Data'!$I:$I,$I17)&gt;0,INDEX('Processed Non-zero TRI Data'!$A:$A,MATCH(1,($I17='Processed Non-zero TRI Data'!$I:$I)*(AO17='Processed Non-zero TRI Data'!$X:$X),0)),"N/A - Facility Does Not Report to TRI")))</f>
        <v>N/A - Facility Does Not Report to TRI</v>
      </c>
      <c r="AR17" s="260">
        <f t="shared" si="12"/>
        <v>0</v>
      </c>
      <c r="AS17" s="260">
        <f t="shared" si="13"/>
        <v>0.47524460000000002</v>
      </c>
    </row>
    <row r="18" spans="1:45" ht="45" x14ac:dyDescent="0.25">
      <c r="A18" s="12">
        <v>15</v>
      </c>
      <c r="B18" s="10" t="str">
        <f>IFERROR("TRI Form "&amp; VLOOKUP(I18, 'Processed Non-zero TRI Data'!$I$2:$K$6, 3, FALSE), "DMR")</f>
        <v>DMR</v>
      </c>
      <c r="C18" s="181" t="e">
        <f>VLOOKUP(D18,#REF!, 2, FALSE)</f>
        <v>#REF!</v>
      </c>
      <c r="D18" s="181" t="str">
        <f>IF(I18&lt;&gt;"",INDEX('Processed Non-zero TRI Data'!$O:$O,MATCH(I18,'Processed Non-zero TRI Data'!$I:$I,0)),INDEX('Processed Non-zero DMR Data'!$S:$S,MATCH(J18,'Processed Non-zero DMR Data'!$I:$I,0)))</f>
        <v>Waste Handling, Disposal and Treatment (non-POTW WWT)</v>
      </c>
      <c r="E18" s="181" t="str">
        <f>IF(I18&lt;&gt;"",INDEX('Processed Non-zero TRI Data'!$P:$P,MATCH(I18,'Processed Non-zero TRI Data'!$I:$I,0)),INDEX('Processed Non-zero DMR Data'!$T:$T,MATCH(J18,'Processed Non-zero DMR Data'!$I:$I,0)))</f>
        <v>Based on 1,1-DCA mapping and reasoning "Discharge of non-contact cooling water from facility, and general discharge".</v>
      </c>
      <c r="F18" s="9" t="str">
        <f>_xlfn.XLOOKUP(J18, 'Processed Non-zero DMR Data'!I:I, 'Processed Non-zero DMR Data'!B:B)</f>
        <v>VENETIAN HOTEL AND CASINO</v>
      </c>
      <c r="G18" s="9" t="str">
        <f>_xlfn.XLOOKUP(J18, 'Processed Non-zero DMR Data'!I:I, 'Processed Non-zero DMR Data'!C:C)</f>
        <v>LAS VEGAS</v>
      </c>
      <c r="H18" s="9" t="str">
        <f>_xlfn.XLOOKUP(J18, 'Processed Non-zero DMR Data'!I:I, 'Processed Non-zero DMR Data'!E:E)</f>
        <v>NV</v>
      </c>
      <c r="I18" s="9"/>
      <c r="J18" s="13">
        <v>110004306938</v>
      </c>
      <c r="K18" s="9" t="str">
        <f>IFERROR(INDEX('Raw Non-zero DMR Data'!$C:$C, MATCH(J18,'Raw Non-zero DMR Data'!$D:$D,0)),"")</f>
        <v>NV0022888</v>
      </c>
      <c r="L18" s="9" t="str">
        <f>IFERROR(INDEX('Raw Non-zero DMR Data'!$U:$U, MATCH($J18,'Raw Non-zero DMR Data'!$D:$D,0)),"")</f>
        <v>City of Las Vegas-Las Vegas Wash</v>
      </c>
      <c r="M18" s="155">
        <f>IFERROR(INDEX('Raw Non-zero DMR Data'!$T:$T, MATCH($J18,'Raw Non-zero DMR Data'!$D:$D,0)),"")</f>
        <v>150100150604</v>
      </c>
      <c r="N18" s="155" t="str">
        <f>IFERROR(INDEX('Off-site Locations'!$E:$E,MATCH(I18,'Off-site Locations'!$B:$B,0)),"No offsite transfers")</f>
        <v>No offsite transfers</v>
      </c>
      <c r="O18" s="165">
        <f>INDEX('TRI and DMR OES Summary'!D:D,MATCH('Facility Discharge Summary'!D18,'TRI and DMR OES Summary'!A:A,0))</f>
        <v>250</v>
      </c>
      <c r="P18" s="17" cm="1">
        <f t="array" ref="P18">IFERROR(_xlfn.XLOOKUP(1,  (MAX(IF(J18 = 'Processed Non-zero DMR Data'!$I$2:$I$651,'Processed Non-zero DMR Data'!$A$2:$A$651)) = 'Processed Non-zero DMR Data'!$A$2:$A$651)*('Processed Non-zero DMR Data'!$I$2:$I$651 = J18),'Processed Non-zero DMR Data'!$W$2:$W$651), "N/A- Facility Does Not Report DMRs")</f>
        <v>1.94138800625E-2</v>
      </c>
      <c r="Q18" s="10">
        <f t="shared" si="14"/>
        <v>7.7655520249999996E-5</v>
      </c>
      <c r="R18" s="10" cm="1">
        <f t="array" ref="R18">IF(COUNTIF('Processed Non-zero DMR Data'!$I:$I,$J18)&gt;0,MEDIAN(IF('Processed Non-zero DMR Data'!$I:$I=J18,'Processed Non-zero DMR Data'!$W:$W)),"N/A - Facility Does Not Report DMRs")</f>
        <v>2.4340743593749999E-2</v>
      </c>
      <c r="S18" s="10">
        <f t="shared" si="15"/>
        <v>9.736297437499999E-5</v>
      </c>
      <c r="T18" s="10">
        <f>IF(COUNTIF('Processed Non-zero DMR Data'!$I:$I,$J18)&gt;0,_xlfn.MAXIFS('Processed Non-zero DMR Data'!$W:$W,'Processed Non-zero DMR Data'!$I:$I,$J18), "N/A - Facility Does Not Report DMRs")</f>
        <v>0.67112412212500006</v>
      </c>
      <c r="U18" s="10">
        <f t="shared" si="16"/>
        <v>2.6844964885000002E-3</v>
      </c>
      <c r="V18" s="158" cm="1">
        <f t="array" ref="V18">IF(COUNTIF('Processed Non-zero DMR Data'!$I:$I,$J18)&gt;0,INDEX('Processed Non-zero DMR Data'!$A:$A,MATCH(1,($J18='Processed Non-zero DMR Data'!$I:$I)*($T18='Processed Non-zero DMR Data'!$W:$W),0)), "N/A - Facility Does Not Report DMRs")</f>
        <v>2023</v>
      </c>
      <c r="W18" s="17" t="str" cm="1">
        <f t="array" ref="W18">IFERROR(_xlfn.XLOOKUP(1,  (MAX(IF(I18 = 'Processed Non-zero TRI Data'!$I$2:$I$6,'Processed Non-zero TRI Data'!$A$2:$A$6)) = 'Processed Non-zero TRI Data'!$A$2:$A$6)*('Processed Non-zero TRI Data'!$I$2:$I$6 = I18), 'Processed Non-zero TRI Data'!$T$2:$T$6), "N/A- Facility Does Not Report to TRI")</f>
        <v>N/A- Facility Does Not Report to TRI</v>
      </c>
      <c r="X18" s="10" t="str">
        <f t="shared" si="17"/>
        <v>N/A - Facility Does Not Report to TRI</v>
      </c>
      <c r="Y18" s="10" t="str" cm="1">
        <f t="array" ref="Y18">IF(COUNTIF('Processed Non-zero TRI Data'!$I:$I,$I18)&gt;0,MEDIAN(IF('Processed Non-zero TRI Data'!$I:$I=I18,'Processed Non-zero TRI Data'!$T:$T)), "N/A - Facility Does Not Report to TRI")</f>
        <v>N/A - Facility Does Not Report to TRI</v>
      </c>
      <c r="Z18" s="10" t="str">
        <f t="shared" si="18"/>
        <v>N/A - Facility Does Not Report to TRI</v>
      </c>
      <c r="AA18" s="10" t="str">
        <f>IF(COUNTIF('Processed Non-zero TRI Data'!$I:$I,$I18)&gt;0,_xlfn.MAXIFS('Processed Non-zero TRI Data'!$T:$T,'Processed Non-zero TRI Data'!$I:$I,$I18), "N/A - Facility Does Not Report to TRI")</f>
        <v>N/A - Facility Does Not Report to TRI</v>
      </c>
      <c r="AB18" s="10" t="str">
        <f t="shared" si="19"/>
        <v>N/A - Facility Does Not Report to TRI</v>
      </c>
      <c r="AC18" s="158" t="str" cm="1">
        <f t="array" ref="AC18">IFERROR(IF(B18 = "TRI Form R", IF(AA18 = 0, "Facility has no on-site water discharges between 2017-2022.",  IF(COUNTIF('Processed Non-zero TRI Data'!$I:$I,$I18)&gt;0,INDEX('Processed Non-zero TRI Data'!$A:$A,MATCH(1,($I18='Processed Non-zero TRI Data'!$I:$I)*(AA18='Processed Non-zero TRI Data'!$T:$T),0)))), VLOOKUP(I18,#REF!, 2, FALSE)), ("N/A - Facility Does Not Report to TRI"))</f>
        <v>N/A - Facility Does Not Report to TRI</v>
      </c>
      <c r="AD18" s="97" t="str" cm="1">
        <f t="array" ref="AD18">IFERROR(_xlfn.XLOOKUP(1,  (MAX(IF(I18 = 'Processed Non-zero TRI Data'!$I$2:$I$6,'Processed Non-zero TRI Data'!$A$2:$A$6)) = 'Processed Non-zero TRI Data'!$A$2:$A$6)*('Processed Non-zero TRI Data'!$I$2:$I$6 = I18), 'Processed Non-zero TRI Data'!$V$2:$V$6), "N/A- Facility Does Not Report to TRI")</f>
        <v>N/A- Facility Does Not Report to TRI</v>
      </c>
      <c r="AE18" s="9" t="str">
        <f t="shared" si="20"/>
        <v>N/A - Facility Does Not Report to TRI</v>
      </c>
      <c r="AF18" s="9" t="str" cm="1">
        <f t="array" ref="AF18">IF(COUNTIF('Processed Non-zero TRI Data'!$I:$I,$I18)&gt;0,MEDIAN(IF('Processed Non-zero TRI Data'!$I:$I=I18,'Processed Non-zero TRI Data'!$V:$V)), "N/A - Facility Does Not Report to TRI")</f>
        <v>N/A - Facility Does Not Report to TRI</v>
      </c>
      <c r="AG18" s="9" t="str">
        <f t="shared" si="21"/>
        <v>N/A - Facility Does Not Report to TRI</v>
      </c>
      <c r="AH18" s="9" t="str">
        <f>IF(COUNTIF('Processed Non-zero TRI Data'!$I:$I,$I18)&gt;0,_xlfn.MAXIFS('Processed Non-zero TRI Data'!$V:$V,'Processed Non-zero TRI Data'!$I:$I,$I18), "N/A - Facility Does Not Report to TRI")</f>
        <v>N/A - Facility Does Not Report to TRI</v>
      </c>
      <c r="AI18" s="9" t="str">
        <f t="shared" si="22"/>
        <v>N/A - Facility Does Not Report to TRI</v>
      </c>
      <c r="AJ18" s="158" t="str" cm="1">
        <f t="array" ref="AJ18">IF(B18="TRI Form A",AC18,IF(AH18=0,"Facility has no transfers to POTWs between 2019-2023.",IF(COUNTIF('Processed Non-zero TRI Data'!$I:$I,$I18)&gt;0,INDEX('Processed Non-zero TRI Data'!$A:$A,MATCH(1,($I18='Processed Non-zero TRI Data'!$I:$I)*(AH18='Processed Non-zero TRI Data'!$V:$V),0)),"N/A - Facility Does Not Report to TRI")))</f>
        <v>N/A - Facility Does Not Report to TRI</v>
      </c>
      <c r="AK18" s="97" t="str" cm="1">
        <f t="array" ref="AK18">IFERROR(_xlfn.XLOOKUP(1,  (MAX(IF(I18 = 'Processed Non-zero TRI Data'!$I$2:$I$6,'Processed Non-zero TRI Data'!$A$2:$A$6)) = 'Processed Non-zero TRI Data'!$A$2:$A$6)*('Processed Non-zero TRI Data'!$I$2:$I$6 = I18), 'Processed Non-zero TRI Data'!$X$2:$X$6), "N/A- Facility Does Not Report to TRI")</f>
        <v>N/A- Facility Does Not Report to TRI</v>
      </c>
      <c r="AL18" s="9" t="str">
        <f t="shared" si="23"/>
        <v>N/A - Facility Does Not Report to TRI</v>
      </c>
      <c r="AM18" s="9" t="str" cm="1">
        <f t="array" ref="AM18">IF(COUNTIF('Processed Non-zero TRI Data'!$I:$I,$I18)&gt;0,MEDIAN(IF('Processed Non-zero TRI Data'!$I:$I=I18,'Processed Non-zero TRI Data'!$X:$X)), "N/A - Facility Does Not Report to TRI")</f>
        <v>N/A - Facility Does Not Report to TRI</v>
      </c>
      <c r="AN18" s="9" t="str">
        <f t="shared" si="24"/>
        <v>N/A - Facility Does Not Report to TRI</v>
      </c>
      <c r="AO18" s="9" t="str">
        <f>IF(COUNTIF('Processed Non-zero TRI Data'!$I:$I,$I18)&gt;0,_xlfn.MAXIFS('Processed Non-zero TRI Data'!$X:$X,'Processed Non-zero TRI Data'!$I:$I,$I18), "N/A - Facility Does Not Report to TRI")</f>
        <v>N/A - Facility Does Not Report to TRI</v>
      </c>
      <c r="AP18" s="9" t="str">
        <f t="shared" si="25"/>
        <v>N/A - Facility Does Not Report to TRI</v>
      </c>
      <c r="AQ18" s="251" t="str" cm="1">
        <f t="array" ref="AQ18">IF(B18="TRI Form A",AC18,IF(AO18=0,"Facility has no transfers to non-POTWs between 2019-2023.",IF(COUNTIF('Processed Non-zero TRI Data'!$I:$I,$I18)&gt;0,INDEX('Processed Non-zero TRI Data'!$A:$A,MATCH(1,($I18='Processed Non-zero TRI Data'!$I:$I)*(AO18='Processed Non-zero TRI Data'!$X:$X),0)),"N/A - Facility Does Not Report to TRI")))</f>
        <v>N/A - Facility Does Not Report to TRI</v>
      </c>
      <c r="AR18" s="260">
        <f t="shared" si="12"/>
        <v>0</v>
      </c>
      <c r="AS18" s="260">
        <f t="shared" si="13"/>
        <v>0.67112412212500006</v>
      </c>
    </row>
    <row r="19" spans="1:45" ht="30" x14ac:dyDescent="0.25">
      <c r="A19" s="12">
        <v>16</v>
      </c>
      <c r="B19" s="10" t="str">
        <f>IFERROR("TRI Form "&amp; VLOOKUP(I19, 'Processed Non-zero TRI Data'!$I$2:$K$6, 3, FALSE), "DMR")</f>
        <v>DMR</v>
      </c>
      <c r="C19" s="181" t="e">
        <f>VLOOKUP(D19,#REF!, 2, FALSE)</f>
        <v>#REF!</v>
      </c>
      <c r="D19" s="181" t="str">
        <f>IF(I19&lt;&gt;"",INDEX('Processed Non-zero TRI Data'!$O:$O,MATCH(I19,'Processed Non-zero TRI Data'!$I:$I,0)),INDEX('Processed Non-zero DMR Data'!$S:$S,MATCH(J19,'Processed Non-zero DMR Data'!$I:$I,0)))</f>
        <v>Waste Handling, Disposal and Treatment (POTW)</v>
      </c>
      <c r="E19" s="181" t="str">
        <f>IF(I19&lt;&gt;"",INDEX('Processed Non-zero TRI Data'!$P:$P,MATCH(I19,'Processed Non-zero TRI Data'!$I:$I,0)),INDEX('Processed Non-zero DMR Data'!$T:$T,MATCH(J19,'Processed Non-zero DMR Data'!$I:$I,0)))</f>
        <v>POTW indicator in DMR</v>
      </c>
      <c r="F19" s="9" t="str">
        <f>_xlfn.XLOOKUP(J19, 'Processed Non-zero DMR Data'!I:I, 'Processed Non-zero DMR Data'!B:B)</f>
        <v>SHEPHERDSVILLE STP</v>
      </c>
      <c r="G19" s="9" t="str">
        <f>_xlfn.XLOOKUP(J19, 'Processed Non-zero DMR Data'!I:I, 'Processed Non-zero DMR Data'!C:C)</f>
        <v>SHEPHERDSVILLE</v>
      </c>
      <c r="H19" s="9" t="str">
        <f>_xlfn.XLOOKUP(J19, 'Processed Non-zero DMR Data'!I:I, 'Processed Non-zero DMR Data'!E:E)</f>
        <v>KY</v>
      </c>
      <c r="I19" s="9"/>
      <c r="J19" s="13">
        <v>110020941383</v>
      </c>
      <c r="K19" s="9" t="str">
        <f>IFERROR(INDEX('Raw Non-zero DMR Data'!$C:$C, MATCH(J19,'Raw Non-zero DMR Data'!$D:$D,0)),"")</f>
        <v>KY0027359</v>
      </c>
      <c r="L19" s="9" t="str">
        <f>IFERROR(INDEX('Raw Non-zero DMR Data'!$U:$U, MATCH($J19,'Raw Non-zero DMR Data'!$D:$D,0)),"")</f>
        <v>Bullitt Lick Creek-Salt River</v>
      </c>
      <c r="M19" s="155" t="str">
        <f>IFERROR(INDEX('Raw Non-zero DMR Data'!$T:$T, MATCH($J19,'Raw Non-zero DMR Data'!$D:$D,0)),"")</f>
        <v>051401021103</v>
      </c>
      <c r="N19" s="155" t="str">
        <f>IFERROR(INDEX('Off-site Locations'!$E:$E,MATCH(I19,'Off-site Locations'!$B:$B,0)),"No offsite transfers")</f>
        <v>No offsite transfers</v>
      </c>
      <c r="O19" s="165">
        <f>INDEX('TRI and DMR OES Summary'!D:D,MATCH('Facility Discharge Summary'!D19,'TRI and DMR OES Summary'!A:A,0))</f>
        <v>365</v>
      </c>
      <c r="P19" s="17" cm="1">
        <f t="array" ref="P19">IFERROR(_xlfn.XLOOKUP(1,  (MAX(IF(J19 = 'Processed Non-zero DMR Data'!$I$2:$I$651,'Processed Non-zero DMR Data'!$A$2:$A$651)) = 'Processed Non-zero DMR Data'!$A$2:$A$651)*('Processed Non-zero DMR Data'!$I$2:$I$651 = J19),'Processed Non-zero DMR Data'!$W$2:$W$651), "N/A- Facility Does Not Report DMRs")</f>
        <v>2.1828094999999998</v>
      </c>
      <c r="Q19" s="10">
        <f t="shared" si="14"/>
        <v>5.9802999999999992E-3</v>
      </c>
      <c r="R19" s="10" cm="1">
        <f t="array" ref="R19">IF(COUNTIF('Processed Non-zero DMR Data'!$I:$I,$J19)&gt;0,MEDIAN(IF('Processed Non-zero DMR Data'!$I:$I=J19,'Processed Non-zero DMR Data'!$W:$W)),"N/A - Facility Does Not Report DMRs")</f>
        <v>2.1828094999999998</v>
      </c>
      <c r="S19" s="10">
        <f t="shared" si="15"/>
        <v>5.9802999999999992E-3</v>
      </c>
      <c r="T19" s="10">
        <f>IF(COUNTIF('Processed Non-zero DMR Data'!$I:$I,$J19)&gt;0,_xlfn.MAXIFS('Processed Non-zero DMR Data'!$W:$W,'Processed Non-zero DMR Data'!$I:$I,$J19), "N/A - Facility Does Not Report DMRs")</f>
        <v>2.3485925000000001</v>
      </c>
      <c r="U19" s="10">
        <f t="shared" si="16"/>
        <v>6.4345000000000001E-3</v>
      </c>
      <c r="V19" s="158" cm="1">
        <f t="array" ref="V19">IF(COUNTIF('Processed Non-zero DMR Data'!$I:$I,$J19)&gt;0,INDEX('Processed Non-zero DMR Data'!$A:$A,MATCH(1,($J19='Processed Non-zero DMR Data'!$I:$I)*($T19='Processed Non-zero DMR Data'!$W:$W),0)), "N/A - Facility Does Not Report DMRs")</f>
        <v>2019</v>
      </c>
      <c r="W19" s="17" t="str" cm="1">
        <f t="array" ref="W19">IFERROR(_xlfn.XLOOKUP(1,  (MAX(IF(I19 = 'Processed Non-zero TRI Data'!$I$2:$I$6,'Processed Non-zero TRI Data'!$A$2:$A$6)) = 'Processed Non-zero TRI Data'!$A$2:$A$6)*('Processed Non-zero TRI Data'!$I$2:$I$6 = I19), 'Processed Non-zero TRI Data'!$T$2:$T$6), "N/A- Facility Does Not Report to TRI")</f>
        <v>N/A- Facility Does Not Report to TRI</v>
      </c>
      <c r="X19" s="10" t="str">
        <f t="shared" si="17"/>
        <v>N/A - Facility Does Not Report to TRI</v>
      </c>
      <c r="Y19" s="10" t="str" cm="1">
        <f t="array" ref="Y19">IF(COUNTIF('Processed Non-zero TRI Data'!$I:$I,$I19)&gt;0,MEDIAN(IF('Processed Non-zero TRI Data'!$I:$I=I19,'Processed Non-zero TRI Data'!$T:$T)), "N/A - Facility Does Not Report to TRI")</f>
        <v>N/A - Facility Does Not Report to TRI</v>
      </c>
      <c r="Z19" s="10" t="str">
        <f t="shared" si="18"/>
        <v>N/A - Facility Does Not Report to TRI</v>
      </c>
      <c r="AA19" s="10" t="str">
        <f>IF(COUNTIF('Processed Non-zero TRI Data'!$I:$I,$I19)&gt;0,_xlfn.MAXIFS('Processed Non-zero TRI Data'!$T:$T,'Processed Non-zero TRI Data'!$I:$I,$I19), "N/A - Facility Does Not Report to TRI")</f>
        <v>N/A - Facility Does Not Report to TRI</v>
      </c>
      <c r="AB19" s="10" t="str">
        <f t="shared" si="19"/>
        <v>N/A - Facility Does Not Report to TRI</v>
      </c>
      <c r="AC19" s="158" t="str" cm="1">
        <f t="array" ref="AC19">IFERROR(IF(B19 = "TRI Form R", IF(AA19 = 0, "Facility has no on-site water discharges between 2017-2022.",  IF(COUNTIF('Processed Non-zero TRI Data'!$I:$I,$I19)&gt;0,INDEX('Processed Non-zero TRI Data'!$A:$A,MATCH(1,($I19='Processed Non-zero TRI Data'!$I:$I)*(AA19='Processed Non-zero TRI Data'!$T:$T),0)))), VLOOKUP(I19,#REF!, 2, FALSE)), ("N/A - Facility Does Not Report to TRI"))</f>
        <v>N/A - Facility Does Not Report to TRI</v>
      </c>
      <c r="AD19" s="97" t="str" cm="1">
        <f t="array" ref="AD19">IFERROR(_xlfn.XLOOKUP(1,  (MAX(IF(I19 = 'Processed Non-zero TRI Data'!$I$2:$I$6,'Processed Non-zero TRI Data'!$A$2:$A$6)) = 'Processed Non-zero TRI Data'!$A$2:$A$6)*('Processed Non-zero TRI Data'!$I$2:$I$6 = I19), 'Processed Non-zero TRI Data'!$V$2:$V$6), "N/A- Facility Does Not Report to TRI")</f>
        <v>N/A- Facility Does Not Report to TRI</v>
      </c>
      <c r="AE19" s="9" t="str">
        <f t="shared" si="20"/>
        <v>N/A - Facility Does Not Report to TRI</v>
      </c>
      <c r="AF19" s="9" t="str" cm="1">
        <f t="array" ref="AF19">IF(COUNTIF('Processed Non-zero TRI Data'!$I:$I,$I19)&gt;0,MEDIAN(IF('Processed Non-zero TRI Data'!$I:$I=I19,'Processed Non-zero TRI Data'!$V:$V)), "N/A - Facility Does Not Report to TRI")</f>
        <v>N/A - Facility Does Not Report to TRI</v>
      </c>
      <c r="AG19" s="9" t="str">
        <f t="shared" si="21"/>
        <v>N/A - Facility Does Not Report to TRI</v>
      </c>
      <c r="AH19" s="9" t="str">
        <f>IF(COUNTIF('Processed Non-zero TRI Data'!$I:$I,$I19)&gt;0,_xlfn.MAXIFS('Processed Non-zero TRI Data'!$V:$V,'Processed Non-zero TRI Data'!$I:$I,$I19), "N/A - Facility Does Not Report to TRI")</f>
        <v>N/A - Facility Does Not Report to TRI</v>
      </c>
      <c r="AI19" s="9" t="str">
        <f t="shared" si="22"/>
        <v>N/A - Facility Does Not Report to TRI</v>
      </c>
      <c r="AJ19" s="158" t="str" cm="1">
        <f t="array" ref="AJ19">IF(B19="TRI Form A",AC19,IF(AH19=0,"Facility has no transfers to POTWs between 2019-2023.",IF(COUNTIF('Processed Non-zero TRI Data'!$I:$I,$I19)&gt;0,INDEX('Processed Non-zero TRI Data'!$A:$A,MATCH(1,($I19='Processed Non-zero TRI Data'!$I:$I)*(AH19='Processed Non-zero TRI Data'!$V:$V),0)),"N/A - Facility Does Not Report to TRI")))</f>
        <v>N/A - Facility Does Not Report to TRI</v>
      </c>
      <c r="AK19" s="97" t="str" cm="1">
        <f t="array" ref="AK19">IFERROR(_xlfn.XLOOKUP(1,  (MAX(IF(I19 = 'Processed Non-zero TRI Data'!$I$2:$I$6,'Processed Non-zero TRI Data'!$A$2:$A$6)) = 'Processed Non-zero TRI Data'!$A$2:$A$6)*('Processed Non-zero TRI Data'!$I$2:$I$6 = I19), 'Processed Non-zero TRI Data'!$X$2:$X$6), "N/A- Facility Does Not Report to TRI")</f>
        <v>N/A- Facility Does Not Report to TRI</v>
      </c>
      <c r="AL19" s="9" t="str">
        <f t="shared" si="23"/>
        <v>N/A - Facility Does Not Report to TRI</v>
      </c>
      <c r="AM19" s="9" t="str" cm="1">
        <f t="array" ref="AM19">IF(COUNTIF('Processed Non-zero TRI Data'!$I:$I,$I19)&gt;0,MEDIAN(IF('Processed Non-zero TRI Data'!$I:$I=I19,'Processed Non-zero TRI Data'!$X:$X)), "N/A - Facility Does Not Report to TRI")</f>
        <v>N/A - Facility Does Not Report to TRI</v>
      </c>
      <c r="AN19" s="9" t="str">
        <f t="shared" si="24"/>
        <v>N/A - Facility Does Not Report to TRI</v>
      </c>
      <c r="AO19" s="9" t="str">
        <f>IF(COUNTIF('Processed Non-zero TRI Data'!$I:$I,$I19)&gt;0,_xlfn.MAXIFS('Processed Non-zero TRI Data'!$X:$X,'Processed Non-zero TRI Data'!$I:$I,$I19), "N/A - Facility Does Not Report to TRI")</f>
        <v>N/A - Facility Does Not Report to TRI</v>
      </c>
      <c r="AP19" s="9" t="str">
        <f t="shared" si="25"/>
        <v>N/A - Facility Does Not Report to TRI</v>
      </c>
      <c r="AQ19" s="251" t="str" cm="1">
        <f t="array" ref="AQ19">IF(B19="TRI Form A",AC19,IF(AO19=0,"Facility has no transfers to non-POTWs between 2019-2023.",IF(COUNTIF('Processed Non-zero TRI Data'!$I:$I,$I19)&gt;0,INDEX('Processed Non-zero TRI Data'!$A:$A,MATCH(1,($I19='Processed Non-zero TRI Data'!$I:$I)*(AO19='Processed Non-zero TRI Data'!$X:$X),0)),"N/A - Facility Does Not Report to TRI")))</f>
        <v>N/A - Facility Does Not Report to TRI</v>
      </c>
      <c r="AR19" s="260">
        <f t="shared" si="12"/>
        <v>0</v>
      </c>
      <c r="AS19" s="260">
        <f t="shared" si="13"/>
        <v>2.3485925000000001</v>
      </c>
    </row>
    <row r="20" spans="1:45" ht="30" x14ac:dyDescent="0.25">
      <c r="A20" s="12">
        <v>17</v>
      </c>
      <c r="B20" s="10" t="str">
        <f>IFERROR("TRI Form "&amp; VLOOKUP(I20, 'Processed Non-zero TRI Data'!$I$2:$K$6, 3, FALSE), "DMR")</f>
        <v>DMR</v>
      </c>
      <c r="C20" s="181" t="e">
        <f>VLOOKUP(D20,#REF!, 2, FALSE)</f>
        <v>#REF!</v>
      </c>
      <c r="D20" s="181" t="str">
        <f>IF(I20&lt;&gt;"",INDEX('Processed Non-zero TRI Data'!$O:$O,MATCH(I20,'Processed Non-zero TRI Data'!$I:$I,0)),INDEX('Processed Non-zero DMR Data'!$S:$S,MATCH(J20,'Processed Non-zero DMR Data'!$I:$I,0)))</f>
        <v>Waste Handling, Disposal and Treatment (POTW)</v>
      </c>
      <c r="E20" s="181" t="str">
        <f>IF(I20&lt;&gt;"",INDEX('Processed Non-zero TRI Data'!$P:$P,MATCH(I20,'Processed Non-zero TRI Data'!$I:$I,0)),INDEX('Processed Non-zero DMR Data'!$T:$T,MATCH(J20,'Processed Non-zero DMR Data'!$I:$I,0)))</f>
        <v>POTW indicator in DMR</v>
      </c>
      <c r="F20" s="9" t="str">
        <f>_xlfn.XLOOKUP(J20, 'Processed Non-zero DMR Data'!I:I, 'Processed Non-zero DMR Data'!B:B)</f>
        <v>RIALTO WASTEWATER TREATMENT PLANT</v>
      </c>
      <c r="G20" s="9" t="str">
        <f>_xlfn.XLOOKUP(J20, 'Processed Non-zero DMR Data'!I:I, 'Processed Non-zero DMR Data'!C:C)</f>
        <v>BLOOMINGTON</v>
      </c>
      <c r="H20" s="9" t="str">
        <f>_xlfn.XLOOKUP(J20, 'Processed Non-zero DMR Data'!I:I, 'Processed Non-zero DMR Data'!E:E)</f>
        <v>CA</v>
      </c>
      <c r="I20" s="9"/>
      <c r="J20" s="13">
        <v>110000525842</v>
      </c>
      <c r="K20" s="9" t="str">
        <f>IFERROR(INDEX('Raw Non-zero DMR Data'!$C:$C, MATCH(J20,'Raw Non-zero DMR Data'!$D:$D,0)),"")</f>
        <v>CA0105295</v>
      </c>
      <c r="L20" s="9" t="str">
        <f>IFERROR(INDEX('Raw Non-zero DMR Data'!$U:$U, MATCH($J20,'Raw Non-zero DMR Data'!$D:$D,0)),"")</f>
        <v>East Etiwanda Creek-Santa Ana River</v>
      </c>
      <c r="M20" s="155">
        <f>IFERROR(INDEX('Raw Non-zero DMR Data'!$T:$T, MATCH($J20,'Raw Non-zero DMR Data'!$D:$D,0)),"")</f>
        <v>180702030804</v>
      </c>
      <c r="N20" s="155" t="str">
        <f>IFERROR(INDEX('Off-site Locations'!$E:$E,MATCH(I20,'Off-site Locations'!$B:$B,0)),"No offsite transfers")</f>
        <v>No offsite transfers</v>
      </c>
      <c r="O20" s="165">
        <f>INDEX('TRI and DMR OES Summary'!D:D,MATCH('Facility Discharge Summary'!D20,'TRI and DMR OES Summary'!A:A,0))</f>
        <v>365</v>
      </c>
      <c r="P20" s="17" cm="1">
        <f t="array" ref="P20">IFERROR(_xlfn.XLOOKUP(1,  (MAX(IF(J20 = 'Processed Non-zero DMR Data'!$I$2:$I$651,'Processed Non-zero DMR Data'!$A$2:$A$651)) = 'Processed Non-zero DMR Data'!$A$2:$A$651)*('Processed Non-zero DMR Data'!$I$2:$I$651 = J20),'Processed Non-zero DMR Data'!$W$2:$W$651), "N/A- Facility Does Not Report DMRs")</f>
        <v>2.4338193449999999</v>
      </c>
      <c r="Q20" s="10">
        <f t="shared" si="14"/>
        <v>6.6679982054794517E-3</v>
      </c>
      <c r="R20" s="10" cm="1">
        <f t="array" ref="R20">IF(COUNTIF('Processed Non-zero DMR Data'!$I:$I,$J20)&gt;0,MEDIAN(IF('Processed Non-zero DMR Data'!$I:$I=J20,'Processed Non-zero DMR Data'!$W:$W)),"N/A - Facility Does Not Report DMRs")</f>
        <v>2.38767924875</v>
      </c>
      <c r="S20" s="10">
        <f t="shared" si="15"/>
        <v>6.5415869828767126E-3</v>
      </c>
      <c r="T20" s="10">
        <f>IF(COUNTIF('Processed Non-zero DMR Data'!$I:$I,$J20)&gt;0,_xlfn.MAXIFS('Processed Non-zero DMR Data'!$W:$W,'Processed Non-zero DMR Data'!$I:$I,$J20), "N/A - Facility Does Not Report DMRs")</f>
        <v>2.4338193449999999</v>
      </c>
      <c r="U20" s="10">
        <f t="shared" si="16"/>
        <v>6.6679982054794517E-3</v>
      </c>
      <c r="V20" s="158" cm="1">
        <f t="array" ref="V20">IF(COUNTIF('Processed Non-zero DMR Data'!$I:$I,$J20)&gt;0,INDEX('Processed Non-zero DMR Data'!$A:$A,MATCH(1,($J20='Processed Non-zero DMR Data'!$I:$I)*($T20='Processed Non-zero DMR Data'!$W:$W),0)), "N/A - Facility Does Not Report DMRs")</f>
        <v>2023</v>
      </c>
      <c r="W20" s="17" t="str" cm="1">
        <f t="array" ref="W20">IFERROR(_xlfn.XLOOKUP(1,  (MAX(IF(I20 = 'Processed Non-zero TRI Data'!$I$2:$I$6,'Processed Non-zero TRI Data'!$A$2:$A$6)) = 'Processed Non-zero TRI Data'!$A$2:$A$6)*('Processed Non-zero TRI Data'!$I$2:$I$6 = I20), 'Processed Non-zero TRI Data'!$T$2:$T$6), "N/A- Facility Does Not Report to TRI")</f>
        <v>N/A- Facility Does Not Report to TRI</v>
      </c>
      <c r="X20" s="10" t="str">
        <f t="shared" si="17"/>
        <v>N/A - Facility Does Not Report to TRI</v>
      </c>
      <c r="Y20" s="10" t="str" cm="1">
        <f t="array" ref="Y20">IF(COUNTIF('Processed Non-zero TRI Data'!$I:$I,$I20)&gt;0,MEDIAN(IF('Processed Non-zero TRI Data'!$I:$I=I20,'Processed Non-zero TRI Data'!$T:$T)), "N/A - Facility Does Not Report to TRI")</f>
        <v>N/A - Facility Does Not Report to TRI</v>
      </c>
      <c r="Z20" s="10" t="str">
        <f t="shared" si="18"/>
        <v>N/A - Facility Does Not Report to TRI</v>
      </c>
      <c r="AA20" s="10" t="str">
        <f>IF(COUNTIF('Processed Non-zero TRI Data'!$I:$I,$I20)&gt;0,_xlfn.MAXIFS('Processed Non-zero TRI Data'!$T:$T,'Processed Non-zero TRI Data'!$I:$I,$I20), "N/A - Facility Does Not Report to TRI")</f>
        <v>N/A - Facility Does Not Report to TRI</v>
      </c>
      <c r="AB20" s="10" t="str">
        <f t="shared" si="19"/>
        <v>N/A - Facility Does Not Report to TRI</v>
      </c>
      <c r="AC20" s="158" t="str" cm="1">
        <f t="array" ref="AC20">IFERROR(IF(B20 = "TRI Form R", IF(AA20 = 0, "Facility has no on-site water discharges between 2017-2022.",  IF(COUNTIF('Processed Non-zero TRI Data'!$I:$I,$I20)&gt;0,INDEX('Processed Non-zero TRI Data'!$A:$A,MATCH(1,($I20='Processed Non-zero TRI Data'!$I:$I)*(AA20='Processed Non-zero TRI Data'!$T:$T),0)))), VLOOKUP(I20,#REF!, 2, FALSE)), ("N/A - Facility Does Not Report to TRI"))</f>
        <v>N/A - Facility Does Not Report to TRI</v>
      </c>
      <c r="AD20" s="97" t="str" cm="1">
        <f t="array" ref="AD20">IFERROR(_xlfn.XLOOKUP(1,  (MAX(IF(I20 = 'Processed Non-zero TRI Data'!$I$2:$I$6,'Processed Non-zero TRI Data'!$A$2:$A$6)) = 'Processed Non-zero TRI Data'!$A$2:$A$6)*('Processed Non-zero TRI Data'!$I$2:$I$6 = I20), 'Processed Non-zero TRI Data'!$V$2:$V$6), "N/A- Facility Does Not Report to TRI")</f>
        <v>N/A- Facility Does Not Report to TRI</v>
      </c>
      <c r="AE20" s="9" t="str">
        <f t="shared" si="20"/>
        <v>N/A - Facility Does Not Report to TRI</v>
      </c>
      <c r="AF20" s="9" t="str" cm="1">
        <f t="array" ref="AF20">IF(COUNTIF('Processed Non-zero TRI Data'!$I:$I,$I20)&gt;0,MEDIAN(IF('Processed Non-zero TRI Data'!$I:$I=I20,'Processed Non-zero TRI Data'!$V:$V)), "N/A - Facility Does Not Report to TRI")</f>
        <v>N/A - Facility Does Not Report to TRI</v>
      </c>
      <c r="AG20" s="9" t="str">
        <f t="shared" si="21"/>
        <v>N/A - Facility Does Not Report to TRI</v>
      </c>
      <c r="AH20" s="9" t="str">
        <f>IF(COUNTIF('Processed Non-zero TRI Data'!$I:$I,$I20)&gt;0,_xlfn.MAXIFS('Processed Non-zero TRI Data'!$V:$V,'Processed Non-zero TRI Data'!$I:$I,$I20), "N/A - Facility Does Not Report to TRI")</f>
        <v>N/A - Facility Does Not Report to TRI</v>
      </c>
      <c r="AI20" s="9" t="str">
        <f t="shared" si="22"/>
        <v>N/A - Facility Does Not Report to TRI</v>
      </c>
      <c r="AJ20" s="158" t="str" cm="1">
        <f t="array" ref="AJ20">IF(B20="TRI Form A",AC20,IF(AH20=0,"Facility has no transfers to POTWs between 2019-2023.",IF(COUNTIF('Processed Non-zero TRI Data'!$I:$I,$I20)&gt;0,INDEX('Processed Non-zero TRI Data'!$A:$A,MATCH(1,($I20='Processed Non-zero TRI Data'!$I:$I)*(AH20='Processed Non-zero TRI Data'!$V:$V),0)),"N/A - Facility Does Not Report to TRI")))</f>
        <v>N/A - Facility Does Not Report to TRI</v>
      </c>
      <c r="AK20" s="97" t="str" cm="1">
        <f t="array" ref="AK20">IFERROR(_xlfn.XLOOKUP(1,  (MAX(IF(I20 = 'Processed Non-zero TRI Data'!$I$2:$I$6,'Processed Non-zero TRI Data'!$A$2:$A$6)) = 'Processed Non-zero TRI Data'!$A$2:$A$6)*('Processed Non-zero TRI Data'!$I$2:$I$6 = I20), 'Processed Non-zero TRI Data'!$X$2:$X$6), "N/A- Facility Does Not Report to TRI")</f>
        <v>N/A- Facility Does Not Report to TRI</v>
      </c>
      <c r="AL20" s="9" t="str">
        <f t="shared" si="23"/>
        <v>N/A - Facility Does Not Report to TRI</v>
      </c>
      <c r="AM20" s="9" t="str" cm="1">
        <f t="array" ref="AM20">IF(COUNTIF('Processed Non-zero TRI Data'!$I:$I,$I20)&gt;0,MEDIAN(IF('Processed Non-zero TRI Data'!$I:$I=I20,'Processed Non-zero TRI Data'!$X:$X)), "N/A - Facility Does Not Report to TRI")</f>
        <v>N/A - Facility Does Not Report to TRI</v>
      </c>
      <c r="AN20" s="9" t="str">
        <f t="shared" si="24"/>
        <v>N/A - Facility Does Not Report to TRI</v>
      </c>
      <c r="AO20" s="9" t="str">
        <f>IF(COUNTIF('Processed Non-zero TRI Data'!$I:$I,$I20)&gt;0,_xlfn.MAXIFS('Processed Non-zero TRI Data'!$X:$X,'Processed Non-zero TRI Data'!$I:$I,$I20), "N/A - Facility Does Not Report to TRI")</f>
        <v>N/A - Facility Does Not Report to TRI</v>
      </c>
      <c r="AP20" s="9" t="str">
        <f t="shared" si="25"/>
        <v>N/A - Facility Does Not Report to TRI</v>
      </c>
      <c r="AQ20" s="251" t="str" cm="1">
        <f t="array" ref="AQ20">IF(B20="TRI Form A",AC20,IF(AO20=0,"Facility has no transfers to non-POTWs between 2019-2023.",IF(COUNTIF('Processed Non-zero TRI Data'!$I:$I,$I20)&gt;0,INDEX('Processed Non-zero TRI Data'!$A:$A,MATCH(1,($I20='Processed Non-zero TRI Data'!$I:$I)*(AO20='Processed Non-zero TRI Data'!$X:$X),0)),"N/A - Facility Does Not Report to TRI")))</f>
        <v>N/A - Facility Does Not Report to TRI</v>
      </c>
      <c r="AR20" s="260">
        <f t="shared" si="12"/>
        <v>0</v>
      </c>
      <c r="AS20" s="260">
        <f t="shared" si="13"/>
        <v>2.4338193449999999</v>
      </c>
    </row>
    <row r="21" spans="1:45" ht="30" x14ac:dyDescent="0.25">
      <c r="A21" s="12">
        <v>18</v>
      </c>
      <c r="B21" s="10" t="str">
        <f>IFERROR("TRI Form "&amp; VLOOKUP(I21, 'Processed Non-zero TRI Data'!$I$2:$K$6, 3, FALSE), "DMR")</f>
        <v>DMR</v>
      </c>
      <c r="C21" s="181" t="e">
        <f>VLOOKUP(D21,#REF!, 2, FALSE)</f>
        <v>#REF!</v>
      </c>
      <c r="D21" s="181" t="str">
        <f>IF(I21&lt;&gt;"",INDEX('Processed Non-zero TRI Data'!$O:$O,MATCH(I21,'Processed Non-zero TRI Data'!$I:$I,0)),INDEX('Processed Non-zero DMR Data'!$S:$S,MATCH(J21,'Processed Non-zero DMR Data'!$I:$I,0)))</f>
        <v>Processing as a reactant</v>
      </c>
      <c r="E21" s="181" t="str">
        <f>IF(I21&lt;&gt;"",INDEX('Processed Non-zero TRI Data'!$P:$P,MATCH(I21,'Processed Non-zero TRI Data'!$I:$I,0)),INDEX('Processed Non-zero DMR Data'!$T:$T,MATCH(J21,'Processed Non-zero DMR Data'!$I:$I,0)))</f>
        <v>Assumed processing as a reactant based on SIC and NAICS; this also matches 1,1,-DCA mapping.</v>
      </c>
      <c r="F21" s="9" t="str">
        <f>_xlfn.XLOOKUP(J21, 'Processed Non-zero DMR Data'!I:I, 'Processed Non-zero DMR Data'!B:B)</f>
        <v>SI GROUP INC - SOUTH PLANT</v>
      </c>
      <c r="G21" s="9" t="str">
        <f>_xlfn.XLOOKUP(J21, 'Processed Non-zero DMR Data'!I:I, 'Processed Non-zero DMR Data'!C:C)</f>
        <v>MORGANTOWN</v>
      </c>
      <c r="H21" s="9" t="str">
        <f>_xlfn.XLOOKUP(J21, 'Processed Non-zero DMR Data'!I:I, 'Processed Non-zero DMR Data'!E:E)</f>
        <v>WV</v>
      </c>
      <c r="I21" s="9"/>
      <c r="J21" s="13">
        <v>110000572782</v>
      </c>
      <c r="K21" s="9" t="str">
        <f>IFERROR(INDEX('Raw Non-zero DMR Data'!$C:$C, MATCH(J21,'Raw Non-zero DMR Data'!$D:$D,0)),"")</f>
        <v>WV0004740</v>
      </c>
      <c r="L21" s="9" t="str">
        <f>IFERROR(INDEX('Raw Non-zero DMR Data'!$U:$U, MATCH($J21,'Raw Non-zero DMR Data'!$D:$D,0)),"")</f>
        <v>Cobun Creek-Monongahela River</v>
      </c>
      <c r="M21" s="155" t="str">
        <f>IFERROR(INDEX('Raw Non-zero DMR Data'!$T:$T, MATCH($J21,'Raw Non-zero DMR Data'!$D:$D,0)),"")</f>
        <v>050200030307</v>
      </c>
      <c r="N21" s="155" t="str">
        <f>IFERROR(INDEX('Off-site Locations'!$E:$E,MATCH(I21,'Off-site Locations'!$B:$B,0)),"No offsite transfers")</f>
        <v>No offsite transfers</v>
      </c>
      <c r="O21" s="165">
        <f>INDEX('TRI and DMR OES Summary'!D:D,MATCH('Facility Discharge Summary'!D21,'TRI and DMR OES Summary'!A:A,0))</f>
        <v>350</v>
      </c>
      <c r="P21" s="17" cm="1">
        <f t="array" ref="P21">IFERROR(_xlfn.XLOOKUP(1,  (MAX(IF(J21 = 'Processed Non-zero DMR Data'!$I$2:$I$651,'Processed Non-zero DMR Data'!$A$2:$A$651)) = 'Processed Non-zero DMR Data'!$A$2:$A$651)*('Processed Non-zero DMR Data'!$I$2:$I$651 = J21),'Processed Non-zero DMR Data'!$W$2:$W$651), "N/A- Facility Does Not Report DMRs")</f>
        <v>3.1135320000000001E-2</v>
      </c>
      <c r="Q21" s="10">
        <f t="shared" si="14"/>
        <v>8.8958057142857148E-5</v>
      </c>
      <c r="R21" s="10" cm="1">
        <f t="array" ref="R21">IF(COUNTIF('Processed Non-zero DMR Data'!$I:$I,$J21)&gt;0,MEDIAN(IF('Processed Non-zero DMR Data'!$I:$I=J21,'Processed Non-zero DMR Data'!$W:$W)),"N/A - Facility Does Not Report DMRs")</f>
        <v>7.5795299999999996E-2</v>
      </c>
      <c r="S21" s="10">
        <f t="shared" si="15"/>
        <v>2.16558E-4</v>
      </c>
      <c r="T21" s="10">
        <f>IF(COUNTIF('Processed Non-zero DMR Data'!$I:$I,$J21)&gt;0,_xlfn.MAXIFS('Processed Non-zero DMR Data'!$W:$W,'Processed Non-zero DMR Data'!$I:$I,$J21), "N/A - Facility Does Not Report DMRs")</f>
        <v>0.74926344</v>
      </c>
      <c r="U21" s="10">
        <f t="shared" si="16"/>
        <v>2.1407526857142858E-3</v>
      </c>
      <c r="V21" s="158" cm="1">
        <f t="array" ref="V21">IF(COUNTIF('Processed Non-zero DMR Data'!$I:$I,$J21)&gt;0,INDEX('Processed Non-zero DMR Data'!$A:$A,MATCH(1,($J21='Processed Non-zero DMR Data'!$I:$I)*($T21='Processed Non-zero DMR Data'!$W:$W),0)), "N/A - Facility Does Not Report DMRs")</f>
        <v>2020</v>
      </c>
      <c r="W21" s="17" t="str" cm="1">
        <f t="array" ref="W21">IFERROR(_xlfn.XLOOKUP(1,  (MAX(IF(I21 = 'Processed Non-zero TRI Data'!$I$2:$I$6,'Processed Non-zero TRI Data'!$A$2:$A$6)) = 'Processed Non-zero TRI Data'!$A$2:$A$6)*('Processed Non-zero TRI Data'!$I$2:$I$6 = I21), 'Processed Non-zero TRI Data'!$T$2:$T$6), "N/A- Facility Does Not Report to TRI")</f>
        <v>N/A- Facility Does Not Report to TRI</v>
      </c>
      <c r="X21" s="10" t="str">
        <f t="shared" si="17"/>
        <v>N/A - Facility Does Not Report to TRI</v>
      </c>
      <c r="Y21" s="10" t="str" cm="1">
        <f t="array" ref="Y21">IF(COUNTIF('Processed Non-zero TRI Data'!$I:$I,$I21)&gt;0,MEDIAN(IF('Processed Non-zero TRI Data'!$I:$I=I21,'Processed Non-zero TRI Data'!$T:$T)), "N/A - Facility Does Not Report to TRI")</f>
        <v>N/A - Facility Does Not Report to TRI</v>
      </c>
      <c r="Z21" s="10" t="str">
        <f t="shared" si="18"/>
        <v>N/A - Facility Does Not Report to TRI</v>
      </c>
      <c r="AA21" s="10" t="str">
        <f>IF(COUNTIF('Processed Non-zero TRI Data'!$I:$I,$I21)&gt;0,_xlfn.MAXIFS('Processed Non-zero TRI Data'!$T:$T,'Processed Non-zero TRI Data'!$I:$I,$I21), "N/A - Facility Does Not Report to TRI")</f>
        <v>N/A - Facility Does Not Report to TRI</v>
      </c>
      <c r="AB21" s="10" t="str">
        <f t="shared" si="19"/>
        <v>N/A - Facility Does Not Report to TRI</v>
      </c>
      <c r="AC21" s="158" t="str" cm="1">
        <f t="array" ref="AC21">IFERROR(IF(B21 = "TRI Form R", IF(AA21 = 0, "Facility has no on-site water discharges between 2017-2022.",  IF(COUNTIF('Processed Non-zero TRI Data'!$I:$I,$I21)&gt;0,INDEX('Processed Non-zero TRI Data'!$A:$A,MATCH(1,($I21='Processed Non-zero TRI Data'!$I:$I)*(AA21='Processed Non-zero TRI Data'!$T:$T),0)))), VLOOKUP(I21,#REF!, 2, FALSE)), ("N/A - Facility Does Not Report to TRI"))</f>
        <v>N/A - Facility Does Not Report to TRI</v>
      </c>
      <c r="AD21" s="97" t="str" cm="1">
        <f t="array" ref="AD21">IFERROR(_xlfn.XLOOKUP(1,  (MAX(IF(I21 = 'Processed Non-zero TRI Data'!$I$2:$I$6,'Processed Non-zero TRI Data'!$A$2:$A$6)) = 'Processed Non-zero TRI Data'!$A$2:$A$6)*('Processed Non-zero TRI Data'!$I$2:$I$6 = I21), 'Processed Non-zero TRI Data'!$V$2:$V$6), "N/A- Facility Does Not Report to TRI")</f>
        <v>N/A- Facility Does Not Report to TRI</v>
      </c>
      <c r="AE21" s="9" t="str">
        <f t="shared" si="20"/>
        <v>N/A - Facility Does Not Report to TRI</v>
      </c>
      <c r="AF21" s="9" t="str" cm="1">
        <f t="array" ref="AF21">IF(COUNTIF('Processed Non-zero TRI Data'!$I:$I,$I21)&gt;0,MEDIAN(IF('Processed Non-zero TRI Data'!$I:$I=I21,'Processed Non-zero TRI Data'!$V:$V)), "N/A - Facility Does Not Report to TRI")</f>
        <v>N/A - Facility Does Not Report to TRI</v>
      </c>
      <c r="AG21" s="9" t="str">
        <f t="shared" si="21"/>
        <v>N/A - Facility Does Not Report to TRI</v>
      </c>
      <c r="AH21" s="9" t="str">
        <f>IF(COUNTIF('Processed Non-zero TRI Data'!$I:$I,$I21)&gt;0,_xlfn.MAXIFS('Processed Non-zero TRI Data'!$V:$V,'Processed Non-zero TRI Data'!$I:$I,$I21), "N/A - Facility Does Not Report to TRI")</f>
        <v>N/A - Facility Does Not Report to TRI</v>
      </c>
      <c r="AI21" s="9" t="str">
        <f t="shared" si="22"/>
        <v>N/A - Facility Does Not Report to TRI</v>
      </c>
      <c r="AJ21" s="158" t="str" cm="1">
        <f t="array" ref="AJ21">IF(B21="TRI Form A",AC21,IF(AH21=0,"Facility has no transfers to POTWs between 2019-2023.",IF(COUNTIF('Processed Non-zero TRI Data'!$I:$I,$I21)&gt;0,INDEX('Processed Non-zero TRI Data'!$A:$A,MATCH(1,($I21='Processed Non-zero TRI Data'!$I:$I)*(AH21='Processed Non-zero TRI Data'!$V:$V),0)),"N/A - Facility Does Not Report to TRI")))</f>
        <v>N/A - Facility Does Not Report to TRI</v>
      </c>
      <c r="AK21" s="97" t="str" cm="1">
        <f t="array" ref="AK21">IFERROR(_xlfn.XLOOKUP(1,  (MAX(IF(I21 = 'Processed Non-zero TRI Data'!$I$2:$I$6,'Processed Non-zero TRI Data'!$A$2:$A$6)) = 'Processed Non-zero TRI Data'!$A$2:$A$6)*('Processed Non-zero TRI Data'!$I$2:$I$6 = I21), 'Processed Non-zero TRI Data'!$X$2:$X$6), "N/A- Facility Does Not Report to TRI")</f>
        <v>N/A- Facility Does Not Report to TRI</v>
      </c>
      <c r="AL21" s="9" t="str">
        <f t="shared" si="23"/>
        <v>N/A - Facility Does Not Report to TRI</v>
      </c>
      <c r="AM21" s="9" t="str" cm="1">
        <f t="array" ref="AM21">IF(COUNTIF('Processed Non-zero TRI Data'!$I:$I,$I21)&gt;0,MEDIAN(IF('Processed Non-zero TRI Data'!$I:$I=I21,'Processed Non-zero TRI Data'!$X:$X)), "N/A - Facility Does Not Report to TRI")</f>
        <v>N/A - Facility Does Not Report to TRI</v>
      </c>
      <c r="AN21" s="9" t="str">
        <f t="shared" si="24"/>
        <v>N/A - Facility Does Not Report to TRI</v>
      </c>
      <c r="AO21" s="9" t="str">
        <f>IF(COUNTIF('Processed Non-zero TRI Data'!$I:$I,$I21)&gt;0,_xlfn.MAXIFS('Processed Non-zero TRI Data'!$X:$X,'Processed Non-zero TRI Data'!$I:$I,$I21), "N/A - Facility Does Not Report to TRI")</f>
        <v>N/A - Facility Does Not Report to TRI</v>
      </c>
      <c r="AP21" s="9" t="str">
        <f t="shared" si="25"/>
        <v>N/A - Facility Does Not Report to TRI</v>
      </c>
      <c r="AQ21" s="251" t="str" cm="1">
        <f t="array" ref="AQ21">IF(B21="TRI Form A",AC21,IF(AO21=0,"Facility has no transfers to non-POTWs between 2019-2023.",IF(COUNTIF('Processed Non-zero TRI Data'!$I:$I,$I21)&gt;0,INDEX('Processed Non-zero TRI Data'!$A:$A,MATCH(1,($I21='Processed Non-zero TRI Data'!$I:$I)*(AO21='Processed Non-zero TRI Data'!$X:$X),0)),"N/A - Facility Does Not Report to TRI")))</f>
        <v>N/A - Facility Does Not Report to TRI</v>
      </c>
      <c r="AR21" s="260">
        <f t="shared" si="12"/>
        <v>0</v>
      </c>
      <c r="AS21" s="260">
        <f t="shared" si="13"/>
        <v>0.74926344</v>
      </c>
    </row>
    <row r="22" spans="1:45" ht="30" x14ac:dyDescent="0.25">
      <c r="A22" s="12">
        <v>19</v>
      </c>
      <c r="B22" s="10" t="str">
        <f>IFERROR("TRI Form "&amp; VLOOKUP(I22, 'Processed Non-zero TRI Data'!$I$2:$K$6, 3, FALSE), "DMR")</f>
        <v>DMR</v>
      </c>
      <c r="C22" s="181" t="e">
        <f>VLOOKUP(D22,#REF!, 2, FALSE)</f>
        <v>#REF!</v>
      </c>
      <c r="D22" s="181" t="str">
        <f>IF(I22&lt;&gt;"",INDEX('Processed Non-zero TRI Data'!$O:$O,MATCH(I22,'Processed Non-zero TRI Data'!$I:$I,0)),INDEX('Processed Non-zero DMR Data'!$S:$S,MATCH(J22,'Processed Non-zero DMR Data'!$I:$I,0)))</f>
        <v>Waste Handling, Disposal and Treatment (non-POTW WWT)</v>
      </c>
      <c r="E22" s="181" t="str">
        <f>IF(I22&lt;&gt;"",INDEX('Processed Non-zero TRI Data'!$P:$P,MATCH(I22,'Processed Non-zero TRI Data'!$I:$I,0)),INDEX('Processed Non-zero DMR Data'!$T:$T,MATCH(J22,'Processed Non-zero DMR Data'!$I:$I,0)))</f>
        <v>Water reclamation facility; per facility type flag, non-POTW WWT.</v>
      </c>
      <c r="F22" s="9" t="str">
        <f>_xlfn.XLOOKUP(J22, 'Processed Non-zero DMR Data'!I:I, 'Processed Non-zero DMR Data'!B:B)</f>
        <v>FREEPORT-MCMORAN PRODUCED WRF</v>
      </c>
      <c r="G22" s="9" t="str">
        <f>_xlfn.XLOOKUP(J22, 'Processed Non-zero DMR Data'!I:I, 'Processed Non-zero DMR Data'!C:C)</f>
        <v>ARROYO GRANDE</v>
      </c>
      <c r="H22" s="9" t="str">
        <f>_xlfn.XLOOKUP(J22, 'Processed Non-zero DMR Data'!I:I, 'Processed Non-zero DMR Data'!E:E)</f>
        <v>CA</v>
      </c>
      <c r="I22" s="9"/>
      <c r="J22" s="13">
        <v>110037256867</v>
      </c>
      <c r="K22" s="9" t="str">
        <f>IFERROR(INDEX('Raw Non-zero DMR Data'!$C:$C, MATCH(J22,'Raw Non-zero DMR Data'!$D:$D,0)),"")</f>
        <v>CA0050628</v>
      </c>
      <c r="L22" s="9" t="str">
        <f>IFERROR(INDEX('Raw Non-zero DMR Data'!$U:$U, MATCH($J22,'Raw Non-zero DMR Data'!$D:$D,0)),"")</f>
        <v>Pismo Creek</v>
      </c>
      <c r="M22" s="155">
        <f>IFERROR(INDEX('Raw Non-zero DMR Data'!$T:$T, MATCH($J22,'Raw Non-zero DMR Data'!$D:$D,0)),"")</f>
        <v>180600060703</v>
      </c>
      <c r="N22" s="155" t="str">
        <f>IFERROR(INDEX('Off-site Locations'!$E:$E,MATCH(I22,'Off-site Locations'!$B:$B,0)),"No offsite transfers")</f>
        <v>No offsite transfers</v>
      </c>
      <c r="O22" s="165">
        <f>INDEX('TRI and DMR OES Summary'!D:D,MATCH('Facility Discharge Summary'!D22,'TRI and DMR OES Summary'!A:A,0))</f>
        <v>250</v>
      </c>
      <c r="P22" s="17" cm="1">
        <f t="array" ref="P22">IFERROR(_xlfn.XLOOKUP(1,  (MAX(IF(J22 = 'Processed Non-zero DMR Data'!$I$2:$I$651,'Processed Non-zero DMR Data'!$A$2:$A$651)) = 'Processed Non-zero DMR Data'!$A$2:$A$651)*('Processed Non-zero DMR Data'!$I$2:$I$651 = J22),'Processed Non-zero DMR Data'!$W$2:$W$651), "N/A- Facility Does Not Report DMRs")</f>
        <v>1.7959824999999999E-2</v>
      </c>
      <c r="Q22" s="10">
        <f t="shared" si="14"/>
        <v>7.1839299999999995E-5</v>
      </c>
      <c r="R22" s="10" cm="1">
        <f t="array" ref="R22">IF(COUNTIF('Processed Non-zero DMR Data'!$I:$I,$J22)&gt;0,MEDIAN(IF('Processed Non-zero DMR Data'!$I:$I=J22,'Processed Non-zero DMR Data'!$W:$W)),"N/A - Facility Does Not Report DMRs")</f>
        <v>1.8302443199999997E-2</v>
      </c>
      <c r="S22" s="10">
        <f t="shared" si="15"/>
        <v>7.3209772799999988E-5</v>
      </c>
      <c r="T22" s="10">
        <f>IF(COUNTIF('Processed Non-zero DMR Data'!$I:$I,$J22)&gt;0,_xlfn.MAXIFS('Processed Non-zero DMR Data'!$W:$W,'Processed Non-zero DMR Data'!$I:$I,$J22), "N/A - Facility Does Not Report DMRs")</f>
        <v>0.1623291875</v>
      </c>
      <c r="U22" s="10">
        <f t="shared" si="16"/>
        <v>6.4931674999999997E-4</v>
      </c>
      <c r="V22" s="158" cm="1">
        <f t="array" ref="V22">IF(COUNTIF('Processed Non-zero DMR Data'!$I:$I,$J22)&gt;0,INDEX('Processed Non-zero DMR Data'!$A:$A,MATCH(1,($J22='Processed Non-zero DMR Data'!$I:$I)*($T22='Processed Non-zero DMR Data'!$W:$W),0)), "N/A - Facility Does Not Report DMRs")</f>
        <v>2022</v>
      </c>
      <c r="W22" s="17" t="str" cm="1">
        <f t="array" ref="W22">IFERROR(_xlfn.XLOOKUP(1,  (MAX(IF(I22 = 'Processed Non-zero TRI Data'!$I$2:$I$6,'Processed Non-zero TRI Data'!$A$2:$A$6)) = 'Processed Non-zero TRI Data'!$A$2:$A$6)*('Processed Non-zero TRI Data'!$I$2:$I$6 = I22), 'Processed Non-zero TRI Data'!$T$2:$T$6), "N/A- Facility Does Not Report to TRI")</f>
        <v>N/A- Facility Does Not Report to TRI</v>
      </c>
      <c r="X22" s="10" t="str">
        <f t="shared" si="17"/>
        <v>N/A - Facility Does Not Report to TRI</v>
      </c>
      <c r="Y22" s="10" t="str" cm="1">
        <f t="array" ref="Y22">IF(COUNTIF('Processed Non-zero TRI Data'!$I:$I,$I22)&gt;0,MEDIAN(IF('Processed Non-zero TRI Data'!$I:$I=I22,'Processed Non-zero TRI Data'!$T:$T)), "N/A - Facility Does Not Report to TRI")</f>
        <v>N/A - Facility Does Not Report to TRI</v>
      </c>
      <c r="Z22" s="10" t="str">
        <f t="shared" si="18"/>
        <v>N/A - Facility Does Not Report to TRI</v>
      </c>
      <c r="AA22" s="10" t="str">
        <f>IF(COUNTIF('Processed Non-zero TRI Data'!$I:$I,$I22)&gt;0,_xlfn.MAXIFS('Processed Non-zero TRI Data'!$T:$T,'Processed Non-zero TRI Data'!$I:$I,$I22), "N/A - Facility Does Not Report to TRI")</f>
        <v>N/A - Facility Does Not Report to TRI</v>
      </c>
      <c r="AB22" s="10" t="str">
        <f t="shared" si="19"/>
        <v>N/A - Facility Does Not Report to TRI</v>
      </c>
      <c r="AC22" s="158" t="str" cm="1">
        <f t="array" ref="AC22">IFERROR(IF(B22 = "TRI Form R", IF(AA22 = 0, "Facility has no on-site water discharges between 2017-2022.",  IF(COUNTIF('Processed Non-zero TRI Data'!$I:$I,$I22)&gt;0,INDEX('Processed Non-zero TRI Data'!$A:$A,MATCH(1,($I22='Processed Non-zero TRI Data'!$I:$I)*(AA22='Processed Non-zero TRI Data'!$T:$T),0)))), VLOOKUP(I22,#REF!, 2, FALSE)), ("N/A - Facility Does Not Report to TRI"))</f>
        <v>N/A - Facility Does Not Report to TRI</v>
      </c>
      <c r="AD22" s="97" t="str" cm="1">
        <f t="array" ref="AD22">IFERROR(_xlfn.XLOOKUP(1,  (MAX(IF(I22 = 'Processed Non-zero TRI Data'!$I$2:$I$6,'Processed Non-zero TRI Data'!$A$2:$A$6)) = 'Processed Non-zero TRI Data'!$A$2:$A$6)*('Processed Non-zero TRI Data'!$I$2:$I$6 = I22), 'Processed Non-zero TRI Data'!$V$2:$V$6), "N/A- Facility Does Not Report to TRI")</f>
        <v>N/A- Facility Does Not Report to TRI</v>
      </c>
      <c r="AE22" s="9" t="str">
        <f t="shared" si="20"/>
        <v>N/A - Facility Does Not Report to TRI</v>
      </c>
      <c r="AF22" s="9" t="str" cm="1">
        <f t="array" ref="AF22">IF(COUNTIF('Processed Non-zero TRI Data'!$I:$I,$I22)&gt;0,MEDIAN(IF('Processed Non-zero TRI Data'!$I:$I=I22,'Processed Non-zero TRI Data'!$V:$V)), "N/A - Facility Does Not Report to TRI")</f>
        <v>N/A - Facility Does Not Report to TRI</v>
      </c>
      <c r="AG22" s="9" t="str">
        <f t="shared" si="21"/>
        <v>N/A - Facility Does Not Report to TRI</v>
      </c>
      <c r="AH22" s="9" t="str">
        <f>IF(COUNTIF('Processed Non-zero TRI Data'!$I:$I,$I22)&gt;0,_xlfn.MAXIFS('Processed Non-zero TRI Data'!$V:$V,'Processed Non-zero TRI Data'!$I:$I,$I22), "N/A - Facility Does Not Report to TRI")</f>
        <v>N/A - Facility Does Not Report to TRI</v>
      </c>
      <c r="AI22" s="9" t="str">
        <f t="shared" si="22"/>
        <v>N/A - Facility Does Not Report to TRI</v>
      </c>
      <c r="AJ22" s="158" t="str" cm="1">
        <f t="array" ref="AJ22">IF(B22="TRI Form A",AC22,IF(AH22=0,"Facility has no transfers to POTWs between 2019-2023.",IF(COUNTIF('Processed Non-zero TRI Data'!$I:$I,$I22)&gt;0,INDEX('Processed Non-zero TRI Data'!$A:$A,MATCH(1,($I22='Processed Non-zero TRI Data'!$I:$I)*(AH22='Processed Non-zero TRI Data'!$V:$V),0)),"N/A - Facility Does Not Report to TRI")))</f>
        <v>N/A - Facility Does Not Report to TRI</v>
      </c>
      <c r="AK22" s="97" t="str" cm="1">
        <f t="array" ref="AK22">IFERROR(_xlfn.XLOOKUP(1,  (MAX(IF(I22 = 'Processed Non-zero TRI Data'!$I$2:$I$6,'Processed Non-zero TRI Data'!$A$2:$A$6)) = 'Processed Non-zero TRI Data'!$A$2:$A$6)*('Processed Non-zero TRI Data'!$I$2:$I$6 = I22), 'Processed Non-zero TRI Data'!$X$2:$X$6), "N/A- Facility Does Not Report to TRI")</f>
        <v>N/A- Facility Does Not Report to TRI</v>
      </c>
      <c r="AL22" s="9" t="str">
        <f t="shared" si="23"/>
        <v>N/A - Facility Does Not Report to TRI</v>
      </c>
      <c r="AM22" s="9" t="str" cm="1">
        <f t="array" ref="AM22">IF(COUNTIF('Processed Non-zero TRI Data'!$I:$I,$I22)&gt;0,MEDIAN(IF('Processed Non-zero TRI Data'!$I:$I=I22,'Processed Non-zero TRI Data'!$X:$X)), "N/A - Facility Does Not Report to TRI")</f>
        <v>N/A - Facility Does Not Report to TRI</v>
      </c>
      <c r="AN22" s="9" t="str">
        <f t="shared" si="24"/>
        <v>N/A - Facility Does Not Report to TRI</v>
      </c>
      <c r="AO22" s="9" t="str">
        <f>IF(COUNTIF('Processed Non-zero TRI Data'!$I:$I,$I22)&gt;0,_xlfn.MAXIFS('Processed Non-zero TRI Data'!$X:$X,'Processed Non-zero TRI Data'!$I:$I,$I22), "N/A - Facility Does Not Report to TRI")</f>
        <v>N/A - Facility Does Not Report to TRI</v>
      </c>
      <c r="AP22" s="9" t="str">
        <f t="shared" si="25"/>
        <v>N/A - Facility Does Not Report to TRI</v>
      </c>
      <c r="AQ22" s="251" t="str" cm="1">
        <f t="array" ref="AQ22">IF(B22="TRI Form A",AC22,IF(AO22=0,"Facility has no transfers to non-POTWs between 2019-2023.",IF(COUNTIF('Processed Non-zero TRI Data'!$I:$I,$I22)&gt;0,INDEX('Processed Non-zero TRI Data'!$A:$A,MATCH(1,($I22='Processed Non-zero TRI Data'!$I:$I)*(AO22='Processed Non-zero TRI Data'!$X:$X),0)),"N/A - Facility Does Not Report to TRI")))</f>
        <v>N/A - Facility Does Not Report to TRI</v>
      </c>
      <c r="AR22" s="260">
        <f t="shared" si="12"/>
        <v>0</v>
      </c>
      <c r="AS22" s="260">
        <f t="shared" si="13"/>
        <v>0.1623291875</v>
      </c>
    </row>
    <row r="23" spans="1:45" ht="30" x14ac:dyDescent="0.25">
      <c r="A23" s="12">
        <v>20</v>
      </c>
      <c r="B23" s="10" t="str">
        <f>IFERROR("TRI Form "&amp; VLOOKUP(I23, 'Processed Non-zero TRI Data'!$I$2:$K$6, 3, FALSE), "DMR")</f>
        <v>DMR</v>
      </c>
      <c r="C23" s="181" t="e">
        <f>VLOOKUP(D23,#REF!, 2, FALSE)</f>
        <v>#REF!</v>
      </c>
      <c r="D23" s="181" t="str">
        <f>IF(I23&lt;&gt;"",INDEX('Processed Non-zero TRI Data'!$O:$O,MATCH(I23,'Processed Non-zero TRI Data'!$I:$I,0)),INDEX('Processed Non-zero DMR Data'!$S:$S,MATCH(J23,'Processed Non-zero DMR Data'!$I:$I,0)))</f>
        <v>Unknown</v>
      </c>
      <c r="E23" s="181" t="str">
        <f>IF(I23&lt;&gt;"",INDEX('Processed Non-zero TRI Data'!$P:$P,MATCH(I23,'Processed Non-zero TRI Data'!$I:$I,0)),INDEX('Processed Non-zero DMR Data'!$T:$T,MATCH(J23,'Processed Non-zero DMR Data'!$I:$I,0)))</f>
        <v>Facility is a hotel in Las Vegas; no OES to map to.</v>
      </c>
      <c r="F23" s="9" t="str">
        <f>_xlfn.XLOOKUP(J23, 'Processed Non-zero DMR Data'!I:I, 'Processed Non-zero DMR Data'!B:B)</f>
        <v>CAESAR'S PALACE (257)</v>
      </c>
      <c r="G23" s="9" t="str">
        <f>_xlfn.XLOOKUP(J23, 'Processed Non-zero DMR Data'!I:I, 'Processed Non-zero DMR Data'!C:C)</f>
        <v>LAS VEGAS</v>
      </c>
      <c r="H23" s="9" t="str">
        <f>_xlfn.XLOOKUP(J23, 'Processed Non-zero DMR Data'!I:I, 'Processed Non-zero DMR Data'!E:E)</f>
        <v>NV</v>
      </c>
      <c r="I23" s="9"/>
      <c r="J23" s="13">
        <v>110015972562</v>
      </c>
      <c r="K23" s="9" t="str">
        <f>IFERROR(INDEX('Raw Non-zero DMR Data'!$C:$C, MATCH(J23,'Raw Non-zero DMR Data'!$D:$D,0)),"")</f>
        <v>NV0023191</v>
      </c>
      <c r="L23" s="9" t="str">
        <f>IFERROR(INDEX('Raw Non-zero DMR Data'!$U:$U, MATCH($J23,'Raw Non-zero DMR Data'!$D:$D,0)),"")</f>
        <v>Tropicana Wash</v>
      </c>
      <c r="M23" s="155">
        <f>IFERROR(INDEX('Raw Non-zero DMR Data'!$T:$T, MATCH($J23,'Raw Non-zero DMR Data'!$D:$D,0)),"")</f>
        <v>150100150505</v>
      </c>
      <c r="N23" s="155" t="str">
        <f>IFERROR(INDEX('Off-site Locations'!$E:$E,MATCH(I23,'Off-site Locations'!$B:$B,0)),"No offsite transfers")</f>
        <v>No offsite transfers</v>
      </c>
      <c r="O23" s="165">
        <f>INDEX('TRI and DMR OES Summary'!D:D,MATCH('Facility Discharge Summary'!D23,'TRI and DMR OES Summary'!A:A,0))</f>
        <v>250</v>
      </c>
      <c r="P23" s="17" cm="1">
        <f t="array" ref="P23">IFERROR(_xlfn.XLOOKUP(1,  (MAX(IF(J23 = 'Processed Non-zero DMR Data'!$I$2:$I$651,'Processed Non-zero DMR Data'!$A$2:$A$651)) = 'Processed Non-zero DMR Data'!$A$2:$A$651)*('Processed Non-zero DMR Data'!$I$2:$I$651 = J23),'Processed Non-zero DMR Data'!$W$2:$W$651), "N/A- Facility Does Not Report DMRs")</f>
        <v>0.1119060893375</v>
      </c>
      <c r="Q23" s="10">
        <f t="shared" si="14"/>
        <v>4.4762435735E-4</v>
      </c>
      <c r="R23" s="10" cm="1">
        <f t="array" ref="R23">IF(COUNTIF('Processed Non-zero DMR Data'!$I:$I,$J23)&gt;0,MEDIAN(IF('Processed Non-zero DMR Data'!$I:$I=J23,'Processed Non-zero DMR Data'!$W:$W)),"N/A - Facility Does Not Report DMRs")</f>
        <v>8.5189770925000005E-2</v>
      </c>
      <c r="S23" s="10">
        <f t="shared" si="15"/>
        <v>3.407590837E-4</v>
      </c>
      <c r="T23" s="10">
        <f>IF(COUNTIF('Processed Non-zero DMR Data'!$I:$I,$J23)&gt;0,_xlfn.MAXIFS('Processed Non-zero DMR Data'!$W:$W,'Processed Non-zero DMR Data'!$I:$I,$J23), "N/A - Facility Does Not Report DMRs")</f>
        <v>0.28724449216249998</v>
      </c>
      <c r="U23" s="10">
        <f t="shared" si="16"/>
        <v>1.1489779686499999E-3</v>
      </c>
      <c r="V23" s="158" cm="1">
        <f t="array" ref="V23">IF(COUNTIF('Processed Non-zero DMR Data'!$I:$I,$J23)&gt;0,INDEX('Processed Non-zero DMR Data'!$A:$A,MATCH(1,($J23='Processed Non-zero DMR Data'!$I:$I)*($T23='Processed Non-zero DMR Data'!$W:$W),0)), "N/A - Facility Does Not Report DMRs")</f>
        <v>2020</v>
      </c>
      <c r="W23" s="17" t="str" cm="1">
        <f t="array" ref="W23">IFERROR(_xlfn.XLOOKUP(1,  (MAX(IF(I23 = 'Processed Non-zero TRI Data'!$I$2:$I$6,'Processed Non-zero TRI Data'!$A$2:$A$6)) = 'Processed Non-zero TRI Data'!$A$2:$A$6)*('Processed Non-zero TRI Data'!$I$2:$I$6 = I23), 'Processed Non-zero TRI Data'!$T$2:$T$6), "N/A- Facility Does Not Report to TRI")</f>
        <v>N/A- Facility Does Not Report to TRI</v>
      </c>
      <c r="X23" s="10" t="str">
        <f t="shared" si="17"/>
        <v>N/A - Facility Does Not Report to TRI</v>
      </c>
      <c r="Y23" s="10" t="str" cm="1">
        <f t="array" ref="Y23">IF(COUNTIF('Processed Non-zero TRI Data'!$I:$I,$I23)&gt;0,MEDIAN(IF('Processed Non-zero TRI Data'!$I:$I=I23,'Processed Non-zero TRI Data'!$T:$T)), "N/A - Facility Does Not Report to TRI")</f>
        <v>N/A - Facility Does Not Report to TRI</v>
      </c>
      <c r="Z23" s="10" t="str">
        <f t="shared" si="18"/>
        <v>N/A - Facility Does Not Report to TRI</v>
      </c>
      <c r="AA23" s="10" t="str">
        <f>IF(COUNTIF('Processed Non-zero TRI Data'!$I:$I,$I23)&gt;0,_xlfn.MAXIFS('Processed Non-zero TRI Data'!$T:$T,'Processed Non-zero TRI Data'!$I:$I,$I23), "N/A - Facility Does Not Report to TRI")</f>
        <v>N/A - Facility Does Not Report to TRI</v>
      </c>
      <c r="AB23" s="10" t="str">
        <f t="shared" si="19"/>
        <v>N/A - Facility Does Not Report to TRI</v>
      </c>
      <c r="AC23" s="158" t="str" cm="1">
        <f t="array" ref="AC23">IFERROR(IF(B23 = "TRI Form R", IF(AA23 = 0, "Facility has no on-site water discharges between 2017-2022.",  IF(COUNTIF('Processed Non-zero TRI Data'!$I:$I,$I23)&gt;0,INDEX('Processed Non-zero TRI Data'!$A:$A,MATCH(1,($I23='Processed Non-zero TRI Data'!$I:$I)*(AA23='Processed Non-zero TRI Data'!$T:$T),0)))), VLOOKUP(I23,#REF!, 2, FALSE)), ("N/A - Facility Does Not Report to TRI"))</f>
        <v>N/A - Facility Does Not Report to TRI</v>
      </c>
      <c r="AD23" s="97" t="str" cm="1">
        <f t="array" ref="AD23">IFERROR(_xlfn.XLOOKUP(1,  (MAX(IF(I23 = 'Processed Non-zero TRI Data'!$I$2:$I$6,'Processed Non-zero TRI Data'!$A$2:$A$6)) = 'Processed Non-zero TRI Data'!$A$2:$A$6)*('Processed Non-zero TRI Data'!$I$2:$I$6 = I23), 'Processed Non-zero TRI Data'!$V$2:$V$6), "N/A- Facility Does Not Report to TRI")</f>
        <v>N/A- Facility Does Not Report to TRI</v>
      </c>
      <c r="AE23" s="9" t="str">
        <f t="shared" si="20"/>
        <v>N/A - Facility Does Not Report to TRI</v>
      </c>
      <c r="AF23" s="9" t="str" cm="1">
        <f t="array" ref="AF23">IF(COUNTIF('Processed Non-zero TRI Data'!$I:$I,$I23)&gt;0,MEDIAN(IF('Processed Non-zero TRI Data'!$I:$I=I23,'Processed Non-zero TRI Data'!$V:$V)), "N/A - Facility Does Not Report to TRI")</f>
        <v>N/A - Facility Does Not Report to TRI</v>
      </c>
      <c r="AG23" s="9" t="str">
        <f t="shared" si="21"/>
        <v>N/A - Facility Does Not Report to TRI</v>
      </c>
      <c r="AH23" s="9" t="str">
        <f>IF(COUNTIF('Processed Non-zero TRI Data'!$I:$I,$I23)&gt;0,_xlfn.MAXIFS('Processed Non-zero TRI Data'!$V:$V,'Processed Non-zero TRI Data'!$I:$I,$I23), "N/A - Facility Does Not Report to TRI")</f>
        <v>N/A - Facility Does Not Report to TRI</v>
      </c>
      <c r="AI23" s="9" t="str">
        <f t="shared" si="22"/>
        <v>N/A - Facility Does Not Report to TRI</v>
      </c>
      <c r="AJ23" s="158" t="str" cm="1">
        <f t="array" ref="AJ23">IF(B23="TRI Form A",AC23,IF(AH23=0,"Facility has no transfers to POTWs between 2019-2023.",IF(COUNTIF('Processed Non-zero TRI Data'!$I:$I,$I23)&gt;0,INDEX('Processed Non-zero TRI Data'!$A:$A,MATCH(1,($I23='Processed Non-zero TRI Data'!$I:$I)*(AH23='Processed Non-zero TRI Data'!$V:$V),0)),"N/A - Facility Does Not Report to TRI")))</f>
        <v>N/A - Facility Does Not Report to TRI</v>
      </c>
      <c r="AK23" s="97" t="str" cm="1">
        <f t="array" ref="AK23">IFERROR(_xlfn.XLOOKUP(1,  (MAX(IF(I23 = 'Processed Non-zero TRI Data'!$I$2:$I$6,'Processed Non-zero TRI Data'!$A$2:$A$6)) = 'Processed Non-zero TRI Data'!$A$2:$A$6)*('Processed Non-zero TRI Data'!$I$2:$I$6 = I23), 'Processed Non-zero TRI Data'!$X$2:$X$6), "N/A- Facility Does Not Report to TRI")</f>
        <v>N/A- Facility Does Not Report to TRI</v>
      </c>
      <c r="AL23" s="9" t="str">
        <f t="shared" si="23"/>
        <v>N/A - Facility Does Not Report to TRI</v>
      </c>
      <c r="AM23" s="9" t="str" cm="1">
        <f t="array" ref="AM23">IF(COUNTIF('Processed Non-zero TRI Data'!$I:$I,$I23)&gt;0,MEDIAN(IF('Processed Non-zero TRI Data'!$I:$I=I23,'Processed Non-zero TRI Data'!$X:$X)), "N/A - Facility Does Not Report to TRI")</f>
        <v>N/A - Facility Does Not Report to TRI</v>
      </c>
      <c r="AN23" s="9" t="str">
        <f t="shared" si="24"/>
        <v>N/A - Facility Does Not Report to TRI</v>
      </c>
      <c r="AO23" s="9" t="str">
        <f>IF(COUNTIF('Processed Non-zero TRI Data'!$I:$I,$I23)&gt;0,_xlfn.MAXIFS('Processed Non-zero TRI Data'!$X:$X,'Processed Non-zero TRI Data'!$I:$I,$I23), "N/A - Facility Does Not Report to TRI")</f>
        <v>N/A - Facility Does Not Report to TRI</v>
      </c>
      <c r="AP23" s="9" t="str">
        <f t="shared" si="25"/>
        <v>N/A - Facility Does Not Report to TRI</v>
      </c>
      <c r="AQ23" s="251" t="str" cm="1">
        <f t="array" ref="AQ23">IF(B23="TRI Form A",AC23,IF(AO23=0,"Facility has no transfers to non-POTWs between 2019-2023.",IF(COUNTIF('Processed Non-zero TRI Data'!$I:$I,$I23)&gt;0,INDEX('Processed Non-zero TRI Data'!$A:$A,MATCH(1,($I23='Processed Non-zero TRI Data'!$I:$I)*(AO23='Processed Non-zero TRI Data'!$X:$X),0)),"N/A - Facility Does Not Report to TRI")))</f>
        <v>N/A - Facility Does Not Report to TRI</v>
      </c>
      <c r="AR23" s="260">
        <f t="shared" si="12"/>
        <v>0</v>
      </c>
      <c r="AS23" s="260">
        <f t="shared" si="13"/>
        <v>0.28724449216249998</v>
      </c>
    </row>
    <row r="24" spans="1:45" ht="30" x14ac:dyDescent="0.25">
      <c r="A24" s="12">
        <v>21</v>
      </c>
      <c r="B24" s="10" t="str">
        <f>IFERROR("TRI Form "&amp; VLOOKUP(I24, 'Processed Non-zero TRI Data'!$I$2:$K$6, 3, FALSE), "DMR")</f>
        <v>DMR</v>
      </c>
      <c r="C24" s="181" t="e">
        <f>VLOOKUP(D24,#REF!, 2, FALSE)</f>
        <v>#REF!</v>
      </c>
      <c r="D24" s="181" t="str">
        <f>IF(I24&lt;&gt;"",INDEX('Processed Non-zero TRI Data'!$O:$O,MATCH(I24,'Processed Non-zero TRI Data'!$I:$I,0)),INDEX('Processed Non-zero DMR Data'!$S:$S,MATCH(J24,'Processed Non-zero DMR Data'!$I:$I,0)))</f>
        <v>Processing as a reactant</v>
      </c>
      <c r="E24" s="181" t="str">
        <f>IF(I24&lt;&gt;"",INDEX('Processed Non-zero TRI Data'!$P:$P,MATCH(I24,'Processed Non-zero TRI Data'!$I:$I,0)),INDEX('Processed Non-zero DMR Data'!$T:$T,MATCH(J24,'Processed Non-zero DMR Data'!$I:$I,0)))</f>
        <v>Facility produces pharmaceuticals.</v>
      </c>
      <c r="F24" s="9" t="str">
        <f>_xlfn.XLOOKUP(J24, 'Processed Non-zero DMR Data'!I:I, 'Processed Non-zero DMR Data'!B:B)</f>
        <v>CURIA MISSOURI INC</v>
      </c>
      <c r="G24" s="9" t="str">
        <f>_xlfn.XLOOKUP(J24, 'Processed Non-zero DMR Data'!I:I, 'Processed Non-zero DMR Data'!C:C)</f>
        <v>SPRINGFIELD</v>
      </c>
      <c r="H24" s="9" t="str">
        <f>_xlfn.XLOOKUP(J24, 'Processed Non-zero DMR Data'!I:I, 'Processed Non-zero DMR Data'!E:E)</f>
        <v>MO</v>
      </c>
      <c r="I24" s="9"/>
      <c r="J24" s="13">
        <v>110045547547</v>
      </c>
      <c r="K24" s="9" t="str">
        <f>IFERROR(INDEX('Raw Non-zero DMR Data'!$C:$C, MATCH(J24,'Raw Non-zero DMR Data'!$D:$D,0)),"")</f>
        <v>MO0001970</v>
      </c>
      <c r="L24" s="9" t="str">
        <f>IFERROR(INDEX('Raw Non-zero DMR Data'!$U:$U, MATCH($J24,'Raw Non-zero DMR Data'!$D:$D,0)),"")</f>
        <v>Headwaters Wilsons Creek</v>
      </c>
      <c r="M24" s="155">
        <f>IFERROR(INDEX('Raw Non-zero DMR Data'!$T:$T, MATCH($J24,'Raw Non-zero DMR Data'!$D:$D,0)),"")</f>
        <v>110100020301</v>
      </c>
      <c r="N24" s="155" t="str">
        <f>IFERROR(INDEX('Off-site Locations'!$E:$E,MATCH(I24,'Off-site Locations'!$B:$B,0)),"No offsite transfers")</f>
        <v>No offsite transfers</v>
      </c>
      <c r="O24" s="165">
        <f>INDEX('TRI and DMR OES Summary'!D:D,MATCH('Facility Discharge Summary'!D24,'TRI and DMR OES Summary'!A:A,0))</f>
        <v>350</v>
      </c>
      <c r="P24" s="17" cm="1">
        <f t="array" ref="P24">IFERROR(_xlfn.XLOOKUP(1,  (MAX(IF(J24 = 'Processed Non-zero DMR Data'!$I$2:$I$651,'Processed Non-zero DMR Data'!$A$2:$A$651)) = 'Processed Non-zero DMR Data'!$A$2:$A$651)*('Processed Non-zero DMR Data'!$I$2:$I$651 = J24),'Processed Non-zero DMR Data'!$W$2:$W$651), "N/A- Facility Does Not Report DMRs")</f>
        <v>0.25477844333333299</v>
      </c>
      <c r="Q24" s="10">
        <f t="shared" si="14"/>
        <v>7.2793840952380855E-4</v>
      </c>
      <c r="R24" s="10" cm="1">
        <f t="array" ref="R24">IF(COUNTIF('Processed Non-zero DMR Data'!$I:$I,$J24)&gt;0,MEDIAN(IF('Processed Non-zero DMR Data'!$I:$I=J24,'Processed Non-zero DMR Data'!$W:$W)),"N/A - Facility Does Not Report DMRs")</f>
        <v>0.22917354916666649</v>
      </c>
      <c r="S24" s="10">
        <f t="shared" si="15"/>
        <v>6.5478156904761849E-4</v>
      </c>
      <c r="T24" s="10">
        <f>IF(COUNTIF('Processed Non-zero DMR Data'!$I:$I,$J24)&gt;0,_xlfn.MAXIFS('Processed Non-zero DMR Data'!$W:$W,'Processed Non-zero DMR Data'!$I:$I,$J24), "N/A - Facility Does Not Report DMRs")</f>
        <v>0.25477844333333299</v>
      </c>
      <c r="U24" s="10">
        <f t="shared" si="16"/>
        <v>7.2793840952380855E-4</v>
      </c>
      <c r="V24" s="158" cm="1">
        <f t="array" ref="V24">IF(COUNTIF('Processed Non-zero DMR Data'!$I:$I,$J24)&gt;0,INDEX('Processed Non-zero DMR Data'!$A:$A,MATCH(1,($J24='Processed Non-zero DMR Data'!$I:$I)*($T24='Processed Non-zero DMR Data'!$W:$W),0)), "N/A - Facility Does Not Report DMRs")</f>
        <v>2020</v>
      </c>
      <c r="W24" s="17" t="str" cm="1">
        <f t="array" ref="W24">IFERROR(_xlfn.XLOOKUP(1,  (MAX(IF(I24 = 'Processed Non-zero TRI Data'!$I$2:$I$6,'Processed Non-zero TRI Data'!$A$2:$A$6)) = 'Processed Non-zero TRI Data'!$A$2:$A$6)*('Processed Non-zero TRI Data'!$I$2:$I$6 = I24), 'Processed Non-zero TRI Data'!$T$2:$T$6), "N/A- Facility Does Not Report to TRI")</f>
        <v>N/A- Facility Does Not Report to TRI</v>
      </c>
      <c r="X24" s="10" t="str">
        <f t="shared" si="17"/>
        <v>N/A - Facility Does Not Report to TRI</v>
      </c>
      <c r="Y24" s="10" t="str" cm="1">
        <f t="array" ref="Y24">IF(COUNTIF('Processed Non-zero TRI Data'!$I:$I,$I24)&gt;0,MEDIAN(IF('Processed Non-zero TRI Data'!$I:$I=I24,'Processed Non-zero TRI Data'!$T:$T)), "N/A - Facility Does Not Report to TRI")</f>
        <v>N/A - Facility Does Not Report to TRI</v>
      </c>
      <c r="Z24" s="10" t="str">
        <f t="shared" si="18"/>
        <v>N/A - Facility Does Not Report to TRI</v>
      </c>
      <c r="AA24" s="10" t="str">
        <f>IF(COUNTIF('Processed Non-zero TRI Data'!$I:$I,$I24)&gt;0,_xlfn.MAXIFS('Processed Non-zero TRI Data'!$T:$T,'Processed Non-zero TRI Data'!$I:$I,$I24), "N/A - Facility Does Not Report to TRI")</f>
        <v>N/A - Facility Does Not Report to TRI</v>
      </c>
      <c r="AB24" s="10" t="str">
        <f t="shared" si="19"/>
        <v>N/A - Facility Does Not Report to TRI</v>
      </c>
      <c r="AC24" s="158" t="str" cm="1">
        <f t="array" ref="AC24">IFERROR(IF(B24 = "TRI Form R", IF(AA24 = 0, "Facility has no on-site water discharges between 2017-2022.",  IF(COUNTIF('Processed Non-zero TRI Data'!$I:$I,$I24)&gt;0,INDEX('Processed Non-zero TRI Data'!$A:$A,MATCH(1,($I24='Processed Non-zero TRI Data'!$I:$I)*(AA24='Processed Non-zero TRI Data'!$T:$T),0)))), VLOOKUP(I24,#REF!, 2, FALSE)), ("N/A - Facility Does Not Report to TRI"))</f>
        <v>N/A - Facility Does Not Report to TRI</v>
      </c>
      <c r="AD24" s="97" t="str" cm="1">
        <f t="array" ref="AD24">IFERROR(_xlfn.XLOOKUP(1,  (MAX(IF(I24 = 'Processed Non-zero TRI Data'!$I$2:$I$6,'Processed Non-zero TRI Data'!$A$2:$A$6)) = 'Processed Non-zero TRI Data'!$A$2:$A$6)*('Processed Non-zero TRI Data'!$I$2:$I$6 = I24), 'Processed Non-zero TRI Data'!$V$2:$V$6), "N/A- Facility Does Not Report to TRI")</f>
        <v>N/A- Facility Does Not Report to TRI</v>
      </c>
      <c r="AE24" s="9" t="str">
        <f t="shared" si="20"/>
        <v>N/A - Facility Does Not Report to TRI</v>
      </c>
      <c r="AF24" s="9" t="str" cm="1">
        <f t="array" ref="AF24">IF(COUNTIF('Processed Non-zero TRI Data'!$I:$I,$I24)&gt;0,MEDIAN(IF('Processed Non-zero TRI Data'!$I:$I=I24,'Processed Non-zero TRI Data'!$V:$V)), "N/A - Facility Does Not Report to TRI")</f>
        <v>N/A - Facility Does Not Report to TRI</v>
      </c>
      <c r="AG24" s="9" t="str">
        <f t="shared" si="21"/>
        <v>N/A - Facility Does Not Report to TRI</v>
      </c>
      <c r="AH24" s="9" t="str">
        <f>IF(COUNTIF('Processed Non-zero TRI Data'!$I:$I,$I24)&gt;0,_xlfn.MAXIFS('Processed Non-zero TRI Data'!$V:$V,'Processed Non-zero TRI Data'!$I:$I,$I24), "N/A - Facility Does Not Report to TRI")</f>
        <v>N/A - Facility Does Not Report to TRI</v>
      </c>
      <c r="AI24" s="9" t="str">
        <f t="shared" si="22"/>
        <v>N/A - Facility Does Not Report to TRI</v>
      </c>
      <c r="AJ24" s="158" t="str" cm="1">
        <f t="array" ref="AJ24">IF(B24="TRI Form A",AC24,IF(AH24=0,"Facility has no transfers to POTWs between 2019-2023.",IF(COUNTIF('Processed Non-zero TRI Data'!$I:$I,$I24)&gt;0,INDEX('Processed Non-zero TRI Data'!$A:$A,MATCH(1,($I24='Processed Non-zero TRI Data'!$I:$I)*(AH24='Processed Non-zero TRI Data'!$V:$V),0)),"N/A - Facility Does Not Report to TRI")))</f>
        <v>N/A - Facility Does Not Report to TRI</v>
      </c>
      <c r="AK24" s="97" t="str" cm="1">
        <f t="array" ref="AK24">IFERROR(_xlfn.XLOOKUP(1,  (MAX(IF(I24 = 'Processed Non-zero TRI Data'!$I$2:$I$6,'Processed Non-zero TRI Data'!$A$2:$A$6)) = 'Processed Non-zero TRI Data'!$A$2:$A$6)*('Processed Non-zero TRI Data'!$I$2:$I$6 = I24), 'Processed Non-zero TRI Data'!$X$2:$X$6), "N/A- Facility Does Not Report to TRI")</f>
        <v>N/A- Facility Does Not Report to TRI</v>
      </c>
      <c r="AL24" s="9" t="str">
        <f t="shared" si="23"/>
        <v>N/A - Facility Does Not Report to TRI</v>
      </c>
      <c r="AM24" s="9" t="str" cm="1">
        <f t="array" ref="AM24">IF(COUNTIF('Processed Non-zero TRI Data'!$I:$I,$I24)&gt;0,MEDIAN(IF('Processed Non-zero TRI Data'!$I:$I=I24,'Processed Non-zero TRI Data'!$X:$X)), "N/A - Facility Does Not Report to TRI")</f>
        <v>N/A - Facility Does Not Report to TRI</v>
      </c>
      <c r="AN24" s="9" t="str">
        <f t="shared" si="24"/>
        <v>N/A - Facility Does Not Report to TRI</v>
      </c>
      <c r="AO24" s="9" t="str">
        <f>IF(COUNTIF('Processed Non-zero TRI Data'!$I:$I,$I24)&gt;0,_xlfn.MAXIFS('Processed Non-zero TRI Data'!$X:$X,'Processed Non-zero TRI Data'!$I:$I,$I24), "N/A - Facility Does Not Report to TRI")</f>
        <v>N/A - Facility Does Not Report to TRI</v>
      </c>
      <c r="AP24" s="9" t="str">
        <f t="shared" si="25"/>
        <v>N/A - Facility Does Not Report to TRI</v>
      </c>
      <c r="AQ24" s="251" t="str" cm="1">
        <f t="array" ref="AQ24">IF(B24="TRI Form A",AC24,IF(AO24=0,"Facility has no transfers to non-POTWs between 2019-2023.",IF(COUNTIF('Processed Non-zero TRI Data'!$I:$I,$I24)&gt;0,INDEX('Processed Non-zero TRI Data'!$A:$A,MATCH(1,($I24='Processed Non-zero TRI Data'!$I:$I)*(AO24='Processed Non-zero TRI Data'!$X:$X),0)),"N/A - Facility Does Not Report to TRI")))</f>
        <v>N/A - Facility Does Not Report to TRI</v>
      </c>
      <c r="AR24" s="260">
        <f t="shared" si="12"/>
        <v>0</v>
      </c>
      <c r="AS24" s="260">
        <f t="shared" si="13"/>
        <v>0.25477844333333299</v>
      </c>
    </row>
    <row r="25" spans="1:45" ht="30" x14ac:dyDescent="0.25">
      <c r="A25" s="12">
        <v>22</v>
      </c>
      <c r="B25" s="10" t="str">
        <f>IFERROR("TRI Form "&amp; VLOOKUP(I25, 'Processed Non-zero TRI Data'!$I$2:$K$6, 3, FALSE), "DMR")</f>
        <v>DMR</v>
      </c>
      <c r="C25" s="181" t="e">
        <f>VLOOKUP(D25,#REF!, 2, FALSE)</f>
        <v>#REF!</v>
      </c>
      <c r="D25" s="181" t="str">
        <f>IF(I25&lt;&gt;"",INDEX('Processed Non-zero TRI Data'!$O:$O,MATCH(I25,'Processed Non-zero TRI Data'!$I:$I,0)),INDEX('Processed Non-zero DMR Data'!$S:$S,MATCH(J25,'Processed Non-zero DMR Data'!$I:$I,0)))</f>
        <v>Unknown</v>
      </c>
      <c r="E25" s="181" t="str">
        <f>IF(I25&lt;&gt;"",INDEX('Processed Non-zero TRI Data'!$P:$P,MATCH(I25,'Processed Non-zero TRI Data'!$I:$I,0)),INDEX('Processed Non-zero DMR Data'!$T:$T,MATCH(J25,'Processed Non-zero DMR Data'!$I:$I,0)))</f>
        <v>Facility is a hotel; no OES to map to.</v>
      </c>
      <c r="F25" s="9" t="str">
        <f>_xlfn.XLOOKUP(J25, 'Processed Non-zero DMR Data'!I:I, 'Processed Non-zero DMR Data'!B:B)</f>
        <v>RESORTS WORLD LAS VEGAS</v>
      </c>
      <c r="G25" s="9" t="str">
        <f>_xlfn.XLOOKUP(J25, 'Processed Non-zero DMR Data'!I:I, 'Processed Non-zero DMR Data'!C:C)</f>
        <v>LAS VEGAS</v>
      </c>
      <c r="H25" s="9" t="str">
        <f>_xlfn.XLOOKUP(J25, 'Processed Non-zero DMR Data'!I:I, 'Processed Non-zero DMR Data'!E:E)</f>
        <v>NV</v>
      </c>
      <c r="I25" s="9"/>
      <c r="J25" s="13">
        <v>110041253256</v>
      </c>
      <c r="K25" s="9" t="str">
        <f>IFERROR(INDEX('Raw Non-zero DMR Data'!$C:$C, MATCH(J25,'Raw Non-zero DMR Data'!$D:$D,0)),"")</f>
        <v>NV0023621</v>
      </c>
      <c r="L25" s="9" t="str">
        <f>IFERROR(INDEX('Raw Non-zero DMR Data'!$U:$U, MATCH($J25,'Raw Non-zero DMR Data'!$D:$D,0)),"")</f>
        <v>City of Las Vegas-Las Vegas Wash</v>
      </c>
      <c r="M25" s="155">
        <f>IFERROR(INDEX('Raw Non-zero DMR Data'!$T:$T, MATCH($J25,'Raw Non-zero DMR Data'!$D:$D,0)),"")</f>
        <v>150100150604</v>
      </c>
      <c r="N25" s="155" t="str">
        <f>IFERROR(INDEX('Off-site Locations'!$E:$E,MATCH(I25,'Off-site Locations'!$B:$B,0)),"No offsite transfers")</f>
        <v>No offsite transfers</v>
      </c>
      <c r="O25" s="165">
        <f>INDEX('TRI and DMR OES Summary'!D:D,MATCH('Facility Discharge Summary'!D25,'TRI and DMR OES Summary'!A:A,0))</f>
        <v>250</v>
      </c>
      <c r="P25" s="17" cm="1">
        <f t="array" ref="P25">IFERROR(_xlfn.XLOOKUP(1,  (MAX(IF(J25 = 'Processed Non-zero DMR Data'!$I$2:$I$651,'Processed Non-zero DMR Data'!$A$2:$A$651)) = 'Processed Non-zero DMR Data'!$A$2:$A$651)*('Processed Non-zero DMR Data'!$I$2:$I$651 = J25),'Processed Non-zero DMR Data'!$W$2:$W$651), "N/A- Facility Does Not Report DMRs")</f>
        <v>0.1271003</v>
      </c>
      <c r="Q25" s="10">
        <f t="shared" si="14"/>
        <v>5.0840119999999997E-4</v>
      </c>
      <c r="R25" s="10" cm="1">
        <f t="array" ref="R25">IF(COUNTIF('Processed Non-zero DMR Data'!$I:$I,$J25)&gt;0,MEDIAN(IF('Processed Non-zero DMR Data'!$I:$I=J25,'Processed Non-zero DMR Data'!$W:$W)),"N/A - Facility Does Not Report DMRs")</f>
        <v>0.10361437499999999</v>
      </c>
      <c r="S25" s="10">
        <f t="shared" si="15"/>
        <v>4.1445749999999997E-4</v>
      </c>
      <c r="T25" s="10">
        <f>IF(COUNTIF('Processed Non-zero DMR Data'!$I:$I,$J25)&gt;0,_xlfn.MAXIFS('Processed Non-zero DMR Data'!$W:$W,'Processed Non-zero DMR Data'!$I:$I,$J25), "N/A - Facility Does Not Report DMRs")</f>
        <v>0.1271003</v>
      </c>
      <c r="U25" s="10">
        <f t="shared" si="16"/>
        <v>5.0840119999999997E-4</v>
      </c>
      <c r="V25" s="158" cm="1">
        <f t="array" ref="V25">IF(COUNTIF('Processed Non-zero DMR Data'!$I:$I,$J25)&gt;0,INDEX('Processed Non-zero DMR Data'!$A:$A,MATCH(1,($J25='Processed Non-zero DMR Data'!$I:$I)*($T25='Processed Non-zero DMR Data'!$W:$W),0)), "N/A - Facility Does Not Report DMRs")</f>
        <v>2023</v>
      </c>
      <c r="W25" s="17" t="str" cm="1">
        <f t="array" ref="W25">IFERROR(_xlfn.XLOOKUP(1,  (MAX(IF(I25 = 'Processed Non-zero TRI Data'!$I$2:$I$6,'Processed Non-zero TRI Data'!$A$2:$A$6)) = 'Processed Non-zero TRI Data'!$A$2:$A$6)*('Processed Non-zero TRI Data'!$I$2:$I$6 = I25), 'Processed Non-zero TRI Data'!$T$2:$T$6), "N/A- Facility Does Not Report to TRI")</f>
        <v>N/A- Facility Does Not Report to TRI</v>
      </c>
      <c r="X25" s="10" t="str">
        <f t="shared" si="17"/>
        <v>N/A - Facility Does Not Report to TRI</v>
      </c>
      <c r="Y25" s="10" t="str" cm="1">
        <f t="array" ref="Y25">IF(COUNTIF('Processed Non-zero TRI Data'!$I:$I,$I25)&gt;0,MEDIAN(IF('Processed Non-zero TRI Data'!$I:$I=I25,'Processed Non-zero TRI Data'!$T:$T)), "N/A - Facility Does Not Report to TRI")</f>
        <v>N/A - Facility Does Not Report to TRI</v>
      </c>
      <c r="Z25" s="10" t="str">
        <f t="shared" si="18"/>
        <v>N/A - Facility Does Not Report to TRI</v>
      </c>
      <c r="AA25" s="10" t="str">
        <f>IF(COUNTIF('Processed Non-zero TRI Data'!$I:$I,$I25)&gt;0,_xlfn.MAXIFS('Processed Non-zero TRI Data'!$T:$T,'Processed Non-zero TRI Data'!$I:$I,$I25), "N/A - Facility Does Not Report to TRI")</f>
        <v>N/A - Facility Does Not Report to TRI</v>
      </c>
      <c r="AB25" s="10" t="str">
        <f t="shared" si="19"/>
        <v>N/A - Facility Does Not Report to TRI</v>
      </c>
      <c r="AC25" s="158" t="str" cm="1">
        <f t="array" ref="AC25">IFERROR(IF(B25 = "TRI Form R", IF(AA25 = 0, "Facility has no on-site water discharges between 2017-2022.",  IF(COUNTIF('Processed Non-zero TRI Data'!$I:$I,$I25)&gt;0,INDEX('Processed Non-zero TRI Data'!$A:$A,MATCH(1,($I25='Processed Non-zero TRI Data'!$I:$I)*(AA25='Processed Non-zero TRI Data'!$T:$T),0)))), VLOOKUP(I25,#REF!, 2, FALSE)), ("N/A - Facility Does Not Report to TRI"))</f>
        <v>N/A - Facility Does Not Report to TRI</v>
      </c>
      <c r="AD25" s="97" t="str" cm="1">
        <f t="array" ref="AD25">IFERROR(_xlfn.XLOOKUP(1,  (MAX(IF(I25 = 'Processed Non-zero TRI Data'!$I$2:$I$6,'Processed Non-zero TRI Data'!$A$2:$A$6)) = 'Processed Non-zero TRI Data'!$A$2:$A$6)*('Processed Non-zero TRI Data'!$I$2:$I$6 = I25), 'Processed Non-zero TRI Data'!$V$2:$V$6), "N/A- Facility Does Not Report to TRI")</f>
        <v>N/A- Facility Does Not Report to TRI</v>
      </c>
      <c r="AE25" s="9" t="str">
        <f t="shared" si="20"/>
        <v>N/A - Facility Does Not Report to TRI</v>
      </c>
      <c r="AF25" s="9" t="str" cm="1">
        <f t="array" ref="AF25">IF(COUNTIF('Processed Non-zero TRI Data'!$I:$I,$I25)&gt;0,MEDIAN(IF('Processed Non-zero TRI Data'!$I:$I=I25,'Processed Non-zero TRI Data'!$V:$V)), "N/A - Facility Does Not Report to TRI")</f>
        <v>N/A - Facility Does Not Report to TRI</v>
      </c>
      <c r="AG25" s="9" t="str">
        <f t="shared" si="21"/>
        <v>N/A - Facility Does Not Report to TRI</v>
      </c>
      <c r="AH25" s="9" t="str">
        <f>IF(COUNTIF('Processed Non-zero TRI Data'!$I:$I,$I25)&gt;0,_xlfn.MAXIFS('Processed Non-zero TRI Data'!$V:$V,'Processed Non-zero TRI Data'!$I:$I,$I25), "N/A - Facility Does Not Report to TRI")</f>
        <v>N/A - Facility Does Not Report to TRI</v>
      </c>
      <c r="AI25" s="9" t="str">
        <f t="shared" si="22"/>
        <v>N/A - Facility Does Not Report to TRI</v>
      </c>
      <c r="AJ25" s="158" t="str" cm="1">
        <f t="array" ref="AJ25">IF(B25="TRI Form A",AC25,IF(AH25=0,"Facility has no transfers to POTWs between 2019-2023.",IF(COUNTIF('Processed Non-zero TRI Data'!$I:$I,$I25)&gt;0,INDEX('Processed Non-zero TRI Data'!$A:$A,MATCH(1,($I25='Processed Non-zero TRI Data'!$I:$I)*(AH25='Processed Non-zero TRI Data'!$V:$V),0)),"N/A - Facility Does Not Report to TRI")))</f>
        <v>N/A - Facility Does Not Report to TRI</v>
      </c>
      <c r="AK25" s="97" t="str" cm="1">
        <f t="array" ref="AK25">IFERROR(_xlfn.XLOOKUP(1,  (MAX(IF(I25 = 'Processed Non-zero TRI Data'!$I$2:$I$6,'Processed Non-zero TRI Data'!$A$2:$A$6)) = 'Processed Non-zero TRI Data'!$A$2:$A$6)*('Processed Non-zero TRI Data'!$I$2:$I$6 = I25), 'Processed Non-zero TRI Data'!$X$2:$X$6), "N/A- Facility Does Not Report to TRI")</f>
        <v>N/A- Facility Does Not Report to TRI</v>
      </c>
      <c r="AL25" s="9" t="str">
        <f t="shared" si="23"/>
        <v>N/A - Facility Does Not Report to TRI</v>
      </c>
      <c r="AM25" s="9" t="str" cm="1">
        <f t="array" ref="AM25">IF(COUNTIF('Processed Non-zero TRI Data'!$I:$I,$I25)&gt;0,MEDIAN(IF('Processed Non-zero TRI Data'!$I:$I=I25,'Processed Non-zero TRI Data'!$X:$X)), "N/A - Facility Does Not Report to TRI")</f>
        <v>N/A - Facility Does Not Report to TRI</v>
      </c>
      <c r="AN25" s="9" t="str">
        <f t="shared" si="24"/>
        <v>N/A - Facility Does Not Report to TRI</v>
      </c>
      <c r="AO25" s="9" t="str">
        <f>IF(COUNTIF('Processed Non-zero TRI Data'!$I:$I,$I25)&gt;0,_xlfn.MAXIFS('Processed Non-zero TRI Data'!$X:$X,'Processed Non-zero TRI Data'!$I:$I,$I25), "N/A - Facility Does Not Report to TRI")</f>
        <v>N/A - Facility Does Not Report to TRI</v>
      </c>
      <c r="AP25" s="9" t="str">
        <f t="shared" si="25"/>
        <v>N/A - Facility Does Not Report to TRI</v>
      </c>
      <c r="AQ25" s="251" t="str" cm="1">
        <f t="array" ref="AQ25">IF(B25="TRI Form A",AC25,IF(AO25=0,"Facility has no transfers to non-POTWs between 2019-2023.",IF(COUNTIF('Processed Non-zero TRI Data'!$I:$I,$I25)&gt;0,INDEX('Processed Non-zero TRI Data'!$A:$A,MATCH(1,($I25='Processed Non-zero TRI Data'!$I:$I)*(AO25='Processed Non-zero TRI Data'!$X:$X),0)),"N/A - Facility Does Not Report to TRI")))</f>
        <v>N/A - Facility Does Not Report to TRI</v>
      </c>
      <c r="AR25" s="260">
        <f t="shared" si="12"/>
        <v>0</v>
      </c>
      <c r="AS25" s="260">
        <f t="shared" si="13"/>
        <v>0.1271003</v>
      </c>
    </row>
    <row r="26" spans="1:45" ht="30" x14ac:dyDescent="0.25">
      <c r="A26" s="12">
        <v>23</v>
      </c>
      <c r="B26" s="10" t="str">
        <f>IFERROR("TRI Form "&amp; VLOOKUP(I26, 'Processed Non-zero TRI Data'!$I$2:$K$6, 3, FALSE), "DMR")</f>
        <v>DMR</v>
      </c>
      <c r="C26" s="181" t="e">
        <f>VLOOKUP(D26,#REF!, 2, FALSE)</f>
        <v>#REF!</v>
      </c>
      <c r="D26" s="181" t="str">
        <f>IF(I26&lt;&gt;"",INDEX('Processed Non-zero TRI Data'!$O:$O,MATCH(I26,'Processed Non-zero TRI Data'!$I:$I,0)),INDEX('Processed Non-zero DMR Data'!$S:$S,MATCH(J26,'Processed Non-zero DMR Data'!$I:$I,0)))</f>
        <v>Waste Handling, Disposal and Treatment (Remediation)</v>
      </c>
      <c r="E26" s="181" t="str">
        <f>IF(I26&lt;&gt;"",INDEX('Processed Non-zero TRI Data'!$P:$P,MATCH(I26,'Processed Non-zero TRI Data'!$I:$I,0)),INDEX('Processed Non-zero DMR Data'!$T:$T,MATCH(J26,'Processed Non-zero DMR Data'!$I:$I,0)))</f>
        <v>Remediation treatment facility to remove chromium and perchlorate from groundwater</v>
      </c>
      <c r="F26" s="9" t="str">
        <f>_xlfn.XLOOKUP(J26, 'Processed Non-zero DMR Data'!I:I, 'Processed Non-zero DMR Data'!B:B)</f>
        <v>TRONOX LLC</v>
      </c>
      <c r="G26" s="9" t="str">
        <f>_xlfn.XLOOKUP(J26, 'Processed Non-zero DMR Data'!I:I, 'Processed Non-zero DMR Data'!C:C)</f>
        <v>HENDERSON</v>
      </c>
      <c r="H26" s="9" t="str">
        <f>_xlfn.XLOOKUP(J26, 'Processed Non-zero DMR Data'!I:I, 'Processed Non-zero DMR Data'!E:E)</f>
        <v>NV</v>
      </c>
      <c r="I26" s="9"/>
      <c r="J26" s="13">
        <v>110043808467</v>
      </c>
      <c r="K26" s="9" t="str">
        <f>IFERROR(INDEX('Raw Non-zero DMR Data'!$C:$C, MATCH(J26,'Raw Non-zero DMR Data'!$D:$D,0)),"")</f>
        <v>NV0023060</v>
      </c>
      <c r="L26" s="9" t="str">
        <f>IFERROR(INDEX('Raw Non-zero DMR Data'!$U:$U, MATCH($J26,'Raw Non-zero DMR Data'!$D:$D,0)),"")</f>
        <v>City of Henderson-Las Vegas Wash</v>
      </c>
      <c r="M26" s="155">
        <f>IFERROR(INDEX('Raw Non-zero DMR Data'!$T:$T, MATCH($J26,'Raw Non-zero DMR Data'!$D:$D,0)),"")</f>
        <v>150100150708</v>
      </c>
      <c r="N26" s="155" t="str">
        <f>IFERROR(INDEX('Off-site Locations'!$E:$E,MATCH(I26,'Off-site Locations'!$B:$B,0)),"No offsite transfers")</f>
        <v>No offsite transfers</v>
      </c>
      <c r="O26" s="165">
        <f>INDEX('TRI and DMR OES Summary'!D:D,MATCH('Facility Discharge Summary'!D26,'TRI and DMR OES Summary'!A:A,0))</f>
        <v>250</v>
      </c>
      <c r="P26" s="17" cm="1">
        <f t="array" ref="P26">IFERROR(_xlfn.XLOOKUP(1,  (MAX(IF(J26 = 'Processed Non-zero DMR Data'!$I$2:$I$651,'Processed Non-zero DMR Data'!$A$2:$A$651)) = 'Processed Non-zero DMR Data'!$A$2:$A$651)*('Processed Non-zero DMR Data'!$I$2:$I$651 = J26),'Processed Non-zero DMR Data'!$W$2:$W$651), "N/A- Facility Does Not Report DMRs")</f>
        <v>0.60328944674999996</v>
      </c>
      <c r="Q26" s="10">
        <f t="shared" si="14"/>
        <v>2.4131577869999999E-3</v>
      </c>
      <c r="R26" s="10" cm="1">
        <f t="array" ref="R26">IF(COUNTIF('Processed Non-zero DMR Data'!$I:$I,$J26)&gt;0,MEDIAN(IF('Processed Non-zero DMR Data'!$I:$I=J26,'Processed Non-zero DMR Data'!$W:$W)),"N/A - Facility Does Not Report DMRs")</f>
        <v>0.59279780525000003</v>
      </c>
      <c r="S26" s="10">
        <f t="shared" si="15"/>
        <v>2.3711912210000003E-3</v>
      </c>
      <c r="T26" s="10">
        <f>IF(COUNTIF('Processed Non-zero DMR Data'!$I:$I,$J26)&gt;0,_xlfn.MAXIFS('Processed Non-zero DMR Data'!$W:$W,'Processed Non-zero DMR Data'!$I:$I,$J26), "N/A - Facility Does Not Report DMRs")</f>
        <v>0.63700111699999995</v>
      </c>
      <c r="U26" s="10">
        <f t="shared" si="16"/>
        <v>2.5480044679999998E-3</v>
      </c>
      <c r="V26" s="158" cm="1">
        <f t="array" ref="V26">IF(COUNTIF('Processed Non-zero DMR Data'!$I:$I,$J26)&gt;0,INDEX('Processed Non-zero DMR Data'!$A:$A,MATCH(1,($J26='Processed Non-zero DMR Data'!$I:$I)*($T26='Processed Non-zero DMR Data'!$W:$W),0)), "N/A - Facility Does Not Report DMRs")</f>
        <v>2021</v>
      </c>
      <c r="W26" s="17" t="str" cm="1">
        <f t="array" ref="W26">IFERROR(_xlfn.XLOOKUP(1,  (MAX(IF(I26 = 'Processed Non-zero TRI Data'!$I$2:$I$6,'Processed Non-zero TRI Data'!$A$2:$A$6)) = 'Processed Non-zero TRI Data'!$A$2:$A$6)*('Processed Non-zero TRI Data'!$I$2:$I$6 = I26), 'Processed Non-zero TRI Data'!$T$2:$T$6), "N/A- Facility Does Not Report to TRI")</f>
        <v>N/A- Facility Does Not Report to TRI</v>
      </c>
      <c r="X26" s="10" t="str">
        <f t="shared" si="17"/>
        <v>N/A - Facility Does Not Report to TRI</v>
      </c>
      <c r="Y26" s="10" t="str" cm="1">
        <f t="array" ref="Y26">IF(COUNTIF('Processed Non-zero TRI Data'!$I:$I,$I26)&gt;0,MEDIAN(IF('Processed Non-zero TRI Data'!$I:$I=I26,'Processed Non-zero TRI Data'!$T:$T)), "N/A - Facility Does Not Report to TRI")</f>
        <v>N/A - Facility Does Not Report to TRI</v>
      </c>
      <c r="Z26" s="10" t="str">
        <f t="shared" si="18"/>
        <v>N/A - Facility Does Not Report to TRI</v>
      </c>
      <c r="AA26" s="10" t="str">
        <f>IF(COUNTIF('Processed Non-zero TRI Data'!$I:$I,$I26)&gt;0,_xlfn.MAXIFS('Processed Non-zero TRI Data'!$T:$T,'Processed Non-zero TRI Data'!$I:$I,$I26), "N/A - Facility Does Not Report to TRI")</f>
        <v>N/A - Facility Does Not Report to TRI</v>
      </c>
      <c r="AB26" s="10" t="str">
        <f t="shared" si="19"/>
        <v>N/A - Facility Does Not Report to TRI</v>
      </c>
      <c r="AC26" s="158" t="str" cm="1">
        <f t="array" ref="AC26">IFERROR(IF(B26 = "TRI Form R", IF(AA26 = 0, "Facility has no on-site water discharges between 2017-2022.",  IF(COUNTIF('Processed Non-zero TRI Data'!$I:$I,$I26)&gt;0,INDEX('Processed Non-zero TRI Data'!$A:$A,MATCH(1,($I26='Processed Non-zero TRI Data'!$I:$I)*(AA26='Processed Non-zero TRI Data'!$T:$T),0)))), VLOOKUP(I26,#REF!, 2, FALSE)), ("N/A - Facility Does Not Report to TRI"))</f>
        <v>N/A - Facility Does Not Report to TRI</v>
      </c>
      <c r="AD26" s="97" t="str" cm="1">
        <f t="array" ref="AD26">IFERROR(_xlfn.XLOOKUP(1,  (MAX(IF(I26 = 'Processed Non-zero TRI Data'!$I$2:$I$6,'Processed Non-zero TRI Data'!$A$2:$A$6)) = 'Processed Non-zero TRI Data'!$A$2:$A$6)*('Processed Non-zero TRI Data'!$I$2:$I$6 = I26), 'Processed Non-zero TRI Data'!$V$2:$V$6), "N/A- Facility Does Not Report to TRI")</f>
        <v>N/A- Facility Does Not Report to TRI</v>
      </c>
      <c r="AE26" s="9" t="str">
        <f t="shared" si="20"/>
        <v>N/A - Facility Does Not Report to TRI</v>
      </c>
      <c r="AF26" s="9" t="str" cm="1">
        <f t="array" ref="AF26">IF(COUNTIF('Processed Non-zero TRI Data'!$I:$I,$I26)&gt;0,MEDIAN(IF('Processed Non-zero TRI Data'!$I:$I=I26,'Processed Non-zero TRI Data'!$V:$V)), "N/A - Facility Does Not Report to TRI")</f>
        <v>N/A - Facility Does Not Report to TRI</v>
      </c>
      <c r="AG26" s="9" t="str">
        <f t="shared" si="21"/>
        <v>N/A - Facility Does Not Report to TRI</v>
      </c>
      <c r="AH26" s="9" t="str">
        <f>IF(COUNTIF('Processed Non-zero TRI Data'!$I:$I,$I26)&gt;0,_xlfn.MAXIFS('Processed Non-zero TRI Data'!$V:$V,'Processed Non-zero TRI Data'!$I:$I,$I26), "N/A - Facility Does Not Report to TRI")</f>
        <v>N/A - Facility Does Not Report to TRI</v>
      </c>
      <c r="AI26" s="9" t="str">
        <f t="shared" si="22"/>
        <v>N/A - Facility Does Not Report to TRI</v>
      </c>
      <c r="AJ26" s="158" t="str" cm="1">
        <f t="array" ref="AJ26">IF(B26="TRI Form A",AC26,IF(AH26=0,"Facility has no transfers to POTWs between 2019-2023.",IF(COUNTIF('Processed Non-zero TRI Data'!$I:$I,$I26)&gt;0,INDEX('Processed Non-zero TRI Data'!$A:$A,MATCH(1,($I26='Processed Non-zero TRI Data'!$I:$I)*(AH26='Processed Non-zero TRI Data'!$V:$V),0)),"N/A - Facility Does Not Report to TRI")))</f>
        <v>N/A - Facility Does Not Report to TRI</v>
      </c>
      <c r="AK26" s="97" t="str" cm="1">
        <f t="array" ref="AK26">IFERROR(_xlfn.XLOOKUP(1,  (MAX(IF(I26 = 'Processed Non-zero TRI Data'!$I$2:$I$6,'Processed Non-zero TRI Data'!$A$2:$A$6)) = 'Processed Non-zero TRI Data'!$A$2:$A$6)*('Processed Non-zero TRI Data'!$I$2:$I$6 = I26), 'Processed Non-zero TRI Data'!$X$2:$X$6), "N/A- Facility Does Not Report to TRI")</f>
        <v>N/A- Facility Does Not Report to TRI</v>
      </c>
      <c r="AL26" s="9" t="str">
        <f t="shared" si="23"/>
        <v>N/A - Facility Does Not Report to TRI</v>
      </c>
      <c r="AM26" s="9" t="str" cm="1">
        <f t="array" ref="AM26">IF(COUNTIF('Processed Non-zero TRI Data'!$I:$I,$I26)&gt;0,MEDIAN(IF('Processed Non-zero TRI Data'!$I:$I=I26,'Processed Non-zero TRI Data'!$X:$X)), "N/A - Facility Does Not Report to TRI")</f>
        <v>N/A - Facility Does Not Report to TRI</v>
      </c>
      <c r="AN26" s="9" t="str">
        <f t="shared" si="24"/>
        <v>N/A - Facility Does Not Report to TRI</v>
      </c>
      <c r="AO26" s="9" t="str">
        <f>IF(COUNTIF('Processed Non-zero TRI Data'!$I:$I,$I26)&gt;0,_xlfn.MAXIFS('Processed Non-zero TRI Data'!$X:$X,'Processed Non-zero TRI Data'!$I:$I,$I26), "N/A - Facility Does Not Report to TRI")</f>
        <v>N/A - Facility Does Not Report to TRI</v>
      </c>
      <c r="AP26" s="9" t="str">
        <f t="shared" si="25"/>
        <v>N/A - Facility Does Not Report to TRI</v>
      </c>
      <c r="AQ26" s="251" t="str" cm="1">
        <f t="array" ref="AQ26">IF(B26="TRI Form A",AC26,IF(AO26=0,"Facility has no transfers to non-POTWs between 2019-2023.",IF(COUNTIF('Processed Non-zero TRI Data'!$I:$I,$I26)&gt;0,INDEX('Processed Non-zero TRI Data'!$A:$A,MATCH(1,($I26='Processed Non-zero TRI Data'!$I:$I)*(AO26='Processed Non-zero TRI Data'!$X:$X),0)),"N/A - Facility Does Not Report to TRI")))</f>
        <v>N/A - Facility Does Not Report to TRI</v>
      </c>
      <c r="AR26" s="260">
        <f t="shared" si="12"/>
        <v>0</v>
      </c>
      <c r="AS26" s="260">
        <f t="shared" si="13"/>
        <v>0.63700111699999995</v>
      </c>
    </row>
    <row r="27" spans="1:45" ht="45" x14ac:dyDescent="0.25">
      <c r="A27" s="12">
        <v>24</v>
      </c>
      <c r="B27" s="10" t="str">
        <f>IFERROR("TRI Form "&amp; VLOOKUP(I27, 'Processed Non-zero TRI Data'!$I$2:$K$6, 3, FALSE), "DMR")</f>
        <v>DMR</v>
      </c>
      <c r="C27" s="181" t="e">
        <f>VLOOKUP(D27,#REF!, 2, FALSE)</f>
        <v>#REF!</v>
      </c>
      <c r="D27" s="181" t="str">
        <f>IF(I27&lt;&gt;"",INDEX('Processed Non-zero TRI Data'!$O:$O,MATCH(I27,'Processed Non-zero TRI Data'!$I:$I,0)),INDEX('Processed Non-zero DMR Data'!$S:$S,MATCH(J27,'Processed Non-zero DMR Data'!$I:$I,0)))</f>
        <v>Impurity in Plastics</v>
      </c>
      <c r="E27" s="181" t="str">
        <f>IF(I27&lt;&gt;"",INDEX('Processed Non-zero TRI Data'!$P:$P,MATCH(I27,'Processed Non-zero TRI Data'!$I:$I,0)),INDEX('Processed Non-zero DMR Data'!$T:$T,MATCH(J27,'Processed Non-zero DMR Data'!$I:$I,0)))</f>
        <v>Plastics SIC/NAICS - EPA-HQ-OPPT-2018-0428-0011 indicates 1,2-dichloropropane can be a residual/byproduct in PVC plastics or a flame retardant plasticizer.</v>
      </c>
      <c r="F27" s="9" t="str">
        <f>_xlfn.XLOOKUP(J27, 'Processed Non-zero DMR Data'!I:I, 'Processed Non-zero DMR Data'!B:B)</f>
        <v>EQUISTAR CHEMICALS LP - LAKE CHARLES POLYMERS SITE</v>
      </c>
      <c r="G27" s="9" t="str">
        <f>_xlfn.XLOOKUP(J27, 'Processed Non-zero DMR Data'!I:I, 'Processed Non-zero DMR Data'!C:C)</f>
        <v>WESTLAKE</v>
      </c>
      <c r="H27" s="231" t="str">
        <f>_xlfn.XLOOKUP(J27, 'Processed Non-zero DMR Data'!I:I, 'Processed Non-zero DMR Data'!E:E)</f>
        <v>LA</v>
      </c>
      <c r="I27" s="231"/>
      <c r="J27" s="13">
        <v>110000597266</v>
      </c>
      <c r="K27" s="9" t="str">
        <f>IFERROR(INDEX('Raw Non-zero DMR Data'!$C:$C, MATCH(J27,'Raw Non-zero DMR Data'!$D:$D,0)),"")</f>
        <v>LA0003689</v>
      </c>
      <c r="L27" s="9" t="str">
        <f>IFERROR(INDEX('Raw Non-zero DMR Data'!$U:$U, MATCH($J27,'Raw Non-zero DMR Data'!$D:$D,0)),"")</f>
        <v>Maple Fork-Bayou D'Inde</v>
      </c>
      <c r="M27" s="155" t="str">
        <f>IFERROR(INDEX('Raw Non-zero DMR Data'!$T:$T, MATCH($J27,'Raw Non-zero DMR Data'!$D:$D,0)),"")</f>
        <v>080802060301</v>
      </c>
      <c r="N27" s="155" t="str">
        <f>IFERROR(INDEX('Off-site Locations'!$E:$E,MATCH(I27,'Off-site Locations'!$B:$B,0)),"No offsite transfers")</f>
        <v>No offsite transfers</v>
      </c>
      <c r="O27" s="165">
        <f>INDEX('TRI and DMR OES Summary'!D:D,MATCH('Facility Discharge Summary'!D27,'TRI and DMR OES Summary'!A:A,0))</f>
        <v>350</v>
      </c>
      <c r="P27" s="17" cm="1">
        <f t="array" ref="P27">IFERROR(_xlfn.XLOOKUP(1,  (MAX(IF(J27 = 'Processed Non-zero DMR Data'!$I$2:$I$651,'Processed Non-zero DMR Data'!$A$2:$A$651)) = 'Processed Non-zero DMR Data'!$A$2:$A$651)*('Processed Non-zero DMR Data'!$I$2:$I$651 = J27),'Processed Non-zero DMR Data'!$W$2:$W$651), "N/A- Facility Does Not Report DMRs")</f>
        <v>0.82855000000000001</v>
      </c>
      <c r="Q27" s="10">
        <f t="shared" si="14"/>
        <v>2.3672857142857141E-3</v>
      </c>
      <c r="R27" s="10" cm="1">
        <f t="array" ref="R27">IF(COUNTIF('Processed Non-zero DMR Data'!$I:$I,$J27)&gt;0,MEDIAN(IF('Processed Non-zero DMR Data'!$I:$I=J27,'Processed Non-zero DMR Data'!$W:$W)),"N/A - Facility Does Not Report DMRs")</f>
        <v>0.414275</v>
      </c>
      <c r="S27" s="10">
        <f t="shared" si="15"/>
        <v>1.1836428571428571E-3</v>
      </c>
      <c r="T27" s="10">
        <f>IF(COUNTIF('Processed Non-zero DMR Data'!$I:$I,$J27)&gt;0,_xlfn.MAXIFS('Processed Non-zero DMR Data'!$W:$W,'Processed Non-zero DMR Data'!$I:$I,$J27), "N/A - Facility Does Not Report DMRs")</f>
        <v>0.82855000000000001</v>
      </c>
      <c r="U27" s="10">
        <f t="shared" si="16"/>
        <v>2.3672857142857141E-3</v>
      </c>
      <c r="V27" s="158" cm="1">
        <f t="array" ref="V27">IF(COUNTIF('Processed Non-zero DMR Data'!$I:$I,$J27)&gt;0,INDEX('Processed Non-zero DMR Data'!$A:$A,MATCH(1,($J27='Processed Non-zero DMR Data'!$I:$I)*($T27='Processed Non-zero DMR Data'!$W:$W),0)), "N/A - Facility Does Not Report DMRs")</f>
        <v>2021</v>
      </c>
      <c r="W27" s="17" t="str" cm="1">
        <f t="array" ref="W27">IFERROR(_xlfn.XLOOKUP(1,  (MAX(IF(I27 = 'Processed Non-zero TRI Data'!$I$2:$I$6,'Processed Non-zero TRI Data'!$A$2:$A$6)) = 'Processed Non-zero TRI Data'!$A$2:$A$6)*('Processed Non-zero TRI Data'!$I$2:$I$6 = I27), 'Processed Non-zero TRI Data'!$T$2:$T$6), "N/A- Facility Does Not Report to TRI")</f>
        <v>N/A- Facility Does Not Report to TRI</v>
      </c>
      <c r="X27" s="10" t="str">
        <f t="shared" si="17"/>
        <v>N/A - Facility Does Not Report to TRI</v>
      </c>
      <c r="Y27" s="10" t="str" cm="1">
        <f t="array" ref="Y27">IF(COUNTIF('Processed Non-zero TRI Data'!$I:$I,$I27)&gt;0,MEDIAN(IF('Processed Non-zero TRI Data'!$I:$I=I27,'Processed Non-zero TRI Data'!$T:$T)), "N/A - Facility Does Not Report to TRI")</f>
        <v>N/A - Facility Does Not Report to TRI</v>
      </c>
      <c r="Z27" s="10" t="str">
        <f t="shared" si="18"/>
        <v>N/A - Facility Does Not Report to TRI</v>
      </c>
      <c r="AA27" s="10" t="str">
        <f>IF(COUNTIF('Processed Non-zero TRI Data'!$I:$I,$I27)&gt;0,_xlfn.MAXIFS('Processed Non-zero TRI Data'!$T:$T,'Processed Non-zero TRI Data'!$I:$I,$I27), "N/A - Facility Does Not Report to TRI")</f>
        <v>N/A - Facility Does Not Report to TRI</v>
      </c>
      <c r="AB27" s="10" t="str">
        <f t="shared" si="19"/>
        <v>N/A - Facility Does Not Report to TRI</v>
      </c>
      <c r="AC27" s="158" t="str" cm="1">
        <f t="array" ref="AC27">IFERROR(IF(B27 = "TRI Form R", IF(AA27 = 0, "Facility has no on-site water discharges between 2017-2022.",  IF(COUNTIF('Processed Non-zero TRI Data'!$I:$I,$I27)&gt;0,INDEX('Processed Non-zero TRI Data'!$A:$A,MATCH(1,($I27='Processed Non-zero TRI Data'!$I:$I)*(AA27='Processed Non-zero TRI Data'!$T:$T),0)))), VLOOKUP(I27,#REF!, 2, FALSE)), ("N/A - Facility Does Not Report to TRI"))</f>
        <v>N/A - Facility Does Not Report to TRI</v>
      </c>
      <c r="AD27" s="97" t="str" cm="1">
        <f t="array" ref="AD27">IFERROR(_xlfn.XLOOKUP(1,  (MAX(IF(I27 = 'Processed Non-zero TRI Data'!$I$2:$I$6,'Processed Non-zero TRI Data'!$A$2:$A$6)) = 'Processed Non-zero TRI Data'!$A$2:$A$6)*('Processed Non-zero TRI Data'!$I$2:$I$6 = I27), 'Processed Non-zero TRI Data'!$V$2:$V$6), "N/A- Facility Does Not Report to TRI")</f>
        <v>N/A- Facility Does Not Report to TRI</v>
      </c>
      <c r="AE27" s="9" t="str">
        <f t="shared" si="20"/>
        <v>N/A - Facility Does Not Report to TRI</v>
      </c>
      <c r="AF27" s="9" t="str" cm="1">
        <f t="array" ref="AF27">IF(COUNTIF('Processed Non-zero TRI Data'!$I:$I,$I27)&gt;0,MEDIAN(IF('Processed Non-zero TRI Data'!$I:$I=I27,'Processed Non-zero TRI Data'!$V:$V)), "N/A - Facility Does Not Report to TRI")</f>
        <v>N/A - Facility Does Not Report to TRI</v>
      </c>
      <c r="AG27" s="9" t="str">
        <f t="shared" si="21"/>
        <v>N/A - Facility Does Not Report to TRI</v>
      </c>
      <c r="AH27" s="9" t="str">
        <f>IF(COUNTIF('Processed Non-zero TRI Data'!$I:$I,$I27)&gt;0,_xlfn.MAXIFS('Processed Non-zero TRI Data'!$V:$V,'Processed Non-zero TRI Data'!$I:$I,$I27), "N/A - Facility Does Not Report to TRI")</f>
        <v>N/A - Facility Does Not Report to TRI</v>
      </c>
      <c r="AI27" s="9" t="str">
        <f t="shared" si="22"/>
        <v>N/A - Facility Does Not Report to TRI</v>
      </c>
      <c r="AJ27" s="158" t="str" cm="1">
        <f t="array" ref="AJ27">IF(B27="TRI Form A",AC27,IF(AH27=0,"Facility has no transfers to POTWs between 2019-2023.",IF(COUNTIF('Processed Non-zero TRI Data'!$I:$I,$I27)&gt;0,INDEX('Processed Non-zero TRI Data'!$A:$A,MATCH(1,($I27='Processed Non-zero TRI Data'!$I:$I)*(AH27='Processed Non-zero TRI Data'!$V:$V),0)),"N/A - Facility Does Not Report to TRI")))</f>
        <v>N/A - Facility Does Not Report to TRI</v>
      </c>
      <c r="AK27" s="97" t="str" cm="1">
        <f t="array" ref="AK27">IFERROR(_xlfn.XLOOKUP(1,  (MAX(IF(I27 = 'Processed Non-zero TRI Data'!$I$2:$I$6,'Processed Non-zero TRI Data'!$A$2:$A$6)) = 'Processed Non-zero TRI Data'!$A$2:$A$6)*('Processed Non-zero TRI Data'!$I$2:$I$6 = I27), 'Processed Non-zero TRI Data'!$X$2:$X$6), "N/A- Facility Does Not Report to TRI")</f>
        <v>N/A- Facility Does Not Report to TRI</v>
      </c>
      <c r="AL27" s="9" t="str">
        <f t="shared" si="23"/>
        <v>N/A - Facility Does Not Report to TRI</v>
      </c>
      <c r="AM27" s="9" t="str" cm="1">
        <f t="array" ref="AM27">IF(COUNTIF('Processed Non-zero TRI Data'!$I:$I,$I27)&gt;0,MEDIAN(IF('Processed Non-zero TRI Data'!$I:$I=I27,'Processed Non-zero TRI Data'!$X:$X)), "N/A - Facility Does Not Report to TRI")</f>
        <v>N/A - Facility Does Not Report to TRI</v>
      </c>
      <c r="AN27" s="9" t="str">
        <f t="shared" si="24"/>
        <v>N/A - Facility Does Not Report to TRI</v>
      </c>
      <c r="AO27" s="9" t="str">
        <f>IF(COUNTIF('Processed Non-zero TRI Data'!$I:$I,$I27)&gt;0,_xlfn.MAXIFS('Processed Non-zero TRI Data'!$X:$X,'Processed Non-zero TRI Data'!$I:$I,$I27), "N/A - Facility Does Not Report to TRI")</f>
        <v>N/A - Facility Does Not Report to TRI</v>
      </c>
      <c r="AP27" s="9" t="str">
        <f t="shared" si="25"/>
        <v>N/A - Facility Does Not Report to TRI</v>
      </c>
      <c r="AQ27" s="251" t="str" cm="1">
        <f t="array" ref="AQ27">IF(B27="TRI Form A",AC27,IF(AO27=0,"Facility has no transfers to non-POTWs between 2019-2023.",IF(COUNTIF('Processed Non-zero TRI Data'!$I:$I,$I27)&gt;0,INDEX('Processed Non-zero TRI Data'!$A:$A,MATCH(1,($I27='Processed Non-zero TRI Data'!$I:$I)*(AO27='Processed Non-zero TRI Data'!$X:$X),0)),"N/A - Facility Does Not Report to TRI")))</f>
        <v>N/A - Facility Does Not Report to TRI</v>
      </c>
      <c r="AR27" s="260">
        <f t="shared" si="12"/>
        <v>0</v>
      </c>
      <c r="AS27" s="260">
        <f t="shared" si="13"/>
        <v>0.82855000000000001</v>
      </c>
    </row>
    <row r="28" spans="1:45" ht="30" x14ac:dyDescent="0.25">
      <c r="A28" s="12">
        <v>25</v>
      </c>
      <c r="B28" s="10" t="str">
        <f>IFERROR("TRI Form "&amp; VLOOKUP(I28, 'Processed Non-zero TRI Data'!$I$2:$K$6, 3, FALSE), "DMR")</f>
        <v>DMR</v>
      </c>
      <c r="C28" s="181" t="e">
        <f>VLOOKUP(D28,#REF!, 2, FALSE)</f>
        <v>#REF!</v>
      </c>
      <c r="D28" s="181" t="str">
        <f>IF(I28&lt;&gt;"",INDEX('Processed Non-zero TRI Data'!$O:$O,MATCH(I28,'Processed Non-zero TRI Data'!$I:$I,0)),INDEX('Processed Non-zero DMR Data'!$S:$S,MATCH(J28,'Processed Non-zero DMR Data'!$I:$I,0)))</f>
        <v>Waste Handling, Disposal and Treatment (POTW)</v>
      </c>
      <c r="E28" s="181" t="str">
        <f>IF(I28&lt;&gt;"",INDEX('Processed Non-zero TRI Data'!$P:$P,MATCH(I28,'Processed Non-zero TRI Data'!$I:$I,0)),INDEX('Processed Non-zero DMR Data'!$T:$T,MATCH(J28,'Processed Non-zero DMR Data'!$I:$I,0)))</f>
        <v>POTW indicator in DMR</v>
      </c>
      <c r="F28" s="9" t="str">
        <f>_xlfn.XLOOKUP(J28, 'Processed Non-zero DMR Data'!I:I, 'Processed Non-zero DMR Data'!B:B)</f>
        <v>SANTA ROSA WATER - LAGUNA TREATMENT PLANT</v>
      </c>
      <c r="G28" s="9" t="str">
        <f>_xlfn.XLOOKUP(J28, 'Processed Non-zero DMR Data'!I:I, 'Processed Non-zero DMR Data'!C:C)</f>
        <v>SANTA ROSA</v>
      </c>
      <c r="H28" s="9" t="str">
        <f>_xlfn.XLOOKUP(J28, 'Processed Non-zero DMR Data'!I:I, 'Processed Non-zero DMR Data'!E:E)</f>
        <v>CA</v>
      </c>
      <c r="I28" s="9"/>
      <c r="J28" s="13">
        <v>110000730460</v>
      </c>
      <c r="K28" s="9" t="str">
        <f>IFERROR(INDEX('Raw Non-zero DMR Data'!$C:$C, MATCH(J28,'Raw Non-zero DMR Data'!$D:$D,0)),"")</f>
        <v>CA0022764</v>
      </c>
      <c r="L28" s="9" t="str">
        <f>IFERROR(INDEX('Raw Non-zero DMR Data'!$U:$U, MATCH($J28,'Raw Non-zero DMR Data'!$D:$D,0)),"")</f>
        <v>Upper Laguna De Santa Rosa</v>
      </c>
      <c r="M28" s="155">
        <f>IFERROR(INDEX('Raw Non-zero DMR Data'!$T:$T, MATCH($J28,'Raw Non-zero DMR Data'!$D:$D,0)),"")</f>
        <v>180101100701</v>
      </c>
      <c r="N28" s="155" t="str">
        <f>IFERROR(INDEX('Off-site Locations'!$E:$E,MATCH(I28,'Off-site Locations'!$B:$B,0)),"No offsite transfers")</f>
        <v>No offsite transfers</v>
      </c>
      <c r="O28" s="165">
        <f>INDEX('TRI and DMR OES Summary'!D:D,MATCH('Facility Discharge Summary'!D28,'TRI and DMR OES Summary'!A:A,0))</f>
        <v>365</v>
      </c>
      <c r="P28" s="17" cm="1">
        <f t="array" ref="P28">IFERROR(_xlfn.XLOOKUP(1,  (MAX(IF(J28 = 'Processed Non-zero DMR Data'!$I$2:$I$651,'Processed Non-zero DMR Data'!$A$2:$A$651)) = 'Processed Non-zero DMR Data'!$A$2:$A$651)*('Processed Non-zero DMR Data'!$I$2:$I$651 = J28),'Processed Non-zero DMR Data'!$W$2:$W$651), "N/A- Facility Does Not Report DMRs")</f>
        <v>2.2312574999999999</v>
      </c>
      <c r="Q28" s="10">
        <f t="shared" si="14"/>
        <v>6.1130342465753424E-3</v>
      </c>
      <c r="R28" s="10" cm="1">
        <f t="array" ref="R28">IF(COUNTIF('Processed Non-zero DMR Data'!$I:$I,$J28)&gt;0,MEDIAN(IF('Processed Non-zero DMR Data'!$I:$I=J28,'Processed Non-zero DMR Data'!$W:$W)),"N/A - Facility Does Not Report DMRs")</f>
        <v>2.51229375</v>
      </c>
      <c r="S28" s="10">
        <f t="shared" si="15"/>
        <v>6.8829965753424661E-3</v>
      </c>
      <c r="T28" s="10">
        <f>IF(COUNTIF('Processed Non-zero DMR Data'!$I:$I,$J28)&gt;0,_xlfn.MAXIFS('Processed Non-zero DMR Data'!$W:$W,'Processed Non-zero DMR Data'!$I:$I,$J28), "N/A - Facility Does Not Report DMRs")</f>
        <v>3.9515400000000001</v>
      </c>
      <c r="U28" s="10">
        <f t="shared" si="16"/>
        <v>1.0826136986301371E-2</v>
      </c>
      <c r="V28" s="158" cm="1">
        <f t="array" ref="V28">IF(COUNTIF('Processed Non-zero DMR Data'!$I:$I,$J28)&gt;0,INDEX('Processed Non-zero DMR Data'!$A:$A,MATCH(1,($J28='Processed Non-zero DMR Data'!$I:$I)*($T28='Processed Non-zero DMR Data'!$W:$W),0)), "N/A - Facility Does Not Report DMRs")</f>
        <v>2019</v>
      </c>
      <c r="W28" s="17" t="str" cm="1">
        <f t="array" ref="W28">IFERROR(_xlfn.XLOOKUP(1,  (MAX(IF(I28 = 'Processed Non-zero TRI Data'!$I$2:$I$6,'Processed Non-zero TRI Data'!$A$2:$A$6)) = 'Processed Non-zero TRI Data'!$A$2:$A$6)*('Processed Non-zero TRI Data'!$I$2:$I$6 = I28), 'Processed Non-zero TRI Data'!$T$2:$T$6), "N/A- Facility Does Not Report to TRI")</f>
        <v>N/A- Facility Does Not Report to TRI</v>
      </c>
      <c r="X28" s="10" t="str">
        <f t="shared" si="17"/>
        <v>N/A - Facility Does Not Report to TRI</v>
      </c>
      <c r="Y28" s="10" t="str" cm="1">
        <f t="array" ref="Y28">IF(COUNTIF('Processed Non-zero TRI Data'!$I:$I,$I28)&gt;0,MEDIAN(IF('Processed Non-zero TRI Data'!$I:$I=I28,'Processed Non-zero TRI Data'!$T:$T)), "N/A - Facility Does Not Report to TRI")</f>
        <v>N/A - Facility Does Not Report to TRI</v>
      </c>
      <c r="Z28" s="10" t="str">
        <f t="shared" si="18"/>
        <v>N/A - Facility Does Not Report to TRI</v>
      </c>
      <c r="AA28" s="10" t="str">
        <f>IF(COUNTIF('Processed Non-zero TRI Data'!$I:$I,$I28)&gt;0,_xlfn.MAXIFS('Processed Non-zero TRI Data'!$T:$T,'Processed Non-zero TRI Data'!$I:$I,$I28), "N/A - Facility Does Not Report to TRI")</f>
        <v>N/A - Facility Does Not Report to TRI</v>
      </c>
      <c r="AB28" s="10" t="str">
        <f t="shared" si="19"/>
        <v>N/A - Facility Does Not Report to TRI</v>
      </c>
      <c r="AC28" s="158" t="str" cm="1">
        <f t="array" ref="AC28">IFERROR(IF(B28 = "TRI Form R", IF(AA28 = 0, "Facility has no on-site water discharges between 2017-2022.",  IF(COUNTIF('Processed Non-zero TRI Data'!$I:$I,$I28)&gt;0,INDEX('Processed Non-zero TRI Data'!$A:$A,MATCH(1,($I28='Processed Non-zero TRI Data'!$I:$I)*(AA28='Processed Non-zero TRI Data'!$T:$T),0)))), VLOOKUP(I28,#REF!, 2, FALSE)), ("N/A - Facility Does Not Report to TRI"))</f>
        <v>N/A - Facility Does Not Report to TRI</v>
      </c>
      <c r="AD28" s="97" t="str" cm="1">
        <f t="array" ref="AD28">IFERROR(_xlfn.XLOOKUP(1,  (MAX(IF(I28 = 'Processed Non-zero TRI Data'!$I$2:$I$6,'Processed Non-zero TRI Data'!$A$2:$A$6)) = 'Processed Non-zero TRI Data'!$A$2:$A$6)*('Processed Non-zero TRI Data'!$I$2:$I$6 = I28), 'Processed Non-zero TRI Data'!$V$2:$V$6), "N/A- Facility Does Not Report to TRI")</f>
        <v>N/A- Facility Does Not Report to TRI</v>
      </c>
      <c r="AE28" s="9" t="str">
        <f t="shared" si="20"/>
        <v>N/A - Facility Does Not Report to TRI</v>
      </c>
      <c r="AF28" s="9" t="str" cm="1">
        <f t="array" ref="AF28">IF(COUNTIF('Processed Non-zero TRI Data'!$I:$I,$I28)&gt;0,MEDIAN(IF('Processed Non-zero TRI Data'!$I:$I=I28,'Processed Non-zero TRI Data'!$V:$V)), "N/A - Facility Does Not Report to TRI")</f>
        <v>N/A - Facility Does Not Report to TRI</v>
      </c>
      <c r="AG28" s="9" t="str">
        <f t="shared" si="21"/>
        <v>N/A - Facility Does Not Report to TRI</v>
      </c>
      <c r="AH28" s="9" t="str">
        <f>IF(COUNTIF('Processed Non-zero TRI Data'!$I:$I,$I28)&gt;0,_xlfn.MAXIFS('Processed Non-zero TRI Data'!$V:$V,'Processed Non-zero TRI Data'!$I:$I,$I28), "N/A - Facility Does Not Report to TRI")</f>
        <v>N/A - Facility Does Not Report to TRI</v>
      </c>
      <c r="AI28" s="9" t="str">
        <f t="shared" si="22"/>
        <v>N/A - Facility Does Not Report to TRI</v>
      </c>
      <c r="AJ28" s="158" t="str" cm="1">
        <f t="array" ref="AJ28">IF(B28="TRI Form A",AC28,IF(AH28=0,"Facility has no transfers to POTWs between 2019-2023.",IF(COUNTIF('Processed Non-zero TRI Data'!$I:$I,$I28)&gt;0,INDEX('Processed Non-zero TRI Data'!$A:$A,MATCH(1,($I28='Processed Non-zero TRI Data'!$I:$I)*(AH28='Processed Non-zero TRI Data'!$V:$V),0)),"N/A - Facility Does Not Report to TRI")))</f>
        <v>N/A - Facility Does Not Report to TRI</v>
      </c>
      <c r="AK28" s="97" t="str" cm="1">
        <f t="array" ref="AK28">IFERROR(_xlfn.XLOOKUP(1,  (MAX(IF(I28 = 'Processed Non-zero TRI Data'!$I$2:$I$6,'Processed Non-zero TRI Data'!$A$2:$A$6)) = 'Processed Non-zero TRI Data'!$A$2:$A$6)*('Processed Non-zero TRI Data'!$I$2:$I$6 = I28), 'Processed Non-zero TRI Data'!$X$2:$X$6), "N/A- Facility Does Not Report to TRI")</f>
        <v>N/A- Facility Does Not Report to TRI</v>
      </c>
      <c r="AL28" s="9" t="str">
        <f t="shared" si="23"/>
        <v>N/A - Facility Does Not Report to TRI</v>
      </c>
      <c r="AM28" s="9" t="str" cm="1">
        <f t="array" ref="AM28">IF(COUNTIF('Processed Non-zero TRI Data'!$I:$I,$I28)&gt;0,MEDIAN(IF('Processed Non-zero TRI Data'!$I:$I=I28,'Processed Non-zero TRI Data'!$X:$X)), "N/A - Facility Does Not Report to TRI")</f>
        <v>N/A - Facility Does Not Report to TRI</v>
      </c>
      <c r="AN28" s="9" t="str">
        <f t="shared" si="24"/>
        <v>N/A - Facility Does Not Report to TRI</v>
      </c>
      <c r="AO28" s="9" t="str">
        <f>IF(COUNTIF('Processed Non-zero TRI Data'!$I:$I,$I28)&gt;0,_xlfn.MAXIFS('Processed Non-zero TRI Data'!$X:$X,'Processed Non-zero TRI Data'!$I:$I,$I28), "N/A - Facility Does Not Report to TRI")</f>
        <v>N/A - Facility Does Not Report to TRI</v>
      </c>
      <c r="AP28" s="9" t="str">
        <f t="shared" si="25"/>
        <v>N/A - Facility Does Not Report to TRI</v>
      </c>
      <c r="AQ28" s="251" t="str" cm="1">
        <f t="array" ref="AQ28">IF(B28="TRI Form A",AC28,IF(AO28=0,"Facility has no transfers to non-POTWs between 2019-2023.",IF(COUNTIF('Processed Non-zero TRI Data'!$I:$I,$I28)&gt;0,INDEX('Processed Non-zero TRI Data'!$A:$A,MATCH(1,($I28='Processed Non-zero TRI Data'!$I:$I)*(AO28='Processed Non-zero TRI Data'!$X:$X),0)),"N/A - Facility Does Not Report to TRI")))</f>
        <v>N/A - Facility Does Not Report to TRI</v>
      </c>
      <c r="AR28" s="260">
        <f t="shared" si="12"/>
        <v>0</v>
      </c>
      <c r="AS28" s="260">
        <f t="shared" si="13"/>
        <v>3.9515400000000001</v>
      </c>
    </row>
    <row r="29" spans="1:45" ht="30" x14ac:dyDescent="0.25">
      <c r="A29" s="12">
        <v>26</v>
      </c>
      <c r="B29" s="10" t="str">
        <f>IFERROR("TRI Form "&amp; VLOOKUP(I29, 'Processed Non-zero TRI Data'!$I$2:$K$6, 3, FALSE), "DMR")</f>
        <v>DMR</v>
      </c>
      <c r="C29" s="181" t="e">
        <f>VLOOKUP(D29,#REF!, 2, FALSE)</f>
        <v>#REF!</v>
      </c>
      <c r="D29" s="181" t="str">
        <f>IF(I29&lt;&gt;"",INDEX('Processed Non-zero TRI Data'!$O:$O,MATCH(I29,'Processed Non-zero TRI Data'!$I:$I,0)),INDEX('Processed Non-zero DMR Data'!$S:$S,MATCH(J29,'Processed Non-zero DMR Data'!$I:$I,0)))</f>
        <v>Waste Handling, Disposal and Treatment (POTW)</v>
      </c>
      <c r="E29" s="181" t="str">
        <f>IF(I29&lt;&gt;"",INDEX('Processed Non-zero TRI Data'!$P:$P,MATCH(I29,'Processed Non-zero TRI Data'!$I:$I,0)),INDEX('Processed Non-zero DMR Data'!$T:$T,MATCH(J29,'Processed Non-zero DMR Data'!$I:$I,0)))</f>
        <v>POTW indicator in DMR</v>
      </c>
      <c r="F29" s="9" t="str">
        <f>_xlfn.XLOOKUP(J29, 'Processed Non-zero DMR Data'!I:I, 'Processed Non-zero DMR Data'!B:B)</f>
        <v>MOUNT STERLING HINKSTON CREEK STP</v>
      </c>
      <c r="G29" s="9" t="str">
        <f>_xlfn.XLOOKUP(J29, 'Processed Non-zero DMR Data'!I:I, 'Processed Non-zero DMR Data'!C:C)</f>
        <v>MT STERLING</v>
      </c>
      <c r="H29" s="9" t="str">
        <f>_xlfn.XLOOKUP(J29, 'Processed Non-zero DMR Data'!I:I, 'Processed Non-zero DMR Data'!E:E)</f>
        <v>KY</v>
      </c>
      <c r="I29" s="9"/>
      <c r="J29" s="13">
        <v>110039705361</v>
      </c>
      <c r="K29" s="9" t="str">
        <f>IFERROR(INDEX('Raw Non-zero DMR Data'!$C:$C, MATCH(J29,'Raw Non-zero DMR Data'!$D:$D,0)),"")</f>
        <v>KY0104400</v>
      </c>
      <c r="L29" s="9" t="str">
        <f>IFERROR(INDEX('Raw Non-zero DMR Data'!$U:$U, MATCH($J29,'Raw Non-zero DMR Data'!$D:$D,0)),"")</f>
        <v>Headwaters Hinkston Creek</v>
      </c>
      <c r="M29" s="155" t="str">
        <f>IFERROR(INDEX('Raw Non-zero DMR Data'!$T:$T, MATCH($J29,'Raw Non-zero DMR Data'!$D:$D,0)),"")</f>
        <v>051001020302</v>
      </c>
      <c r="N29" s="155" t="str">
        <f>IFERROR(INDEX('Off-site Locations'!$E:$E,MATCH(I29,'Off-site Locations'!$B:$B,0)),"No offsite transfers")</f>
        <v>No offsite transfers</v>
      </c>
      <c r="O29" s="165">
        <f>INDEX('TRI and DMR OES Summary'!D:D,MATCH('Facility Discharge Summary'!D29,'TRI and DMR OES Summary'!A:A,0))</f>
        <v>365</v>
      </c>
      <c r="P29" s="17" cm="1">
        <f t="array" ref="P29">IFERROR(_xlfn.XLOOKUP(1,  (MAX(IF(J29 = 'Processed Non-zero DMR Data'!$I$2:$I$651,'Processed Non-zero DMR Data'!$A$2:$A$651)) = 'Processed Non-zero DMR Data'!$A$2:$A$651)*('Processed Non-zero DMR Data'!$I$2:$I$651 = J29),'Processed Non-zero DMR Data'!$W$2:$W$651), "N/A- Facility Does Not Report DMRs")</f>
        <v>7.4256968749999999</v>
      </c>
      <c r="Q29" s="10">
        <f t="shared" si="14"/>
        <v>2.0344375000000001E-2</v>
      </c>
      <c r="R29" s="10" cm="1">
        <f t="array" ref="R29">IF(COUNTIF('Processed Non-zero DMR Data'!$I:$I,$J29)&gt;0,MEDIAN(IF('Processed Non-zero DMR Data'!$I:$I=J29,'Processed Non-zero DMR Data'!$W:$W)),"N/A - Facility Does Not Report DMRs")</f>
        <v>7.4256968749999999</v>
      </c>
      <c r="S29" s="10">
        <f t="shared" si="15"/>
        <v>2.0344375000000001E-2</v>
      </c>
      <c r="T29" s="10">
        <f>IF(COUNTIF('Processed Non-zero DMR Data'!$I:$I,$J29)&gt;0,_xlfn.MAXIFS('Processed Non-zero DMR Data'!$W:$W,'Processed Non-zero DMR Data'!$I:$I,$J29), "N/A - Facility Does Not Report DMRs")</f>
        <v>11.086738125</v>
      </c>
      <c r="U29" s="10">
        <f t="shared" si="16"/>
        <v>3.0374624999999999E-2</v>
      </c>
      <c r="V29" s="158" cm="1">
        <f t="array" ref="V29">IF(COUNTIF('Processed Non-zero DMR Data'!$I:$I,$J29)&gt;0,INDEX('Processed Non-zero DMR Data'!$A:$A,MATCH(1,($J29='Processed Non-zero DMR Data'!$I:$I)*($T29='Processed Non-zero DMR Data'!$W:$W),0)), "N/A - Facility Does Not Report DMRs")</f>
        <v>2019</v>
      </c>
      <c r="W29" s="17" t="str" cm="1">
        <f t="array" ref="W29">IFERROR(_xlfn.XLOOKUP(1,  (MAX(IF(I29 = 'Processed Non-zero TRI Data'!$I$2:$I$6,'Processed Non-zero TRI Data'!$A$2:$A$6)) = 'Processed Non-zero TRI Data'!$A$2:$A$6)*('Processed Non-zero TRI Data'!$I$2:$I$6 = I29), 'Processed Non-zero TRI Data'!$T$2:$T$6), "N/A- Facility Does Not Report to TRI")</f>
        <v>N/A- Facility Does Not Report to TRI</v>
      </c>
      <c r="X29" s="10" t="str">
        <f t="shared" si="17"/>
        <v>N/A - Facility Does Not Report to TRI</v>
      </c>
      <c r="Y29" s="10" t="str" cm="1">
        <f t="array" ref="Y29">IF(COUNTIF('Processed Non-zero TRI Data'!$I:$I,$I29)&gt;0,MEDIAN(IF('Processed Non-zero TRI Data'!$I:$I=I29,'Processed Non-zero TRI Data'!$T:$T)), "N/A - Facility Does Not Report to TRI")</f>
        <v>N/A - Facility Does Not Report to TRI</v>
      </c>
      <c r="Z29" s="10" t="str">
        <f t="shared" si="18"/>
        <v>N/A - Facility Does Not Report to TRI</v>
      </c>
      <c r="AA29" s="10" t="str">
        <f>IF(COUNTIF('Processed Non-zero TRI Data'!$I:$I,$I29)&gt;0,_xlfn.MAXIFS('Processed Non-zero TRI Data'!$T:$T,'Processed Non-zero TRI Data'!$I:$I,$I29), "N/A - Facility Does Not Report to TRI")</f>
        <v>N/A - Facility Does Not Report to TRI</v>
      </c>
      <c r="AB29" s="10" t="str">
        <f t="shared" si="19"/>
        <v>N/A - Facility Does Not Report to TRI</v>
      </c>
      <c r="AC29" s="158" t="str" cm="1">
        <f t="array" ref="AC29">IFERROR(IF(B29 = "TRI Form R", IF(AA29 = 0, "Facility has no on-site water discharges between 2017-2022.",  IF(COUNTIF('Processed Non-zero TRI Data'!$I:$I,$I29)&gt;0,INDEX('Processed Non-zero TRI Data'!$A:$A,MATCH(1,($I29='Processed Non-zero TRI Data'!$I:$I)*(AA29='Processed Non-zero TRI Data'!$T:$T),0)))), VLOOKUP(I29,#REF!, 2, FALSE)), ("N/A - Facility Does Not Report to TRI"))</f>
        <v>N/A - Facility Does Not Report to TRI</v>
      </c>
      <c r="AD29" s="97" t="str" cm="1">
        <f t="array" ref="AD29">IFERROR(_xlfn.XLOOKUP(1,  (MAX(IF(I29 = 'Processed Non-zero TRI Data'!$I$2:$I$6,'Processed Non-zero TRI Data'!$A$2:$A$6)) = 'Processed Non-zero TRI Data'!$A$2:$A$6)*('Processed Non-zero TRI Data'!$I$2:$I$6 = I29), 'Processed Non-zero TRI Data'!$V$2:$V$6), "N/A- Facility Does Not Report to TRI")</f>
        <v>N/A- Facility Does Not Report to TRI</v>
      </c>
      <c r="AE29" s="9" t="str">
        <f t="shared" si="20"/>
        <v>N/A - Facility Does Not Report to TRI</v>
      </c>
      <c r="AF29" s="9" t="str" cm="1">
        <f t="array" ref="AF29">IF(COUNTIF('Processed Non-zero TRI Data'!$I:$I,$I29)&gt;0,MEDIAN(IF('Processed Non-zero TRI Data'!$I:$I=I29,'Processed Non-zero TRI Data'!$V:$V)), "N/A - Facility Does Not Report to TRI")</f>
        <v>N/A - Facility Does Not Report to TRI</v>
      </c>
      <c r="AG29" s="9" t="str">
        <f t="shared" si="21"/>
        <v>N/A - Facility Does Not Report to TRI</v>
      </c>
      <c r="AH29" s="9" t="str">
        <f>IF(COUNTIF('Processed Non-zero TRI Data'!$I:$I,$I29)&gt;0,_xlfn.MAXIFS('Processed Non-zero TRI Data'!$V:$V,'Processed Non-zero TRI Data'!$I:$I,$I29), "N/A - Facility Does Not Report to TRI")</f>
        <v>N/A - Facility Does Not Report to TRI</v>
      </c>
      <c r="AI29" s="9" t="str">
        <f t="shared" si="22"/>
        <v>N/A - Facility Does Not Report to TRI</v>
      </c>
      <c r="AJ29" s="158" t="str" cm="1">
        <f t="array" ref="AJ29">IF(B29="TRI Form A",AC29,IF(AH29=0,"Facility has no transfers to POTWs between 2019-2023.",IF(COUNTIF('Processed Non-zero TRI Data'!$I:$I,$I29)&gt;0,INDEX('Processed Non-zero TRI Data'!$A:$A,MATCH(1,($I29='Processed Non-zero TRI Data'!$I:$I)*(AH29='Processed Non-zero TRI Data'!$V:$V),0)),"N/A - Facility Does Not Report to TRI")))</f>
        <v>N/A - Facility Does Not Report to TRI</v>
      </c>
      <c r="AK29" s="97" t="str" cm="1">
        <f t="array" ref="AK29">IFERROR(_xlfn.XLOOKUP(1,  (MAX(IF(I29 = 'Processed Non-zero TRI Data'!$I$2:$I$6,'Processed Non-zero TRI Data'!$A$2:$A$6)) = 'Processed Non-zero TRI Data'!$A$2:$A$6)*('Processed Non-zero TRI Data'!$I$2:$I$6 = I29), 'Processed Non-zero TRI Data'!$X$2:$X$6), "N/A- Facility Does Not Report to TRI")</f>
        <v>N/A- Facility Does Not Report to TRI</v>
      </c>
      <c r="AL29" s="9" t="str">
        <f t="shared" si="23"/>
        <v>N/A - Facility Does Not Report to TRI</v>
      </c>
      <c r="AM29" s="9" t="str" cm="1">
        <f t="array" ref="AM29">IF(COUNTIF('Processed Non-zero TRI Data'!$I:$I,$I29)&gt;0,MEDIAN(IF('Processed Non-zero TRI Data'!$I:$I=I29,'Processed Non-zero TRI Data'!$X:$X)), "N/A - Facility Does Not Report to TRI")</f>
        <v>N/A - Facility Does Not Report to TRI</v>
      </c>
      <c r="AN29" s="9" t="str">
        <f t="shared" si="24"/>
        <v>N/A - Facility Does Not Report to TRI</v>
      </c>
      <c r="AO29" s="9" t="str">
        <f>IF(COUNTIF('Processed Non-zero TRI Data'!$I:$I,$I29)&gt;0,_xlfn.MAXIFS('Processed Non-zero TRI Data'!$X:$X,'Processed Non-zero TRI Data'!$I:$I,$I29), "N/A - Facility Does Not Report to TRI")</f>
        <v>N/A - Facility Does Not Report to TRI</v>
      </c>
      <c r="AP29" s="9" t="str">
        <f t="shared" si="25"/>
        <v>N/A - Facility Does Not Report to TRI</v>
      </c>
      <c r="AQ29" s="251" t="str" cm="1">
        <f t="array" ref="AQ29">IF(B29="TRI Form A",AC29,IF(AO29=0,"Facility has no transfers to non-POTWs between 2019-2023.",IF(COUNTIF('Processed Non-zero TRI Data'!$I:$I,$I29)&gt;0,INDEX('Processed Non-zero TRI Data'!$A:$A,MATCH(1,($I29='Processed Non-zero TRI Data'!$I:$I)*(AO29='Processed Non-zero TRI Data'!$X:$X),0)),"N/A - Facility Does Not Report to TRI")))</f>
        <v>N/A - Facility Does Not Report to TRI</v>
      </c>
      <c r="AR29" s="260">
        <f t="shared" si="12"/>
        <v>0</v>
      </c>
      <c r="AS29" s="260">
        <f t="shared" si="13"/>
        <v>11.086738125</v>
      </c>
    </row>
    <row r="30" spans="1:45" ht="30" x14ac:dyDescent="0.25">
      <c r="A30" s="12">
        <v>27</v>
      </c>
      <c r="B30" s="10" t="str">
        <f>IFERROR("TRI Form "&amp; VLOOKUP(I30, 'Processed Non-zero TRI Data'!$I$2:$K$6, 3, FALSE), "DMR")</f>
        <v>DMR</v>
      </c>
      <c r="C30" s="181" t="e">
        <f>VLOOKUP(D30,#REF!, 2, FALSE)</f>
        <v>#REF!</v>
      </c>
      <c r="D30" s="181" t="str">
        <f>IF(I30&lt;&gt;"",INDEX('Processed Non-zero TRI Data'!$O:$O,MATCH(I30,'Processed Non-zero TRI Data'!$I:$I,0)),INDEX('Processed Non-zero DMR Data'!$S:$S,MATCH(J30,'Processed Non-zero DMR Data'!$I:$I,0)))</f>
        <v>Processing as a reactant</v>
      </c>
      <c r="E30" s="181" t="str">
        <f>IF(I30&lt;&gt;"",INDEX('Processed Non-zero TRI Data'!$P:$P,MATCH(I30,'Processed Non-zero TRI Data'!$I:$I,0)),INDEX('Processed Non-zero DMR Data'!$T:$T,MATCH(J30,'Processed Non-zero DMR Data'!$I:$I,0)))</f>
        <v>Facility is a specialty chemical manufacturer specializing in alkenyl succinic anhydrides and other chemicals.</v>
      </c>
      <c r="F30" s="9" t="str">
        <f>_xlfn.XLOOKUP(J30, 'Processed Non-zero DMR Data'!I:I, 'Processed Non-zero DMR Data'!B:B)</f>
        <v>BERCEN CHEMICALS LLC</v>
      </c>
      <c r="G30" s="9" t="str">
        <f>_xlfn.XLOOKUP(J30, 'Processed Non-zero DMR Data'!I:I, 'Processed Non-zero DMR Data'!C:C)</f>
        <v>DENHAM SPRINGS</v>
      </c>
      <c r="H30" s="9" t="str">
        <f>_xlfn.XLOOKUP(J30, 'Processed Non-zero DMR Data'!I:I, 'Processed Non-zero DMR Data'!E:E)</f>
        <v>LA</v>
      </c>
      <c r="I30" s="9"/>
      <c r="J30" s="13">
        <v>110000597355</v>
      </c>
      <c r="K30" s="9" t="str">
        <f>IFERROR(INDEX('Raw Non-zero DMR Data'!$C:$C, MATCH(J30,'Raw Non-zero DMR Data'!$D:$D,0)),"")</f>
        <v>LA0048704</v>
      </c>
      <c r="L30" s="9" t="str">
        <f>IFERROR(INDEX('Raw Non-zero DMR Data'!$U:$U, MATCH($J30,'Raw Non-zero DMR Data'!$D:$D,0)),"")</f>
        <v>Grays Creek-Amite River</v>
      </c>
      <c r="M30" s="155" t="str">
        <f>IFERROR(INDEX('Raw Non-zero DMR Data'!$T:$T, MATCH($J30,'Raw Non-zero DMR Data'!$D:$D,0)),"")</f>
        <v>080702020903</v>
      </c>
      <c r="N30" s="155" t="str">
        <f>IFERROR(INDEX('Off-site Locations'!$E:$E,MATCH(I30,'Off-site Locations'!$B:$B,0)),"No offsite transfers")</f>
        <v>No offsite transfers</v>
      </c>
      <c r="O30" s="165">
        <f>INDEX('TRI and DMR OES Summary'!D:D,MATCH('Facility Discharge Summary'!D30,'TRI and DMR OES Summary'!A:A,0))</f>
        <v>350</v>
      </c>
      <c r="P30" s="17" cm="1">
        <f t="array" ref="P30">IFERROR(_xlfn.XLOOKUP(1,  (MAX(IF(J30 = 'Processed Non-zero DMR Data'!$I$2:$I$651,'Processed Non-zero DMR Data'!$A$2:$A$651)) = 'Processed Non-zero DMR Data'!$A$2:$A$651)*('Processed Non-zero DMR Data'!$I$2:$I$651 = J30),'Processed Non-zero DMR Data'!$W$2:$W$651), "N/A- Facility Does Not Report DMRs")</f>
        <v>1.6570999999999999E-2</v>
      </c>
      <c r="Q30" s="10">
        <f t="shared" si="14"/>
        <v>4.7345714285714284E-5</v>
      </c>
      <c r="R30" s="10" cm="1">
        <f t="array" ref="R30">IF(COUNTIF('Processed Non-zero DMR Data'!$I:$I,$J30)&gt;0,MEDIAN(IF('Processed Non-zero DMR Data'!$I:$I=J30,'Processed Non-zero DMR Data'!$W:$W)),"N/A - Facility Does Not Report DMRs")</f>
        <v>3.3141999999999998E-2</v>
      </c>
      <c r="S30" s="10">
        <f t="shared" si="15"/>
        <v>9.4691428571428568E-5</v>
      </c>
      <c r="T30" s="10">
        <f>IF(COUNTIF('Processed Non-zero DMR Data'!$I:$I,$J30)&gt;0,_xlfn.MAXIFS('Processed Non-zero DMR Data'!$W:$W,'Processed Non-zero DMR Data'!$I:$I,$J30), "N/A - Facility Does Not Report DMRs")</f>
        <v>3.3141999999999998E-2</v>
      </c>
      <c r="U30" s="10">
        <f t="shared" si="16"/>
        <v>9.4691428571428568E-5</v>
      </c>
      <c r="V30" s="158" cm="1">
        <f t="array" ref="V30">IF(COUNTIF('Processed Non-zero DMR Data'!$I:$I,$J30)&gt;0,INDEX('Processed Non-zero DMR Data'!$A:$A,MATCH(1,($J30='Processed Non-zero DMR Data'!$I:$I)*($T30='Processed Non-zero DMR Data'!$W:$W),0)), "N/A - Facility Does Not Report DMRs")</f>
        <v>2019</v>
      </c>
      <c r="W30" s="17" t="str" cm="1">
        <f t="array" ref="W30">IFERROR(_xlfn.XLOOKUP(1,  (MAX(IF(I30 = 'Processed Non-zero TRI Data'!$I$2:$I$6,'Processed Non-zero TRI Data'!$A$2:$A$6)) = 'Processed Non-zero TRI Data'!$A$2:$A$6)*('Processed Non-zero TRI Data'!$I$2:$I$6 = I30), 'Processed Non-zero TRI Data'!$T$2:$T$6), "N/A- Facility Does Not Report to TRI")</f>
        <v>N/A- Facility Does Not Report to TRI</v>
      </c>
      <c r="X30" s="10" t="str">
        <f t="shared" si="17"/>
        <v>N/A - Facility Does Not Report to TRI</v>
      </c>
      <c r="Y30" s="10" t="str" cm="1">
        <f t="array" ref="Y30">IF(COUNTIF('Processed Non-zero TRI Data'!$I:$I,$I30)&gt;0,MEDIAN(IF('Processed Non-zero TRI Data'!$I:$I=I30,'Processed Non-zero TRI Data'!$T:$T)), "N/A - Facility Does Not Report to TRI")</f>
        <v>N/A - Facility Does Not Report to TRI</v>
      </c>
      <c r="Z30" s="10" t="str">
        <f t="shared" si="18"/>
        <v>N/A - Facility Does Not Report to TRI</v>
      </c>
      <c r="AA30" s="10" t="str">
        <f>IF(COUNTIF('Processed Non-zero TRI Data'!$I:$I,$I30)&gt;0,_xlfn.MAXIFS('Processed Non-zero TRI Data'!$T:$T,'Processed Non-zero TRI Data'!$I:$I,$I30), "N/A - Facility Does Not Report to TRI")</f>
        <v>N/A - Facility Does Not Report to TRI</v>
      </c>
      <c r="AB30" s="10" t="str">
        <f t="shared" si="19"/>
        <v>N/A - Facility Does Not Report to TRI</v>
      </c>
      <c r="AC30" s="158" t="str" cm="1">
        <f t="array" ref="AC30">IFERROR(IF(B30 = "TRI Form R", IF(AA30 = 0, "Facility has no on-site water discharges between 2017-2022.",  IF(COUNTIF('Processed Non-zero TRI Data'!$I:$I,$I30)&gt;0,INDEX('Processed Non-zero TRI Data'!$A:$A,MATCH(1,($I30='Processed Non-zero TRI Data'!$I:$I)*(AA30='Processed Non-zero TRI Data'!$T:$T),0)))), VLOOKUP(I30,#REF!, 2, FALSE)), ("N/A - Facility Does Not Report to TRI"))</f>
        <v>N/A - Facility Does Not Report to TRI</v>
      </c>
      <c r="AD30" s="97" t="str" cm="1">
        <f t="array" ref="AD30">IFERROR(_xlfn.XLOOKUP(1,  (MAX(IF(I30 = 'Processed Non-zero TRI Data'!$I$2:$I$6,'Processed Non-zero TRI Data'!$A$2:$A$6)) = 'Processed Non-zero TRI Data'!$A$2:$A$6)*('Processed Non-zero TRI Data'!$I$2:$I$6 = I30), 'Processed Non-zero TRI Data'!$V$2:$V$6), "N/A- Facility Does Not Report to TRI")</f>
        <v>N/A- Facility Does Not Report to TRI</v>
      </c>
      <c r="AE30" s="9" t="str">
        <f t="shared" si="20"/>
        <v>N/A - Facility Does Not Report to TRI</v>
      </c>
      <c r="AF30" s="9" t="str" cm="1">
        <f t="array" ref="AF30">IF(COUNTIF('Processed Non-zero TRI Data'!$I:$I,$I30)&gt;0,MEDIAN(IF('Processed Non-zero TRI Data'!$I:$I=I30,'Processed Non-zero TRI Data'!$V:$V)), "N/A - Facility Does Not Report to TRI")</f>
        <v>N/A - Facility Does Not Report to TRI</v>
      </c>
      <c r="AG30" s="9" t="str">
        <f t="shared" si="21"/>
        <v>N/A - Facility Does Not Report to TRI</v>
      </c>
      <c r="AH30" s="9" t="str">
        <f>IF(COUNTIF('Processed Non-zero TRI Data'!$I:$I,$I30)&gt;0,_xlfn.MAXIFS('Processed Non-zero TRI Data'!$V:$V,'Processed Non-zero TRI Data'!$I:$I,$I30), "N/A - Facility Does Not Report to TRI")</f>
        <v>N/A - Facility Does Not Report to TRI</v>
      </c>
      <c r="AI30" s="9" t="str">
        <f t="shared" si="22"/>
        <v>N/A - Facility Does Not Report to TRI</v>
      </c>
      <c r="AJ30" s="158" t="str" cm="1">
        <f t="array" ref="AJ30">IF(B30="TRI Form A",AC30,IF(AH30=0,"Facility has no transfers to POTWs between 2019-2023.",IF(COUNTIF('Processed Non-zero TRI Data'!$I:$I,$I30)&gt;0,INDEX('Processed Non-zero TRI Data'!$A:$A,MATCH(1,($I30='Processed Non-zero TRI Data'!$I:$I)*(AH30='Processed Non-zero TRI Data'!$V:$V),0)),"N/A - Facility Does Not Report to TRI")))</f>
        <v>N/A - Facility Does Not Report to TRI</v>
      </c>
      <c r="AK30" s="97" t="str" cm="1">
        <f t="array" ref="AK30">IFERROR(_xlfn.XLOOKUP(1,  (MAX(IF(I30 = 'Processed Non-zero TRI Data'!$I$2:$I$6,'Processed Non-zero TRI Data'!$A$2:$A$6)) = 'Processed Non-zero TRI Data'!$A$2:$A$6)*('Processed Non-zero TRI Data'!$I$2:$I$6 = I30), 'Processed Non-zero TRI Data'!$X$2:$X$6), "N/A- Facility Does Not Report to TRI")</f>
        <v>N/A- Facility Does Not Report to TRI</v>
      </c>
      <c r="AL30" s="9" t="str">
        <f t="shared" si="23"/>
        <v>N/A - Facility Does Not Report to TRI</v>
      </c>
      <c r="AM30" s="9" t="str" cm="1">
        <f t="array" ref="AM30">IF(COUNTIF('Processed Non-zero TRI Data'!$I:$I,$I30)&gt;0,MEDIAN(IF('Processed Non-zero TRI Data'!$I:$I=I30,'Processed Non-zero TRI Data'!$X:$X)), "N/A - Facility Does Not Report to TRI")</f>
        <v>N/A - Facility Does Not Report to TRI</v>
      </c>
      <c r="AN30" s="9" t="str">
        <f t="shared" si="24"/>
        <v>N/A - Facility Does Not Report to TRI</v>
      </c>
      <c r="AO30" s="9" t="str">
        <f>IF(COUNTIF('Processed Non-zero TRI Data'!$I:$I,$I30)&gt;0,_xlfn.MAXIFS('Processed Non-zero TRI Data'!$X:$X,'Processed Non-zero TRI Data'!$I:$I,$I30), "N/A - Facility Does Not Report to TRI")</f>
        <v>N/A - Facility Does Not Report to TRI</v>
      </c>
      <c r="AP30" s="9" t="str">
        <f t="shared" si="25"/>
        <v>N/A - Facility Does Not Report to TRI</v>
      </c>
      <c r="AQ30" s="251" t="str" cm="1">
        <f t="array" ref="AQ30">IF(B30="TRI Form A",AC30,IF(AO30=0,"Facility has no transfers to non-POTWs between 2019-2023.",IF(COUNTIF('Processed Non-zero TRI Data'!$I:$I,$I30)&gt;0,INDEX('Processed Non-zero TRI Data'!$A:$A,MATCH(1,($I30='Processed Non-zero TRI Data'!$I:$I)*(AO30='Processed Non-zero TRI Data'!$X:$X),0)),"N/A - Facility Does Not Report to TRI")))</f>
        <v>N/A - Facility Does Not Report to TRI</v>
      </c>
      <c r="AR30" s="260">
        <f t="shared" si="12"/>
        <v>0</v>
      </c>
      <c r="AS30" s="260">
        <f t="shared" si="13"/>
        <v>3.3141999999999998E-2</v>
      </c>
    </row>
    <row r="31" spans="1:45" ht="30" x14ac:dyDescent="0.25">
      <c r="A31" s="12">
        <v>28</v>
      </c>
      <c r="B31" s="10" t="str">
        <f>IFERROR("TRI Form "&amp; VLOOKUP(I31, 'Processed Non-zero TRI Data'!$I$2:$K$6, 3, FALSE), "DMR")</f>
        <v>DMR</v>
      </c>
      <c r="C31" s="181" t="e">
        <f>VLOOKUP(D31,#REF!, 2, FALSE)</f>
        <v>#REF!</v>
      </c>
      <c r="D31" s="181" t="str">
        <f>IF(I31&lt;&gt;"",INDEX('Processed Non-zero TRI Data'!$O:$O,MATCH(I31,'Processed Non-zero TRI Data'!$I:$I,0)),INDEX('Processed Non-zero DMR Data'!$S:$S,MATCH(J31,'Processed Non-zero DMR Data'!$I:$I,0)))</f>
        <v>Waste Handling, Disposal and Treatment (POTW)</v>
      </c>
      <c r="E31" s="181" t="str">
        <f>IF(I31&lt;&gt;"",INDEX('Processed Non-zero TRI Data'!$P:$P,MATCH(I31,'Processed Non-zero TRI Data'!$I:$I,0)),INDEX('Processed Non-zero DMR Data'!$T:$T,MATCH(J31,'Processed Non-zero DMR Data'!$I:$I,0)))</f>
        <v>POTW indicator in DMR</v>
      </c>
      <c r="F31" s="9" t="str">
        <f>_xlfn.XLOOKUP(J31, 'Processed Non-zero DMR Data'!I:I, 'Processed Non-zero DMR Data'!B:B)</f>
        <v>NORTHERN MADISON COUNTY SANITATION DISTRICT</v>
      </c>
      <c r="G31" s="9" t="str">
        <f>_xlfn.XLOOKUP(J31, 'Processed Non-zero DMR Data'!I:I, 'Processed Non-zero DMR Data'!C:C)</f>
        <v>RICHMOND</v>
      </c>
      <c r="H31" s="9" t="str">
        <f>_xlfn.XLOOKUP(J31, 'Processed Non-zero DMR Data'!I:I, 'Processed Non-zero DMR Data'!E:E)</f>
        <v>KY</v>
      </c>
      <c r="I31" s="9"/>
      <c r="J31" s="13">
        <v>110016759444</v>
      </c>
      <c r="K31" s="9" t="str">
        <f>IFERROR(INDEX('Raw Non-zero DMR Data'!$C:$C, MATCH(J31,'Raw Non-zero DMR Data'!$D:$D,0)),"")</f>
        <v>KY0105376</v>
      </c>
      <c r="L31" s="9" t="str">
        <f>IFERROR(INDEX('Raw Non-zero DMR Data'!$U:$U, MATCH($J31,'Raw Non-zero DMR Data'!$D:$D,0)),"")</f>
        <v>Marble Creek-Kentucky River</v>
      </c>
      <c r="M31" s="155" t="str">
        <f>IFERROR(INDEX('Raw Non-zero DMR Data'!$T:$T, MATCH($J31,'Raw Non-zero DMR Data'!$D:$D,0)),"")</f>
        <v>051002050308</v>
      </c>
      <c r="N31" s="155" t="str">
        <f>IFERROR(INDEX('Off-site Locations'!$E:$E,MATCH(I31,'Off-site Locations'!$B:$B,0)),"No offsite transfers")</f>
        <v>No offsite transfers</v>
      </c>
      <c r="O31" s="165">
        <f>INDEX('TRI and DMR OES Summary'!D:D,MATCH('Facility Discharge Summary'!D31,'TRI and DMR OES Summary'!A:A,0))</f>
        <v>365</v>
      </c>
      <c r="P31" s="17" cm="1">
        <f t="array" ref="P31">IFERROR(_xlfn.XLOOKUP(1,  (MAX(IF(J31 = 'Processed Non-zero DMR Data'!$I$2:$I$651,'Processed Non-zero DMR Data'!$A$2:$A$651)) = 'Processed Non-zero DMR Data'!$A$2:$A$651)*('Processed Non-zero DMR Data'!$I$2:$I$651 = J31),'Processed Non-zero DMR Data'!$W$2:$W$651), "N/A- Facility Does Not Report DMRs")</f>
        <v>0.69352555000000005</v>
      </c>
      <c r="Q31" s="10">
        <f t="shared" si="14"/>
        <v>1.9000700000000002E-3</v>
      </c>
      <c r="R31" s="10" cm="1">
        <f t="array" ref="R31">IF(COUNTIF('Processed Non-zero DMR Data'!$I:$I,$J31)&gt;0,MEDIAN(IF('Processed Non-zero DMR Data'!$I:$I=J31,'Processed Non-zero DMR Data'!$W:$W)),"N/A - Facility Does Not Report DMRs")</f>
        <v>0.69352555000000005</v>
      </c>
      <c r="S31" s="10">
        <f t="shared" si="15"/>
        <v>1.9000700000000002E-3</v>
      </c>
      <c r="T31" s="10">
        <f>IF(COUNTIF('Processed Non-zero DMR Data'!$I:$I,$J31)&gt;0,_xlfn.MAXIFS('Processed Non-zero DMR Data'!$W:$W,'Processed Non-zero DMR Data'!$I:$I,$J31), "N/A - Facility Does Not Report DMRs")</f>
        <v>0.97397512500000005</v>
      </c>
      <c r="U31" s="10">
        <f t="shared" si="16"/>
        <v>2.6684250000000003E-3</v>
      </c>
      <c r="V31" s="158" cm="1">
        <f t="array" ref="V31">IF(COUNTIF('Processed Non-zero DMR Data'!$I:$I,$J31)&gt;0,INDEX('Processed Non-zero DMR Data'!$A:$A,MATCH(1,($J31='Processed Non-zero DMR Data'!$I:$I)*($T31='Processed Non-zero DMR Data'!$W:$W),0)), "N/A - Facility Does Not Report DMRs")</f>
        <v>2019</v>
      </c>
      <c r="W31" s="17" t="str" cm="1">
        <f t="array" ref="W31">IFERROR(_xlfn.XLOOKUP(1,  (MAX(IF(I31 = 'Processed Non-zero TRI Data'!$I$2:$I$6,'Processed Non-zero TRI Data'!$A$2:$A$6)) = 'Processed Non-zero TRI Data'!$A$2:$A$6)*('Processed Non-zero TRI Data'!$I$2:$I$6 = I31), 'Processed Non-zero TRI Data'!$T$2:$T$6), "N/A- Facility Does Not Report to TRI")</f>
        <v>N/A- Facility Does Not Report to TRI</v>
      </c>
      <c r="X31" s="10" t="str">
        <f t="shared" ref="X31:X48" si="26">IFERROR(W31/$O31, "N/A - Facility Does Not Report to TRI")</f>
        <v>N/A - Facility Does Not Report to TRI</v>
      </c>
      <c r="Y31" s="10" t="str" cm="1">
        <f t="array" ref="Y31">IF(COUNTIF('Processed Non-zero TRI Data'!$I:$I,$I31)&gt;0,MEDIAN(IF('Processed Non-zero TRI Data'!$I:$I=I31,'Processed Non-zero TRI Data'!$T:$T)), "N/A - Facility Does Not Report to TRI")</f>
        <v>N/A - Facility Does Not Report to TRI</v>
      </c>
      <c r="Z31" s="10" t="str">
        <f t="shared" ref="Z31:Z48" si="27">IFERROR(Y31/$O31, "N/A - Facility Does Not Report to TRI")</f>
        <v>N/A - Facility Does Not Report to TRI</v>
      </c>
      <c r="AA31" s="10" t="str">
        <f>IF(COUNTIF('Processed Non-zero TRI Data'!$I:$I,$I31)&gt;0,_xlfn.MAXIFS('Processed Non-zero TRI Data'!$T:$T,'Processed Non-zero TRI Data'!$I:$I,$I31), "N/A - Facility Does Not Report to TRI")</f>
        <v>N/A - Facility Does Not Report to TRI</v>
      </c>
      <c r="AB31" s="10" t="str">
        <f t="shared" ref="AB31:AB48" si="28">IFERROR(AA31/$O31, "N/A - Facility Does Not Report to TRI")</f>
        <v>N/A - Facility Does Not Report to TRI</v>
      </c>
      <c r="AC31" s="158" t="str" cm="1">
        <f t="array" ref="AC31">IFERROR(IF(B31 = "TRI Form R", IF(AA31 = 0, "Facility has no on-site water discharges between 2017-2022.",  IF(COUNTIF('Processed Non-zero TRI Data'!$I:$I,$I31)&gt;0,INDEX('Processed Non-zero TRI Data'!$A:$A,MATCH(1,($I31='Processed Non-zero TRI Data'!$I:$I)*(AA31='Processed Non-zero TRI Data'!$T:$T),0)))), VLOOKUP(I31,#REF!, 2, FALSE)), ("N/A - Facility Does Not Report to TRI"))</f>
        <v>N/A - Facility Does Not Report to TRI</v>
      </c>
      <c r="AD31" s="97" t="str" cm="1">
        <f t="array" ref="AD31">IFERROR(_xlfn.XLOOKUP(1,  (MAX(IF(I31 = 'Processed Non-zero TRI Data'!$I$2:$I$6,'Processed Non-zero TRI Data'!$A$2:$A$6)) = 'Processed Non-zero TRI Data'!$A$2:$A$6)*('Processed Non-zero TRI Data'!$I$2:$I$6 = I31), 'Processed Non-zero TRI Data'!$V$2:$V$6), "N/A- Facility Does Not Report to TRI")</f>
        <v>N/A- Facility Does Not Report to TRI</v>
      </c>
      <c r="AE31" s="9" t="str">
        <f t="shared" ref="AE31:AE48" si="29">IFERROR(AD31/$O31, "N/A - Facility Does Not Report to TRI")</f>
        <v>N/A - Facility Does Not Report to TRI</v>
      </c>
      <c r="AF31" s="9" t="str" cm="1">
        <f t="array" ref="AF31">IF(COUNTIF('Processed Non-zero TRI Data'!$I:$I,$I31)&gt;0,MEDIAN(IF('Processed Non-zero TRI Data'!$I:$I=I31,'Processed Non-zero TRI Data'!$V:$V)), "N/A - Facility Does Not Report to TRI")</f>
        <v>N/A - Facility Does Not Report to TRI</v>
      </c>
      <c r="AG31" s="9" t="str">
        <f t="shared" ref="AG31:AG48" si="30">IFERROR(AF31/$O31, "N/A - Facility Does Not Report to TRI")</f>
        <v>N/A - Facility Does Not Report to TRI</v>
      </c>
      <c r="AH31" s="9" t="str">
        <f>IF(COUNTIF('Processed Non-zero TRI Data'!$I:$I,$I31)&gt;0,_xlfn.MAXIFS('Processed Non-zero TRI Data'!$V:$V,'Processed Non-zero TRI Data'!$I:$I,$I31), "N/A - Facility Does Not Report to TRI")</f>
        <v>N/A - Facility Does Not Report to TRI</v>
      </c>
      <c r="AI31" s="9" t="str">
        <f t="shared" ref="AI31:AI48" si="31">IFERROR(AH31/$O31, "N/A - Facility Does Not Report to TRI")</f>
        <v>N/A - Facility Does Not Report to TRI</v>
      </c>
      <c r="AJ31" s="158" t="str" cm="1">
        <f t="array" ref="AJ31">IF(B31="TRI Form A",AC31,IF(AH31=0,"Facility has no transfers to POTWs between 2019-2023.",IF(COUNTIF('Processed Non-zero TRI Data'!$I:$I,$I31)&gt;0,INDEX('Processed Non-zero TRI Data'!$A:$A,MATCH(1,($I31='Processed Non-zero TRI Data'!$I:$I)*(AH31='Processed Non-zero TRI Data'!$V:$V),0)),"N/A - Facility Does Not Report to TRI")))</f>
        <v>N/A - Facility Does Not Report to TRI</v>
      </c>
      <c r="AK31" s="97" t="str" cm="1">
        <f t="array" ref="AK31">IFERROR(_xlfn.XLOOKUP(1,  (MAX(IF(I31 = 'Processed Non-zero TRI Data'!$I$2:$I$6,'Processed Non-zero TRI Data'!$A$2:$A$6)) = 'Processed Non-zero TRI Data'!$A$2:$A$6)*('Processed Non-zero TRI Data'!$I$2:$I$6 = I31), 'Processed Non-zero TRI Data'!$X$2:$X$6), "N/A- Facility Does Not Report to TRI")</f>
        <v>N/A- Facility Does Not Report to TRI</v>
      </c>
      <c r="AL31" s="9" t="str">
        <f t="shared" ref="AL31:AL48" si="32">IFERROR(AK31/$O31, "N/A - Facility Does Not Report to TRI")</f>
        <v>N/A - Facility Does Not Report to TRI</v>
      </c>
      <c r="AM31" s="9" t="str" cm="1">
        <f t="array" ref="AM31">IF(COUNTIF('Processed Non-zero TRI Data'!$I:$I,$I31)&gt;0,MEDIAN(IF('Processed Non-zero TRI Data'!$I:$I=I31,'Processed Non-zero TRI Data'!$X:$X)), "N/A - Facility Does Not Report to TRI")</f>
        <v>N/A - Facility Does Not Report to TRI</v>
      </c>
      <c r="AN31" s="9" t="str">
        <f t="shared" ref="AN31:AN48" si="33">IFERROR(AM31/$O31, "N/A - Facility Does Not Report to TRI")</f>
        <v>N/A - Facility Does Not Report to TRI</v>
      </c>
      <c r="AO31" s="9" t="str">
        <f>IF(COUNTIF('Processed Non-zero TRI Data'!$I:$I,$I31)&gt;0,_xlfn.MAXIFS('Processed Non-zero TRI Data'!$X:$X,'Processed Non-zero TRI Data'!$I:$I,$I31), "N/A - Facility Does Not Report to TRI")</f>
        <v>N/A - Facility Does Not Report to TRI</v>
      </c>
      <c r="AP31" s="9" t="str">
        <f t="shared" ref="AP31:AP48" si="34">IFERROR(AO31/$O31, "N/A - Facility Does Not Report to TRI")</f>
        <v>N/A - Facility Does Not Report to TRI</v>
      </c>
      <c r="AQ31" s="251" t="str" cm="1">
        <f t="array" ref="AQ31">IF(B31="TRI Form A",AC31,IF(AO31=0,"Facility has no transfers to non-POTWs between 2019-2023.",IF(COUNTIF('Processed Non-zero TRI Data'!$I:$I,$I31)&gt;0,INDEX('Processed Non-zero TRI Data'!$A:$A,MATCH(1,($I31='Processed Non-zero TRI Data'!$I:$I)*(AO31='Processed Non-zero TRI Data'!$X:$X),0)),"N/A - Facility Does Not Report to TRI")))</f>
        <v>N/A - Facility Does Not Report to TRI</v>
      </c>
      <c r="AR31" s="260">
        <f t="shared" si="12"/>
        <v>0</v>
      </c>
      <c r="AS31" s="260">
        <f t="shared" si="13"/>
        <v>0.97397512500000005</v>
      </c>
    </row>
    <row r="32" spans="1:45" ht="30" x14ac:dyDescent="0.25">
      <c r="A32" s="12">
        <v>29</v>
      </c>
      <c r="B32" s="10" t="str">
        <f>IFERROR("TRI Form "&amp; VLOOKUP(I32, 'Processed Non-zero TRI Data'!$I$2:$K$6, 3, FALSE), "DMR")</f>
        <v>DMR</v>
      </c>
      <c r="C32" s="181" t="e">
        <f>VLOOKUP(D32,#REF!, 2, FALSE)</f>
        <v>#REF!</v>
      </c>
      <c r="D32" s="181" t="str">
        <f>IF(I32&lt;&gt;"",INDEX('Processed Non-zero TRI Data'!$O:$O,MATCH(I32,'Processed Non-zero TRI Data'!$I:$I,0)),INDEX('Processed Non-zero DMR Data'!$S:$S,MATCH(J32,'Processed Non-zero DMR Data'!$I:$I,0)))</f>
        <v>Unknown</v>
      </c>
      <c r="E32" s="181" t="str">
        <f>IF(I32&lt;&gt;"",INDEX('Processed Non-zero TRI Data'!$P:$P,MATCH(I32,'Processed Non-zero TRI Data'!$I:$I,0)),INDEX('Processed Non-zero DMR Data'!$T:$T,MATCH(J32,'Processed Non-zero DMR Data'!$I:$I,0)))</f>
        <v>Unknown how ship building and repairing would fit into any of the OES's</v>
      </c>
      <c r="F32" s="9" t="str">
        <f>_xlfn.XLOOKUP(J32, 'Processed Non-zero DMR Data'!I:I, 'Processed Non-zero DMR Data'!B:B)</f>
        <v>PEARL HARBOR NAVAL SHIPYARD &amp; INTERMEDIATE MAINTENANCE FACILITY</v>
      </c>
      <c r="G32" s="9" t="str">
        <f>_xlfn.XLOOKUP(J32, 'Processed Non-zero DMR Data'!I:I, 'Processed Non-zero DMR Data'!C:C)</f>
        <v>HONOLULU</v>
      </c>
      <c r="H32" s="9" t="str">
        <f>_xlfn.XLOOKUP(J32, 'Processed Non-zero DMR Data'!I:I, 'Processed Non-zero DMR Data'!E:E)</f>
        <v>HI</v>
      </c>
      <c r="I32" s="9"/>
      <c r="J32" s="13">
        <v>110046184516</v>
      </c>
      <c r="K32" s="9" t="str">
        <f>IFERROR(INDEX('Raw Non-zero DMR Data'!$C:$C, MATCH(J32,'Raw Non-zero DMR Data'!$D:$D,0)),"")</f>
        <v>HI0110230</v>
      </c>
      <c r="L32" s="9" t="str">
        <f>IFERROR(INDEX('Raw Non-zero DMR Data'!$U:$U, MATCH($J32,'Raw Non-zero DMR Data'!$D:$D,0)),"")</f>
        <v>Halawa Stream-Waimalu Stream</v>
      </c>
      <c r="M32" s="155">
        <f>IFERROR(INDEX('Raw Non-zero DMR Data'!$T:$T, MATCH($J32,'Raw Non-zero DMR Data'!$D:$D,0)),"")</f>
        <v>200600000401</v>
      </c>
      <c r="N32" s="155" t="str">
        <f>IFERROR(INDEX('Off-site Locations'!$E:$E,MATCH(I32,'Off-site Locations'!$B:$B,0)),"No offsite transfers")</f>
        <v>No offsite transfers</v>
      </c>
      <c r="O32" s="165">
        <f>INDEX('TRI and DMR OES Summary'!D:D,MATCH('Facility Discharge Summary'!D32,'TRI and DMR OES Summary'!A:A,0))</f>
        <v>250</v>
      </c>
      <c r="P32" s="17" cm="1">
        <f t="array" ref="P32">IFERROR(_xlfn.XLOOKUP(1,  (MAX(IF(J32 = 'Processed Non-zero DMR Data'!$I$2:$I$651,'Processed Non-zero DMR Data'!$A$2:$A$651)) = 'Processed Non-zero DMR Data'!$A$2:$A$651)*('Processed Non-zero DMR Data'!$I$2:$I$651 = J32),'Processed Non-zero DMR Data'!$W$2:$W$651), "N/A- Facility Does Not Report DMRs")</f>
        <v>0.82891499999999996</v>
      </c>
      <c r="Q32" s="10">
        <f t="shared" si="14"/>
        <v>3.3156599999999998E-3</v>
      </c>
      <c r="R32" s="10" cm="1">
        <f t="array" ref="R32">IF(COUNTIF('Processed Non-zero DMR Data'!$I:$I,$J32)&gt;0,MEDIAN(IF('Processed Non-zero DMR Data'!$I:$I=J32,'Processed Non-zero DMR Data'!$W:$W)),"N/A - Facility Does Not Report DMRs")</f>
        <v>0.46971849999999998</v>
      </c>
      <c r="S32" s="10">
        <f t="shared" si="15"/>
        <v>1.878874E-3</v>
      </c>
      <c r="T32" s="10">
        <f>IF(COUNTIF('Processed Non-zero DMR Data'!$I:$I,$J32)&gt;0,_xlfn.MAXIFS('Processed Non-zero DMR Data'!$W:$W,'Processed Non-zero DMR Data'!$I:$I,$J32), "N/A - Facility Does Not Report DMRs")</f>
        <v>1.0430513749999999</v>
      </c>
      <c r="U32" s="10">
        <f t="shared" si="16"/>
        <v>4.1722054999999997E-3</v>
      </c>
      <c r="V32" s="158" cm="1">
        <f t="array" ref="V32">IF(COUNTIF('Processed Non-zero DMR Data'!$I:$I,$J32)&gt;0,INDEX('Processed Non-zero DMR Data'!$A:$A,MATCH(1,($J32='Processed Non-zero DMR Data'!$I:$I)*($T32='Processed Non-zero DMR Data'!$W:$W),0)), "N/A - Facility Does Not Report DMRs")</f>
        <v>2021</v>
      </c>
      <c r="W32" s="17" t="str" cm="1">
        <f t="array" ref="W32">IFERROR(_xlfn.XLOOKUP(1,  (MAX(IF(I32 = 'Processed Non-zero TRI Data'!$I$2:$I$6,'Processed Non-zero TRI Data'!$A$2:$A$6)) = 'Processed Non-zero TRI Data'!$A$2:$A$6)*('Processed Non-zero TRI Data'!$I$2:$I$6 = I32), 'Processed Non-zero TRI Data'!$T$2:$T$6), "N/A- Facility Does Not Report to TRI")</f>
        <v>N/A- Facility Does Not Report to TRI</v>
      </c>
      <c r="X32" s="10" t="str">
        <f t="shared" si="26"/>
        <v>N/A - Facility Does Not Report to TRI</v>
      </c>
      <c r="Y32" s="10" t="str" cm="1">
        <f t="array" ref="Y32">IF(COUNTIF('Processed Non-zero TRI Data'!$I:$I,$I32)&gt;0,MEDIAN(IF('Processed Non-zero TRI Data'!$I:$I=I32,'Processed Non-zero TRI Data'!$T:$T)), "N/A - Facility Does Not Report to TRI")</f>
        <v>N/A - Facility Does Not Report to TRI</v>
      </c>
      <c r="Z32" s="10" t="str">
        <f t="shared" si="27"/>
        <v>N/A - Facility Does Not Report to TRI</v>
      </c>
      <c r="AA32" s="10" t="str">
        <f>IF(COUNTIF('Processed Non-zero TRI Data'!$I:$I,$I32)&gt;0,_xlfn.MAXIFS('Processed Non-zero TRI Data'!$T:$T,'Processed Non-zero TRI Data'!$I:$I,$I32), "N/A - Facility Does Not Report to TRI")</f>
        <v>N/A - Facility Does Not Report to TRI</v>
      </c>
      <c r="AB32" s="10" t="str">
        <f t="shared" si="28"/>
        <v>N/A - Facility Does Not Report to TRI</v>
      </c>
      <c r="AC32" s="158" t="str" cm="1">
        <f t="array" ref="AC32">IFERROR(IF(B32 = "TRI Form R", IF(AA32 = 0, "Facility has no on-site water discharges between 2017-2022.",  IF(COUNTIF('Processed Non-zero TRI Data'!$I:$I,$I32)&gt;0,INDEX('Processed Non-zero TRI Data'!$A:$A,MATCH(1,($I32='Processed Non-zero TRI Data'!$I:$I)*(AA32='Processed Non-zero TRI Data'!$T:$T),0)))), VLOOKUP(I32,#REF!, 2, FALSE)), ("N/A - Facility Does Not Report to TRI"))</f>
        <v>N/A - Facility Does Not Report to TRI</v>
      </c>
      <c r="AD32" s="97" t="str" cm="1">
        <f t="array" ref="AD32">IFERROR(_xlfn.XLOOKUP(1,  (MAX(IF(I32 = 'Processed Non-zero TRI Data'!$I$2:$I$6,'Processed Non-zero TRI Data'!$A$2:$A$6)) = 'Processed Non-zero TRI Data'!$A$2:$A$6)*('Processed Non-zero TRI Data'!$I$2:$I$6 = I32), 'Processed Non-zero TRI Data'!$V$2:$V$6), "N/A- Facility Does Not Report to TRI")</f>
        <v>N/A- Facility Does Not Report to TRI</v>
      </c>
      <c r="AE32" s="9" t="str">
        <f t="shared" si="29"/>
        <v>N/A - Facility Does Not Report to TRI</v>
      </c>
      <c r="AF32" s="9" t="str" cm="1">
        <f t="array" ref="AF32">IF(COUNTIF('Processed Non-zero TRI Data'!$I:$I,$I32)&gt;0,MEDIAN(IF('Processed Non-zero TRI Data'!$I:$I=I32,'Processed Non-zero TRI Data'!$V:$V)), "N/A - Facility Does Not Report to TRI")</f>
        <v>N/A - Facility Does Not Report to TRI</v>
      </c>
      <c r="AG32" s="9" t="str">
        <f t="shared" si="30"/>
        <v>N/A - Facility Does Not Report to TRI</v>
      </c>
      <c r="AH32" s="9" t="str">
        <f>IF(COUNTIF('Processed Non-zero TRI Data'!$I:$I,$I32)&gt;0,_xlfn.MAXIFS('Processed Non-zero TRI Data'!$V:$V,'Processed Non-zero TRI Data'!$I:$I,$I32), "N/A - Facility Does Not Report to TRI")</f>
        <v>N/A - Facility Does Not Report to TRI</v>
      </c>
      <c r="AI32" s="9" t="str">
        <f t="shared" si="31"/>
        <v>N/A - Facility Does Not Report to TRI</v>
      </c>
      <c r="AJ32" s="158" t="str" cm="1">
        <f t="array" ref="AJ32">IF(B32="TRI Form A",AC32,IF(AH32=0,"Facility has no transfers to POTWs between 2019-2023.",IF(COUNTIF('Processed Non-zero TRI Data'!$I:$I,$I32)&gt;0,INDEX('Processed Non-zero TRI Data'!$A:$A,MATCH(1,($I32='Processed Non-zero TRI Data'!$I:$I)*(AH32='Processed Non-zero TRI Data'!$V:$V),0)),"N/A - Facility Does Not Report to TRI")))</f>
        <v>N/A - Facility Does Not Report to TRI</v>
      </c>
      <c r="AK32" s="97" t="str" cm="1">
        <f t="array" ref="AK32">IFERROR(_xlfn.XLOOKUP(1,  (MAX(IF(I32 = 'Processed Non-zero TRI Data'!$I$2:$I$6,'Processed Non-zero TRI Data'!$A$2:$A$6)) = 'Processed Non-zero TRI Data'!$A$2:$A$6)*('Processed Non-zero TRI Data'!$I$2:$I$6 = I32), 'Processed Non-zero TRI Data'!$X$2:$X$6), "N/A- Facility Does Not Report to TRI")</f>
        <v>N/A- Facility Does Not Report to TRI</v>
      </c>
      <c r="AL32" s="9" t="str">
        <f t="shared" si="32"/>
        <v>N/A - Facility Does Not Report to TRI</v>
      </c>
      <c r="AM32" s="9" t="str" cm="1">
        <f t="array" ref="AM32">IF(COUNTIF('Processed Non-zero TRI Data'!$I:$I,$I32)&gt;0,MEDIAN(IF('Processed Non-zero TRI Data'!$I:$I=I32,'Processed Non-zero TRI Data'!$X:$X)), "N/A - Facility Does Not Report to TRI")</f>
        <v>N/A - Facility Does Not Report to TRI</v>
      </c>
      <c r="AN32" s="9" t="str">
        <f t="shared" si="33"/>
        <v>N/A - Facility Does Not Report to TRI</v>
      </c>
      <c r="AO32" s="9" t="str">
        <f>IF(COUNTIF('Processed Non-zero TRI Data'!$I:$I,$I32)&gt;0,_xlfn.MAXIFS('Processed Non-zero TRI Data'!$X:$X,'Processed Non-zero TRI Data'!$I:$I,$I32), "N/A - Facility Does Not Report to TRI")</f>
        <v>N/A - Facility Does Not Report to TRI</v>
      </c>
      <c r="AP32" s="9" t="str">
        <f t="shared" si="34"/>
        <v>N/A - Facility Does Not Report to TRI</v>
      </c>
      <c r="AQ32" s="251" t="str" cm="1">
        <f t="array" ref="AQ32">IF(B32="TRI Form A",AC32,IF(AO32=0,"Facility has no transfers to non-POTWs between 2019-2023.",IF(COUNTIF('Processed Non-zero TRI Data'!$I:$I,$I32)&gt;0,INDEX('Processed Non-zero TRI Data'!$A:$A,MATCH(1,($I32='Processed Non-zero TRI Data'!$I:$I)*(AO32='Processed Non-zero TRI Data'!$X:$X),0)),"N/A - Facility Does Not Report to TRI")))</f>
        <v>N/A - Facility Does Not Report to TRI</v>
      </c>
      <c r="AR32" s="260">
        <f t="shared" si="12"/>
        <v>0</v>
      </c>
      <c r="AS32" s="260">
        <f t="shared" si="13"/>
        <v>1.0430513749999999</v>
      </c>
    </row>
    <row r="33" spans="1:45" ht="30" x14ac:dyDescent="0.25">
      <c r="A33" s="12">
        <v>30</v>
      </c>
      <c r="B33" s="10" t="str">
        <f>IFERROR("TRI Form "&amp; VLOOKUP(I33, 'Processed Non-zero TRI Data'!$I$2:$K$6, 3, FALSE), "DMR")</f>
        <v>DMR</v>
      </c>
      <c r="C33" s="181" t="e">
        <f>VLOOKUP(D33,#REF!, 2, FALSE)</f>
        <v>#REF!</v>
      </c>
      <c r="D33" s="181" t="str">
        <f>IF(I33&lt;&gt;"",INDEX('Processed Non-zero TRI Data'!$O:$O,MATCH(I33,'Processed Non-zero TRI Data'!$I:$I,0)),INDEX('Processed Non-zero DMR Data'!$S:$S,MATCH(J33,'Processed Non-zero DMR Data'!$I:$I,0)))</f>
        <v>Processing as a reactant</v>
      </c>
      <c r="E33" s="181" t="str">
        <f>IF(I33&lt;&gt;"",INDEX('Processed Non-zero TRI Data'!$P:$P,MATCH(I33,'Processed Non-zero TRI Data'!$I:$I,0)),INDEX('Processed Non-zero DMR Data'!$T:$T,MATCH(J33,'Processed Non-zero DMR Data'!$I:$I,0)))</f>
        <v>Assumed processing as a reactant based on SIC and NAICS; this also matches 1,1,-DCA mapping.</v>
      </c>
      <c r="F33" s="9" t="str">
        <f>_xlfn.XLOOKUP(J33, 'Processed Non-zero DMR Data'!I:I, 'Processed Non-zero DMR Data'!B:B)</f>
        <v>EQUISTAR CHEMICALS-LAPORTE</v>
      </c>
      <c r="G33" s="9" t="str">
        <f>_xlfn.XLOOKUP(J33, 'Processed Non-zero DMR Data'!I:I, 'Processed Non-zero DMR Data'!C:C)</f>
        <v>LAPORTE</v>
      </c>
      <c r="H33" s="9" t="str">
        <f>_xlfn.XLOOKUP(J33, 'Processed Non-zero DMR Data'!I:I, 'Processed Non-zero DMR Data'!E:E)</f>
        <v>TX</v>
      </c>
      <c r="I33" s="9"/>
      <c r="J33" s="13">
        <v>110034641635</v>
      </c>
      <c r="K33" s="9" t="str">
        <f>IFERROR(INDEX('Raw Non-zero DMR Data'!$C:$C, MATCH(J33,'Raw Non-zero DMR Data'!$D:$D,0)),"")</f>
        <v>TX0119792</v>
      </c>
      <c r="L33" s="9" t="str">
        <f>IFERROR(INDEX('Raw Non-zero DMR Data'!$U:$U, MATCH($J33,'Raw Non-zero DMR Data'!$D:$D,0)),"")</f>
        <v>Goose Creek-Frontal Galveston Bay</v>
      </c>
      <c r="M33" s="155">
        <f>IFERROR(INDEX('Raw Non-zero DMR Data'!$T:$T, MATCH($J33,'Raw Non-zero DMR Data'!$D:$D,0)),"")</f>
        <v>120401040706</v>
      </c>
      <c r="N33" s="155" t="str">
        <f>IFERROR(INDEX('Off-site Locations'!$E:$E,MATCH(I33,'Off-site Locations'!$B:$B,0)),"No offsite transfers")</f>
        <v>No offsite transfers</v>
      </c>
      <c r="O33" s="165">
        <f>INDEX('TRI and DMR OES Summary'!D:D,MATCH('Facility Discharge Summary'!D33,'TRI and DMR OES Summary'!A:A,0))</f>
        <v>350</v>
      </c>
      <c r="P33" s="17" cm="1">
        <f t="array" ref="P33">IFERROR(_xlfn.XLOOKUP(1,  (MAX(IF(J33 = 'Processed Non-zero DMR Data'!$I$2:$I$651,'Processed Non-zero DMR Data'!$A$2:$A$651)) = 'Processed Non-zero DMR Data'!$A$2:$A$651)*('Processed Non-zero DMR Data'!$I$2:$I$651 = J33),'Processed Non-zero DMR Data'!$W$2:$W$651), "N/A- Facility Does Not Report DMRs")</f>
        <v>1.32568</v>
      </c>
      <c r="Q33" s="10">
        <f t="shared" si="14"/>
        <v>3.7876571428571426E-3</v>
      </c>
      <c r="R33" s="10" cm="1">
        <f t="array" ref="R33">IF(COUNTIF('Processed Non-zero DMR Data'!$I:$I,$J33)&gt;0,MEDIAN(IF('Processed Non-zero DMR Data'!$I:$I=J33,'Processed Non-zero DMR Data'!$W:$W)),"N/A - Facility Does Not Report DMRs")</f>
        <v>2.8999250000000001</v>
      </c>
      <c r="S33" s="10">
        <f t="shared" si="15"/>
        <v>8.2854999999999995E-3</v>
      </c>
      <c r="T33" s="10">
        <f>IF(COUNTIF('Processed Non-zero DMR Data'!$I:$I,$J33)&gt;0,_xlfn.MAXIFS('Processed Non-zero DMR Data'!$W:$W,'Processed Non-zero DMR Data'!$I:$I,$J33), "N/A - Facility Does Not Report DMRs")</f>
        <v>4.4208800000000004</v>
      </c>
      <c r="U33" s="10">
        <f t="shared" si="16"/>
        <v>1.2631085714285716E-2</v>
      </c>
      <c r="V33" s="158" cm="1">
        <f t="array" ref="V33">IF(COUNTIF('Processed Non-zero DMR Data'!$I:$I,$J33)&gt;0,INDEX('Processed Non-zero DMR Data'!$A:$A,MATCH(1,($J33='Processed Non-zero DMR Data'!$I:$I)*($T33='Processed Non-zero DMR Data'!$W:$W),0)), "N/A - Facility Does Not Report DMRs")</f>
        <v>2019</v>
      </c>
      <c r="W33" s="17" t="str" cm="1">
        <f t="array" ref="W33">IFERROR(_xlfn.XLOOKUP(1,  (MAX(IF(I33 = 'Processed Non-zero TRI Data'!$I$2:$I$6,'Processed Non-zero TRI Data'!$A$2:$A$6)) = 'Processed Non-zero TRI Data'!$A$2:$A$6)*('Processed Non-zero TRI Data'!$I$2:$I$6 = I33), 'Processed Non-zero TRI Data'!$T$2:$T$6), "N/A- Facility Does Not Report to TRI")</f>
        <v>N/A- Facility Does Not Report to TRI</v>
      </c>
      <c r="X33" s="10" t="str">
        <f t="shared" si="26"/>
        <v>N/A - Facility Does Not Report to TRI</v>
      </c>
      <c r="Y33" s="10" t="str" cm="1">
        <f t="array" ref="Y33">IF(COUNTIF('Processed Non-zero TRI Data'!$I:$I,$I33)&gt;0,MEDIAN(IF('Processed Non-zero TRI Data'!$I:$I=I33,'Processed Non-zero TRI Data'!$T:$T)), "N/A - Facility Does Not Report to TRI")</f>
        <v>N/A - Facility Does Not Report to TRI</v>
      </c>
      <c r="Z33" s="10" t="str">
        <f t="shared" si="27"/>
        <v>N/A - Facility Does Not Report to TRI</v>
      </c>
      <c r="AA33" s="10" t="str">
        <f>IF(COUNTIF('Processed Non-zero TRI Data'!$I:$I,$I33)&gt;0,_xlfn.MAXIFS('Processed Non-zero TRI Data'!$T:$T,'Processed Non-zero TRI Data'!$I:$I,$I33), "N/A - Facility Does Not Report to TRI")</f>
        <v>N/A - Facility Does Not Report to TRI</v>
      </c>
      <c r="AB33" s="10" t="str">
        <f t="shared" si="28"/>
        <v>N/A - Facility Does Not Report to TRI</v>
      </c>
      <c r="AC33" s="158" t="str" cm="1">
        <f t="array" ref="AC33">IFERROR(IF(B33 = "TRI Form R", IF(AA33 = 0, "Facility has no on-site water discharges between 2017-2022.",  IF(COUNTIF('Processed Non-zero TRI Data'!$I:$I,$I33)&gt;0,INDEX('Processed Non-zero TRI Data'!$A:$A,MATCH(1,($I33='Processed Non-zero TRI Data'!$I:$I)*(AA33='Processed Non-zero TRI Data'!$T:$T),0)))), VLOOKUP(I33,#REF!, 2, FALSE)), ("N/A - Facility Does Not Report to TRI"))</f>
        <v>N/A - Facility Does Not Report to TRI</v>
      </c>
      <c r="AD33" s="97" t="str" cm="1">
        <f t="array" ref="AD33">IFERROR(_xlfn.XLOOKUP(1,  (MAX(IF(I33 = 'Processed Non-zero TRI Data'!$I$2:$I$6,'Processed Non-zero TRI Data'!$A$2:$A$6)) = 'Processed Non-zero TRI Data'!$A$2:$A$6)*('Processed Non-zero TRI Data'!$I$2:$I$6 = I33), 'Processed Non-zero TRI Data'!$V$2:$V$6), "N/A- Facility Does Not Report to TRI")</f>
        <v>N/A- Facility Does Not Report to TRI</v>
      </c>
      <c r="AE33" s="9" t="str">
        <f t="shared" si="29"/>
        <v>N/A - Facility Does Not Report to TRI</v>
      </c>
      <c r="AF33" s="9" t="str" cm="1">
        <f t="array" ref="AF33">IF(COUNTIF('Processed Non-zero TRI Data'!$I:$I,$I33)&gt;0,MEDIAN(IF('Processed Non-zero TRI Data'!$I:$I=I33,'Processed Non-zero TRI Data'!$V:$V)), "N/A - Facility Does Not Report to TRI")</f>
        <v>N/A - Facility Does Not Report to TRI</v>
      </c>
      <c r="AG33" s="9" t="str">
        <f t="shared" si="30"/>
        <v>N/A - Facility Does Not Report to TRI</v>
      </c>
      <c r="AH33" s="9" t="str">
        <f>IF(COUNTIF('Processed Non-zero TRI Data'!$I:$I,$I33)&gt;0,_xlfn.MAXIFS('Processed Non-zero TRI Data'!$V:$V,'Processed Non-zero TRI Data'!$I:$I,$I33), "N/A - Facility Does Not Report to TRI")</f>
        <v>N/A - Facility Does Not Report to TRI</v>
      </c>
      <c r="AI33" s="9" t="str">
        <f t="shared" si="31"/>
        <v>N/A - Facility Does Not Report to TRI</v>
      </c>
      <c r="AJ33" s="158" t="str" cm="1">
        <f t="array" ref="AJ33">IF(B33="TRI Form A",AC33,IF(AH33=0,"Facility has no transfers to POTWs between 2019-2023.",IF(COUNTIF('Processed Non-zero TRI Data'!$I:$I,$I33)&gt;0,INDEX('Processed Non-zero TRI Data'!$A:$A,MATCH(1,($I33='Processed Non-zero TRI Data'!$I:$I)*(AH33='Processed Non-zero TRI Data'!$V:$V),0)),"N/A - Facility Does Not Report to TRI")))</f>
        <v>N/A - Facility Does Not Report to TRI</v>
      </c>
      <c r="AK33" s="97" t="str" cm="1">
        <f t="array" ref="AK33">IFERROR(_xlfn.XLOOKUP(1,  (MAX(IF(I33 = 'Processed Non-zero TRI Data'!$I$2:$I$6,'Processed Non-zero TRI Data'!$A$2:$A$6)) = 'Processed Non-zero TRI Data'!$A$2:$A$6)*('Processed Non-zero TRI Data'!$I$2:$I$6 = I33), 'Processed Non-zero TRI Data'!$X$2:$X$6), "N/A- Facility Does Not Report to TRI")</f>
        <v>N/A- Facility Does Not Report to TRI</v>
      </c>
      <c r="AL33" s="9" t="str">
        <f t="shared" si="32"/>
        <v>N/A - Facility Does Not Report to TRI</v>
      </c>
      <c r="AM33" s="9" t="str" cm="1">
        <f t="array" ref="AM33">IF(COUNTIF('Processed Non-zero TRI Data'!$I:$I,$I33)&gt;0,MEDIAN(IF('Processed Non-zero TRI Data'!$I:$I=I33,'Processed Non-zero TRI Data'!$X:$X)), "N/A - Facility Does Not Report to TRI")</f>
        <v>N/A - Facility Does Not Report to TRI</v>
      </c>
      <c r="AN33" s="9" t="str">
        <f t="shared" si="33"/>
        <v>N/A - Facility Does Not Report to TRI</v>
      </c>
      <c r="AO33" s="9" t="str">
        <f>IF(COUNTIF('Processed Non-zero TRI Data'!$I:$I,$I33)&gt;0,_xlfn.MAXIFS('Processed Non-zero TRI Data'!$X:$X,'Processed Non-zero TRI Data'!$I:$I,$I33), "N/A - Facility Does Not Report to TRI")</f>
        <v>N/A - Facility Does Not Report to TRI</v>
      </c>
      <c r="AP33" s="9" t="str">
        <f t="shared" si="34"/>
        <v>N/A - Facility Does Not Report to TRI</v>
      </c>
      <c r="AQ33" s="251" t="str" cm="1">
        <f t="array" ref="AQ33">IF(B33="TRI Form A",AC33,IF(AO33=0,"Facility has no transfers to non-POTWs between 2019-2023.",IF(COUNTIF('Processed Non-zero TRI Data'!$I:$I,$I33)&gt;0,INDEX('Processed Non-zero TRI Data'!$A:$A,MATCH(1,($I33='Processed Non-zero TRI Data'!$I:$I)*(AO33='Processed Non-zero TRI Data'!$X:$X),0)),"N/A - Facility Does Not Report to TRI")))</f>
        <v>N/A - Facility Does Not Report to TRI</v>
      </c>
      <c r="AR33" s="260">
        <f t="shared" si="12"/>
        <v>0</v>
      </c>
      <c r="AS33" s="260">
        <f t="shared" si="13"/>
        <v>4.4208800000000004</v>
      </c>
    </row>
    <row r="34" spans="1:45" ht="30" x14ac:dyDescent="0.25">
      <c r="A34" s="12">
        <v>31</v>
      </c>
      <c r="B34" s="10" t="str">
        <f>IFERROR("TRI Form "&amp; VLOOKUP(I34, 'Processed Non-zero TRI Data'!$I$2:$K$6, 3, FALSE), "DMR")</f>
        <v>DMR</v>
      </c>
      <c r="C34" s="181" t="e">
        <f>VLOOKUP(D34,#REF!, 2, FALSE)</f>
        <v>#REF!</v>
      </c>
      <c r="D34" s="181" t="str">
        <f>IF(I34&lt;&gt;"",INDEX('Processed Non-zero TRI Data'!$O:$O,MATCH(I34,'Processed Non-zero TRI Data'!$I:$I,0)),INDEX('Processed Non-zero DMR Data'!$S:$S,MATCH(J34,'Processed Non-zero DMR Data'!$I:$I,0)))</f>
        <v>Unknown</v>
      </c>
      <c r="E34" s="181" t="str">
        <f>IF(I34&lt;&gt;"",INDEX('Processed Non-zero TRI Data'!$P:$P,MATCH(I34,'Processed Non-zero TRI Data'!$I:$I,0)),INDEX('Processed Non-zero DMR Data'!$T:$T,MATCH(J34,'Processed Non-zero DMR Data'!$I:$I,0)))</f>
        <v>No OES for power generating stations.</v>
      </c>
      <c r="F34" s="9" t="str">
        <f>_xlfn.XLOOKUP(J34, 'Processed Non-zero DMR Data'!I:I, 'Processed Non-zero DMR Data'!B:B)</f>
        <v>EL CENTRO GENERATING STATION</v>
      </c>
      <c r="G34" s="9" t="str">
        <f>_xlfn.XLOOKUP(J34, 'Processed Non-zero DMR Data'!I:I, 'Processed Non-zero DMR Data'!C:C)</f>
        <v>EL CENTRO</v>
      </c>
      <c r="H34" s="9" t="str">
        <f>_xlfn.XLOOKUP(J34, 'Processed Non-zero DMR Data'!I:I, 'Processed Non-zero DMR Data'!E:E)</f>
        <v>CA</v>
      </c>
      <c r="I34" s="9"/>
      <c r="J34" s="13">
        <v>110002672484</v>
      </c>
      <c r="K34" s="9" t="str">
        <f>IFERROR(INDEX('Raw Non-zero DMR Data'!$C:$C, MATCH(J34,'Raw Non-zero DMR Data'!$D:$D,0)),"")</f>
        <v>CA7000004</v>
      </c>
      <c r="L34" s="9" t="str">
        <f>IFERROR(INDEX('Raw Non-zero DMR Data'!$U:$U, MATCH($J34,'Raw Non-zero DMR Data'!$D:$D,0)),"")</f>
        <v>Town of El Centro</v>
      </c>
      <c r="M34" s="155">
        <f>IFERROR(INDEX('Raw Non-zero DMR Data'!$T:$T, MATCH($J34,'Raw Non-zero DMR Data'!$D:$D,0)),"")</f>
        <v>181002040701</v>
      </c>
      <c r="N34" s="155" t="str">
        <f>IFERROR(INDEX('Off-site Locations'!$E:$E,MATCH(I34,'Off-site Locations'!$B:$B,0)),"No offsite transfers")</f>
        <v>No offsite transfers</v>
      </c>
      <c r="O34" s="165">
        <f>INDEX('TRI and DMR OES Summary'!D:D,MATCH('Facility Discharge Summary'!D34,'TRI and DMR OES Summary'!A:A,0))</f>
        <v>250</v>
      </c>
      <c r="P34" s="17" cm="1">
        <f t="array" ref="P34">IFERROR(_xlfn.XLOOKUP(1,  (MAX(IF(J34 = 'Processed Non-zero DMR Data'!$I$2:$I$651,'Processed Non-zero DMR Data'!$A$2:$A$651)) = 'Processed Non-zero DMR Data'!$A$2:$A$651)*('Processed Non-zero DMR Data'!$I$2:$I$651 = J34),'Processed Non-zero DMR Data'!$W$2:$W$651), "N/A- Facility Does Not Report DMRs")</f>
        <v>3.0393549999999998E-2</v>
      </c>
      <c r="Q34" s="10">
        <f t="shared" si="14"/>
        <v>1.215742E-4</v>
      </c>
      <c r="R34" s="10" cm="1">
        <f t="array" ref="R34">IF(COUNTIF('Processed Non-zero DMR Data'!$I:$I,$J34)&gt;0,MEDIAN(IF('Processed Non-zero DMR Data'!$I:$I=J34,'Processed Non-zero DMR Data'!$W:$W)),"N/A - Facility Does Not Report DMRs")</f>
        <v>1.0361437500000001E-2</v>
      </c>
      <c r="S34" s="10">
        <f t="shared" si="15"/>
        <v>4.1445750000000005E-5</v>
      </c>
      <c r="T34" s="10">
        <f>IF(COUNTIF('Processed Non-zero DMR Data'!$I:$I,$J34)&gt;0,_xlfn.MAXIFS('Processed Non-zero DMR Data'!$W:$W,'Processed Non-zero DMR Data'!$I:$I,$J34), "N/A - Facility Does Not Report DMRs")</f>
        <v>5.3188712499999999E-2</v>
      </c>
      <c r="U34" s="10">
        <f t="shared" si="16"/>
        <v>2.1275484999999999E-4</v>
      </c>
      <c r="V34" s="158" cm="1">
        <f t="array" ref="V34">IF(COUNTIF('Processed Non-zero DMR Data'!$I:$I,$J34)&gt;0,INDEX('Processed Non-zero DMR Data'!$A:$A,MATCH(1,($J34='Processed Non-zero DMR Data'!$I:$I)*($T34='Processed Non-zero DMR Data'!$W:$W),0)), "N/A - Facility Does Not Report DMRs")</f>
        <v>2021</v>
      </c>
      <c r="W34" s="17" t="str" cm="1">
        <f t="array" ref="W34">IFERROR(_xlfn.XLOOKUP(1,  (MAX(IF(I34 = 'Processed Non-zero TRI Data'!$I$2:$I$6,'Processed Non-zero TRI Data'!$A$2:$A$6)) = 'Processed Non-zero TRI Data'!$A$2:$A$6)*('Processed Non-zero TRI Data'!$I$2:$I$6 = I34), 'Processed Non-zero TRI Data'!$T$2:$T$6), "N/A- Facility Does Not Report to TRI")</f>
        <v>N/A- Facility Does Not Report to TRI</v>
      </c>
      <c r="X34" s="10" t="str">
        <f t="shared" si="26"/>
        <v>N/A - Facility Does Not Report to TRI</v>
      </c>
      <c r="Y34" s="10" t="str" cm="1">
        <f t="array" ref="Y34">IF(COUNTIF('Processed Non-zero TRI Data'!$I:$I,$I34)&gt;0,MEDIAN(IF('Processed Non-zero TRI Data'!$I:$I=I34,'Processed Non-zero TRI Data'!$T:$T)), "N/A - Facility Does Not Report to TRI")</f>
        <v>N/A - Facility Does Not Report to TRI</v>
      </c>
      <c r="Z34" s="10" t="str">
        <f t="shared" si="27"/>
        <v>N/A - Facility Does Not Report to TRI</v>
      </c>
      <c r="AA34" s="10" t="str">
        <f>IF(COUNTIF('Processed Non-zero TRI Data'!$I:$I,$I34)&gt;0,_xlfn.MAXIFS('Processed Non-zero TRI Data'!$T:$T,'Processed Non-zero TRI Data'!$I:$I,$I34), "N/A - Facility Does Not Report to TRI")</f>
        <v>N/A - Facility Does Not Report to TRI</v>
      </c>
      <c r="AB34" s="10" t="str">
        <f t="shared" si="28"/>
        <v>N/A - Facility Does Not Report to TRI</v>
      </c>
      <c r="AC34" s="158" t="str" cm="1">
        <f t="array" ref="AC34">IFERROR(IF(B34 = "TRI Form R", IF(AA34 = 0, "Facility has no on-site water discharges between 2017-2022.",  IF(COUNTIF('Processed Non-zero TRI Data'!$I:$I,$I34)&gt;0,INDEX('Processed Non-zero TRI Data'!$A:$A,MATCH(1,($I34='Processed Non-zero TRI Data'!$I:$I)*(AA34='Processed Non-zero TRI Data'!$T:$T),0)))), VLOOKUP(I34,#REF!, 2, FALSE)), ("N/A - Facility Does Not Report to TRI"))</f>
        <v>N/A - Facility Does Not Report to TRI</v>
      </c>
      <c r="AD34" s="97" t="str" cm="1">
        <f t="array" ref="AD34">IFERROR(_xlfn.XLOOKUP(1,  (MAX(IF(I34 = 'Processed Non-zero TRI Data'!$I$2:$I$6,'Processed Non-zero TRI Data'!$A$2:$A$6)) = 'Processed Non-zero TRI Data'!$A$2:$A$6)*('Processed Non-zero TRI Data'!$I$2:$I$6 = I34), 'Processed Non-zero TRI Data'!$V$2:$V$6), "N/A- Facility Does Not Report to TRI")</f>
        <v>N/A- Facility Does Not Report to TRI</v>
      </c>
      <c r="AE34" s="9" t="str">
        <f t="shared" si="29"/>
        <v>N/A - Facility Does Not Report to TRI</v>
      </c>
      <c r="AF34" s="9" t="str" cm="1">
        <f t="array" ref="AF34">IF(COUNTIF('Processed Non-zero TRI Data'!$I:$I,$I34)&gt;0,MEDIAN(IF('Processed Non-zero TRI Data'!$I:$I=I34,'Processed Non-zero TRI Data'!$V:$V)), "N/A - Facility Does Not Report to TRI")</f>
        <v>N/A - Facility Does Not Report to TRI</v>
      </c>
      <c r="AG34" s="9" t="str">
        <f t="shared" si="30"/>
        <v>N/A - Facility Does Not Report to TRI</v>
      </c>
      <c r="AH34" s="9" t="str">
        <f>IF(COUNTIF('Processed Non-zero TRI Data'!$I:$I,$I34)&gt;0,_xlfn.MAXIFS('Processed Non-zero TRI Data'!$V:$V,'Processed Non-zero TRI Data'!$I:$I,$I34), "N/A - Facility Does Not Report to TRI")</f>
        <v>N/A - Facility Does Not Report to TRI</v>
      </c>
      <c r="AI34" s="9" t="str">
        <f t="shared" si="31"/>
        <v>N/A - Facility Does Not Report to TRI</v>
      </c>
      <c r="AJ34" s="158" t="str" cm="1">
        <f t="array" ref="AJ34">IF(B34="TRI Form A",AC34,IF(AH34=0,"Facility has no transfers to POTWs between 2019-2023.",IF(COUNTIF('Processed Non-zero TRI Data'!$I:$I,$I34)&gt;0,INDEX('Processed Non-zero TRI Data'!$A:$A,MATCH(1,($I34='Processed Non-zero TRI Data'!$I:$I)*(AH34='Processed Non-zero TRI Data'!$V:$V),0)),"N/A - Facility Does Not Report to TRI")))</f>
        <v>N/A - Facility Does Not Report to TRI</v>
      </c>
      <c r="AK34" s="97" t="str" cm="1">
        <f t="array" ref="AK34">IFERROR(_xlfn.XLOOKUP(1,  (MAX(IF(I34 = 'Processed Non-zero TRI Data'!$I$2:$I$6,'Processed Non-zero TRI Data'!$A$2:$A$6)) = 'Processed Non-zero TRI Data'!$A$2:$A$6)*('Processed Non-zero TRI Data'!$I$2:$I$6 = I34), 'Processed Non-zero TRI Data'!$X$2:$X$6), "N/A- Facility Does Not Report to TRI")</f>
        <v>N/A- Facility Does Not Report to TRI</v>
      </c>
      <c r="AL34" s="9" t="str">
        <f t="shared" si="32"/>
        <v>N/A - Facility Does Not Report to TRI</v>
      </c>
      <c r="AM34" s="9" t="str" cm="1">
        <f t="array" ref="AM34">IF(COUNTIF('Processed Non-zero TRI Data'!$I:$I,$I34)&gt;0,MEDIAN(IF('Processed Non-zero TRI Data'!$I:$I=I34,'Processed Non-zero TRI Data'!$X:$X)), "N/A - Facility Does Not Report to TRI")</f>
        <v>N/A - Facility Does Not Report to TRI</v>
      </c>
      <c r="AN34" s="9" t="str">
        <f t="shared" si="33"/>
        <v>N/A - Facility Does Not Report to TRI</v>
      </c>
      <c r="AO34" s="9" t="str">
        <f>IF(COUNTIF('Processed Non-zero TRI Data'!$I:$I,$I34)&gt;0,_xlfn.MAXIFS('Processed Non-zero TRI Data'!$X:$X,'Processed Non-zero TRI Data'!$I:$I,$I34), "N/A - Facility Does Not Report to TRI")</f>
        <v>N/A - Facility Does Not Report to TRI</v>
      </c>
      <c r="AP34" s="9" t="str">
        <f t="shared" si="34"/>
        <v>N/A - Facility Does Not Report to TRI</v>
      </c>
      <c r="AQ34" s="251" t="str" cm="1">
        <f t="array" ref="AQ34">IF(B34="TRI Form A",AC34,IF(AO34=0,"Facility has no transfers to non-POTWs between 2019-2023.",IF(COUNTIF('Processed Non-zero TRI Data'!$I:$I,$I34)&gt;0,INDEX('Processed Non-zero TRI Data'!$A:$A,MATCH(1,($I34='Processed Non-zero TRI Data'!$I:$I)*(AO34='Processed Non-zero TRI Data'!$X:$X),0)),"N/A - Facility Does Not Report to TRI")))</f>
        <v>N/A - Facility Does Not Report to TRI</v>
      </c>
      <c r="AR34" s="260">
        <f t="shared" si="12"/>
        <v>0</v>
      </c>
      <c r="AS34" s="260">
        <f t="shared" si="13"/>
        <v>5.3188712499999999E-2</v>
      </c>
    </row>
    <row r="35" spans="1:45" ht="30" x14ac:dyDescent="0.25">
      <c r="A35" s="12">
        <v>32</v>
      </c>
      <c r="B35" s="10" t="str">
        <f>IFERROR("TRI Form "&amp; VLOOKUP(I35, 'Processed Non-zero TRI Data'!$I$2:$K$6, 3, FALSE), "DMR")</f>
        <v>DMR</v>
      </c>
      <c r="C35" s="181" t="e">
        <f>VLOOKUP(D35,#REF!, 2, FALSE)</f>
        <v>#REF!</v>
      </c>
      <c r="D35" s="181" t="str">
        <f>IF(I35&lt;&gt;"",INDEX('Processed Non-zero TRI Data'!$O:$O,MATCH(I35,'Processed Non-zero TRI Data'!$I:$I,0)),INDEX('Processed Non-zero DMR Data'!$S:$S,MATCH(J35,'Processed Non-zero DMR Data'!$I:$I,0)))</f>
        <v>Waste Handling, Disposal and Treatment (Remediation)</v>
      </c>
      <c r="E35" s="181" t="str">
        <f>IF(I35&lt;&gt;"",INDEX('Processed Non-zero TRI Data'!$P:$P,MATCH(I35,'Processed Non-zero TRI Data'!$I:$I,0)),INDEX('Processed Non-zero DMR Data'!$T:$T,MATCH(J35,'Processed Non-zero DMR Data'!$I:$I,0)))</f>
        <v>Consistent with 1,1-DCA</v>
      </c>
      <c r="F35" s="9" t="str">
        <f>_xlfn.XLOOKUP(J35, 'Processed Non-zero DMR Data'!I:I, 'Processed Non-zero DMR Data'!B:B)</f>
        <v>HERCULES GIBBSTOWN GROUNDWATER TREATMENT SITE</v>
      </c>
      <c r="G35" s="9" t="str">
        <f>_xlfn.XLOOKUP(J35, 'Processed Non-zero DMR Data'!I:I, 'Processed Non-zero DMR Data'!C:C)</f>
        <v>GREENWICH TWP</v>
      </c>
      <c r="H35" s="9" t="str">
        <f>_xlfn.XLOOKUP(J35, 'Processed Non-zero DMR Data'!I:I, 'Processed Non-zero DMR Data'!E:E)</f>
        <v>NJ</v>
      </c>
      <c r="I35" s="9"/>
      <c r="J35" s="13">
        <v>110070210457</v>
      </c>
      <c r="K35" s="9" t="str">
        <f>IFERROR(INDEX('Raw Non-zero DMR Data'!$C:$C, MATCH(J35,'Raw Non-zero DMR Data'!$D:$D,0)),"")</f>
        <v>NJG005134</v>
      </c>
      <c r="L35" s="9" t="str">
        <f>IFERROR(INDEX('Raw Non-zero DMR Data'!$U:$U, MATCH($J35,'Raw Non-zero DMR Data'!$D:$D,0)),"")</f>
        <v>Woodbury Creek-Delaware River</v>
      </c>
      <c r="M35" s="155" t="str">
        <f>IFERROR(INDEX('Raw Non-zero DMR Data'!$T:$T, MATCH($J35,'Raw Non-zero DMR Data'!$D:$D,0)),"")</f>
        <v>020402020507</v>
      </c>
      <c r="N35" s="155" t="str">
        <f>IFERROR(INDEX('Off-site Locations'!$E:$E,MATCH(I35,'Off-site Locations'!$B:$B,0)),"No offsite transfers")</f>
        <v>No offsite transfers</v>
      </c>
      <c r="O35" s="165">
        <f>INDEX('TRI and DMR OES Summary'!D:D,MATCH('Facility Discharge Summary'!D35,'TRI and DMR OES Summary'!A:A,0))</f>
        <v>250</v>
      </c>
      <c r="P35" s="17" cm="1">
        <f t="array" ref="P35">IFERROR(_xlfn.XLOOKUP(1,  (MAX(IF(J35 = 'Processed Non-zero DMR Data'!$I$2:$I$651,'Processed Non-zero DMR Data'!$A$2:$A$651)) = 'Processed Non-zero DMR Data'!$A$2:$A$651)*('Processed Non-zero DMR Data'!$I$2:$I$651 = J35),'Processed Non-zero DMR Data'!$W$2:$W$651), "N/A- Facility Does Not Report DMRs")</f>
        <v>3.3324086249999999E-3</v>
      </c>
      <c r="Q35" s="10">
        <f t="shared" si="14"/>
        <v>1.33296345E-5</v>
      </c>
      <c r="R35" s="10" cm="1">
        <f t="array" ref="R35">IF(COUNTIF('Processed Non-zero DMR Data'!$I:$I,$J35)&gt;0,MEDIAN(IF('Processed Non-zero DMR Data'!$I:$I=J35,'Processed Non-zero DMR Data'!$W:$W)),"N/A - Facility Does Not Report DMRs")</f>
        <v>5.6170024525000004E-3</v>
      </c>
      <c r="S35" s="10">
        <f t="shared" si="15"/>
        <v>2.2468009810000003E-5</v>
      </c>
      <c r="T35" s="10">
        <f>IF(COUNTIF('Processed Non-zero DMR Data'!$I:$I,$J35)&gt;0,_xlfn.MAXIFS('Processed Non-zero DMR Data'!$W:$W,'Processed Non-zero DMR Data'!$I:$I,$J35), "N/A - Facility Does Not Report DMRs")</f>
        <v>6.674366805E-3</v>
      </c>
      <c r="U35" s="10">
        <f t="shared" si="16"/>
        <v>2.6697467219999999E-5</v>
      </c>
      <c r="V35" s="158" cm="1">
        <f t="array" ref="V35">IF(COUNTIF('Processed Non-zero DMR Data'!$I:$I,$J35)&gt;0,INDEX('Processed Non-zero DMR Data'!$A:$A,MATCH(1,($J35='Processed Non-zero DMR Data'!$I:$I)*($T35='Processed Non-zero DMR Data'!$W:$W),0)), "N/A - Facility Does Not Report DMRs")</f>
        <v>2019</v>
      </c>
      <c r="W35" s="17" t="str" cm="1">
        <f t="array" ref="W35">IFERROR(_xlfn.XLOOKUP(1,  (MAX(IF(I35 = 'Processed Non-zero TRI Data'!$I$2:$I$6,'Processed Non-zero TRI Data'!$A$2:$A$6)) = 'Processed Non-zero TRI Data'!$A$2:$A$6)*('Processed Non-zero TRI Data'!$I$2:$I$6 = I35), 'Processed Non-zero TRI Data'!$T$2:$T$6), "N/A- Facility Does Not Report to TRI")</f>
        <v>N/A- Facility Does Not Report to TRI</v>
      </c>
      <c r="X35" s="10" t="str">
        <f t="shared" si="26"/>
        <v>N/A - Facility Does Not Report to TRI</v>
      </c>
      <c r="Y35" s="10" t="str" cm="1">
        <f t="array" ref="Y35">IF(COUNTIF('Processed Non-zero TRI Data'!$I:$I,$I35)&gt;0,MEDIAN(IF('Processed Non-zero TRI Data'!$I:$I=I35,'Processed Non-zero TRI Data'!$T:$T)), "N/A - Facility Does Not Report to TRI")</f>
        <v>N/A - Facility Does Not Report to TRI</v>
      </c>
      <c r="Z35" s="10" t="str">
        <f t="shared" si="27"/>
        <v>N/A - Facility Does Not Report to TRI</v>
      </c>
      <c r="AA35" s="10" t="str">
        <f>IF(COUNTIF('Processed Non-zero TRI Data'!$I:$I,$I35)&gt;0,_xlfn.MAXIFS('Processed Non-zero TRI Data'!$T:$T,'Processed Non-zero TRI Data'!$I:$I,$I35), "N/A - Facility Does Not Report to TRI")</f>
        <v>N/A - Facility Does Not Report to TRI</v>
      </c>
      <c r="AB35" s="10" t="str">
        <f t="shared" si="28"/>
        <v>N/A - Facility Does Not Report to TRI</v>
      </c>
      <c r="AC35" s="158" t="str" cm="1">
        <f t="array" ref="AC35">IFERROR(IF(B35 = "TRI Form R", IF(AA35 = 0, "Facility has no on-site water discharges between 2017-2022.",  IF(COUNTIF('Processed Non-zero TRI Data'!$I:$I,$I35)&gt;0,INDEX('Processed Non-zero TRI Data'!$A:$A,MATCH(1,($I35='Processed Non-zero TRI Data'!$I:$I)*(AA35='Processed Non-zero TRI Data'!$T:$T),0)))), VLOOKUP(I35,#REF!, 2, FALSE)), ("N/A - Facility Does Not Report to TRI"))</f>
        <v>N/A - Facility Does Not Report to TRI</v>
      </c>
      <c r="AD35" s="97" t="str" cm="1">
        <f t="array" ref="AD35">IFERROR(_xlfn.XLOOKUP(1,  (MAX(IF(I35 = 'Processed Non-zero TRI Data'!$I$2:$I$6,'Processed Non-zero TRI Data'!$A$2:$A$6)) = 'Processed Non-zero TRI Data'!$A$2:$A$6)*('Processed Non-zero TRI Data'!$I$2:$I$6 = I35), 'Processed Non-zero TRI Data'!$V$2:$V$6), "N/A- Facility Does Not Report to TRI")</f>
        <v>N/A- Facility Does Not Report to TRI</v>
      </c>
      <c r="AE35" s="9" t="str">
        <f t="shared" si="29"/>
        <v>N/A - Facility Does Not Report to TRI</v>
      </c>
      <c r="AF35" s="9" t="str" cm="1">
        <f t="array" ref="AF35">IF(COUNTIF('Processed Non-zero TRI Data'!$I:$I,$I35)&gt;0,MEDIAN(IF('Processed Non-zero TRI Data'!$I:$I=I35,'Processed Non-zero TRI Data'!$V:$V)), "N/A - Facility Does Not Report to TRI")</f>
        <v>N/A - Facility Does Not Report to TRI</v>
      </c>
      <c r="AG35" s="9" t="str">
        <f t="shared" si="30"/>
        <v>N/A - Facility Does Not Report to TRI</v>
      </c>
      <c r="AH35" s="9" t="str">
        <f>IF(COUNTIF('Processed Non-zero TRI Data'!$I:$I,$I35)&gt;0,_xlfn.MAXIFS('Processed Non-zero TRI Data'!$V:$V,'Processed Non-zero TRI Data'!$I:$I,$I35), "N/A - Facility Does Not Report to TRI")</f>
        <v>N/A - Facility Does Not Report to TRI</v>
      </c>
      <c r="AI35" s="9" t="str">
        <f t="shared" si="31"/>
        <v>N/A - Facility Does Not Report to TRI</v>
      </c>
      <c r="AJ35" s="158" t="str" cm="1">
        <f t="array" ref="AJ35">IF(B35="TRI Form A",AC35,IF(AH35=0,"Facility has no transfers to POTWs between 2019-2023.",IF(COUNTIF('Processed Non-zero TRI Data'!$I:$I,$I35)&gt;0,INDEX('Processed Non-zero TRI Data'!$A:$A,MATCH(1,($I35='Processed Non-zero TRI Data'!$I:$I)*(AH35='Processed Non-zero TRI Data'!$V:$V),0)),"N/A - Facility Does Not Report to TRI")))</f>
        <v>N/A - Facility Does Not Report to TRI</v>
      </c>
      <c r="AK35" s="97" t="str" cm="1">
        <f t="array" ref="AK35">IFERROR(_xlfn.XLOOKUP(1,  (MAX(IF(I35 = 'Processed Non-zero TRI Data'!$I$2:$I$6,'Processed Non-zero TRI Data'!$A$2:$A$6)) = 'Processed Non-zero TRI Data'!$A$2:$A$6)*('Processed Non-zero TRI Data'!$I$2:$I$6 = I35), 'Processed Non-zero TRI Data'!$X$2:$X$6), "N/A- Facility Does Not Report to TRI")</f>
        <v>N/A- Facility Does Not Report to TRI</v>
      </c>
      <c r="AL35" s="9" t="str">
        <f t="shared" si="32"/>
        <v>N/A - Facility Does Not Report to TRI</v>
      </c>
      <c r="AM35" s="9" t="str" cm="1">
        <f t="array" ref="AM35">IF(COUNTIF('Processed Non-zero TRI Data'!$I:$I,$I35)&gt;0,MEDIAN(IF('Processed Non-zero TRI Data'!$I:$I=I35,'Processed Non-zero TRI Data'!$X:$X)), "N/A - Facility Does Not Report to TRI")</f>
        <v>N/A - Facility Does Not Report to TRI</v>
      </c>
      <c r="AN35" s="9" t="str">
        <f t="shared" si="33"/>
        <v>N/A - Facility Does Not Report to TRI</v>
      </c>
      <c r="AO35" s="9" t="str">
        <f>IF(COUNTIF('Processed Non-zero TRI Data'!$I:$I,$I35)&gt;0,_xlfn.MAXIFS('Processed Non-zero TRI Data'!$X:$X,'Processed Non-zero TRI Data'!$I:$I,$I35), "N/A - Facility Does Not Report to TRI")</f>
        <v>N/A - Facility Does Not Report to TRI</v>
      </c>
      <c r="AP35" s="9" t="str">
        <f t="shared" si="34"/>
        <v>N/A - Facility Does Not Report to TRI</v>
      </c>
      <c r="AQ35" s="251" t="str" cm="1">
        <f t="array" ref="AQ35">IF(B35="TRI Form A",AC35,IF(AO35=0,"Facility has no transfers to non-POTWs between 2019-2023.",IF(COUNTIF('Processed Non-zero TRI Data'!$I:$I,$I35)&gt;0,INDEX('Processed Non-zero TRI Data'!$A:$A,MATCH(1,($I35='Processed Non-zero TRI Data'!$I:$I)*(AO35='Processed Non-zero TRI Data'!$X:$X),0)),"N/A - Facility Does Not Report to TRI")))</f>
        <v>N/A - Facility Does Not Report to TRI</v>
      </c>
      <c r="AR35" s="260">
        <f t="shared" si="12"/>
        <v>0</v>
      </c>
      <c r="AS35" s="260">
        <f t="shared" si="13"/>
        <v>6.674366805E-3</v>
      </c>
    </row>
    <row r="36" spans="1:45" ht="30" x14ac:dyDescent="0.25">
      <c r="A36" s="12">
        <v>33</v>
      </c>
      <c r="B36" s="10" t="str">
        <f>IFERROR("TRI Form "&amp; VLOOKUP(I36, 'Processed Non-zero TRI Data'!$I$2:$K$6, 3, FALSE), "DMR")</f>
        <v>DMR</v>
      </c>
      <c r="C36" s="181" t="e">
        <f>VLOOKUP(D36,#REF!, 2, FALSE)</f>
        <v>#REF!</v>
      </c>
      <c r="D36" s="181" t="str">
        <f>IF(I36&lt;&gt;"",INDEX('Processed Non-zero TRI Data'!$O:$O,MATCH(I36,'Processed Non-zero TRI Data'!$I:$I,0)),INDEX('Processed Non-zero DMR Data'!$S:$S,MATCH(J36,'Processed Non-zero DMR Data'!$I:$I,0)))</f>
        <v>Processing as a reactant</v>
      </c>
      <c r="E36" s="181" t="str">
        <f>IF(I36&lt;&gt;"",INDEX('Processed Non-zero TRI Data'!$P:$P,MATCH(I36,'Processed Non-zero TRI Data'!$I:$I,0)),INDEX('Processed Non-zero DMR Data'!$T:$T,MATCH(J36,'Processed Non-zero DMR Data'!$I:$I,0)))</f>
        <v>Assumed processing as a reactant based on SIC and NAICS; this also matches 1,1,-DCA mapping.</v>
      </c>
      <c r="F36" s="9" t="str">
        <f>_xlfn.XLOOKUP(J36, 'Processed Non-zero DMR Data'!I:I, 'Processed Non-zero DMR Data'!B:B)</f>
        <v>TAMINCO EASTMAN US - ST GABRIEL PLANT</v>
      </c>
      <c r="G36" s="9" t="str">
        <f>_xlfn.XLOOKUP(J36, 'Processed Non-zero DMR Data'!I:I, 'Processed Non-zero DMR Data'!C:C)</f>
        <v>SAINT GABRIEL</v>
      </c>
      <c r="H36" s="9" t="str">
        <f>_xlfn.XLOOKUP(J36, 'Processed Non-zero DMR Data'!I:I, 'Processed Non-zero DMR Data'!E:E)</f>
        <v>LA</v>
      </c>
      <c r="I36" s="9"/>
      <c r="J36" s="13">
        <v>110056972432</v>
      </c>
      <c r="K36" s="9" t="str">
        <f>IFERROR(INDEX('Raw Non-zero DMR Data'!$C:$C, MATCH(J36,'Raw Non-zero DMR Data'!$D:$D,0)),"")</f>
        <v>LA0046361</v>
      </c>
      <c r="L36" s="9" t="str">
        <f>IFERROR(INDEX('Raw Non-zero DMR Data'!$U:$U, MATCH($J36,'Raw Non-zero DMR Data'!$D:$D,0)),"")</f>
        <v>Bayou Braud</v>
      </c>
      <c r="M36" s="155" t="str">
        <f>IFERROR(INDEX('Raw Non-zero DMR Data'!$T:$T, MATCH($J36,'Raw Non-zero DMR Data'!$D:$D,0)),"")</f>
        <v>080702020801</v>
      </c>
      <c r="N36" s="155" t="str">
        <f>IFERROR(INDEX('Off-site Locations'!$E:$E,MATCH(I36,'Off-site Locations'!$B:$B,0)),"No offsite transfers")</f>
        <v>No offsite transfers</v>
      </c>
      <c r="O36" s="165">
        <f>INDEX('TRI and DMR OES Summary'!D:D,MATCH('Facility Discharge Summary'!D36,'TRI and DMR OES Summary'!A:A,0))</f>
        <v>350</v>
      </c>
      <c r="P36" s="17" cm="1">
        <f t="array" ref="P36">IFERROR(_xlfn.XLOOKUP(1,  (MAX(IF(J36 = 'Processed Non-zero DMR Data'!$I$2:$I$651,'Processed Non-zero DMR Data'!$A$2:$A$651)) = 'Processed Non-zero DMR Data'!$A$2:$A$651)*('Processed Non-zero DMR Data'!$I$2:$I$651 = J36),'Processed Non-zero DMR Data'!$W$2:$W$651), "N/A- Facility Does Not Report DMRs")</f>
        <v>0.414275</v>
      </c>
      <c r="Q36" s="10">
        <f t="shared" si="14"/>
        <v>1.1836428571428571E-3</v>
      </c>
      <c r="R36" s="10" cm="1">
        <f t="array" ref="R36">IF(COUNTIF('Processed Non-zero DMR Data'!$I:$I,$J36)&gt;0,MEDIAN(IF('Processed Non-zero DMR Data'!$I:$I=J36,'Processed Non-zero DMR Data'!$W:$W)),"N/A - Facility Does Not Report DMRs")</f>
        <v>0.414275</v>
      </c>
      <c r="S36" s="10">
        <f t="shared" si="15"/>
        <v>1.1836428571428571E-3</v>
      </c>
      <c r="T36" s="10">
        <f>IF(COUNTIF('Processed Non-zero DMR Data'!$I:$I,$J36)&gt;0,_xlfn.MAXIFS('Processed Non-zero DMR Data'!$W:$W,'Processed Non-zero DMR Data'!$I:$I,$J36), "N/A - Facility Does Not Report DMRs")</f>
        <v>0.414275</v>
      </c>
      <c r="U36" s="10">
        <f t="shared" si="16"/>
        <v>1.1836428571428571E-3</v>
      </c>
      <c r="V36" s="158" cm="1">
        <f t="array" ref="V36">IF(COUNTIF('Processed Non-zero DMR Data'!$I:$I,$J36)&gt;0,INDEX('Processed Non-zero DMR Data'!$A:$A,MATCH(1,($J36='Processed Non-zero DMR Data'!$I:$I)*($T36='Processed Non-zero DMR Data'!$W:$W),0)), "N/A - Facility Does Not Report DMRs")</f>
        <v>2019</v>
      </c>
      <c r="W36" s="17" t="str" cm="1">
        <f t="array" ref="W36">IFERROR(_xlfn.XLOOKUP(1,  (MAX(IF(I36 = 'Processed Non-zero TRI Data'!$I$2:$I$6,'Processed Non-zero TRI Data'!$A$2:$A$6)) = 'Processed Non-zero TRI Data'!$A$2:$A$6)*('Processed Non-zero TRI Data'!$I$2:$I$6 = I36), 'Processed Non-zero TRI Data'!$T$2:$T$6), "N/A- Facility Does Not Report to TRI")</f>
        <v>N/A- Facility Does Not Report to TRI</v>
      </c>
      <c r="X36" s="10" t="str">
        <f t="shared" si="26"/>
        <v>N/A - Facility Does Not Report to TRI</v>
      </c>
      <c r="Y36" s="10" t="str" cm="1">
        <f t="array" ref="Y36">IF(COUNTIF('Processed Non-zero TRI Data'!$I:$I,$I36)&gt;0,MEDIAN(IF('Processed Non-zero TRI Data'!$I:$I=I36,'Processed Non-zero TRI Data'!$T:$T)), "N/A - Facility Does Not Report to TRI")</f>
        <v>N/A - Facility Does Not Report to TRI</v>
      </c>
      <c r="Z36" s="10" t="str">
        <f t="shared" si="27"/>
        <v>N/A - Facility Does Not Report to TRI</v>
      </c>
      <c r="AA36" s="10" t="str">
        <f>IF(COUNTIF('Processed Non-zero TRI Data'!$I:$I,$I36)&gt;0,_xlfn.MAXIFS('Processed Non-zero TRI Data'!$T:$T,'Processed Non-zero TRI Data'!$I:$I,$I36), "N/A - Facility Does Not Report to TRI")</f>
        <v>N/A - Facility Does Not Report to TRI</v>
      </c>
      <c r="AB36" s="10" t="str">
        <f t="shared" si="28"/>
        <v>N/A - Facility Does Not Report to TRI</v>
      </c>
      <c r="AC36" s="158" t="str" cm="1">
        <f t="array" ref="AC36">IFERROR(IF(B36 = "TRI Form R", IF(AA36 = 0, "Facility has no on-site water discharges between 2017-2022.",  IF(COUNTIF('Processed Non-zero TRI Data'!$I:$I,$I36)&gt;0,INDEX('Processed Non-zero TRI Data'!$A:$A,MATCH(1,($I36='Processed Non-zero TRI Data'!$I:$I)*(AA36='Processed Non-zero TRI Data'!$T:$T),0)))), VLOOKUP(I36,#REF!, 2, FALSE)), ("N/A - Facility Does Not Report to TRI"))</f>
        <v>N/A - Facility Does Not Report to TRI</v>
      </c>
      <c r="AD36" s="97" t="str" cm="1">
        <f t="array" ref="AD36">IFERROR(_xlfn.XLOOKUP(1,  (MAX(IF(I36 = 'Processed Non-zero TRI Data'!$I$2:$I$6,'Processed Non-zero TRI Data'!$A$2:$A$6)) = 'Processed Non-zero TRI Data'!$A$2:$A$6)*('Processed Non-zero TRI Data'!$I$2:$I$6 = I36), 'Processed Non-zero TRI Data'!$V$2:$V$6), "N/A- Facility Does Not Report to TRI")</f>
        <v>N/A- Facility Does Not Report to TRI</v>
      </c>
      <c r="AE36" s="9" t="str">
        <f t="shared" si="29"/>
        <v>N/A - Facility Does Not Report to TRI</v>
      </c>
      <c r="AF36" s="9" t="str" cm="1">
        <f t="array" ref="AF36">IF(COUNTIF('Processed Non-zero TRI Data'!$I:$I,$I36)&gt;0,MEDIAN(IF('Processed Non-zero TRI Data'!$I:$I=I36,'Processed Non-zero TRI Data'!$V:$V)), "N/A - Facility Does Not Report to TRI")</f>
        <v>N/A - Facility Does Not Report to TRI</v>
      </c>
      <c r="AG36" s="9" t="str">
        <f t="shared" si="30"/>
        <v>N/A - Facility Does Not Report to TRI</v>
      </c>
      <c r="AH36" s="9" t="str">
        <f>IF(COUNTIF('Processed Non-zero TRI Data'!$I:$I,$I36)&gt;0,_xlfn.MAXIFS('Processed Non-zero TRI Data'!$V:$V,'Processed Non-zero TRI Data'!$I:$I,$I36), "N/A - Facility Does Not Report to TRI")</f>
        <v>N/A - Facility Does Not Report to TRI</v>
      </c>
      <c r="AI36" s="9" t="str">
        <f t="shared" si="31"/>
        <v>N/A - Facility Does Not Report to TRI</v>
      </c>
      <c r="AJ36" s="158" t="str" cm="1">
        <f t="array" ref="AJ36">IF(B36="TRI Form A",AC36,IF(AH36=0,"Facility has no transfers to POTWs between 2019-2023.",IF(COUNTIF('Processed Non-zero TRI Data'!$I:$I,$I36)&gt;0,INDEX('Processed Non-zero TRI Data'!$A:$A,MATCH(1,($I36='Processed Non-zero TRI Data'!$I:$I)*(AH36='Processed Non-zero TRI Data'!$V:$V),0)),"N/A - Facility Does Not Report to TRI")))</f>
        <v>N/A - Facility Does Not Report to TRI</v>
      </c>
      <c r="AK36" s="97" t="str" cm="1">
        <f t="array" ref="AK36">IFERROR(_xlfn.XLOOKUP(1,  (MAX(IF(I36 = 'Processed Non-zero TRI Data'!$I$2:$I$6,'Processed Non-zero TRI Data'!$A$2:$A$6)) = 'Processed Non-zero TRI Data'!$A$2:$A$6)*('Processed Non-zero TRI Data'!$I$2:$I$6 = I36), 'Processed Non-zero TRI Data'!$X$2:$X$6), "N/A- Facility Does Not Report to TRI")</f>
        <v>N/A- Facility Does Not Report to TRI</v>
      </c>
      <c r="AL36" s="9" t="str">
        <f t="shared" si="32"/>
        <v>N/A - Facility Does Not Report to TRI</v>
      </c>
      <c r="AM36" s="9" t="str" cm="1">
        <f t="array" ref="AM36">IF(COUNTIF('Processed Non-zero TRI Data'!$I:$I,$I36)&gt;0,MEDIAN(IF('Processed Non-zero TRI Data'!$I:$I=I36,'Processed Non-zero TRI Data'!$X:$X)), "N/A - Facility Does Not Report to TRI")</f>
        <v>N/A - Facility Does Not Report to TRI</v>
      </c>
      <c r="AN36" s="9" t="str">
        <f t="shared" si="33"/>
        <v>N/A - Facility Does Not Report to TRI</v>
      </c>
      <c r="AO36" s="9" t="str">
        <f>IF(COUNTIF('Processed Non-zero TRI Data'!$I:$I,$I36)&gt;0,_xlfn.MAXIFS('Processed Non-zero TRI Data'!$X:$X,'Processed Non-zero TRI Data'!$I:$I,$I36), "N/A - Facility Does Not Report to TRI")</f>
        <v>N/A - Facility Does Not Report to TRI</v>
      </c>
      <c r="AP36" s="9" t="str">
        <f t="shared" si="34"/>
        <v>N/A - Facility Does Not Report to TRI</v>
      </c>
      <c r="AQ36" s="251" t="str" cm="1">
        <f t="array" ref="AQ36">IF(B36="TRI Form A",AC36,IF(AO36=0,"Facility has no transfers to non-POTWs between 2019-2023.",IF(COUNTIF('Processed Non-zero TRI Data'!$I:$I,$I36)&gt;0,INDEX('Processed Non-zero TRI Data'!$A:$A,MATCH(1,($I36='Processed Non-zero TRI Data'!$I:$I)*(AO36='Processed Non-zero TRI Data'!$X:$X),0)),"N/A - Facility Does Not Report to TRI")))</f>
        <v>N/A - Facility Does Not Report to TRI</v>
      </c>
      <c r="AR36" s="260">
        <f t="shared" si="12"/>
        <v>0</v>
      </c>
      <c r="AS36" s="260">
        <f t="shared" si="13"/>
        <v>0.414275</v>
      </c>
    </row>
    <row r="37" spans="1:45" ht="30" x14ac:dyDescent="0.25">
      <c r="A37" s="12">
        <v>34</v>
      </c>
      <c r="B37" s="10" t="str">
        <f>IFERROR("TRI Form "&amp; VLOOKUP(I37, 'Processed Non-zero TRI Data'!$I$2:$K$6, 3, FALSE), "DMR")</f>
        <v>DMR</v>
      </c>
      <c r="C37" s="181" t="e">
        <f>VLOOKUP(D37,#REF!, 2, FALSE)</f>
        <v>#REF!</v>
      </c>
      <c r="D37" s="181" t="str">
        <f>IF(I37&lt;&gt;"",INDEX('Processed Non-zero TRI Data'!$O:$O,MATCH(I37,'Processed Non-zero TRI Data'!$I:$I,0)),INDEX('Processed Non-zero DMR Data'!$S:$S,MATCH(J37,'Processed Non-zero DMR Data'!$I:$I,0)))</f>
        <v>Processing as a reactant</v>
      </c>
      <c r="E37" s="181" t="str">
        <f>IF(I37&lt;&gt;"",INDEX('Processed Non-zero TRI Data'!$P:$P,MATCH(I37,'Processed Non-zero TRI Data'!$I:$I,0)),INDEX('Processed Non-zero DMR Data'!$T:$T,MATCH(J37,'Processed Non-zero DMR Data'!$I:$I,0)))</f>
        <v>Aircraft parts manufacturer and chemical processor; assumed processing as a reactant.</v>
      </c>
      <c r="F37" s="9" t="str">
        <f>_xlfn.XLOOKUP(J37, 'Processed Non-zero DMR Data'!I:I, 'Processed Non-zero DMR Data'!B:B)</f>
        <v>BOEING COMPANY (THE)</v>
      </c>
      <c r="G37" s="9" t="str">
        <f>_xlfn.XLOOKUP(J37, 'Processed Non-zero DMR Data'!I:I, 'Processed Non-zero DMR Data'!C:C)</f>
        <v>PORTLAND</v>
      </c>
      <c r="H37" s="9" t="str">
        <f>_xlfn.XLOOKUP(J37, 'Processed Non-zero DMR Data'!I:I, 'Processed Non-zero DMR Data'!E:E)</f>
        <v>OR</v>
      </c>
      <c r="I37" s="9"/>
      <c r="J37" s="13">
        <v>110000487633</v>
      </c>
      <c r="K37" s="9" t="str">
        <f>IFERROR(INDEX('Raw Non-zero DMR Data'!$C:$C, MATCH(J37,'Raw Non-zero DMR Data'!$D:$D,0)),"")</f>
        <v>OR0031828</v>
      </c>
      <c r="L37" s="9" t="str">
        <f>IFERROR(INDEX('Raw Non-zero DMR Data'!$U:$U, MATCH($J37,'Raw Non-zero DMR Data'!$D:$D,0)),"")</f>
        <v>Columbia Slough-Frontal Columbia River</v>
      </c>
      <c r="M37" s="155">
        <f>IFERROR(INDEX('Raw Non-zero DMR Data'!$T:$T, MATCH($J37,'Raw Non-zero DMR Data'!$D:$D,0)),"")</f>
        <v>170900120201</v>
      </c>
      <c r="N37" s="155" t="str">
        <f>IFERROR(INDEX('Off-site Locations'!$E:$E,MATCH(I37,'Off-site Locations'!$B:$B,0)),"No offsite transfers")</f>
        <v>No offsite transfers</v>
      </c>
      <c r="O37" s="165">
        <f>INDEX('TRI and DMR OES Summary'!D:D,MATCH('Facility Discharge Summary'!D37,'TRI and DMR OES Summary'!A:A,0))</f>
        <v>350</v>
      </c>
      <c r="P37" s="17" cm="1">
        <f t="array" ref="P37">IFERROR(_xlfn.XLOOKUP(1,  (MAX(IF(J37 = 'Processed Non-zero DMR Data'!$I$2:$I$651,'Processed Non-zero DMR Data'!$A$2:$A$651)) = 'Processed Non-zero DMR Data'!$A$2:$A$651)*('Processed Non-zero DMR Data'!$I$2:$I$651 = J37),'Processed Non-zero DMR Data'!$W$2:$W$651), "N/A- Facility Does Not Report DMRs")</f>
        <v>3.0835637999999999E-2</v>
      </c>
      <c r="Q37" s="10">
        <f t="shared" si="14"/>
        <v>8.8101822857142859E-5</v>
      </c>
      <c r="R37" s="10" cm="1">
        <f t="array" ref="R37">IF(COUNTIF('Processed Non-zero DMR Data'!$I:$I,$J37)&gt;0,MEDIAN(IF('Processed Non-zero DMR Data'!$I:$I=J37,'Processed Non-zero DMR Data'!$W:$W)),"N/A - Facility Does Not Report DMRs")</f>
        <v>3.0835637999999999E-2</v>
      </c>
      <c r="S37" s="10">
        <f t="shared" si="15"/>
        <v>8.8101822857142859E-5</v>
      </c>
      <c r="T37" s="10">
        <f>IF(COUNTIF('Processed Non-zero DMR Data'!$I:$I,$J37)&gt;0,_xlfn.MAXIFS('Processed Non-zero DMR Data'!$W:$W,'Processed Non-zero DMR Data'!$I:$I,$J37), "N/A - Facility Does Not Report DMRs")</f>
        <v>3.5311779000000001E-2</v>
      </c>
      <c r="U37" s="10">
        <f t="shared" si="16"/>
        <v>1.0089079714285715E-4</v>
      </c>
      <c r="V37" s="158" cm="1">
        <f t="array" ref="V37">IF(COUNTIF('Processed Non-zero DMR Data'!$I:$I,$J37)&gt;0,INDEX('Processed Non-zero DMR Data'!$A:$A,MATCH(1,($J37='Processed Non-zero DMR Data'!$I:$I)*($T37='Processed Non-zero DMR Data'!$W:$W),0)), "N/A - Facility Does Not Report DMRs")</f>
        <v>2020</v>
      </c>
      <c r="W37" s="17" t="str" cm="1">
        <f t="array" ref="W37">IFERROR(_xlfn.XLOOKUP(1,  (MAX(IF(I37 = 'Processed Non-zero TRI Data'!$I$2:$I$6,'Processed Non-zero TRI Data'!$A$2:$A$6)) = 'Processed Non-zero TRI Data'!$A$2:$A$6)*('Processed Non-zero TRI Data'!$I$2:$I$6 = I37), 'Processed Non-zero TRI Data'!$T$2:$T$6), "N/A- Facility Does Not Report to TRI")</f>
        <v>N/A- Facility Does Not Report to TRI</v>
      </c>
      <c r="X37" s="10" t="str">
        <f t="shared" si="26"/>
        <v>N/A - Facility Does Not Report to TRI</v>
      </c>
      <c r="Y37" s="10" t="str" cm="1">
        <f t="array" ref="Y37">IF(COUNTIF('Processed Non-zero TRI Data'!$I:$I,$I37)&gt;0,MEDIAN(IF('Processed Non-zero TRI Data'!$I:$I=I37,'Processed Non-zero TRI Data'!$T:$T)), "N/A - Facility Does Not Report to TRI")</f>
        <v>N/A - Facility Does Not Report to TRI</v>
      </c>
      <c r="Z37" s="10" t="str">
        <f t="shared" si="27"/>
        <v>N/A - Facility Does Not Report to TRI</v>
      </c>
      <c r="AA37" s="10" t="str">
        <f>IF(COUNTIF('Processed Non-zero TRI Data'!$I:$I,$I37)&gt;0,_xlfn.MAXIFS('Processed Non-zero TRI Data'!$T:$T,'Processed Non-zero TRI Data'!$I:$I,$I37), "N/A - Facility Does Not Report to TRI")</f>
        <v>N/A - Facility Does Not Report to TRI</v>
      </c>
      <c r="AB37" s="10" t="str">
        <f t="shared" si="28"/>
        <v>N/A - Facility Does Not Report to TRI</v>
      </c>
      <c r="AC37" s="158" t="str" cm="1">
        <f t="array" ref="AC37">IFERROR(IF(B37 = "TRI Form R", IF(AA37 = 0, "Facility has no on-site water discharges between 2017-2022.",  IF(COUNTIF('Processed Non-zero TRI Data'!$I:$I,$I37)&gt;0,INDEX('Processed Non-zero TRI Data'!$A:$A,MATCH(1,($I37='Processed Non-zero TRI Data'!$I:$I)*(AA37='Processed Non-zero TRI Data'!$T:$T),0)))), VLOOKUP(I37,#REF!, 2, FALSE)), ("N/A - Facility Does Not Report to TRI"))</f>
        <v>N/A - Facility Does Not Report to TRI</v>
      </c>
      <c r="AD37" s="97" t="str" cm="1">
        <f t="array" ref="AD37">IFERROR(_xlfn.XLOOKUP(1,  (MAX(IF(I37 = 'Processed Non-zero TRI Data'!$I$2:$I$6,'Processed Non-zero TRI Data'!$A$2:$A$6)) = 'Processed Non-zero TRI Data'!$A$2:$A$6)*('Processed Non-zero TRI Data'!$I$2:$I$6 = I37), 'Processed Non-zero TRI Data'!$V$2:$V$6), "N/A- Facility Does Not Report to TRI")</f>
        <v>N/A- Facility Does Not Report to TRI</v>
      </c>
      <c r="AE37" s="9" t="str">
        <f t="shared" si="29"/>
        <v>N/A - Facility Does Not Report to TRI</v>
      </c>
      <c r="AF37" s="9" t="str" cm="1">
        <f t="array" ref="AF37">IF(COUNTIF('Processed Non-zero TRI Data'!$I:$I,$I37)&gt;0,MEDIAN(IF('Processed Non-zero TRI Data'!$I:$I=I37,'Processed Non-zero TRI Data'!$V:$V)), "N/A - Facility Does Not Report to TRI")</f>
        <v>N/A - Facility Does Not Report to TRI</v>
      </c>
      <c r="AG37" s="9" t="str">
        <f t="shared" si="30"/>
        <v>N/A - Facility Does Not Report to TRI</v>
      </c>
      <c r="AH37" s="9" t="str">
        <f>IF(COUNTIF('Processed Non-zero TRI Data'!$I:$I,$I37)&gt;0,_xlfn.MAXIFS('Processed Non-zero TRI Data'!$V:$V,'Processed Non-zero TRI Data'!$I:$I,$I37), "N/A - Facility Does Not Report to TRI")</f>
        <v>N/A - Facility Does Not Report to TRI</v>
      </c>
      <c r="AI37" s="9" t="str">
        <f t="shared" si="31"/>
        <v>N/A - Facility Does Not Report to TRI</v>
      </c>
      <c r="AJ37" s="158" t="str" cm="1">
        <f t="array" ref="AJ37">IF(B37="TRI Form A",AC37,IF(AH37=0,"Facility has no transfers to POTWs between 2019-2023.",IF(COUNTIF('Processed Non-zero TRI Data'!$I:$I,$I37)&gt;0,INDEX('Processed Non-zero TRI Data'!$A:$A,MATCH(1,($I37='Processed Non-zero TRI Data'!$I:$I)*(AH37='Processed Non-zero TRI Data'!$V:$V),0)),"N/A - Facility Does Not Report to TRI")))</f>
        <v>N/A - Facility Does Not Report to TRI</v>
      </c>
      <c r="AK37" s="97" t="str" cm="1">
        <f t="array" ref="AK37">IFERROR(_xlfn.XLOOKUP(1,  (MAX(IF(I37 = 'Processed Non-zero TRI Data'!$I$2:$I$6,'Processed Non-zero TRI Data'!$A$2:$A$6)) = 'Processed Non-zero TRI Data'!$A$2:$A$6)*('Processed Non-zero TRI Data'!$I$2:$I$6 = I37), 'Processed Non-zero TRI Data'!$X$2:$X$6), "N/A- Facility Does Not Report to TRI")</f>
        <v>N/A- Facility Does Not Report to TRI</v>
      </c>
      <c r="AL37" s="9" t="str">
        <f t="shared" si="32"/>
        <v>N/A - Facility Does Not Report to TRI</v>
      </c>
      <c r="AM37" s="9" t="str" cm="1">
        <f t="array" ref="AM37">IF(COUNTIF('Processed Non-zero TRI Data'!$I:$I,$I37)&gt;0,MEDIAN(IF('Processed Non-zero TRI Data'!$I:$I=I37,'Processed Non-zero TRI Data'!$X:$X)), "N/A - Facility Does Not Report to TRI")</f>
        <v>N/A - Facility Does Not Report to TRI</v>
      </c>
      <c r="AN37" s="9" t="str">
        <f t="shared" si="33"/>
        <v>N/A - Facility Does Not Report to TRI</v>
      </c>
      <c r="AO37" s="9" t="str">
        <f>IF(COUNTIF('Processed Non-zero TRI Data'!$I:$I,$I37)&gt;0,_xlfn.MAXIFS('Processed Non-zero TRI Data'!$X:$X,'Processed Non-zero TRI Data'!$I:$I,$I37), "N/A - Facility Does Not Report to TRI")</f>
        <v>N/A - Facility Does Not Report to TRI</v>
      </c>
      <c r="AP37" s="9" t="str">
        <f t="shared" si="34"/>
        <v>N/A - Facility Does Not Report to TRI</v>
      </c>
      <c r="AQ37" s="251" t="str" cm="1">
        <f t="array" ref="AQ37">IF(B37="TRI Form A",AC37,IF(AO37=0,"Facility has no transfers to non-POTWs between 2019-2023.",IF(COUNTIF('Processed Non-zero TRI Data'!$I:$I,$I37)&gt;0,INDEX('Processed Non-zero TRI Data'!$A:$A,MATCH(1,($I37='Processed Non-zero TRI Data'!$I:$I)*(AO37='Processed Non-zero TRI Data'!$X:$X),0)),"N/A - Facility Does Not Report to TRI")))</f>
        <v>N/A - Facility Does Not Report to TRI</v>
      </c>
      <c r="AR37" s="260">
        <f t="shared" si="12"/>
        <v>0</v>
      </c>
      <c r="AS37" s="260">
        <f t="shared" si="13"/>
        <v>3.5311779000000001E-2</v>
      </c>
    </row>
    <row r="38" spans="1:45" ht="30" x14ac:dyDescent="0.25">
      <c r="A38" s="12">
        <v>35</v>
      </c>
      <c r="B38" s="10" t="str">
        <f>IFERROR("TRI Form "&amp; VLOOKUP(I38, 'Processed Non-zero TRI Data'!$I$2:$K$6, 3, FALSE), "DMR")</f>
        <v>DMR</v>
      </c>
      <c r="C38" s="181" t="e">
        <f>VLOOKUP(D38,#REF!, 2, FALSE)</f>
        <v>#REF!</v>
      </c>
      <c r="D38" s="181" t="str">
        <f>IF(I38&lt;&gt;"",INDEX('Processed Non-zero TRI Data'!$O:$O,MATCH(I38,'Processed Non-zero TRI Data'!$I:$I,0)),INDEX('Processed Non-zero DMR Data'!$S:$S,MATCH(J38,'Processed Non-zero DMR Data'!$I:$I,0)))</f>
        <v>Processing as a reactant</v>
      </c>
      <c r="E38" s="181" t="str">
        <f>IF(I38&lt;&gt;"",INDEX('Processed Non-zero TRI Data'!$P:$P,MATCH(I38,'Processed Non-zero TRI Data'!$I:$I,0)),INDEX('Processed Non-zero DMR Data'!$T:$T,MATCH(J38,'Processed Non-zero DMR Data'!$I:$I,0)))</f>
        <v>Assumed processing as a reactant based on SIC and NAICS. Not known MFG site.</v>
      </c>
      <c r="F38" s="9" t="str">
        <f>_xlfn.XLOOKUP(J38, 'Processed Non-zero DMR Data'!I:I, 'Processed Non-zero DMR Data'!B:B)</f>
        <v>LOTTE CHEMICAL LOUISIANA LLC</v>
      </c>
      <c r="G38" s="9" t="str">
        <f>_xlfn.XLOOKUP(J38, 'Processed Non-zero DMR Data'!I:I, 'Processed Non-zero DMR Data'!C:C)</f>
        <v>WESTLAKE</v>
      </c>
      <c r="H38" s="9" t="str">
        <f>_xlfn.XLOOKUP(J38, 'Processed Non-zero DMR Data'!I:I, 'Processed Non-zero DMR Data'!E:E)</f>
        <v>LA</v>
      </c>
      <c r="I38" s="9"/>
      <c r="J38" s="13">
        <v>110070208769</v>
      </c>
      <c r="K38" s="9" t="str">
        <f>IFERROR(INDEX('Raw Non-zero DMR Data'!$C:$C, MATCH(J38,'Raw Non-zero DMR Data'!$D:$D,0)),"")</f>
        <v>LA0127268</v>
      </c>
      <c r="L38" s="9" t="str">
        <f>IFERROR(INDEX('Raw Non-zero DMR Data'!$U:$U, MATCH($J38,'Raw Non-zero DMR Data'!$D:$D,0)),"")</f>
        <v>Maple Fork-Bayou D'Inde</v>
      </c>
      <c r="M38" s="155" t="str">
        <f>IFERROR(INDEX('Raw Non-zero DMR Data'!$T:$T, MATCH($J38,'Raw Non-zero DMR Data'!$D:$D,0)),"")</f>
        <v>080802060301</v>
      </c>
      <c r="N38" s="155" t="str">
        <f>IFERROR(INDEX('Off-site Locations'!$E:$E,MATCH(I38,'Off-site Locations'!$B:$B,0)),"No offsite transfers")</f>
        <v>No offsite transfers</v>
      </c>
      <c r="O38" s="165">
        <f>INDEX('TRI and DMR OES Summary'!D:D,MATCH('Facility Discharge Summary'!D38,'TRI and DMR OES Summary'!A:A,0))</f>
        <v>350</v>
      </c>
      <c r="P38" s="17" cm="1">
        <f t="array" ref="P38">IFERROR(_xlfn.XLOOKUP(1,  (MAX(IF(J38 = 'Processed Non-zero DMR Data'!$I$2:$I$651,'Processed Non-zero DMR Data'!$A$2:$A$651)) = 'Processed Non-zero DMR Data'!$A$2:$A$651)*('Processed Non-zero DMR Data'!$I$2:$I$651 = J38),'Processed Non-zero DMR Data'!$W$2:$W$651), "N/A- Facility Does Not Report DMRs")</f>
        <v>4.8884449999999999</v>
      </c>
      <c r="Q38" s="10">
        <f t="shared" si="14"/>
        <v>1.3966985714285713E-2</v>
      </c>
      <c r="R38" s="10" cm="1">
        <f t="array" ref="R38">IF(COUNTIF('Processed Non-zero DMR Data'!$I:$I,$J38)&gt;0,MEDIAN(IF('Processed Non-zero DMR Data'!$I:$I=J38,'Processed Non-zero DMR Data'!$W:$W)),"N/A - Facility Does Not Report DMRs")</f>
        <v>4.8884449999999999</v>
      </c>
      <c r="S38" s="10">
        <f t="shared" si="15"/>
        <v>1.3966985714285713E-2</v>
      </c>
      <c r="T38" s="10">
        <f>IF(COUNTIF('Processed Non-zero DMR Data'!$I:$I,$J38)&gt;0,_xlfn.MAXIFS('Processed Non-zero DMR Data'!$W:$W,'Processed Non-zero DMR Data'!$I:$I,$J38), "N/A - Facility Does Not Report DMRs")</f>
        <v>4.8884449999999999</v>
      </c>
      <c r="U38" s="10">
        <f t="shared" si="16"/>
        <v>1.3966985714285713E-2</v>
      </c>
      <c r="V38" s="158" cm="1">
        <f t="array" ref="V38">IF(COUNTIF('Processed Non-zero DMR Data'!$I:$I,$J38)&gt;0,INDEX('Processed Non-zero DMR Data'!$A:$A,MATCH(1,($J38='Processed Non-zero DMR Data'!$I:$I)*($T38='Processed Non-zero DMR Data'!$W:$W),0)), "N/A - Facility Does Not Report DMRs")</f>
        <v>2019</v>
      </c>
      <c r="W38" s="17" t="str" cm="1">
        <f t="array" ref="W38">IFERROR(_xlfn.XLOOKUP(1,  (MAX(IF(I38 = 'Processed Non-zero TRI Data'!$I$2:$I$6,'Processed Non-zero TRI Data'!$A$2:$A$6)) = 'Processed Non-zero TRI Data'!$A$2:$A$6)*('Processed Non-zero TRI Data'!$I$2:$I$6 = I38), 'Processed Non-zero TRI Data'!$T$2:$T$6), "N/A- Facility Does Not Report to TRI")</f>
        <v>N/A- Facility Does Not Report to TRI</v>
      </c>
      <c r="X38" s="10" t="str">
        <f t="shared" si="26"/>
        <v>N/A - Facility Does Not Report to TRI</v>
      </c>
      <c r="Y38" s="10" t="str" cm="1">
        <f t="array" ref="Y38">IF(COUNTIF('Processed Non-zero TRI Data'!$I:$I,$I38)&gt;0,MEDIAN(IF('Processed Non-zero TRI Data'!$I:$I=I38,'Processed Non-zero TRI Data'!$T:$T)), "N/A - Facility Does Not Report to TRI")</f>
        <v>N/A - Facility Does Not Report to TRI</v>
      </c>
      <c r="Z38" s="10" t="str">
        <f t="shared" si="27"/>
        <v>N/A - Facility Does Not Report to TRI</v>
      </c>
      <c r="AA38" s="10" t="str">
        <f>IF(COUNTIF('Processed Non-zero TRI Data'!$I:$I,$I38)&gt;0,_xlfn.MAXIFS('Processed Non-zero TRI Data'!$T:$T,'Processed Non-zero TRI Data'!$I:$I,$I38), "N/A - Facility Does Not Report to TRI")</f>
        <v>N/A - Facility Does Not Report to TRI</v>
      </c>
      <c r="AB38" s="10" t="str">
        <f t="shared" si="28"/>
        <v>N/A - Facility Does Not Report to TRI</v>
      </c>
      <c r="AC38" s="158" t="str" cm="1">
        <f t="array" ref="AC38">IFERROR(IF(B38 = "TRI Form R", IF(AA38 = 0, "Facility has no on-site water discharges between 2017-2022.",  IF(COUNTIF('Processed Non-zero TRI Data'!$I:$I,$I38)&gt;0,INDEX('Processed Non-zero TRI Data'!$A:$A,MATCH(1,($I38='Processed Non-zero TRI Data'!$I:$I)*(AA38='Processed Non-zero TRI Data'!$T:$T),0)))), VLOOKUP(I38,#REF!, 2, FALSE)), ("N/A - Facility Does Not Report to TRI"))</f>
        <v>N/A - Facility Does Not Report to TRI</v>
      </c>
      <c r="AD38" s="97" t="str" cm="1">
        <f t="array" ref="AD38">IFERROR(_xlfn.XLOOKUP(1,  (MAX(IF(I38 = 'Processed Non-zero TRI Data'!$I$2:$I$6,'Processed Non-zero TRI Data'!$A$2:$A$6)) = 'Processed Non-zero TRI Data'!$A$2:$A$6)*('Processed Non-zero TRI Data'!$I$2:$I$6 = I38), 'Processed Non-zero TRI Data'!$V$2:$V$6), "N/A- Facility Does Not Report to TRI")</f>
        <v>N/A- Facility Does Not Report to TRI</v>
      </c>
      <c r="AE38" s="9" t="str">
        <f t="shared" si="29"/>
        <v>N/A - Facility Does Not Report to TRI</v>
      </c>
      <c r="AF38" s="9" t="str" cm="1">
        <f t="array" ref="AF38">IF(COUNTIF('Processed Non-zero TRI Data'!$I:$I,$I38)&gt;0,MEDIAN(IF('Processed Non-zero TRI Data'!$I:$I=I38,'Processed Non-zero TRI Data'!$V:$V)), "N/A - Facility Does Not Report to TRI")</f>
        <v>N/A - Facility Does Not Report to TRI</v>
      </c>
      <c r="AG38" s="9" t="str">
        <f t="shared" si="30"/>
        <v>N/A - Facility Does Not Report to TRI</v>
      </c>
      <c r="AH38" s="9" t="str">
        <f>IF(COUNTIF('Processed Non-zero TRI Data'!$I:$I,$I38)&gt;0,_xlfn.MAXIFS('Processed Non-zero TRI Data'!$V:$V,'Processed Non-zero TRI Data'!$I:$I,$I38), "N/A - Facility Does Not Report to TRI")</f>
        <v>N/A - Facility Does Not Report to TRI</v>
      </c>
      <c r="AI38" s="9" t="str">
        <f t="shared" si="31"/>
        <v>N/A - Facility Does Not Report to TRI</v>
      </c>
      <c r="AJ38" s="158" t="str" cm="1">
        <f t="array" ref="AJ38">IF(B38="TRI Form A",AC38,IF(AH38=0,"Facility has no transfers to POTWs between 2019-2023.",IF(COUNTIF('Processed Non-zero TRI Data'!$I:$I,$I38)&gt;0,INDEX('Processed Non-zero TRI Data'!$A:$A,MATCH(1,($I38='Processed Non-zero TRI Data'!$I:$I)*(AH38='Processed Non-zero TRI Data'!$V:$V),0)),"N/A - Facility Does Not Report to TRI")))</f>
        <v>N/A - Facility Does Not Report to TRI</v>
      </c>
      <c r="AK38" s="97" t="str" cm="1">
        <f t="array" ref="AK38">IFERROR(_xlfn.XLOOKUP(1,  (MAX(IF(I38 = 'Processed Non-zero TRI Data'!$I$2:$I$6,'Processed Non-zero TRI Data'!$A$2:$A$6)) = 'Processed Non-zero TRI Data'!$A$2:$A$6)*('Processed Non-zero TRI Data'!$I$2:$I$6 = I38), 'Processed Non-zero TRI Data'!$X$2:$X$6), "N/A- Facility Does Not Report to TRI")</f>
        <v>N/A- Facility Does Not Report to TRI</v>
      </c>
      <c r="AL38" s="9" t="str">
        <f t="shared" si="32"/>
        <v>N/A - Facility Does Not Report to TRI</v>
      </c>
      <c r="AM38" s="9" t="str" cm="1">
        <f t="array" ref="AM38">IF(COUNTIF('Processed Non-zero TRI Data'!$I:$I,$I38)&gt;0,MEDIAN(IF('Processed Non-zero TRI Data'!$I:$I=I38,'Processed Non-zero TRI Data'!$X:$X)), "N/A - Facility Does Not Report to TRI")</f>
        <v>N/A - Facility Does Not Report to TRI</v>
      </c>
      <c r="AN38" s="9" t="str">
        <f t="shared" si="33"/>
        <v>N/A - Facility Does Not Report to TRI</v>
      </c>
      <c r="AO38" s="9" t="str">
        <f>IF(COUNTIF('Processed Non-zero TRI Data'!$I:$I,$I38)&gt;0,_xlfn.MAXIFS('Processed Non-zero TRI Data'!$X:$X,'Processed Non-zero TRI Data'!$I:$I,$I38), "N/A - Facility Does Not Report to TRI")</f>
        <v>N/A - Facility Does Not Report to TRI</v>
      </c>
      <c r="AP38" s="9" t="str">
        <f t="shared" si="34"/>
        <v>N/A - Facility Does Not Report to TRI</v>
      </c>
      <c r="AQ38" s="251" t="str" cm="1">
        <f t="array" ref="AQ38">IF(B38="TRI Form A",AC38,IF(AO38=0,"Facility has no transfers to non-POTWs between 2019-2023.",IF(COUNTIF('Processed Non-zero TRI Data'!$I:$I,$I38)&gt;0,INDEX('Processed Non-zero TRI Data'!$A:$A,MATCH(1,($I38='Processed Non-zero TRI Data'!$I:$I)*(AO38='Processed Non-zero TRI Data'!$X:$X),0)),"N/A - Facility Does Not Report to TRI")))</f>
        <v>N/A - Facility Does Not Report to TRI</v>
      </c>
      <c r="AR38" s="260">
        <f t="shared" si="12"/>
        <v>0</v>
      </c>
      <c r="AS38" s="260">
        <f t="shared" si="13"/>
        <v>4.8884449999999999</v>
      </c>
    </row>
    <row r="39" spans="1:45" ht="30" x14ac:dyDescent="0.25">
      <c r="A39" s="12">
        <v>36</v>
      </c>
      <c r="B39" s="10" t="str">
        <f>IFERROR("TRI Form "&amp; VLOOKUP(I39, 'Processed Non-zero TRI Data'!$I$2:$K$6, 3, FALSE), "DMR")</f>
        <v>DMR</v>
      </c>
      <c r="C39" s="181" t="e">
        <f>VLOOKUP(D39,#REF!, 2, FALSE)</f>
        <v>#REF!</v>
      </c>
      <c r="D39" s="181" t="str">
        <f>IF(I39&lt;&gt;"",INDEX('Processed Non-zero TRI Data'!$O:$O,MATCH(I39,'Processed Non-zero TRI Data'!$I:$I,0)),INDEX('Processed Non-zero DMR Data'!$S:$S,MATCH(J39,'Processed Non-zero DMR Data'!$I:$I,0)))</f>
        <v>Waste Handling, Disposal and Treatment (POTW)</v>
      </c>
      <c r="E39" s="181" t="str">
        <f>IF(I39&lt;&gt;"",INDEX('Processed Non-zero TRI Data'!$P:$P,MATCH(I39,'Processed Non-zero TRI Data'!$I:$I,0)),INDEX('Processed Non-zero DMR Data'!$T:$T,MATCH(J39,'Processed Non-zero DMR Data'!$I:$I,0)))</f>
        <v>POTW indicator in DMR</v>
      </c>
      <c r="F39" s="9" t="str">
        <f>_xlfn.XLOOKUP(J39, 'Processed Non-zero DMR Data'!I:I, 'Processed Non-zero DMR Data'!B:B)</f>
        <v>BURKESVILLE WWTP</v>
      </c>
      <c r="G39" s="9" t="str">
        <f>_xlfn.XLOOKUP(J39, 'Processed Non-zero DMR Data'!I:I, 'Processed Non-zero DMR Data'!C:C)</f>
        <v>BURKESVILLE</v>
      </c>
      <c r="H39" s="9" t="str">
        <f>_xlfn.XLOOKUP(J39, 'Processed Non-zero DMR Data'!I:I, 'Processed Non-zero DMR Data'!E:E)</f>
        <v>KY</v>
      </c>
      <c r="I39" s="9"/>
      <c r="J39" s="13">
        <v>110009938265</v>
      </c>
      <c r="K39" s="9" t="str">
        <f>IFERROR(INDEX('Raw Non-zero DMR Data'!$C:$C, MATCH(J39,'Raw Non-zero DMR Data'!$D:$D,0)),"")</f>
        <v>KY0036854</v>
      </c>
      <c r="L39" s="9" t="str">
        <f>IFERROR(INDEX('Raw Non-zero DMR Data'!$U:$U, MATCH($J39,'Raw Non-zero DMR Data'!$D:$D,0)),"")</f>
        <v>Big Renox Creek-Cumberland River</v>
      </c>
      <c r="M39" s="155" t="str">
        <f>IFERROR(INDEX('Raw Non-zero DMR Data'!$T:$T, MATCH($J39,'Raw Non-zero DMR Data'!$D:$D,0)),"")</f>
        <v>051301030701</v>
      </c>
      <c r="N39" s="155" t="str">
        <f>IFERROR(INDEX('Off-site Locations'!$E:$E,MATCH(I39,'Off-site Locations'!$B:$B,0)),"No offsite transfers")</f>
        <v>No offsite transfers</v>
      </c>
      <c r="O39" s="165">
        <f>INDEX('TRI and DMR OES Summary'!D:D,MATCH('Facility Discharge Summary'!D39,'TRI and DMR OES Summary'!A:A,0))</f>
        <v>365</v>
      </c>
      <c r="P39" s="17" cm="1">
        <f t="array" ref="P39">IFERROR(_xlfn.XLOOKUP(1,  (MAX(IF(J39 = 'Processed Non-zero DMR Data'!$I$2:$I$651,'Processed Non-zero DMR Data'!$A$2:$A$651)) = 'Processed Non-zero DMR Data'!$A$2:$A$651)*('Processed Non-zero DMR Data'!$I$2:$I$651 = J39),'Processed Non-zero DMR Data'!$W$2:$W$651), "N/A- Facility Does Not Report DMRs")</f>
        <v>0.29253791875000001</v>
      </c>
      <c r="Q39" s="10">
        <f t="shared" si="14"/>
        <v>8.0147375000000007E-4</v>
      </c>
      <c r="R39" s="10" cm="1">
        <f t="array" ref="R39">IF(COUNTIF('Processed Non-zero DMR Data'!$I:$I,$J39)&gt;0,MEDIAN(IF('Processed Non-zero DMR Data'!$I:$I=J39,'Processed Non-zero DMR Data'!$W:$W)),"N/A - Facility Does Not Report DMRs")</f>
        <v>0.30300297062500003</v>
      </c>
      <c r="S39" s="10">
        <f t="shared" si="15"/>
        <v>8.3014512500000006E-4</v>
      </c>
      <c r="T39" s="10">
        <f>IF(COUNTIF('Processed Non-zero DMR Data'!$I:$I,$J39)&gt;0,_xlfn.MAXIFS('Processed Non-zero DMR Data'!$W:$W,'Processed Non-zero DMR Data'!$I:$I,$J39), "N/A - Facility Does Not Report DMRs")</f>
        <v>0.3134680225</v>
      </c>
      <c r="U39" s="10">
        <f t="shared" si="16"/>
        <v>8.5881650000000005E-4</v>
      </c>
      <c r="V39" s="158" cm="1">
        <f t="array" ref="V39">IF(COUNTIF('Processed Non-zero DMR Data'!$I:$I,$J39)&gt;0,INDEX('Processed Non-zero DMR Data'!$A:$A,MATCH(1,($J39='Processed Non-zero DMR Data'!$I:$I)*($T39='Processed Non-zero DMR Data'!$W:$W),0)), "N/A - Facility Does Not Report DMRs")</f>
        <v>2019</v>
      </c>
      <c r="W39" s="17" t="str" cm="1">
        <f t="array" ref="W39">IFERROR(_xlfn.XLOOKUP(1,  (MAX(IF(I39 = 'Processed Non-zero TRI Data'!$I$2:$I$6,'Processed Non-zero TRI Data'!$A$2:$A$6)) = 'Processed Non-zero TRI Data'!$A$2:$A$6)*('Processed Non-zero TRI Data'!$I$2:$I$6 = I39), 'Processed Non-zero TRI Data'!$T$2:$T$6), "N/A- Facility Does Not Report to TRI")</f>
        <v>N/A- Facility Does Not Report to TRI</v>
      </c>
      <c r="X39" s="10" t="str">
        <f t="shared" si="26"/>
        <v>N/A - Facility Does Not Report to TRI</v>
      </c>
      <c r="Y39" s="10" t="str" cm="1">
        <f t="array" ref="Y39">IF(COUNTIF('Processed Non-zero TRI Data'!$I:$I,$I39)&gt;0,MEDIAN(IF('Processed Non-zero TRI Data'!$I:$I=I39,'Processed Non-zero TRI Data'!$T:$T)), "N/A - Facility Does Not Report to TRI")</f>
        <v>N/A - Facility Does Not Report to TRI</v>
      </c>
      <c r="Z39" s="10" t="str">
        <f t="shared" si="27"/>
        <v>N/A - Facility Does Not Report to TRI</v>
      </c>
      <c r="AA39" s="10" t="str">
        <f>IF(COUNTIF('Processed Non-zero TRI Data'!$I:$I,$I39)&gt;0,_xlfn.MAXIFS('Processed Non-zero TRI Data'!$T:$T,'Processed Non-zero TRI Data'!$I:$I,$I39), "N/A - Facility Does Not Report to TRI")</f>
        <v>N/A - Facility Does Not Report to TRI</v>
      </c>
      <c r="AB39" s="10" t="str">
        <f t="shared" si="28"/>
        <v>N/A - Facility Does Not Report to TRI</v>
      </c>
      <c r="AC39" s="158" t="str" cm="1">
        <f t="array" ref="AC39">IFERROR(IF(B39 = "TRI Form R", IF(AA39 = 0, "Facility has no on-site water discharges between 2017-2022.",  IF(COUNTIF('Processed Non-zero TRI Data'!$I:$I,$I39)&gt;0,INDEX('Processed Non-zero TRI Data'!$A:$A,MATCH(1,($I39='Processed Non-zero TRI Data'!$I:$I)*(AA39='Processed Non-zero TRI Data'!$T:$T),0)))), VLOOKUP(I39,#REF!, 2, FALSE)), ("N/A - Facility Does Not Report to TRI"))</f>
        <v>N/A - Facility Does Not Report to TRI</v>
      </c>
      <c r="AD39" s="97" t="str" cm="1">
        <f t="array" ref="AD39">IFERROR(_xlfn.XLOOKUP(1,  (MAX(IF(I39 = 'Processed Non-zero TRI Data'!$I$2:$I$6,'Processed Non-zero TRI Data'!$A$2:$A$6)) = 'Processed Non-zero TRI Data'!$A$2:$A$6)*('Processed Non-zero TRI Data'!$I$2:$I$6 = I39), 'Processed Non-zero TRI Data'!$V$2:$V$6), "N/A- Facility Does Not Report to TRI")</f>
        <v>N/A- Facility Does Not Report to TRI</v>
      </c>
      <c r="AE39" s="9" t="str">
        <f t="shared" si="29"/>
        <v>N/A - Facility Does Not Report to TRI</v>
      </c>
      <c r="AF39" s="9" t="str" cm="1">
        <f t="array" ref="AF39">IF(COUNTIF('Processed Non-zero TRI Data'!$I:$I,$I39)&gt;0,MEDIAN(IF('Processed Non-zero TRI Data'!$I:$I=I39,'Processed Non-zero TRI Data'!$V:$V)), "N/A - Facility Does Not Report to TRI")</f>
        <v>N/A - Facility Does Not Report to TRI</v>
      </c>
      <c r="AG39" s="9" t="str">
        <f t="shared" si="30"/>
        <v>N/A - Facility Does Not Report to TRI</v>
      </c>
      <c r="AH39" s="9" t="str">
        <f>IF(COUNTIF('Processed Non-zero TRI Data'!$I:$I,$I39)&gt;0,_xlfn.MAXIFS('Processed Non-zero TRI Data'!$V:$V,'Processed Non-zero TRI Data'!$I:$I,$I39), "N/A - Facility Does Not Report to TRI")</f>
        <v>N/A - Facility Does Not Report to TRI</v>
      </c>
      <c r="AI39" s="9" t="str">
        <f t="shared" si="31"/>
        <v>N/A - Facility Does Not Report to TRI</v>
      </c>
      <c r="AJ39" s="158" t="str" cm="1">
        <f t="array" ref="AJ39">IF(B39="TRI Form A",AC39,IF(AH39=0,"Facility has no transfers to POTWs between 2019-2023.",IF(COUNTIF('Processed Non-zero TRI Data'!$I:$I,$I39)&gt;0,INDEX('Processed Non-zero TRI Data'!$A:$A,MATCH(1,($I39='Processed Non-zero TRI Data'!$I:$I)*(AH39='Processed Non-zero TRI Data'!$V:$V),0)),"N/A - Facility Does Not Report to TRI")))</f>
        <v>N/A - Facility Does Not Report to TRI</v>
      </c>
      <c r="AK39" s="97" t="str" cm="1">
        <f t="array" ref="AK39">IFERROR(_xlfn.XLOOKUP(1,  (MAX(IF(I39 = 'Processed Non-zero TRI Data'!$I$2:$I$6,'Processed Non-zero TRI Data'!$A$2:$A$6)) = 'Processed Non-zero TRI Data'!$A$2:$A$6)*('Processed Non-zero TRI Data'!$I$2:$I$6 = I39), 'Processed Non-zero TRI Data'!$X$2:$X$6), "N/A- Facility Does Not Report to TRI")</f>
        <v>N/A- Facility Does Not Report to TRI</v>
      </c>
      <c r="AL39" s="9" t="str">
        <f t="shared" si="32"/>
        <v>N/A - Facility Does Not Report to TRI</v>
      </c>
      <c r="AM39" s="9" t="str" cm="1">
        <f t="array" ref="AM39">IF(COUNTIF('Processed Non-zero TRI Data'!$I:$I,$I39)&gt;0,MEDIAN(IF('Processed Non-zero TRI Data'!$I:$I=I39,'Processed Non-zero TRI Data'!$X:$X)), "N/A - Facility Does Not Report to TRI")</f>
        <v>N/A - Facility Does Not Report to TRI</v>
      </c>
      <c r="AN39" s="9" t="str">
        <f t="shared" si="33"/>
        <v>N/A - Facility Does Not Report to TRI</v>
      </c>
      <c r="AO39" s="9" t="str">
        <f>IF(COUNTIF('Processed Non-zero TRI Data'!$I:$I,$I39)&gt;0,_xlfn.MAXIFS('Processed Non-zero TRI Data'!$X:$X,'Processed Non-zero TRI Data'!$I:$I,$I39), "N/A - Facility Does Not Report to TRI")</f>
        <v>N/A - Facility Does Not Report to TRI</v>
      </c>
      <c r="AP39" s="9" t="str">
        <f t="shared" si="34"/>
        <v>N/A - Facility Does Not Report to TRI</v>
      </c>
      <c r="AQ39" s="251" t="str" cm="1">
        <f t="array" ref="AQ39">IF(B39="TRI Form A",AC39,IF(AO39=0,"Facility has no transfers to non-POTWs between 2019-2023.",IF(COUNTIF('Processed Non-zero TRI Data'!$I:$I,$I39)&gt;0,INDEX('Processed Non-zero TRI Data'!$A:$A,MATCH(1,($I39='Processed Non-zero TRI Data'!$I:$I)*(AO39='Processed Non-zero TRI Data'!$X:$X),0)),"N/A - Facility Does Not Report to TRI")))</f>
        <v>N/A - Facility Does Not Report to TRI</v>
      </c>
      <c r="AR39" s="260">
        <f t="shared" si="12"/>
        <v>0</v>
      </c>
      <c r="AS39" s="260">
        <f t="shared" si="13"/>
        <v>0.3134680225</v>
      </c>
    </row>
    <row r="40" spans="1:45" ht="30" x14ac:dyDescent="0.25">
      <c r="A40" s="12">
        <v>37</v>
      </c>
      <c r="B40" s="10" t="str">
        <f>IFERROR("TRI Form "&amp; VLOOKUP(I40, 'Processed Non-zero TRI Data'!$I$2:$K$6, 3, FALSE), "DMR")</f>
        <v>DMR</v>
      </c>
      <c r="C40" s="181" t="e">
        <f>VLOOKUP(D40,#REF!, 2, FALSE)</f>
        <v>#REF!</v>
      </c>
      <c r="D40" s="181" t="str">
        <f>IF(I40&lt;&gt;"",INDEX('Processed Non-zero TRI Data'!$O:$O,MATCH(I40,'Processed Non-zero TRI Data'!$I:$I,0)),INDEX('Processed Non-zero DMR Data'!$S:$S,MATCH(J40,'Processed Non-zero DMR Data'!$I:$I,0)))</f>
        <v>Processing as a reactant</v>
      </c>
      <c r="E40" s="181" t="str">
        <f>IF(I40&lt;&gt;"",INDEX('Processed Non-zero TRI Data'!$P:$P,MATCH(I40,'Processed Non-zero TRI Data'!$I:$I,0)),INDEX('Processed Non-zero DMR Data'!$T:$T,MATCH(J40,'Processed Non-zero DMR Data'!$I:$I,0)))</f>
        <v>Assumed processing as a reactant based on SIC and NAICS; this also matches 1,1,-DCA mapping.</v>
      </c>
      <c r="F40" s="9" t="str">
        <f>_xlfn.XLOOKUP(J40, 'Processed Non-zero DMR Data'!I:I, 'Processed Non-zero DMR Data'!B:B)</f>
        <v>HONEYWELL INTERNATIONAL INC - GEISMAR COMPLEX</v>
      </c>
      <c r="G40" s="9" t="str">
        <f>_xlfn.XLOOKUP(J40, 'Processed Non-zero DMR Data'!I:I, 'Processed Non-zero DMR Data'!C:C)</f>
        <v>GEISMAR</v>
      </c>
      <c r="H40" s="9" t="str">
        <f>_xlfn.XLOOKUP(J40, 'Processed Non-zero DMR Data'!I:I, 'Processed Non-zero DMR Data'!E:E)</f>
        <v>LA</v>
      </c>
      <c r="I40" s="9"/>
      <c r="J40" s="13">
        <v>110033659878</v>
      </c>
      <c r="K40" s="9" t="str">
        <f>IFERROR(INDEX('Raw Non-zero DMR Data'!$C:$C, MATCH(J40,'Raw Non-zero DMR Data'!$D:$D,0)),"")</f>
        <v>LA0006181</v>
      </c>
      <c r="L40" s="9" t="str">
        <f>IFERROR(INDEX('Raw Non-zero DMR Data'!$U:$U, MATCH($J40,'Raw Non-zero DMR Data'!$D:$D,0)),"")</f>
        <v>Grand Goudine Bayou-New River</v>
      </c>
      <c r="M40" s="155" t="str">
        <f>IFERROR(INDEX('Raw Non-zero DMR Data'!$T:$T, MATCH($J40,'Raw Non-zero DMR Data'!$D:$D,0)),"")</f>
        <v>080702040103</v>
      </c>
      <c r="N40" s="155" t="str">
        <f>IFERROR(INDEX('Off-site Locations'!$E:$E,MATCH(I40,'Off-site Locations'!$B:$B,0)),"No offsite transfers")</f>
        <v>No offsite transfers</v>
      </c>
      <c r="O40" s="165">
        <f>INDEX('TRI and DMR OES Summary'!D:D,MATCH('Facility Discharge Summary'!D40,'TRI and DMR OES Summary'!A:A,0))</f>
        <v>350</v>
      </c>
      <c r="P40" s="17" cm="1">
        <f t="array" ref="P40">IFERROR(_xlfn.XLOOKUP(1,  (MAX(IF(J40 = 'Processed Non-zero DMR Data'!$I$2:$I$651,'Processed Non-zero DMR Data'!$A$2:$A$651)) = 'Processed Non-zero DMR Data'!$A$2:$A$651)*('Processed Non-zero DMR Data'!$I$2:$I$651 = J40),'Processed Non-zero DMR Data'!$W$2:$W$651), "N/A- Facility Does Not Report DMRs")</f>
        <v>3.8113299999999999</v>
      </c>
      <c r="Q40" s="10">
        <f t="shared" si="14"/>
        <v>1.0889514285714285E-2</v>
      </c>
      <c r="R40" s="10" cm="1">
        <f t="array" ref="R40">IF(COUNTIF('Processed Non-zero DMR Data'!$I:$I,$J40)&gt;0,MEDIAN(IF('Processed Non-zero DMR Data'!$I:$I=J40,'Processed Non-zero DMR Data'!$W:$W)),"N/A - Facility Does Not Report DMRs")</f>
        <v>3.6456200000000001</v>
      </c>
      <c r="S40" s="10">
        <f t="shared" si="15"/>
        <v>1.0416057142857144E-2</v>
      </c>
      <c r="T40" s="10">
        <f>IF(COUNTIF('Processed Non-zero DMR Data'!$I:$I,$J40)&gt;0,_xlfn.MAXIFS('Processed Non-zero DMR Data'!$W:$W,'Processed Non-zero DMR Data'!$I:$I,$J40), "N/A - Facility Does Not Report DMRs")</f>
        <v>3.9770400000000001</v>
      </c>
      <c r="U40" s="10">
        <f t="shared" si="16"/>
        <v>1.136297142857143E-2</v>
      </c>
      <c r="V40" s="158" cm="1">
        <f t="array" ref="V40">IF(COUNTIF('Processed Non-zero DMR Data'!$I:$I,$J40)&gt;0,INDEX('Processed Non-zero DMR Data'!$A:$A,MATCH(1,($J40='Processed Non-zero DMR Data'!$I:$I)*($T40='Processed Non-zero DMR Data'!$W:$W),0)), "N/A - Facility Does Not Report DMRs")</f>
        <v>2021</v>
      </c>
      <c r="W40" s="17" t="str" cm="1">
        <f t="array" ref="W40">IFERROR(_xlfn.XLOOKUP(1,  (MAX(IF(I40 = 'Processed Non-zero TRI Data'!$I$2:$I$6,'Processed Non-zero TRI Data'!$A$2:$A$6)) = 'Processed Non-zero TRI Data'!$A$2:$A$6)*('Processed Non-zero TRI Data'!$I$2:$I$6 = I40), 'Processed Non-zero TRI Data'!$T$2:$T$6), "N/A- Facility Does Not Report to TRI")</f>
        <v>N/A- Facility Does Not Report to TRI</v>
      </c>
      <c r="X40" s="10" t="str">
        <f t="shared" si="26"/>
        <v>N/A - Facility Does Not Report to TRI</v>
      </c>
      <c r="Y40" s="10" t="str" cm="1">
        <f t="array" ref="Y40">IF(COUNTIF('Processed Non-zero TRI Data'!$I:$I,$I40)&gt;0,MEDIAN(IF('Processed Non-zero TRI Data'!$I:$I=I40,'Processed Non-zero TRI Data'!$T:$T)), "N/A - Facility Does Not Report to TRI")</f>
        <v>N/A - Facility Does Not Report to TRI</v>
      </c>
      <c r="Z40" s="10" t="str">
        <f t="shared" si="27"/>
        <v>N/A - Facility Does Not Report to TRI</v>
      </c>
      <c r="AA40" s="10" t="str">
        <f>IF(COUNTIF('Processed Non-zero TRI Data'!$I:$I,$I40)&gt;0,_xlfn.MAXIFS('Processed Non-zero TRI Data'!$T:$T,'Processed Non-zero TRI Data'!$I:$I,$I40), "N/A - Facility Does Not Report to TRI")</f>
        <v>N/A - Facility Does Not Report to TRI</v>
      </c>
      <c r="AB40" s="10" t="str">
        <f t="shared" si="28"/>
        <v>N/A - Facility Does Not Report to TRI</v>
      </c>
      <c r="AC40" s="158" t="str" cm="1">
        <f t="array" ref="AC40">IFERROR(IF(B40 = "TRI Form R", IF(AA40 = 0, "Facility has no on-site water discharges between 2017-2022.",  IF(COUNTIF('Processed Non-zero TRI Data'!$I:$I,$I40)&gt;0,INDEX('Processed Non-zero TRI Data'!$A:$A,MATCH(1,($I40='Processed Non-zero TRI Data'!$I:$I)*(AA40='Processed Non-zero TRI Data'!$T:$T),0)))), VLOOKUP(I40,#REF!, 2, FALSE)), ("N/A - Facility Does Not Report to TRI"))</f>
        <v>N/A - Facility Does Not Report to TRI</v>
      </c>
      <c r="AD40" s="97" t="str" cm="1">
        <f t="array" ref="AD40">IFERROR(_xlfn.XLOOKUP(1,  (MAX(IF(I40 = 'Processed Non-zero TRI Data'!$I$2:$I$6,'Processed Non-zero TRI Data'!$A$2:$A$6)) = 'Processed Non-zero TRI Data'!$A$2:$A$6)*('Processed Non-zero TRI Data'!$I$2:$I$6 = I40), 'Processed Non-zero TRI Data'!$V$2:$V$6), "N/A- Facility Does Not Report to TRI")</f>
        <v>N/A- Facility Does Not Report to TRI</v>
      </c>
      <c r="AE40" s="9" t="str">
        <f t="shared" si="29"/>
        <v>N/A - Facility Does Not Report to TRI</v>
      </c>
      <c r="AF40" s="9" t="str" cm="1">
        <f t="array" ref="AF40">IF(COUNTIF('Processed Non-zero TRI Data'!$I:$I,$I40)&gt;0,MEDIAN(IF('Processed Non-zero TRI Data'!$I:$I=I40,'Processed Non-zero TRI Data'!$V:$V)), "N/A - Facility Does Not Report to TRI")</f>
        <v>N/A - Facility Does Not Report to TRI</v>
      </c>
      <c r="AG40" s="9" t="str">
        <f t="shared" si="30"/>
        <v>N/A - Facility Does Not Report to TRI</v>
      </c>
      <c r="AH40" s="9" t="str">
        <f>IF(COUNTIF('Processed Non-zero TRI Data'!$I:$I,$I40)&gt;0,_xlfn.MAXIFS('Processed Non-zero TRI Data'!$V:$V,'Processed Non-zero TRI Data'!$I:$I,$I40), "N/A - Facility Does Not Report to TRI")</f>
        <v>N/A - Facility Does Not Report to TRI</v>
      </c>
      <c r="AI40" s="9" t="str">
        <f t="shared" si="31"/>
        <v>N/A - Facility Does Not Report to TRI</v>
      </c>
      <c r="AJ40" s="158" t="str" cm="1">
        <f t="array" ref="AJ40">IF(B40="TRI Form A",AC40,IF(AH40=0,"Facility has no transfers to POTWs between 2019-2023.",IF(COUNTIF('Processed Non-zero TRI Data'!$I:$I,$I40)&gt;0,INDEX('Processed Non-zero TRI Data'!$A:$A,MATCH(1,($I40='Processed Non-zero TRI Data'!$I:$I)*(AH40='Processed Non-zero TRI Data'!$V:$V),0)),"N/A - Facility Does Not Report to TRI")))</f>
        <v>N/A - Facility Does Not Report to TRI</v>
      </c>
      <c r="AK40" s="97" t="str" cm="1">
        <f t="array" ref="AK40">IFERROR(_xlfn.XLOOKUP(1,  (MAX(IF(I40 = 'Processed Non-zero TRI Data'!$I$2:$I$6,'Processed Non-zero TRI Data'!$A$2:$A$6)) = 'Processed Non-zero TRI Data'!$A$2:$A$6)*('Processed Non-zero TRI Data'!$I$2:$I$6 = I40), 'Processed Non-zero TRI Data'!$X$2:$X$6), "N/A- Facility Does Not Report to TRI")</f>
        <v>N/A- Facility Does Not Report to TRI</v>
      </c>
      <c r="AL40" s="9" t="str">
        <f t="shared" si="32"/>
        <v>N/A - Facility Does Not Report to TRI</v>
      </c>
      <c r="AM40" s="9" t="str" cm="1">
        <f t="array" ref="AM40">IF(COUNTIF('Processed Non-zero TRI Data'!$I:$I,$I40)&gt;0,MEDIAN(IF('Processed Non-zero TRI Data'!$I:$I=I40,'Processed Non-zero TRI Data'!$X:$X)), "N/A - Facility Does Not Report to TRI")</f>
        <v>N/A - Facility Does Not Report to TRI</v>
      </c>
      <c r="AN40" s="9" t="str">
        <f t="shared" si="33"/>
        <v>N/A - Facility Does Not Report to TRI</v>
      </c>
      <c r="AO40" s="9" t="str">
        <f>IF(COUNTIF('Processed Non-zero TRI Data'!$I:$I,$I40)&gt;0,_xlfn.MAXIFS('Processed Non-zero TRI Data'!$X:$X,'Processed Non-zero TRI Data'!$I:$I,$I40), "N/A - Facility Does Not Report to TRI")</f>
        <v>N/A - Facility Does Not Report to TRI</v>
      </c>
      <c r="AP40" s="9" t="str">
        <f t="shared" si="34"/>
        <v>N/A - Facility Does Not Report to TRI</v>
      </c>
      <c r="AQ40" s="251" t="str" cm="1">
        <f t="array" ref="AQ40">IF(B40="TRI Form A",AC40,IF(AO40=0,"Facility has no transfers to non-POTWs between 2019-2023.",IF(COUNTIF('Processed Non-zero TRI Data'!$I:$I,$I40)&gt;0,INDEX('Processed Non-zero TRI Data'!$A:$A,MATCH(1,($I40='Processed Non-zero TRI Data'!$I:$I)*(AO40='Processed Non-zero TRI Data'!$X:$X),0)),"N/A - Facility Does Not Report to TRI")))</f>
        <v>N/A - Facility Does Not Report to TRI</v>
      </c>
      <c r="AR40" s="260">
        <f t="shared" si="12"/>
        <v>0</v>
      </c>
      <c r="AS40" s="260">
        <f t="shared" si="13"/>
        <v>3.9770400000000001</v>
      </c>
    </row>
    <row r="41" spans="1:45" ht="30" x14ac:dyDescent="0.25">
      <c r="A41" s="12">
        <v>38</v>
      </c>
      <c r="B41" s="10" t="str">
        <f>IFERROR("TRI Form "&amp; VLOOKUP(I41, 'Processed Non-zero TRI Data'!$I$2:$K$6, 3, FALSE), "DMR")</f>
        <v>DMR</v>
      </c>
      <c r="C41" s="181" t="e">
        <f>VLOOKUP(D41,#REF!, 2, FALSE)</f>
        <v>#REF!</v>
      </c>
      <c r="D41" s="181" t="str">
        <f>IF(I41&lt;&gt;"",INDEX('Processed Non-zero TRI Data'!$O:$O,MATCH(I41,'Processed Non-zero TRI Data'!$I:$I,0)),INDEX('Processed Non-zero DMR Data'!$S:$S,MATCH(J41,'Processed Non-zero DMR Data'!$I:$I,0)))</f>
        <v>Processing as a reactant</v>
      </c>
      <c r="E41" s="181" t="str">
        <f>IF(I41&lt;&gt;"",INDEX('Processed Non-zero TRI Data'!$P:$P,MATCH(I41,'Processed Non-zero TRI Data'!$I:$I,0)),INDEX('Processed Non-zero DMR Data'!$T:$T,MATCH(J41,'Processed Non-zero DMR Data'!$I:$I,0)))</f>
        <v>Assumed processing as a reactant based on SIC and NAICS; this also matches 1,1,-DCA mapping.</v>
      </c>
      <c r="F41" s="9" t="str">
        <f>_xlfn.XLOOKUP(J41, 'Processed Non-zero DMR Data'!I:I, 'Processed Non-zero DMR Data'!B:B)</f>
        <v>BASF CORPORATION</v>
      </c>
      <c r="G41" s="9" t="str">
        <f>_xlfn.XLOOKUP(J41, 'Processed Non-zero DMR Data'!I:I, 'Processed Non-zero DMR Data'!C:C)</f>
        <v>WEST MEMPHIS</v>
      </c>
      <c r="H41" s="9" t="str">
        <f>_xlfn.XLOOKUP(J41, 'Processed Non-zero DMR Data'!I:I, 'Processed Non-zero DMR Data'!E:E)</f>
        <v>AR</v>
      </c>
      <c r="I41" s="9"/>
      <c r="J41" s="13">
        <v>110000452082</v>
      </c>
      <c r="K41" s="9" t="str">
        <f>IFERROR(INDEX('Raw Non-zero DMR Data'!$C:$C, MATCH(J41,'Raw Non-zero DMR Data'!$D:$D,0)),"")</f>
        <v>AR0037770</v>
      </c>
      <c r="L41" s="9" t="str">
        <f>IFERROR(INDEX('Raw Non-zero DMR Data'!$U:$U, MATCH($J41,'Raw Non-zero DMR Data'!$D:$D,0)),"")</f>
        <v>Loosahatchie Bar-Mississippi River</v>
      </c>
      <c r="M41" s="155" t="str">
        <f>IFERROR(INDEX('Raw Non-zero DMR Data'!$T:$T, MATCH($J41,'Raw Non-zero DMR Data'!$D:$D,0)),"")</f>
        <v>080101000703</v>
      </c>
      <c r="N41" s="155" t="str">
        <f>IFERROR(INDEX('Off-site Locations'!$E:$E,MATCH(I41,'Off-site Locations'!$B:$B,0)),"No offsite transfers")</f>
        <v>No offsite transfers</v>
      </c>
      <c r="O41" s="165">
        <f>INDEX('TRI and DMR OES Summary'!D:D,MATCH('Facility Discharge Summary'!D41,'TRI and DMR OES Summary'!A:A,0))</f>
        <v>350</v>
      </c>
      <c r="P41" s="17" cm="1">
        <f t="array" ref="P41">IFERROR(_xlfn.XLOOKUP(1,  (MAX(IF(J41 = 'Processed Non-zero DMR Data'!$I$2:$I$651,'Processed Non-zero DMR Data'!$A$2:$A$651)) = 'Processed Non-zero DMR Data'!$A$2:$A$651)*('Processed Non-zero DMR Data'!$I$2:$I$651 = J41),'Processed Non-zero DMR Data'!$W$2:$W$651), "N/A- Facility Does Not Report DMRs")</f>
        <v>1.2053700000000001E-2</v>
      </c>
      <c r="Q41" s="10">
        <f t="shared" si="14"/>
        <v>3.4439142857142857E-5</v>
      </c>
      <c r="R41" s="10" cm="1">
        <f t="array" ref="R41">IF(COUNTIF('Processed Non-zero DMR Data'!$I:$I,$J41)&gt;0,MEDIAN(IF('Processed Non-zero DMR Data'!$I:$I=J41,'Processed Non-zero DMR Data'!$W:$W)),"N/A - Facility Does Not Report DMRs")</f>
        <v>3.6297300000000005E-2</v>
      </c>
      <c r="S41" s="10">
        <f t="shared" si="15"/>
        <v>1.0370657142857144E-4</v>
      </c>
      <c r="T41" s="10">
        <f>IF(COUNTIF('Processed Non-zero DMR Data'!$I:$I,$J41)&gt;0,_xlfn.MAXIFS('Processed Non-zero DMR Data'!$W:$W,'Processed Non-zero DMR Data'!$I:$I,$J41), "N/A - Facility Does Not Report DMRs")</f>
        <v>5.9301479999999997E-2</v>
      </c>
      <c r="U41" s="10">
        <f t="shared" si="16"/>
        <v>1.6943279999999999E-4</v>
      </c>
      <c r="V41" s="158" cm="1">
        <f t="array" ref="V41">IF(COUNTIF('Processed Non-zero DMR Data'!$I:$I,$J41)&gt;0,INDEX('Processed Non-zero DMR Data'!$A:$A,MATCH(1,($J41='Processed Non-zero DMR Data'!$I:$I)*($T41='Processed Non-zero DMR Data'!$W:$W),0)), "N/A - Facility Does Not Report DMRs")</f>
        <v>2021</v>
      </c>
      <c r="W41" s="17" t="str" cm="1">
        <f t="array" ref="W41">IFERROR(_xlfn.XLOOKUP(1,  (MAX(IF(I41 = 'Processed Non-zero TRI Data'!$I$2:$I$6,'Processed Non-zero TRI Data'!$A$2:$A$6)) = 'Processed Non-zero TRI Data'!$A$2:$A$6)*('Processed Non-zero TRI Data'!$I$2:$I$6 = I41), 'Processed Non-zero TRI Data'!$T$2:$T$6), "N/A- Facility Does Not Report to TRI")</f>
        <v>N/A- Facility Does Not Report to TRI</v>
      </c>
      <c r="X41" s="10" t="str">
        <f t="shared" si="26"/>
        <v>N/A - Facility Does Not Report to TRI</v>
      </c>
      <c r="Y41" s="10" t="str" cm="1">
        <f t="array" ref="Y41">IF(COUNTIF('Processed Non-zero TRI Data'!$I:$I,$I41)&gt;0,MEDIAN(IF('Processed Non-zero TRI Data'!$I:$I=I41,'Processed Non-zero TRI Data'!$T:$T)), "N/A - Facility Does Not Report to TRI")</f>
        <v>N/A - Facility Does Not Report to TRI</v>
      </c>
      <c r="Z41" s="10" t="str">
        <f t="shared" si="27"/>
        <v>N/A - Facility Does Not Report to TRI</v>
      </c>
      <c r="AA41" s="10" t="str">
        <f>IF(COUNTIF('Processed Non-zero TRI Data'!$I:$I,$I41)&gt;0,_xlfn.MAXIFS('Processed Non-zero TRI Data'!$T:$T,'Processed Non-zero TRI Data'!$I:$I,$I41), "N/A - Facility Does Not Report to TRI")</f>
        <v>N/A - Facility Does Not Report to TRI</v>
      </c>
      <c r="AB41" s="10" t="str">
        <f t="shared" si="28"/>
        <v>N/A - Facility Does Not Report to TRI</v>
      </c>
      <c r="AC41" s="158" t="str" cm="1">
        <f t="array" ref="AC41">IFERROR(IF(B41 = "TRI Form R", IF(AA41 = 0, "Facility has no on-site water discharges between 2017-2022.",  IF(COUNTIF('Processed Non-zero TRI Data'!$I:$I,$I41)&gt;0,INDEX('Processed Non-zero TRI Data'!$A:$A,MATCH(1,($I41='Processed Non-zero TRI Data'!$I:$I)*(AA41='Processed Non-zero TRI Data'!$T:$T),0)))), VLOOKUP(I41,#REF!, 2, FALSE)), ("N/A - Facility Does Not Report to TRI"))</f>
        <v>N/A - Facility Does Not Report to TRI</v>
      </c>
      <c r="AD41" s="97" t="str" cm="1">
        <f t="array" ref="AD41">IFERROR(_xlfn.XLOOKUP(1,  (MAX(IF(I41 = 'Processed Non-zero TRI Data'!$I$2:$I$6,'Processed Non-zero TRI Data'!$A$2:$A$6)) = 'Processed Non-zero TRI Data'!$A$2:$A$6)*('Processed Non-zero TRI Data'!$I$2:$I$6 = I41), 'Processed Non-zero TRI Data'!$V$2:$V$6), "N/A- Facility Does Not Report to TRI")</f>
        <v>N/A- Facility Does Not Report to TRI</v>
      </c>
      <c r="AE41" s="9" t="str">
        <f t="shared" si="29"/>
        <v>N/A - Facility Does Not Report to TRI</v>
      </c>
      <c r="AF41" s="9" t="str" cm="1">
        <f t="array" ref="AF41">IF(COUNTIF('Processed Non-zero TRI Data'!$I:$I,$I41)&gt;0,MEDIAN(IF('Processed Non-zero TRI Data'!$I:$I=I41,'Processed Non-zero TRI Data'!$V:$V)), "N/A - Facility Does Not Report to TRI")</f>
        <v>N/A - Facility Does Not Report to TRI</v>
      </c>
      <c r="AG41" s="9" t="str">
        <f t="shared" si="30"/>
        <v>N/A - Facility Does Not Report to TRI</v>
      </c>
      <c r="AH41" s="9" t="str">
        <f>IF(COUNTIF('Processed Non-zero TRI Data'!$I:$I,$I41)&gt;0,_xlfn.MAXIFS('Processed Non-zero TRI Data'!$V:$V,'Processed Non-zero TRI Data'!$I:$I,$I41), "N/A - Facility Does Not Report to TRI")</f>
        <v>N/A - Facility Does Not Report to TRI</v>
      </c>
      <c r="AI41" s="9" t="str">
        <f t="shared" si="31"/>
        <v>N/A - Facility Does Not Report to TRI</v>
      </c>
      <c r="AJ41" s="158" t="str" cm="1">
        <f t="array" ref="AJ41">IF(B41="TRI Form A",AC41,IF(AH41=0,"Facility has no transfers to POTWs between 2019-2023.",IF(COUNTIF('Processed Non-zero TRI Data'!$I:$I,$I41)&gt;0,INDEX('Processed Non-zero TRI Data'!$A:$A,MATCH(1,($I41='Processed Non-zero TRI Data'!$I:$I)*(AH41='Processed Non-zero TRI Data'!$V:$V),0)),"N/A - Facility Does Not Report to TRI")))</f>
        <v>N/A - Facility Does Not Report to TRI</v>
      </c>
      <c r="AK41" s="97" t="str" cm="1">
        <f t="array" ref="AK41">IFERROR(_xlfn.XLOOKUP(1,  (MAX(IF(I41 = 'Processed Non-zero TRI Data'!$I$2:$I$6,'Processed Non-zero TRI Data'!$A$2:$A$6)) = 'Processed Non-zero TRI Data'!$A$2:$A$6)*('Processed Non-zero TRI Data'!$I$2:$I$6 = I41), 'Processed Non-zero TRI Data'!$X$2:$X$6), "N/A- Facility Does Not Report to TRI")</f>
        <v>N/A- Facility Does Not Report to TRI</v>
      </c>
      <c r="AL41" s="9" t="str">
        <f t="shared" si="32"/>
        <v>N/A - Facility Does Not Report to TRI</v>
      </c>
      <c r="AM41" s="9" t="str" cm="1">
        <f t="array" ref="AM41">IF(COUNTIF('Processed Non-zero TRI Data'!$I:$I,$I41)&gt;0,MEDIAN(IF('Processed Non-zero TRI Data'!$I:$I=I41,'Processed Non-zero TRI Data'!$X:$X)), "N/A - Facility Does Not Report to TRI")</f>
        <v>N/A - Facility Does Not Report to TRI</v>
      </c>
      <c r="AN41" s="9" t="str">
        <f t="shared" si="33"/>
        <v>N/A - Facility Does Not Report to TRI</v>
      </c>
      <c r="AO41" s="9" t="str">
        <f>IF(COUNTIF('Processed Non-zero TRI Data'!$I:$I,$I41)&gt;0,_xlfn.MAXIFS('Processed Non-zero TRI Data'!$X:$X,'Processed Non-zero TRI Data'!$I:$I,$I41), "N/A - Facility Does Not Report to TRI")</f>
        <v>N/A - Facility Does Not Report to TRI</v>
      </c>
      <c r="AP41" s="9" t="str">
        <f t="shared" si="34"/>
        <v>N/A - Facility Does Not Report to TRI</v>
      </c>
      <c r="AQ41" s="251" t="str" cm="1">
        <f t="array" ref="AQ41">IF(B41="TRI Form A",AC41,IF(AO41=0,"Facility has no transfers to non-POTWs between 2019-2023.",IF(COUNTIF('Processed Non-zero TRI Data'!$I:$I,$I41)&gt;0,INDEX('Processed Non-zero TRI Data'!$A:$A,MATCH(1,($I41='Processed Non-zero TRI Data'!$I:$I)*(AO41='Processed Non-zero TRI Data'!$X:$X),0)),"N/A - Facility Does Not Report to TRI")))</f>
        <v>N/A - Facility Does Not Report to TRI</v>
      </c>
      <c r="AR41" s="260">
        <f t="shared" si="12"/>
        <v>0</v>
      </c>
      <c r="AS41" s="260">
        <f t="shared" si="13"/>
        <v>5.9301479999999997E-2</v>
      </c>
    </row>
    <row r="42" spans="1:45" ht="30" x14ac:dyDescent="0.25">
      <c r="A42" s="12">
        <v>39</v>
      </c>
      <c r="B42" s="10" t="str">
        <f>IFERROR("TRI Form "&amp; VLOOKUP(I42, 'Processed Non-zero TRI Data'!$I$2:$K$6, 3, FALSE), "DMR")</f>
        <v>DMR</v>
      </c>
      <c r="C42" s="181" t="e">
        <f>VLOOKUP(D42,#REF!, 2, FALSE)</f>
        <v>#REF!</v>
      </c>
      <c r="D42" s="181" t="str">
        <f>IF(I42&lt;&gt;"",INDEX('Processed Non-zero TRI Data'!$O:$O,MATCH(I42,'Processed Non-zero TRI Data'!$I:$I,0)),INDEX('Processed Non-zero DMR Data'!$S:$S,MATCH(J42,'Processed Non-zero DMR Data'!$I:$I,0)))</f>
        <v>Processing as a reactant</v>
      </c>
      <c r="E42" s="181" t="str">
        <f>IF(I42&lt;&gt;"",INDEX('Processed Non-zero TRI Data'!$P:$P,MATCH(I42,'Processed Non-zero TRI Data'!$I:$I,0)),INDEX('Processed Non-zero DMR Data'!$T:$T,MATCH(J42,'Processed Non-zero DMR Data'!$I:$I,0)))</f>
        <v>Specialty chemical and biodiesel manufacturer.</v>
      </c>
      <c r="F42" s="9" t="str">
        <f>_xlfn.XLOOKUP(J42, 'Processed Non-zero DMR Data'!I:I, 'Processed Non-zero DMR Data'!B:B)</f>
        <v>FUTUREFUEL CHEMICAL COMPANY</v>
      </c>
      <c r="G42" s="9" t="str">
        <f>_xlfn.XLOOKUP(J42, 'Processed Non-zero DMR Data'!I:I, 'Processed Non-zero DMR Data'!C:C)</f>
        <v>BATESVILLE</v>
      </c>
      <c r="H42" s="9" t="str">
        <f>_xlfn.XLOOKUP(J42, 'Processed Non-zero DMR Data'!I:I, 'Processed Non-zero DMR Data'!E:E)</f>
        <v>AR</v>
      </c>
      <c r="I42" s="9"/>
      <c r="J42" s="13">
        <v>110017432937</v>
      </c>
      <c r="K42" s="9" t="str">
        <f>IFERROR(INDEX('Raw Non-zero DMR Data'!$C:$C, MATCH(J42,'Raw Non-zero DMR Data'!$D:$D,0)),"")</f>
        <v>AR0035386</v>
      </c>
      <c r="L42" s="9" t="str">
        <f>IFERROR(INDEX('Raw Non-zero DMR Data'!$U:$U, MATCH($J42,'Raw Non-zero DMR Data'!$D:$D,0)),"")</f>
        <v>Big Creek-White River</v>
      </c>
      <c r="M42" s="155">
        <f>IFERROR(INDEX('Raw Non-zero DMR Data'!$T:$T, MATCH($J42,'Raw Non-zero DMR Data'!$D:$D,0)),"")</f>
        <v>110100040704</v>
      </c>
      <c r="N42" s="155" t="str">
        <f>IFERROR(INDEX('Off-site Locations'!$E:$E,MATCH(I42,'Off-site Locations'!$B:$B,0)),"No offsite transfers")</f>
        <v>No offsite transfers</v>
      </c>
      <c r="O42" s="165">
        <f>INDEX('TRI and DMR OES Summary'!D:D,MATCH('Facility Discharge Summary'!D42,'TRI and DMR OES Summary'!A:A,0))</f>
        <v>350</v>
      </c>
      <c r="P42" s="17" cm="1">
        <f t="array" ref="P42">IFERROR(_xlfn.XLOOKUP(1,  (MAX(IF(J42 = 'Processed Non-zero DMR Data'!$I$2:$I$651,'Processed Non-zero DMR Data'!$A$2:$A$651)) = 'Processed Non-zero DMR Data'!$A$2:$A$651)*('Processed Non-zero DMR Data'!$I$2:$I$651 = J42),'Processed Non-zero DMR Data'!$W$2:$W$651), "N/A- Facility Does Not Report DMRs")</f>
        <v>4.5536199999999996</v>
      </c>
      <c r="Q42" s="10">
        <f t="shared" si="14"/>
        <v>1.3010342857142856E-2</v>
      </c>
      <c r="R42" s="10" cm="1">
        <f t="array" ref="R42">IF(COUNTIF('Processed Non-zero DMR Data'!$I:$I,$J42)&gt;0,MEDIAN(IF('Processed Non-zero DMR Data'!$I:$I=J42,'Processed Non-zero DMR Data'!$W:$W)),"N/A - Facility Does Not Report DMRs")</f>
        <v>4.9576799999999999</v>
      </c>
      <c r="S42" s="10">
        <f t="shared" si="15"/>
        <v>1.41648E-2</v>
      </c>
      <c r="T42" s="10">
        <f>IF(COUNTIF('Processed Non-zero DMR Data'!$I:$I,$J42)&gt;0,_xlfn.MAXIFS('Processed Non-zero DMR Data'!$W:$W,'Processed Non-zero DMR Data'!$I:$I,$J42), "N/A - Facility Does Not Report DMRs")</f>
        <v>5.8066599999999999</v>
      </c>
      <c r="U42" s="10">
        <f t="shared" si="16"/>
        <v>1.6590457142857142E-2</v>
      </c>
      <c r="V42" s="158" cm="1">
        <f t="array" ref="V42">IF(COUNTIF('Processed Non-zero DMR Data'!$I:$I,$J42)&gt;0,INDEX('Processed Non-zero DMR Data'!$A:$A,MATCH(1,($J42='Processed Non-zero DMR Data'!$I:$I)*($T42='Processed Non-zero DMR Data'!$W:$W),0)), "N/A - Facility Does Not Report DMRs")</f>
        <v>2019</v>
      </c>
      <c r="W42" s="17" t="str" cm="1">
        <f t="array" ref="W42">IFERROR(_xlfn.XLOOKUP(1,  (MAX(IF(I42 = 'Processed Non-zero TRI Data'!$I$2:$I$6,'Processed Non-zero TRI Data'!$A$2:$A$6)) = 'Processed Non-zero TRI Data'!$A$2:$A$6)*('Processed Non-zero TRI Data'!$I$2:$I$6 = I42), 'Processed Non-zero TRI Data'!$T$2:$T$6), "N/A- Facility Does Not Report to TRI")</f>
        <v>N/A- Facility Does Not Report to TRI</v>
      </c>
      <c r="X42" s="10" t="str">
        <f t="shared" si="26"/>
        <v>N/A - Facility Does Not Report to TRI</v>
      </c>
      <c r="Y42" s="10" t="str" cm="1">
        <f t="array" ref="Y42">IF(COUNTIF('Processed Non-zero TRI Data'!$I:$I,$I42)&gt;0,MEDIAN(IF('Processed Non-zero TRI Data'!$I:$I=I42,'Processed Non-zero TRI Data'!$T:$T)), "N/A - Facility Does Not Report to TRI")</f>
        <v>N/A - Facility Does Not Report to TRI</v>
      </c>
      <c r="Z42" s="10" t="str">
        <f t="shared" si="27"/>
        <v>N/A - Facility Does Not Report to TRI</v>
      </c>
      <c r="AA42" s="10" t="str">
        <f>IF(COUNTIF('Processed Non-zero TRI Data'!$I:$I,$I42)&gt;0,_xlfn.MAXIFS('Processed Non-zero TRI Data'!$T:$T,'Processed Non-zero TRI Data'!$I:$I,$I42), "N/A - Facility Does Not Report to TRI")</f>
        <v>N/A - Facility Does Not Report to TRI</v>
      </c>
      <c r="AB42" s="10" t="str">
        <f t="shared" si="28"/>
        <v>N/A - Facility Does Not Report to TRI</v>
      </c>
      <c r="AC42" s="158" t="str" cm="1">
        <f t="array" ref="AC42">IFERROR(IF(B42 = "TRI Form R", IF(AA42 = 0, "Facility has no on-site water discharges between 2017-2022.",  IF(COUNTIF('Processed Non-zero TRI Data'!$I:$I,$I42)&gt;0,INDEX('Processed Non-zero TRI Data'!$A:$A,MATCH(1,($I42='Processed Non-zero TRI Data'!$I:$I)*(AA42='Processed Non-zero TRI Data'!$T:$T),0)))), VLOOKUP(I42,#REF!, 2, FALSE)), ("N/A - Facility Does Not Report to TRI"))</f>
        <v>N/A - Facility Does Not Report to TRI</v>
      </c>
      <c r="AD42" s="97" t="str" cm="1">
        <f t="array" ref="AD42">IFERROR(_xlfn.XLOOKUP(1,  (MAX(IF(I42 = 'Processed Non-zero TRI Data'!$I$2:$I$6,'Processed Non-zero TRI Data'!$A$2:$A$6)) = 'Processed Non-zero TRI Data'!$A$2:$A$6)*('Processed Non-zero TRI Data'!$I$2:$I$6 = I42), 'Processed Non-zero TRI Data'!$V$2:$V$6), "N/A- Facility Does Not Report to TRI")</f>
        <v>N/A- Facility Does Not Report to TRI</v>
      </c>
      <c r="AE42" s="9" t="str">
        <f t="shared" si="29"/>
        <v>N/A - Facility Does Not Report to TRI</v>
      </c>
      <c r="AF42" s="9" t="str" cm="1">
        <f t="array" ref="AF42">IF(COUNTIF('Processed Non-zero TRI Data'!$I:$I,$I42)&gt;0,MEDIAN(IF('Processed Non-zero TRI Data'!$I:$I=I42,'Processed Non-zero TRI Data'!$V:$V)), "N/A - Facility Does Not Report to TRI")</f>
        <v>N/A - Facility Does Not Report to TRI</v>
      </c>
      <c r="AG42" s="9" t="str">
        <f t="shared" si="30"/>
        <v>N/A - Facility Does Not Report to TRI</v>
      </c>
      <c r="AH42" s="9" t="str">
        <f>IF(COUNTIF('Processed Non-zero TRI Data'!$I:$I,$I42)&gt;0,_xlfn.MAXIFS('Processed Non-zero TRI Data'!$V:$V,'Processed Non-zero TRI Data'!$I:$I,$I42), "N/A - Facility Does Not Report to TRI")</f>
        <v>N/A - Facility Does Not Report to TRI</v>
      </c>
      <c r="AI42" s="9" t="str">
        <f t="shared" si="31"/>
        <v>N/A - Facility Does Not Report to TRI</v>
      </c>
      <c r="AJ42" s="158" t="str" cm="1">
        <f t="array" ref="AJ42">IF(B42="TRI Form A",AC42,IF(AH42=0,"Facility has no transfers to POTWs between 2019-2023.",IF(COUNTIF('Processed Non-zero TRI Data'!$I:$I,$I42)&gt;0,INDEX('Processed Non-zero TRI Data'!$A:$A,MATCH(1,($I42='Processed Non-zero TRI Data'!$I:$I)*(AH42='Processed Non-zero TRI Data'!$V:$V),0)),"N/A - Facility Does Not Report to TRI")))</f>
        <v>N/A - Facility Does Not Report to TRI</v>
      </c>
      <c r="AK42" s="97" t="str" cm="1">
        <f t="array" ref="AK42">IFERROR(_xlfn.XLOOKUP(1,  (MAX(IF(I42 = 'Processed Non-zero TRI Data'!$I$2:$I$6,'Processed Non-zero TRI Data'!$A$2:$A$6)) = 'Processed Non-zero TRI Data'!$A$2:$A$6)*('Processed Non-zero TRI Data'!$I$2:$I$6 = I42), 'Processed Non-zero TRI Data'!$X$2:$X$6), "N/A- Facility Does Not Report to TRI")</f>
        <v>N/A- Facility Does Not Report to TRI</v>
      </c>
      <c r="AL42" s="9" t="str">
        <f t="shared" si="32"/>
        <v>N/A - Facility Does Not Report to TRI</v>
      </c>
      <c r="AM42" s="9" t="str" cm="1">
        <f t="array" ref="AM42">IF(COUNTIF('Processed Non-zero TRI Data'!$I:$I,$I42)&gt;0,MEDIAN(IF('Processed Non-zero TRI Data'!$I:$I=I42,'Processed Non-zero TRI Data'!$X:$X)), "N/A - Facility Does Not Report to TRI")</f>
        <v>N/A - Facility Does Not Report to TRI</v>
      </c>
      <c r="AN42" s="9" t="str">
        <f t="shared" si="33"/>
        <v>N/A - Facility Does Not Report to TRI</v>
      </c>
      <c r="AO42" s="9" t="str">
        <f>IF(COUNTIF('Processed Non-zero TRI Data'!$I:$I,$I42)&gt;0,_xlfn.MAXIFS('Processed Non-zero TRI Data'!$X:$X,'Processed Non-zero TRI Data'!$I:$I,$I42), "N/A - Facility Does Not Report to TRI")</f>
        <v>N/A - Facility Does Not Report to TRI</v>
      </c>
      <c r="AP42" s="9" t="str">
        <f t="shared" si="34"/>
        <v>N/A - Facility Does Not Report to TRI</v>
      </c>
      <c r="AQ42" s="251" t="str" cm="1">
        <f t="array" ref="AQ42">IF(B42="TRI Form A",AC42,IF(AO42=0,"Facility has no transfers to non-POTWs between 2019-2023.",IF(COUNTIF('Processed Non-zero TRI Data'!$I:$I,$I42)&gt;0,INDEX('Processed Non-zero TRI Data'!$A:$A,MATCH(1,($I42='Processed Non-zero TRI Data'!$I:$I)*(AO42='Processed Non-zero TRI Data'!$X:$X),0)),"N/A - Facility Does Not Report to TRI")))</f>
        <v>N/A - Facility Does Not Report to TRI</v>
      </c>
      <c r="AR42" s="260">
        <f t="shared" si="12"/>
        <v>0</v>
      </c>
      <c r="AS42" s="260">
        <f t="shared" si="13"/>
        <v>5.8066599999999999</v>
      </c>
    </row>
    <row r="43" spans="1:45" ht="30" x14ac:dyDescent="0.25">
      <c r="A43" s="12">
        <v>40</v>
      </c>
      <c r="B43" s="10" t="str">
        <f>IFERROR("TRI Form "&amp; VLOOKUP(I43, 'Processed Non-zero TRI Data'!$I$2:$K$6, 3, FALSE), "DMR")</f>
        <v>DMR</v>
      </c>
      <c r="C43" s="181" t="e">
        <f>VLOOKUP(D43,#REF!, 2, FALSE)</f>
        <v>#REF!</v>
      </c>
      <c r="D43" s="181" t="str">
        <f>IF(I43&lt;&gt;"",INDEX('Processed Non-zero TRI Data'!$O:$O,MATCH(I43,'Processed Non-zero TRI Data'!$I:$I,0)),INDEX('Processed Non-zero DMR Data'!$S:$S,MATCH(J43,'Processed Non-zero DMR Data'!$I:$I,0)))</f>
        <v>Waste Handling, Disposal and Treatment (Landfill)</v>
      </c>
      <c r="E43" s="181" t="str">
        <f>IF(I43&lt;&gt;"",INDEX('Processed Non-zero TRI Data'!$P:$P,MATCH(I43,'Processed Non-zero TRI Data'!$I:$I,0)),INDEX('Processed Non-zero DMR Data'!$T:$T,MATCH(J43,'Processed Non-zero DMR Data'!$I:$I,0)))</f>
        <v>Facility is a landfill per google search.</v>
      </c>
      <c r="F43" s="9" t="str">
        <f>_xlfn.XLOOKUP(J43, 'Processed Non-zero DMR Data'!I:I, 'Processed Non-zero DMR Data'!B:B)</f>
        <v>BROWNING FERRIS INDUSTRIES KC</v>
      </c>
      <c r="G43" s="9" t="str">
        <f>_xlfn.XLOOKUP(J43, 'Processed Non-zero DMR Data'!I:I, 'Processed Non-zero DMR Data'!C:C)</f>
        <v>LIBERTY</v>
      </c>
      <c r="H43" s="9" t="str">
        <f>_xlfn.XLOOKUP(J43, 'Processed Non-zero DMR Data'!I:I, 'Processed Non-zero DMR Data'!E:E)</f>
        <v>MO</v>
      </c>
      <c r="I43" s="9"/>
      <c r="J43" s="13">
        <v>110000614746</v>
      </c>
      <c r="K43" s="9" t="str">
        <f>IFERROR(INDEX('Raw Non-zero DMR Data'!$C:$C, MATCH(J43,'Raw Non-zero DMR Data'!$D:$D,0)),"")</f>
        <v>MO0099503</v>
      </c>
      <c r="L43" s="9" t="str">
        <f>IFERROR(INDEX('Raw Non-zero DMR Data'!$U:$U, MATCH($J43,'Raw Non-zero DMR Data'!$D:$D,0)),"")</f>
        <v>Dry Creek-Missouri River</v>
      </c>
      <c r="M43" s="155">
        <f>IFERROR(INDEX('Raw Non-zero DMR Data'!$T:$T, MATCH($J43,'Raw Non-zero DMR Data'!$D:$D,0)),"")</f>
        <v>103001010307</v>
      </c>
      <c r="N43" s="155" t="str">
        <f>IFERROR(INDEX('Off-site Locations'!$E:$E,MATCH(I43,'Off-site Locations'!$B:$B,0)),"No offsite transfers")</f>
        <v>No offsite transfers</v>
      </c>
      <c r="O43" s="165">
        <f>INDEX('TRI and DMR OES Summary'!D:D,MATCH('Facility Discharge Summary'!D43,'TRI and DMR OES Summary'!A:A,0))</f>
        <v>250</v>
      </c>
      <c r="P43" s="17" cm="1">
        <f t="array" ref="P43">IFERROR(_xlfn.XLOOKUP(1,  (MAX(IF(J43 = 'Processed Non-zero DMR Data'!$I$2:$I$651,'Processed Non-zero DMR Data'!$A$2:$A$651)) = 'Processed Non-zero DMR Data'!$A$2:$A$651)*('Processed Non-zero DMR Data'!$I$2:$I$651 = J43),'Processed Non-zero DMR Data'!$W$2:$W$651), "N/A- Facility Does Not Report DMRs")</f>
        <v>1.69847316346E-2</v>
      </c>
      <c r="Q43" s="10">
        <f t="shared" si="14"/>
        <v>6.7938926538399998E-5</v>
      </c>
      <c r="R43" s="10" cm="1">
        <f t="array" ref="R43">IF(COUNTIF('Processed Non-zero DMR Data'!$I:$I,$J43)&gt;0,MEDIAN(IF('Processed Non-zero DMR Data'!$I:$I=J43,'Processed Non-zero DMR Data'!$W:$W)),"N/A - Facility Does Not Report DMRs")</f>
        <v>2.5565540373550001E-2</v>
      </c>
      <c r="S43" s="10">
        <f t="shared" si="15"/>
        <v>1.022621614942E-4</v>
      </c>
      <c r="T43" s="10">
        <f>IF(COUNTIF('Processed Non-zero DMR Data'!$I:$I,$J43)&gt;0,_xlfn.MAXIFS('Processed Non-zero DMR Data'!$W:$W,'Processed Non-zero DMR Data'!$I:$I,$J43), "N/A - Facility Does Not Report DMRs")</f>
        <v>4.831148326345E-2</v>
      </c>
      <c r="U43" s="10">
        <f t="shared" si="16"/>
        <v>1.9324593305380001E-4</v>
      </c>
      <c r="V43" s="158" cm="1">
        <f t="array" ref="V43">IF(COUNTIF('Processed Non-zero DMR Data'!$I:$I,$J43)&gt;0,INDEX('Processed Non-zero DMR Data'!$A:$A,MATCH(1,($J43='Processed Non-zero DMR Data'!$I:$I)*($T43='Processed Non-zero DMR Data'!$W:$W),0)), "N/A - Facility Does Not Report DMRs")</f>
        <v>2019</v>
      </c>
      <c r="W43" s="17" t="str" cm="1">
        <f t="array" ref="W43">IFERROR(_xlfn.XLOOKUP(1,  (MAX(IF(I43 = 'Processed Non-zero TRI Data'!$I$2:$I$6,'Processed Non-zero TRI Data'!$A$2:$A$6)) = 'Processed Non-zero TRI Data'!$A$2:$A$6)*('Processed Non-zero TRI Data'!$I$2:$I$6 = I43), 'Processed Non-zero TRI Data'!$T$2:$T$6), "N/A- Facility Does Not Report to TRI")</f>
        <v>N/A- Facility Does Not Report to TRI</v>
      </c>
      <c r="X43" s="10" t="str">
        <f t="shared" si="26"/>
        <v>N/A - Facility Does Not Report to TRI</v>
      </c>
      <c r="Y43" s="10" t="str" cm="1">
        <f t="array" ref="Y43">IF(COUNTIF('Processed Non-zero TRI Data'!$I:$I,$I43)&gt;0,MEDIAN(IF('Processed Non-zero TRI Data'!$I:$I=I43,'Processed Non-zero TRI Data'!$T:$T)), "N/A - Facility Does Not Report to TRI")</f>
        <v>N/A - Facility Does Not Report to TRI</v>
      </c>
      <c r="Z43" s="10" t="str">
        <f t="shared" si="27"/>
        <v>N/A - Facility Does Not Report to TRI</v>
      </c>
      <c r="AA43" s="10" t="str">
        <f>IF(COUNTIF('Processed Non-zero TRI Data'!$I:$I,$I43)&gt;0,_xlfn.MAXIFS('Processed Non-zero TRI Data'!$T:$T,'Processed Non-zero TRI Data'!$I:$I,$I43), "N/A - Facility Does Not Report to TRI")</f>
        <v>N/A - Facility Does Not Report to TRI</v>
      </c>
      <c r="AB43" s="10" t="str">
        <f t="shared" si="28"/>
        <v>N/A - Facility Does Not Report to TRI</v>
      </c>
      <c r="AC43" s="158" t="str" cm="1">
        <f t="array" ref="AC43">IFERROR(IF(B43 = "TRI Form R", IF(AA43 = 0, "Facility has no on-site water discharges between 2017-2022.",  IF(COUNTIF('Processed Non-zero TRI Data'!$I:$I,$I43)&gt;0,INDEX('Processed Non-zero TRI Data'!$A:$A,MATCH(1,($I43='Processed Non-zero TRI Data'!$I:$I)*(AA43='Processed Non-zero TRI Data'!$T:$T),0)))), VLOOKUP(I43,#REF!, 2, FALSE)), ("N/A - Facility Does Not Report to TRI"))</f>
        <v>N/A - Facility Does Not Report to TRI</v>
      </c>
      <c r="AD43" s="97" t="str" cm="1">
        <f t="array" ref="AD43">IFERROR(_xlfn.XLOOKUP(1,  (MAX(IF(I43 = 'Processed Non-zero TRI Data'!$I$2:$I$6,'Processed Non-zero TRI Data'!$A$2:$A$6)) = 'Processed Non-zero TRI Data'!$A$2:$A$6)*('Processed Non-zero TRI Data'!$I$2:$I$6 = I43), 'Processed Non-zero TRI Data'!$V$2:$V$6), "N/A- Facility Does Not Report to TRI")</f>
        <v>N/A- Facility Does Not Report to TRI</v>
      </c>
      <c r="AE43" s="9" t="str">
        <f t="shared" si="29"/>
        <v>N/A - Facility Does Not Report to TRI</v>
      </c>
      <c r="AF43" s="9" t="str" cm="1">
        <f t="array" ref="AF43">IF(COUNTIF('Processed Non-zero TRI Data'!$I:$I,$I43)&gt;0,MEDIAN(IF('Processed Non-zero TRI Data'!$I:$I=I43,'Processed Non-zero TRI Data'!$V:$V)), "N/A - Facility Does Not Report to TRI")</f>
        <v>N/A - Facility Does Not Report to TRI</v>
      </c>
      <c r="AG43" s="9" t="str">
        <f t="shared" si="30"/>
        <v>N/A - Facility Does Not Report to TRI</v>
      </c>
      <c r="AH43" s="9" t="str">
        <f>IF(COUNTIF('Processed Non-zero TRI Data'!$I:$I,$I43)&gt;0,_xlfn.MAXIFS('Processed Non-zero TRI Data'!$V:$V,'Processed Non-zero TRI Data'!$I:$I,$I43), "N/A - Facility Does Not Report to TRI")</f>
        <v>N/A - Facility Does Not Report to TRI</v>
      </c>
      <c r="AI43" s="9" t="str">
        <f t="shared" si="31"/>
        <v>N/A - Facility Does Not Report to TRI</v>
      </c>
      <c r="AJ43" s="158" t="str" cm="1">
        <f t="array" ref="AJ43">IF(B43="TRI Form A",AC43,IF(AH43=0,"Facility has no transfers to POTWs between 2019-2023.",IF(COUNTIF('Processed Non-zero TRI Data'!$I:$I,$I43)&gt;0,INDEX('Processed Non-zero TRI Data'!$A:$A,MATCH(1,($I43='Processed Non-zero TRI Data'!$I:$I)*(AH43='Processed Non-zero TRI Data'!$V:$V),0)),"N/A - Facility Does Not Report to TRI")))</f>
        <v>N/A - Facility Does Not Report to TRI</v>
      </c>
      <c r="AK43" s="97" t="str" cm="1">
        <f t="array" ref="AK43">IFERROR(_xlfn.XLOOKUP(1,  (MAX(IF(I43 = 'Processed Non-zero TRI Data'!$I$2:$I$6,'Processed Non-zero TRI Data'!$A$2:$A$6)) = 'Processed Non-zero TRI Data'!$A$2:$A$6)*('Processed Non-zero TRI Data'!$I$2:$I$6 = I43), 'Processed Non-zero TRI Data'!$X$2:$X$6), "N/A- Facility Does Not Report to TRI")</f>
        <v>N/A- Facility Does Not Report to TRI</v>
      </c>
      <c r="AL43" s="9" t="str">
        <f t="shared" si="32"/>
        <v>N/A - Facility Does Not Report to TRI</v>
      </c>
      <c r="AM43" s="9" t="str" cm="1">
        <f t="array" ref="AM43">IF(COUNTIF('Processed Non-zero TRI Data'!$I:$I,$I43)&gt;0,MEDIAN(IF('Processed Non-zero TRI Data'!$I:$I=I43,'Processed Non-zero TRI Data'!$X:$X)), "N/A - Facility Does Not Report to TRI")</f>
        <v>N/A - Facility Does Not Report to TRI</v>
      </c>
      <c r="AN43" s="9" t="str">
        <f t="shared" si="33"/>
        <v>N/A - Facility Does Not Report to TRI</v>
      </c>
      <c r="AO43" s="9" t="str">
        <f>IF(COUNTIF('Processed Non-zero TRI Data'!$I:$I,$I43)&gt;0,_xlfn.MAXIFS('Processed Non-zero TRI Data'!$X:$X,'Processed Non-zero TRI Data'!$I:$I,$I43), "N/A - Facility Does Not Report to TRI")</f>
        <v>N/A - Facility Does Not Report to TRI</v>
      </c>
      <c r="AP43" s="9" t="str">
        <f t="shared" si="34"/>
        <v>N/A - Facility Does Not Report to TRI</v>
      </c>
      <c r="AQ43" s="251" t="str" cm="1">
        <f t="array" ref="AQ43">IF(B43="TRI Form A",AC43,IF(AO43=0,"Facility has no transfers to non-POTWs between 2019-2023.",IF(COUNTIF('Processed Non-zero TRI Data'!$I:$I,$I43)&gt;0,INDEX('Processed Non-zero TRI Data'!$A:$A,MATCH(1,($I43='Processed Non-zero TRI Data'!$I:$I)*(AO43='Processed Non-zero TRI Data'!$X:$X),0)),"N/A - Facility Does Not Report to TRI")))</f>
        <v>N/A - Facility Does Not Report to TRI</v>
      </c>
      <c r="AR43" s="260">
        <f t="shared" si="12"/>
        <v>0</v>
      </c>
      <c r="AS43" s="260">
        <f t="shared" si="13"/>
        <v>4.831148326345E-2</v>
      </c>
    </row>
    <row r="44" spans="1:45" ht="30" x14ac:dyDescent="0.25">
      <c r="A44" s="12">
        <v>41</v>
      </c>
      <c r="B44" s="10" t="str">
        <f>IFERROR("TRI Form "&amp; VLOOKUP(I44, 'Processed Non-zero TRI Data'!$I$2:$K$6, 3, FALSE), "DMR")</f>
        <v>DMR</v>
      </c>
      <c r="C44" s="181" t="e">
        <f>VLOOKUP(D44,#REF!, 2, FALSE)</f>
        <v>#REF!</v>
      </c>
      <c r="D44" s="181" t="str">
        <f>IF(I44&lt;&gt;"",INDEX('Processed Non-zero TRI Data'!$O:$O,MATCH(I44,'Processed Non-zero TRI Data'!$I:$I,0)),INDEX('Processed Non-zero DMR Data'!$S:$S,MATCH(J44,'Processed Non-zero DMR Data'!$I:$I,0)))</f>
        <v>Repackaging</v>
      </c>
      <c r="E44" s="181" t="str">
        <f>IF(I44&lt;&gt;"",INDEX('Processed Non-zero TRI Data'!$P:$P,MATCH(I44,'Processed Non-zero TRI Data'!$I:$I,0)),INDEX('Processed Non-zero DMR Data'!$T:$T,MATCH(J44,'Processed Non-zero DMR Data'!$I:$I,0)))</f>
        <v>Vopak is a storage and distribution company</v>
      </c>
      <c r="F44" s="9" t="str">
        <f>_xlfn.XLOOKUP(J44, 'Processed Non-zero DMR Data'!I:I, 'Processed Non-zero DMR Data'!B:B)</f>
        <v>VOPAK TERMINAL LONG BEACH INC</v>
      </c>
      <c r="G44" s="9" t="str">
        <f>_xlfn.XLOOKUP(J44, 'Processed Non-zero DMR Data'!I:I, 'Processed Non-zero DMR Data'!C:C)</f>
        <v>SAN PEDRO</v>
      </c>
      <c r="H44" s="9" t="str">
        <f>_xlfn.XLOOKUP(J44, 'Processed Non-zero DMR Data'!I:I, 'Processed Non-zero DMR Data'!E:E)</f>
        <v>CA</v>
      </c>
      <c r="I44" s="9"/>
      <c r="J44" s="13">
        <v>110017217545</v>
      </c>
      <c r="K44" s="9" t="str">
        <f>IFERROR(INDEX('Raw Non-zero DMR Data'!$C:$C, MATCH(J44,'Raw Non-zero DMR Data'!$D:$D,0)),"")</f>
        <v>CA0064165</v>
      </c>
      <c r="L44" s="9" t="str">
        <f>IFERROR(INDEX('Raw Non-zero DMR Data'!$U:$U, MATCH($J44,'Raw Non-zero DMR Data'!$D:$D,0)),"")</f>
        <v>Long Beach Harbor</v>
      </c>
      <c r="M44" s="155">
        <f>IFERROR(INDEX('Raw Non-zero DMR Data'!$T:$T, MATCH($J44,'Raw Non-zero DMR Data'!$D:$D,0)),"")</f>
        <v>180701060701</v>
      </c>
      <c r="N44" s="155" t="str">
        <f>IFERROR(INDEX('Off-site Locations'!$E:$E,MATCH(I44,'Off-site Locations'!$B:$B,0)),"No offsite transfers")</f>
        <v>No offsite transfers</v>
      </c>
      <c r="O44" s="165">
        <f>INDEX('TRI and DMR OES Summary'!D:D,MATCH('Facility Discharge Summary'!D44,'TRI and DMR OES Summary'!A:A,0))</f>
        <v>250</v>
      </c>
      <c r="P44" s="17" cm="1">
        <f t="array" ref="P44">IFERROR(_xlfn.XLOOKUP(1,  (MAX(IF(J44 = 'Processed Non-zero DMR Data'!$I$2:$I$651,'Processed Non-zero DMR Data'!$A$2:$A$651)) = 'Processed Non-zero DMR Data'!$A$2:$A$651)*('Processed Non-zero DMR Data'!$I$2:$I$651 = J44),'Processed Non-zero DMR Data'!$W$2:$W$651), "N/A- Facility Does Not Report DMRs")</f>
        <v>8.5171016250000006E-3</v>
      </c>
      <c r="Q44" s="10">
        <f t="shared" si="14"/>
        <v>3.4068406500000002E-5</v>
      </c>
      <c r="R44" s="10" cm="1">
        <f t="array" ref="R44">IF(COUNTIF('Processed Non-zero DMR Data'!$I:$I,$J44)&gt;0,MEDIAN(IF('Processed Non-zero DMR Data'!$I:$I=J44,'Processed Non-zero DMR Data'!$W:$W)),"N/A - Facility Does Not Report DMRs")</f>
        <v>8.5171016250000006E-3</v>
      </c>
      <c r="S44" s="10">
        <f t="shared" si="15"/>
        <v>3.4068406500000002E-5</v>
      </c>
      <c r="T44" s="10">
        <f>IF(COUNTIF('Processed Non-zero DMR Data'!$I:$I,$J44)&gt;0,_xlfn.MAXIFS('Processed Non-zero DMR Data'!$W:$W,'Processed Non-zero DMR Data'!$I:$I,$J44), "N/A - Facility Does Not Report DMRs")</f>
        <v>8.5171016250000006E-3</v>
      </c>
      <c r="U44" s="10">
        <f t="shared" si="16"/>
        <v>3.4068406500000002E-5</v>
      </c>
      <c r="V44" s="158" cm="1">
        <f t="array" ref="V44">IF(COUNTIF('Processed Non-zero DMR Data'!$I:$I,$J44)&gt;0,INDEX('Processed Non-zero DMR Data'!$A:$A,MATCH(1,($J44='Processed Non-zero DMR Data'!$I:$I)*($T44='Processed Non-zero DMR Data'!$W:$W),0)), "N/A - Facility Does Not Report DMRs")</f>
        <v>2019</v>
      </c>
      <c r="W44" s="17" t="str" cm="1">
        <f t="array" ref="W44">IFERROR(_xlfn.XLOOKUP(1,  (MAX(IF(I44 = 'Processed Non-zero TRI Data'!$I$2:$I$6,'Processed Non-zero TRI Data'!$A$2:$A$6)) = 'Processed Non-zero TRI Data'!$A$2:$A$6)*('Processed Non-zero TRI Data'!$I$2:$I$6 = I44), 'Processed Non-zero TRI Data'!$T$2:$T$6), "N/A- Facility Does Not Report to TRI")</f>
        <v>N/A- Facility Does Not Report to TRI</v>
      </c>
      <c r="X44" s="10" t="str">
        <f t="shared" si="26"/>
        <v>N/A - Facility Does Not Report to TRI</v>
      </c>
      <c r="Y44" s="10" t="str" cm="1">
        <f t="array" ref="Y44">IF(COUNTIF('Processed Non-zero TRI Data'!$I:$I,$I44)&gt;0,MEDIAN(IF('Processed Non-zero TRI Data'!$I:$I=I44,'Processed Non-zero TRI Data'!$T:$T)), "N/A - Facility Does Not Report to TRI")</f>
        <v>N/A - Facility Does Not Report to TRI</v>
      </c>
      <c r="Z44" s="10" t="str">
        <f t="shared" si="27"/>
        <v>N/A - Facility Does Not Report to TRI</v>
      </c>
      <c r="AA44" s="10" t="str">
        <f>IF(COUNTIF('Processed Non-zero TRI Data'!$I:$I,$I44)&gt;0,_xlfn.MAXIFS('Processed Non-zero TRI Data'!$T:$T,'Processed Non-zero TRI Data'!$I:$I,$I44), "N/A - Facility Does Not Report to TRI")</f>
        <v>N/A - Facility Does Not Report to TRI</v>
      </c>
      <c r="AB44" s="10" t="str">
        <f t="shared" si="28"/>
        <v>N/A - Facility Does Not Report to TRI</v>
      </c>
      <c r="AC44" s="158" t="str" cm="1">
        <f t="array" ref="AC44">IFERROR(IF(B44 = "TRI Form R", IF(AA44 = 0, "Facility has no on-site water discharges between 2017-2022.",  IF(COUNTIF('Processed Non-zero TRI Data'!$I:$I,$I44)&gt;0,INDEX('Processed Non-zero TRI Data'!$A:$A,MATCH(1,($I44='Processed Non-zero TRI Data'!$I:$I)*(AA44='Processed Non-zero TRI Data'!$T:$T),0)))), VLOOKUP(I44,#REF!, 2, FALSE)), ("N/A - Facility Does Not Report to TRI"))</f>
        <v>N/A - Facility Does Not Report to TRI</v>
      </c>
      <c r="AD44" s="97" t="str" cm="1">
        <f t="array" ref="AD44">IFERROR(_xlfn.XLOOKUP(1,  (MAX(IF(I44 = 'Processed Non-zero TRI Data'!$I$2:$I$6,'Processed Non-zero TRI Data'!$A$2:$A$6)) = 'Processed Non-zero TRI Data'!$A$2:$A$6)*('Processed Non-zero TRI Data'!$I$2:$I$6 = I44), 'Processed Non-zero TRI Data'!$V$2:$V$6), "N/A- Facility Does Not Report to TRI")</f>
        <v>N/A- Facility Does Not Report to TRI</v>
      </c>
      <c r="AE44" s="9" t="str">
        <f t="shared" si="29"/>
        <v>N/A - Facility Does Not Report to TRI</v>
      </c>
      <c r="AF44" s="9" t="str" cm="1">
        <f t="array" ref="AF44">IF(COUNTIF('Processed Non-zero TRI Data'!$I:$I,$I44)&gt;0,MEDIAN(IF('Processed Non-zero TRI Data'!$I:$I=I44,'Processed Non-zero TRI Data'!$V:$V)), "N/A - Facility Does Not Report to TRI")</f>
        <v>N/A - Facility Does Not Report to TRI</v>
      </c>
      <c r="AG44" s="9" t="str">
        <f t="shared" si="30"/>
        <v>N/A - Facility Does Not Report to TRI</v>
      </c>
      <c r="AH44" s="9" t="str">
        <f>IF(COUNTIF('Processed Non-zero TRI Data'!$I:$I,$I44)&gt;0,_xlfn.MAXIFS('Processed Non-zero TRI Data'!$V:$V,'Processed Non-zero TRI Data'!$I:$I,$I44), "N/A - Facility Does Not Report to TRI")</f>
        <v>N/A - Facility Does Not Report to TRI</v>
      </c>
      <c r="AI44" s="9" t="str">
        <f t="shared" si="31"/>
        <v>N/A - Facility Does Not Report to TRI</v>
      </c>
      <c r="AJ44" s="158" t="str" cm="1">
        <f t="array" ref="AJ44">IF(B44="TRI Form A",AC44,IF(AH44=0,"Facility has no transfers to POTWs between 2019-2023.",IF(COUNTIF('Processed Non-zero TRI Data'!$I:$I,$I44)&gt;0,INDEX('Processed Non-zero TRI Data'!$A:$A,MATCH(1,($I44='Processed Non-zero TRI Data'!$I:$I)*(AH44='Processed Non-zero TRI Data'!$V:$V),0)),"N/A - Facility Does Not Report to TRI")))</f>
        <v>N/A - Facility Does Not Report to TRI</v>
      </c>
      <c r="AK44" s="97" t="str" cm="1">
        <f t="array" ref="AK44">IFERROR(_xlfn.XLOOKUP(1,  (MAX(IF(I44 = 'Processed Non-zero TRI Data'!$I$2:$I$6,'Processed Non-zero TRI Data'!$A$2:$A$6)) = 'Processed Non-zero TRI Data'!$A$2:$A$6)*('Processed Non-zero TRI Data'!$I$2:$I$6 = I44), 'Processed Non-zero TRI Data'!$X$2:$X$6), "N/A- Facility Does Not Report to TRI")</f>
        <v>N/A- Facility Does Not Report to TRI</v>
      </c>
      <c r="AL44" s="9" t="str">
        <f t="shared" si="32"/>
        <v>N/A - Facility Does Not Report to TRI</v>
      </c>
      <c r="AM44" s="9" t="str" cm="1">
        <f t="array" ref="AM44">IF(COUNTIF('Processed Non-zero TRI Data'!$I:$I,$I44)&gt;0,MEDIAN(IF('Processed Non-zero TRI Data'!$I:$I=I44,'Processed Non-zero TRI Data'!$X:$X)), "N/A - Facility Does Not Report to TRI")</f>
        <v>N/A - Facility Does Not Report to TRI</v>
      </c>
      <c r="AN44" s="9" t="str">
        <f t="shared" si="33"/>
        <v>N/A - Facility Does Not Report to TRI</v>
      </c>
      <c r="AO44" s="9" t="str">
        <f>IF(COUNTIF('Processed Non-zero TRI Data'!$I:$I,$I44)&gt;0,_xlfn.MAXIFS('Processed Non-zero TRI Data'!$X:$X,'Processed Non-zero TRI Data'!$I:$I,$I44), "N/A - Facility Does Not Report to TRI")</f>
        <v>N/A - Facility Does Not Report to TRI</v>
      </c>
      <c r="AP44" s="9" t="str">
        <f t="shared" si="34"/>
        <v>N/A - Facility Does Not Report to TRI</v>
      </c>
      <c r="AQ44" s="251" t="str" cm="1">
        <f t="array" ref="AQ44">IF(B44="TRI Form A",AC44,IF(AO44=0,"Facility has no transfers to non-POTWs between 2019-2023.",IF(COUNTIF('Processed Non-zero TRI Data'!$I:$I,$I44)&gt;0,INDEX('Processed Non-zero TRI Data'!$A:$A,MATCH(1,($I44='Processed Non-zero TRI Data'!$I:$I)*(AO44='Processed Non-zero TRI Data'!$X:$X),0)),"N/A - Facility Does Not Report to TRI")))</f>
        <v>N/A - Facility Does Not Report to TRI</v>
      </c>
      <c r="AR44" s="260">
        <f t="shared" si="12"/>
        <v>0</v>
      </c>
      <c r="AS44" s="260">
        <f t="shared" si="13"/>
        <v>8.5171016250000006E-3</v>
      </c>
    </row>
    <row r="45" spans="1:45" ht="30" x14ac:dyDescent="0.25">
      <c r="A45" s="12">
        <v>42</v>
      </c>
      <c r="B45" s="10" t="str">
        <f>IFERROR("TRI Form "&amp; VLOOKUP(I45, 'Processed Non-zero TRI Data'!$I$2:$K$6, 3, FALSE), "DMR")</f>
        <v>DMR</v>
      </c>
      <c r="C45" s="181" t="e">
        <f>VLOOKUP(D45,#REF!, 2, FALSE)</f>
        <v>#REF!</v>
      </c>
      <c r="D45" s="181" t="str">
        <f>IF(I45&lt;&gt;"",INDEX('Processed Non-zero TRI Data'!$O:$O,MATCH(I45,'Processed Non-zero TRI Data'!$I:$I,0)),INDEX('Processed Non-zero DMR Data'!$S:$S,MATCH(J45,'Processed Non-zero DMR Data'!$I:$I,0)))</f>
        <v>Repackaging</v>
      </c>
      <c r="E45" s="181" t="str">
        <f>IF(I45&lt;&gt;"",INDEX('Processed Non-zero TRI Data'!$P:$P,MATCH(I45,'Processed Non-zero TRI Data'!$I:$I,0)),INDEX('Processed Non-zero DMR Data'!$T:$T,MATCH(J45,'Processed Non-zero DMR Data'!$I:$I,0)))</f>
        <v>Facility provides bulk liquid storage. Could be repackaging but also potentially "Distribution in Commerce".</v>
      </c>
      <c r="F45" s="9" t="str">
        <f>_xlfn.XLOOKUP(J45, 'Processed Non-zero DMR Data'!I:I, 'Processed Non-zero DMR Data'!B:B)</f>
        <v>IMTT-ILLINOIS LLC</v>
      </c>
      <c r="G45" s="9" t="str">
        <f>_xlfn.XLOOKUP(J45, 'Processed Non-zero DMR Data'!I:I, 'Processed Non-zero DMR Data'!C:C)</f>
        <v>LEMONT</v>
      </c>
      <c r="H45" s="9" t="str">
        <f>_xlfn.XLOOKUP(J45, 'Processed Non-zero DMR Data'!I:I, 'Processed Non-zero DMR Data'!E:E)</f>
        <v>IL</v>
      </c>
      <c r="I45" s="9"/>
      <c r="J45" s="13">
        <v>110018199377</v>
      </c>
      <c r="K45" s="9" t="str">
        <f>IFERROR(INDEX('Raw Non-zero DMR Data'!$C:$C, MATCH(J45,'Raw Non-zero DMR Data'!$D:$D,0)),"")</f>
        <v>IL0005126</v>
      </c>
      <c r="L45" s="9" t="str">
        <f>IFERROR(INDEX('Raw Non-zero DMR Data'!$U:$U, MATCH($J45,'Raw Non-zero DMR Data'!$D:$D,0)),"")</f>
        <v>Maple Lake-Chicago Sanitary and Ship Canal</v>
      </c>
      <c r="M45" s="155" t="str">
        <f>IFERROR(INDEX('Raw Non-zero DMR Data'!$T:$T, MATCH($J45,'Raw Non-zero DMR Data'!$D:$D,0)),"")</f>
        <v>071200040705</v>
      </c>
      <c r="N45" s="155" t="str">
        <f>IFERROR(INDEX('Off-site Locations'!$E:$E,MATCH(I45,'Off-site Locations'!$B:$B,0)),"No offsite transfers")</f>
        <v>No offsite transfers</v>
      </c>
      <c r="O45" s="165">
        <f>INDEX('TRI and DMR OES Summary'!D:D,MATCH('Facility Discharge Summary'!D45,'TRI and DMR OES Summary'!A:A,0))</f>
        <v>250</v>
      </c>
      <c r="P45" s="17" cm="1">
        <f t="array" ref="P45">IFERROR(_xlfn.XLOOKUP(1,  (MAX(IF(J45 = 'Processed Non-zero DMR Data'!$I$2:$I$651,'Processed Non-zero DMR Data'!$A$2:$A$651)) = 'Processed Non-zero DMR Data'!$A$2:$A$651)*('Processed Non-zero DMR Data'!$I$2:$I$651 = J45),'Processed Non-zero DMR Data'!$W$2:$W$651), "N/A- Facility Does Not Report DMRs")</f>
        <v>0.10041605000000001</v>
      </c>
      <c r="Q45" s="10">
        <f t="shared" si="14"/>
        <v>4.0166420000000005E-4</v>
      </c>
      <c r="R45" s="10" cm="1">
        <f t="array" ref="R45">IF(COUNTIF('Processed Non-zero DMR Data'!$I:$I,$J45)&gt;0,MEDIAN(IF('Processed Non-zero DMR Data'!$I:$I=J45,'Processed Non-zero DMR Data'!$W:$W)),"N/A - Facility Does Not Report DMRs")</f>
        <v>0.10041605000000001</v>
      </c>
      <c r="S45" s="10">
        <f t="shared" si="15"/>
        <v>4.0166420000000005E-4</v>
      </c>
      <c r="T45" s="10">
        <f>IF(COUNTIF('Processed Non-zero DMR Data'!$I:$I,$J45)&gt;0,_xlfn.MAXIFS('Processed Non-zero DMR Data'!$W:$W,'Processed Non-zero DMR Data'!$I:$I,$J45), "N/A - Facility Does Not Report DMRs")</f>
        <v>427.35197305000003</v>
      </c>
      <c r="U45" s="10">
        <f t="shared" si="16"/>
        <v>1.7094078922</v>
      </c>
      <c r="V45" s="158" cm="1">
        <f t="array" ref="V45">IF(COUNTIF('Processed Non-zero DMR Data'!$I:$I,$J45)&gt;0,INDEX('Processed Non-zero DMR Data'!$A:$A,MATCH(1,($J45='Processed Non-zero DMR Data'!$I:$I)*($T45='Processed Non-zero DMR Data'!$W:$W),0)), "N/A - Facility Does Not Report DMRs")</f>
        <v>2021</v>
      </c>
      <c r="W45" s="17" t="str" cm="1">
        <f t="array" ref="W45">IFERROR(_xlfn.XLOOKUP(1,  (MAX(IF(I45 = 'Processed Non-zero TRI Data'!$I$2:$I$6,'Processed Non-zero TRI Data'!$A$2:$A$6)) = 'Processed Non-zero TRI Data'!$A$2:$A$6)*('Processed Non-zero TRI Data'!$I$2:$I$6 = I45), 'Processed Non-zero TRI Data'!$T$2:$T$6), "N/A- Facility Does Not Report to TRI")</f>
        <v>N/A- Facility Does Not Report to TRI</v>
      </c>
      <c r="X45" s="10" t="str">
        <f t="shared" si="26"/>
        <v>N/A - Facility Does Not Report to TRI</v>
      </c>
      <c r="Y45" s="10" t="str" cm="1">
        <f t="array" ref="Y45">IF(COUNTIF('Processed Non-zero TRI Data'!$I:$I,$I45)&gt;0,MEDIAN(IF('Processed Non-zero TRI Data'!$I:$I=I45,'Processed Non-zero TRI Data'!$T:$T)), "N/A - Facility Does Not Report to TRI")</f>
        <v>N/A - Facility Does Not Report to TRI</v>
      </c>
      <c r="Z45" s="10" t="str">
        <f t="shared" si="27"/>
        <v>N/A - Facility Does Not Report to TRI</v>
      </c>
      <c r="AA45" s="10" t="str">
        <f>IF(COUNTIF('Processed Non-zero TRI Data'!$I:$I,$I45)&gt;0,_xlfn.MAXIFS('Processed Non-zero TRI Data'!$T:$T,'Processed Non-zero TRI Data'!$I:$I,$I45), "N/A - Facility Does Not Report to TRI")</f>
        <v>N/A - Facility Does Not Report to TRI</v>
      </c>
      <c r="AB45" s="10" t="str">
        <f t="shared" si="28"/>
        <v>N/A - Facility Does Not Report to TRI</v>
      </c>
      <c r="AC45" s="158" t="str" cm="1">
        <f t="array" ref="AC45">IFERROR(IF(B45 = "TRI Form R", IF(AA45 = 0, "Facility has no on-site water discharges between 2017-2022.",  IF(COUNTIF('Processed Non-zero TRI Data'!$I:$I,$I45)&gt;0,INDEX('Processed Non-zero TRI Data'!$A:$A,MATCH(1,($I45='Processed Non-zero TRI Data'!$I:$I)*(AA45='Processed Non-zero TRI Data'!$T:$T),0)))), VLOOKUP(I45,#REF!, 2, FALSE)), ("N/A - Facility Does Not Report to TRI"))</f>
        <v>N/A - Facility Does Not Report to TRI</v>
      </c>
      <c r="AD45" s="97" t="str" cm="1">
        <f t="array" ref="AD45">IFERROR(_xlfn.XLOOKUP(1,  (MAX(IF(I45 = 'Processed Non-zero TRI Data'!$I$2:$I$6,'Processed Non-zero TRI Data'!$A$2:$A$6)) = 'Processed Non-zero TRI Data'!$A$2:$A$6)*('Processed Non-zero TRI Data'!$I$2:$I$6 = I45), 'Processed Non-zero TRI Data'!$V$2:$V$6), "N/A- Facility Does Not Report to TRI")</f>
        <v>N/A- Facility Does Not Report to TRI</v>
      </c>
      <c r="AE45" s="9" t="str">
        <f t="shared" si="29"/>
        <v>N/A - Facility Does Not Report to TRI</v>
      </c>
      <c r="AF45" s="9" t="str" cm="1">
        <f t="array" ref="AF45">IF(COUNTIF('Processed Non-zero TRI Data'!$I:$I,$I45)&gt;0,MEDIAN(IF('Processed Non-zero TRI Data'!$I:$I=I45,'Processed Non-zero TRI Data'!$V:$V)), "N/A - Facility Does Not Report to TRI")</f>
        <v>N/A - Facility Does Not Report to TRI</v>
      </c>
      <c r="AG45" s="9" t="str">
        <f t="shared" si="30"/>
        <v>N/A - Facility Does Not Report to TRI</v>
      </c>
      <c r="AH45" s="9" t="str">
        <f>IF(COUNTIF('Processed Non-zero TRI Data'!$I:$I,$I45)&gt;0,_xlfn.MAXIFS('Processed Non-zero TRI Data'!$V:$V,'Processed Non-zero TRI Data'!$I:$I,$I45), "N/A - Facility Does Not Report to TRI")</f>
        <v>N/A - Facility Does Not Report to TRI</v>
      </c>
      <c r="AI45" s="9" t="str">
        <f t="shared" si="31"/>
        <v>N/A - Facility Does Not Report to TRI</v>
      </c>
      <c r="AJ45" s="158" t="str" cm="1">
        <f t="array" ref="AJ45">IF(B45="TRI Form A",AC45,IF(AH45=0,"Facility has no transfers to POTWs between 2019-2023.",IF(COUNTIF('Processed Non-zero TRI Data'!$I:$I,$I45)&gt;0,INDEX('Processed Non-zero TRI Data'!$A:$A,MATCH(1,($I45='Processed Non-zero TRI Data'!$I:$I)*(AH45='Processed Non-zero TRI Data'!$V:$V),0)),"N/A - Facility Does Not Report to TRI")))</f>
        <v>N/A - Facility Does Not Report to TRI</v>
      </c>
      <c r="AK45" s="97" t="str" cm="1">
        <f t="array" ref="AK45">IFERROR(_xlfn.XLOOKUP(1,  (MAX(IF(I45 = 'Processed Non-zero TRI Data'!$I$2:$I$6,'Processed Non-zero TRI Data'!$A$2:$A$6)) = 'Processed Non-zero TRI Data'!$A$2:$A$6)*('Processed Non-zero TRI Data'!$I$2:$I$6 = I45), 'Processed Non-zero TRI Data'!$X$2:$X$6), "N/A- Facility Does Not Report to TRI")</f>
        <v>N/A- Facility Does Not Report to TRI</v>
      </c>
      <c r="AL45" s="9" t="str">
        <f t="shared" si="32"/>
        <v>N/A - Facility Does Not Report to TRI</v>
      </c>
      <c r="AM45" s="9" t="str" cm="1">
        <f t="array" ref="AM45">IF(COUNTIF('Processed Non-zero TRI Data'!$I:$I,$I45)&gt;0,MEDIAN(IF('Processed Non-zero TRI Data'!$I:$I=I45,'Processed Non-zero TRI Data'!$X:$X)), "N/A - Facility Does Not Report to TRI")</f>
        <v>N/A - Facility Does Not Report to TRI</v>
      </c>
      <c r="AN45" s="9" t="str">
        <f t="shared" si="33"/>
        <v>N/A - Facility Does Not Report to TRI</v>
      </c>
      <c r="AO45" s="9" t="str">
        <f>IF(COUNTIF('Processed Non-zero TRI Data'!$I:$I,$I45)&gt;0,_xlfn.MAXIFS('Processed Non-zero TRI Data'!$X:$X,'Processed Non-zero TRI Data'!$I:$I,$I45), "N/A - Facility Does Not Report to TRI")</f>
        <v>N/A - Facility Does Not Report to TRI</v>
      </c>
      <c r="AP45" s="9" t="str">
        <f t="shared" si="34"/>
        <v>N/A - Facility Does Not Report to TRI</v>
      </c>
      <c r="AQ45" s="251" t="str" cm="1">
        <f t="array" ref="AQ45">IF(B45="TRI Form A",AC45,IF(AO45=0,"Facility has no transfers to non-POTWs between 2019-2023.",IF(COUNTIF('Processed Non-zero TRI Data'!$I:$I,$I45)&gt;0,INDEX('Processed Non-zero TRI Data'!$A:$A,MATCH(1,($I45='Processed Non-zero TRI Data'!$I:$I)*(AO45='Processed Non-zero TRI Data'!$X:$X),0)),"N/A - Facility Does Not Report to TRI")))</f>
        <v>N/A - Facility Does Not Report to TRI</v>
      </c>
      <c r="AR45" s="260">
        <f t="shared" si="12"/>
        <v>0</v>
      </c>
      <c r="AS45" s="260">
        <f t="shared" si="13"/>
        <v>427.35197305000003</v>
      </c>
    </row>
    <row r="46" spans="1:45" ht="30" x14ac:dyDescent="0.25">
      <c r="A46" s="12">
        <v>43</v>
      </c>
      <c r="B46" s="10" t="str">
        <f>IFERROR("TRI Form "&amp; VLOOKUP(I46, 'Processed Non-zero TRI Data'!$I$2:$K$6, 3, FALSE), "DMR")</f>
        <v>DMR</v>
      </c>
      <c r="C46" s="181" t="e">
        <f>VLOOKUP(D46,#REF!, 2, FALSE)</f>
        <v>#REF!</v>
      </c>
      <c r="D46" s="181" t="str">
        <f>IF(I46&lt;&gt;"",INDEX('Processed Non-zero TRI Data'!$O:$O,MATCH(I46,'Processed Non-zero TRI Data'!$I:$I,0)),INDEX('Processed Non-zero DMR Data'!$S:$S,MATCH(J46,'Processed Non-zero DMR Data'!$I:$I,0)))</f>
        <v>Waste Handling, Disposal and Treatment (POTW)</v>
      </c>
      <c r="E46" s="181" t="str">
        <f>IF(I46&lt;&gt;"",INDEX('Processed Non-zero TRI Data'!$P:$P,MATCH(I46,'Processed Non-zero TRI Data'!$I:$I,0)),INDEX('Processed Non-zero DMR Data'!$T:$T,MATCH(J46,'Processed Non-zero DMR Data'!$I:$I,0)))</f>
        <v>POTW indicator in DMR</v>
      </c>
      <c r="F46" s="9" t="str">
        <f>_xlfn.XLOOKUP(J46, 'Processed Non-zero DMR Data'!I:I, 'Processed Non-zero DMR Data'!B:B)</f>
        <v>CALEXICO WASTE WATER PLANT</v>
      </c>
      <c r="G46" s="9" t="str">
        <f>_xlfn.XLOOKUP(J46, 'Processed Non-zero DMR Data'!I:I, 'Processed Non-zero DMR Data'!C:C)</f>
        <v>CALEXICO</v>
      </c>
      <c r="H46" s="9" t="str">
        <f>_xlfn.XLOOKUP(J46, 'Processed Non-zero DMR Data'!I:I, 'Processed Non-zero DMR Data'!E:E)</f>
        <v>CA</v>
      </c>
      <c r="I46" s="9"/>
      <c r="J46" s="13">
        <v>110000730825</v>
      </c>
      <c r="K46" s="9" t="str">
        <f>IFERROR(INDEX('Raw Non-zero DMR Data'!$C:$C, MATCH(J46,'Raw Non-zero DMR Data'!$D:$D,0)),"")</f>
        <v>CA7000009</v>
      </c>
      <c r="L46" s="9" t="str">
        <f>IFERROR(INDEX('Raw Non-zero DMR Data'!$U:$U, MATCH($J46,'Raw Non-zero DMR Data'!$D:$D,0)),"")</f>
        <v>Upper New River</v>
      </c>
      <c r="M46" s="155">
        <f>IFERROR(INDEX('Raw Non-zero DMR Data'!$T:$T, MATCH($J46,'Raw Non-zero DMR Data'!$D:$D,0)),"")</f>
        <v>181002040902</v>
      </c>
      <c r="N46" s="155" t="str">
        <f>IFERROR(INDEX('Off-site Locations'!$E:$E,MATCH(I46,'Off-site Locations'!$B:$B,0)),"No offsite transfers")</f>
        <v>No offsite transfers</v>
      </c>
      <c r="O46" s="165">
        <f>INDEX('TRI and DMR OES Summary'!D:D,MATCH('Facility Discharge Summary'!D46,'TRI and DMR OES Summary'!A:A,0))</f>
        <v>365</v>
      </c>
      <c r="P46" s="17" cm="1">
        <f t="array" ref="P46">IFERROR(_xlfn.XLOOKUP(1,  (MAX(IF(J46 = 'Processed Non-zero DMR Data'!$I$2:$I$651,'Processed Non-zero DMR Data'!$A$2:$A$651)) = 'Processed Non-zero DMR Data'!$A$2:$A$651)*('Processed Non-zero DMR Data'!$I$2:$I$651 = J46),'Processed Non-zero DMR Data'!$W$2:$W$651), "N/A- Facility Does Not Report DMRs")</f>
        <v>0.2156560525</v>
      </c>
      <c r="Q46" s="10">
        <f t="shared" si="14"/>
        <v>5.9083849999999995E-4</v>
      </c>
      <c r="R46" s="10" cm="1">
        <f t="array" ref="R46">IF(COUNTIF('Processed Non-zero DMR Data'!$I:$I,$J46)&gt;0,MEDIAN(IF('Processed Non-zero DMR Data'!$I:$I=J46,'Processed Non-zero DMR Data'!$W:$W)),"N/A - Facility Does Not Report DMRs")</f>
        <v>0.180309735375</v>
      </c>
      <c r="S46" s="10">
        <f t="shared" si="15"/>
        <v>4.9399927500000005E-4</v>
      </c>
      <c r="T46" s="10">
        <f>IF(COUNTIF('Processed Non-zero DMR Data'!$I:$I,$J46)&gt;0,_xlfn.MAXIFS('Processed Non-zero DMR Data'!$W:$W,'Processed Non-zero DMR Data'!$I:$I,$J46), "N/A - Facility Does Not Report DMRs")</f>
        <v>0.2156560525</v>
      </c>
      <c r="U46" s="10">
        <f t="shared" si="16"/>
        <v>5.9083849999999995E-4</v>
      </c>
      <c r="V46" s="158" cm="1">
        <f t="array" ref="V46">IF(COUNTIF('Processed Non-zero DMR Data'!$I:$I,$J46)&gt;0,INDEX('Processed Non-zero DMR Data'!$A:$A,MATCH(1,($J46='Processed Non-zero DMR Data'!$I:$I)*($T46='Processed Non-zero DMR Data'!$W:$W),0)), "N/A - Facility Does Not Report DMRs")</f>
        <v>2023</v>
      </c>
      <c r="W46" s="17" t="str" cm="1">
        <f t="array" ref="W46">IFERROR(_xlfn.XLOOKUP(1,  (MAX(IF(I46 = 'Processed Non-zero TRI Data'!$I$2:$I$6,'Processed Non-zero TRI Data'!$A$2:$A$6)) = 'Processed Non-zero TRI Data'!$A$2:$A$6)*('Processed Non-zero TRI Data'!$I$2:$I$6 = I46), 'Processed Non-zero TRI Data'!$T$2:$T$6), "N/A- Facility Does Not Report to TRI")</f>
        <v>N/A- Facility Does Not Report to TRI</v>
      </c>
      <c r="X46" s="10" t="str">
        <f t="shared" si="26"/>
        <v>N/A - Facility Does Not Report to TRI</v>
      </c>
      <c r="Y46" s="10" t="str" cm="1">
        <f t="array" ref="Y46">IF(COUNTIF('Processed Non-zero TRI Data'!$I:$I,$I46)&gt;0,MEDIAN(IF('Processed Non-zero TRI Data'!$I:$I=I46,'Processed Non-zero TRI Data'!$T:$T)), "N/A - Facility Does Not Report to TRI")</f>
        <v>N/A - Facility Does Not Report to TRI</v>
      </c>
      <c r="Z46" s="10" t="str">
        <f t="shared" si="27"/>
        <v>N/A - Facility Does Not Report to TRI</v>
      </c>
      <c r="AA46" s="10" t="str">
        <f>IF(COUNTIF('Processed Non-zero TRI Data'!$I:$I,$I46)&gt;0,_xlfn.MAXIFS('Processed Non-zero TRI Data'!$T:$T,'Processed Non-zero TRI Data'!$I:$I,$I46), "N/A - Facility Does Not Report to TRI")</f>
        <v>N/A - Facility Does Not Report to TRI</v>
      </c>
      <c r="AB46" s="10" t="str">
        <f t="shared" si="28"/>
        <v>N/A - Facility Does Not Report to TRI</v>
      </c>
      <c r="AC46" s="158" t="str" cm="1">
        <f t="array" ref="AC46">IFERROR(IF(B46 = "TRI Form R", IF(AA46 = 0, "Facility has no on-site water discharges between 2017-2022.",  IF(COUNTIF('Processed Non-zero TRI Data'!$I:$I,$I46)&gt;0,INDEX('Processed Non-zero TRI Data'!$A:$A,MATCH(1,($I46='Processed Non-zero TRI Data'!$I:$I)*(AA46='Processed Non-zero TRI Data'!$T:$T),0)))), VLOOKUP(I46,#REF!, 2, FALSE)), ("N/A - Facility Does Not Report to TRI"))</f>
        <v>N/A - Facility Does Not Report to TRI</v>
      </c>
      <c r="AD46" s="97" t="str" cm="1">
        <f t="array" ref="AD46">IFERROR(_xlfn.XLOOKUP(1,  (MAX(IF(I46 = 'Processed Non-zero TRI Data'!$I$2:$I$6,'Processed Non-zero TRI Data'!$A$2:$A$6)) = 'Processed Non-zero TRI Data'!$A$2:$A$6)*('Processed Non-zero TRI Data'!$I$2:$I$6 = I46), 'Processed Non-zero TRI Data'!$V$2:$V$6), "N/A- Facility Does Not Report to TRI")</f>
        <v>N/A- Facility Does Not Report to TRI</v>
      </c>
      <c r="AE46" s="9" t="str">
        <f t="shared" si="29"/>
        <v>N/A - Facility Does Not Report to TRI</v>
      </c>
      <c r="AF46" s="9" t="str" cm="1">
        <f t="array" ref="AF46">IF(COUNTIF('Processed Non-zero TRI Data'!$I:$I,$I46)&gt;0,MEDIAN(IF('Processed Non-zero TRI Data'!$I:$I=I46,'Processed Non-zero TRI Data'!$V:$V)), "N/A - Facility Does Not Report to TRI")</f>
        <v>N/A - Facility Does Not Report to TRI</v>
      </c>
      <c r="AG46" s="9" t="str">
        <f t="shared" si="30"/>
        <v>N/A - Facility Does Not Report to TRI</v>
      </c>
      <c r="AH46" s="9" t="str">
        <f>IF(COUNTIF('Processed Non-zero TRI Data'!$I:$I,$I46)&gt;0,_xlfn.MAXIFS('Processed Non-zero TRI Data'!$V:$V,'Processed Non-zero TRI Data'!$I:$I,$I46), "N/A - Facility Does Not Report to TRI")</f>
        <v>N/A - Facility Does Not Report to TRI</v>
      </c>
      <c r="AI46" s="9" t="str">
        <f t="shared" si="31"/>
        <v>N/A - Facility Does Not Report to TRI</v>
      </c>
      <c r="AJ46" s="158" t="str" cm="1">
        <f t="array" ref="AJ46">IF(B46="TRI Form A",AC46,IF(AH46=0,"Facility has no transfers to POTWs between 2019-2023.",IF(COUNTIF('Processed Non-zero TRI Data'!$I:$I,$I46)&gt;0,INDEX('Processed Non-zero TRI Data'!$A:$A,MATCH(1,($I46='Processed Non-zero TRI Data'!$I:$I)*(AH46='Processed Non-zero TRI Data'!$V:$V),0)),"N/A - Facility Does Not Report to TRI")))</f>
        <v>N/A - Facility Does Not Report to TRI</v>
      </c>
      <c r="AK46" s="97" t="str" cm="1">
        <f t="array" ref="AK46">IFERROR(_xlfn.XLOOKUP(1,  (MAX(IF(I46 = 'Processed Non-zero TRI Data'!$I$2:$I$6,'Processed Non-zero TRI Data'!$A$2:$A$6)) = 'Processed Non-zero TRI Data'!$A$2:$A$6)*('Processed Non-zero TRI Data'!$I$2:$I$6 = I46), 'Processed Non-zero TRI Data'!$X$2:$X$6), "N/A- Facility Does Not Report to TRI")</f>
        <v>N/A- Facility Does Not Report to TRI</v>
      </c>
      <c r="AL46" s="9" t="str">
        <f t="shared" si="32"/>
        <v>N/A - Facility Does Not Report to TRI</v>
      </c>
      <c r="AM46" s="9" t="str" cm="1">
        <f t="array" ref="AM46">IF(COUNTIF('Processed Non-zero TRI Data'!$I:$I,$I46)&gt;0,MEDIAN(IF('Processed Non-zero TRI Data'!$I:$I=I46,'Processed Non-zero TRI Data'!$X:$X)), "N/A - Facility Does Not Report to TRI")</f>
        <v>N/A - Facility Does Not Report to TRI</v>
      </c>
      <c r="AN46" s="9" t="str">
        <f t="shared" si="33"/>
        <v>N/A - Facility Does Not Report to TRI</v>
      </c>
      <c r="AO46" s="9" t="str">
        <f>IF(COUNTIF('Processed Non-zero TRI Data'!$I:$I,$I46)&gt;0,_xlfn.MAXIFS('Processed Non-zero TRI Data'!$X:$X,'Processed Non-zero TRI Data'!$I:$I,$I46), "N/A - Facility Does Not Report to TRI")</f>
        <v>N/A - Facility Does Not Report to TRI</v>
      </c>
      <c r="AP46" s="9" t="str">
        <f t="shared" si="34"/>
        <v>N/A - Facility Does Not Report to TRI</v>
      </c>
      <c r="AQ46" s="251" t="str" cm="1">
        <f t="array" ref="AQ46">IF(B46="TRI Form A",AC46,IF(AO46=0,"Facility has no transfers to non-POTWs between 2019-2023.",IF(COUNTIF('Processed Non-zero TRI Data'!$I:$I,$I46)&gt;0,INDEX('Processed Non-zero TRI Data'!$A:$A,MATCH(1,($I46='Processed Non-zero TRI Data'!$I:$I)*(AO46='Processed Non-zero TRI Data'!$X:$X),0)),"N/A - Facility Does Not Report to TRI")))</f>
        <v>N/A - Facility Does Not Report to TRI</v>
      </c>
      <c r="AR46" s="260">
        <f t="shared" si="12"/>
        <v>0</v>
      </c>
      <c r="AS46" s="260">
        <f t="shared" si="13"/>
        <v>0.2156560525</v>
      </c>
    </row>
    <row r="47" spans="1:45" ht="30" x14ac:dyDescent="0.25">
      <c r="A47" s="12">
        <v>44</v>
      </c>
      <c r="B47" s="10" t="str">
        <f>IFERROR("TRI Form "&amp; VLOOKUP(I47, 'Processed Non-zero TRI Data'!$I$2:$K$6, 3, FALSE), "DMR")</f>
        <v>DMR</v>
      </c>
      <c r="C47" s="181" t="e">
        <f>VLOOKUP(D47,#REF!, 2, FALSE)</f>
        <v>#REF!</v>
      </c>
      <c r="D47" s="181" t="str">
        <f>IF(I47&lt;&gt;"",INDEX('Processed Non-zero TRI Data'!$O:$O,MATCH(I47,'Processed Non-zero TRI Data'!$I:$I,0)),INDEX('Processed Non-zero DMR Data'!$S:$S,MATCH(J47,'Processed Non-zero DMR Data'!$I:$I,0)))</f>
        <v>Unknown</v>
      </c>
      <c r="E47" s="181" t="str">
        <f>IF(I47&lt;&gt;"",INDEX('Processed Non-zero TRI Data'!$P:$P,MATCH(I47,'Processed Non-zero TRI Data'!$I:$I,0)),INDEX('Processed Non-zero DMR Data'!$T:$T,MATCH(J47,'Processed Non-zero DMR Data'!$I:$I,0)))</f>
        <v>Parking lot - no OES to map to</v>
      </c>
      <c r="F47" s="9" t="str">
        <f>_xlfn.XLOOKUP(J47, 'Processed Non-zero DMR Data'!I:I, 'Processed Non-zero DMR Data'!B:B)</f>
        <v>FOUNDRY 2 ST</v>
      </c>
      <c r="G47" s="9" t="str">
        <f>_xlfn.XLOOKUP(J47, 'Processed Non-zero DMR Data'!I:I, 'Processed Non-zero DMR Data'!C:C)</f>
        <v>LOVELAND</v>
      </c>
      <c r="H47" s="9" t="str">
        <f>_xlfn.XLOOKUP(J47, 'Processed Non-zero DMR Data'!I:I, 'Processed Non-zero DMR Data'!E:E)</f>
        <v>CO</v>
      </c>
      <c r="I47" s="9"/>
      <c r="J47" s="13">
        <v>110070053140</v>
      </c>
      <c r="K47" s="9" t="str">
        <f>IFERROR(INDEX('Raw Non-zero DMR Data'!$C:$C, MATCH(J47,'Raw Non-zero DMR Data'!$D:$D,0)),"")</f>
        <v>CO0049038</v>
      </c>
      <c r="L47" s="9" t="str">
        <f>IFERROR(INDEX('Raw Non-zero DMR Data'!$U:$U, MATCH($J47,'Raw Non-zero DMR Data'!$D:$D,0)),"")</f>
        <v>Boyd Lake-Big Thompson River</v>
      </c>
      <c r="M47" s="155">
        <f>IFERROR(INDEX('Raw Non-zero DMR Data'!$T:$T, MATCH($J47,'Raw Non-zero DMR Data'!$D:$D,0)),"")</f>
        <v>101900060605</v>
      </c>
      <c r="N47" s="155" t="str">
        <f>IFERROR(INDEX('Off-site Locations'!$E:$E,MATCH(I47,'Off-site Locations'!$B:$B,0)),"No offsite transfers")</f>
        <v>No offsite transfers</v>
      </c>
      <c r="O47" s="165">
        <f>INDEX('TRI and DMR OES Summary'!D:D,MATCH('Facility Discharge Summary'!D47,'TRI and DMR OES Summary'!A:A,0))</f>
        <v>250</v>
      </c>
      <c r="P47" s="17" cm="1">
        <f t="array" ref="P47">IFERROR(_xlfn.XLOOKUP(1,  (MAX(IF(J47 = 'Processed Non-zero DMR Data'!$I$2:$I$651,'Processed Non-zero DMR Data'!$A$2:$A$651)) = 'Processed Non-zero DMR Data'!$A$2:$A$651)*('Processed Non-zero DMR Data'!$I$2:$I$651 = J47),'Processed Non-zero DMR Data'!$W$2:$W$651), "N/A- Facility Does Not Report DMRs")</f>
        <v>5.8727870750000001E-2</v>
      </c>
      <c r="Q47" s="10">
        <f t="shared" si="14"/>
        <v>2.34911483E-4</v>
      </c>
      <c r="R47" s="10" cm="1">
        <f t="array" ref="R47">IF(COUNTIF('Processed Non-zero DMR Data'!$I:$I,$J47)&gt;0,MEDIAN(IF('Processed Non-zero DMR Data'!$I:$I=J47,'Processed Non-zero DMR Data'!$W:$W)),"N/A - Facility Does Not Report DMRs")</f>
        <v>5.0143680000000003E-2</v>
      </c>
      <c r="S47" s="10">
        <f t="shared" si="15"/>
        <v>2.0057472000000002E-4</v>
      </c>
      <c r="T47" s="10">
        <f>IF(COUNTIF('Processed Non-zero DMR Data'!$I:$I,$J47)&gt;0,_xlfn.MAXIFS('Processed Non-zero DMR Data'!$W:$W,'Processed Non-zero DMR Data'!$I:$I,$J47), "N/A - Facility Does Not Report DMRs")</f>
        <v>5.8727870750000001E-2</v>
      </c>
      <c r="U47" s="10">
        <f t="shared" si="16"/>
        <v>2.34911483E-4</v>
      </c>
      <c r="V47" s="158" cm="1">
        <f t="array" ref="V47">IF(COUNTIF('Processed Non-zero DMR Data'!$I:$I,$J47)&gt;0,INDEX('Processed Non-zero DMR Data'!$A:$A,MATCH(1,($J47='Processed Non-zero DMR Data'!$I:$I)*($T47='Processed Non-zero DMR Data'!$W:$W),0)), "N/A - Facility Does Not Report DMRs")</f>
        <v>2023</v>
      </c>
      <c r="W47" s="17" t="str" cm="1">
        <f t="array" ref="W47">IFERROR(_xlfn.XLOOKUP(1,  (MAX(IF(I47 = 'Processed Non-zero TRI Data'!$I$2:$I$6,'Processed Non-zero TRI Data'!$A$2:$A$6)) = 'Processed Non-zero TRI Data'!$A$2:$A$6)*('Processed Non-zero TRI Data'!$I$2:$I$6 = I47), 'Processed Non-zero TRI Data'!$T$2:$T$6), "N/A- Facility Does Not Report to TRI")</f>
        <v>N/A- Facility Does Not Report to TRI</v>
      </c>
      <c r="X47" s="10" t="str">
        <f t="shared" si="26"/>
        <v>N/A - Facility Does Not Report to TRI</v>
      </c>
      <c r="Y47" s="10" t="str" cm="1">
        <f t="array" ref="Y47">IF(COUNTIF('Processed Non-zero TRI Data'!$I:$I,$I47)&gt;0,MEDIAN(IF('Processed Non-zero TRI Data'!$I:$I=I47,'Processed Non-zero TRI Data'!$T:$T)), "N/A - Facility Does Not Report to TRI")</f>
        <v>N/A - Facility Does Not Report to TRI</v>
      </c>
      <c r="Z47" s="10" t="str">
        <f t="shared" si="27"/>
        <v>N/A - Facility Does Not Report to TRI</v>
      </c>
      <c r="AA47" s="10" t="str">
        <f>IF(COUNTIF('Processed Non-zero TRI Data'!$I:$I,$I47)&gt;0,_xlfn.MAXIFS('Processed Non-zero TRI Data'!$T:$T,'Processed Non-zero TRI Data'!$I:$I,$I47), "N/A - Facility Does Not Report to TRI")</f>
        <v>N/A - Facility Does Not Report to TRI</v>
      </c>
      <c r="AB47" s="10" t="str">
        <f t="shared" si="28"/>
        <v>N/A - Facility Does Not Report to TRI</v>
      </c>
      <c r="AC47" s="158" t="str" cm="1">
        <f t="array" ref="AC47">IFERROR(IF(B47 = "TRI Form R", IF(AA47 = 0, "Facility has no on-site water discharges between 2017-2022.",  IF(COUNTIF('Processed Non-zero TRI Data'!$I:$I,$I47)&gt;0,INDEX('Processed Non-zero TRI Data'!$A:$A,MATCH(1,($I47='Processed Non-zero TRI Data'!$I:$I)*(AA47='Processed Non-zero TRI Data'!$T:$T),0)))), VLOOKUP(I47,#REF!, 2, FALSE)), ("N/A - Facility Does Not Report to TRI"))</f>
        <v>N/A - Facility Does Not Report to TRI</v>
      </c>
      <c r="AD47" s="97" t="str" cm="1">
        <f t="array" ref="AD47">IFERROR(_xlfn.XLOOKUP(1,  (MAX(IF(I47 = 'Processed Non-zero TRI Data'!$I$2:$I$6,'Processed Non-zero TRI Data'!$A$2:$A$6)) = 'Processed Non-zero TRI Data'!$A$2:$A$6)*('Processed Non-zero TRI Data'!$I$2:$I$6 = I47), 'Processed Non-zero TRI Data'!$V$2:$V$6), "N/A- Facility Does Not Report to TRI")</f>
        <v>N/A- Facility Does Not Report to TRI</v>
      </c>
      <c r="AE47" s="9" t="str">
        <f t="shared" si="29"/>
        <v>N/A - Facility Does Not Report to TRI</v>
      </c>
      <c r="AF47" s="9" t="str" cm="1">
        <f t="array" ref="AF47">IF(COUNTIF('Processed Non-zero TRI Data'!$I:$I,$I47)&gt;0,MEDIAN(IF('Processed Non-zero TRI Data'!$I:$I=I47,'Processed Non-zero TRI Data'!$V:$V)), "N/A - Facility Does Not Report to TRI")</f>
        <v>N/A - Facility Does Not Report to TRI</v>
      </c>
      <c r="AG47" s="9" t="str">
        <f t="shared" si="30"/>
        <v>N/A - Facility Does Not Report to TRI</v>
      </c>
      <c r="AH47" s="9" t="str">
        <f>IF(COUNTIF('Processed Non-zero TRI Data'!$I:$I,$I47)&gt;0,_xlfn.MAXIFS('Processed Non-zero TRI Data'!$V:$V,'Processed Non-zero TRI Data'!$I:$I,$I47), "N/A - Facility Does Not Report to TRI")</f>
        <v>N/A - Facility Does Not Report to TRI</v>
      </c>
      <c r="AI47" s="9" t="str">
        <f t="shared" si="31"/>
        <v>N/A - Facility Does Not Report to TRI</v>
      </c>
      <c r="AJ47" s="158" t="str" cm="1">
        <f t="array" ref="AJ47">IF(B47="TRI Form A",AC47,IF(AH47=0,"Facility has no transfers to POTWs between 2019-2023.",IF(COUNTIF('Processed Non-zero TRI Data'!$I:$I,$I47)&gt;0,INDEX('Processed Non-zero TRI Data'!$A:$A,MATCH(1,($I47='Processed Non-zero TRI Data'!$I:$I)*(AH47='Processed Non-zero TRI Data'!$V:$V),0)),"N/A - Facility Does Not Report to TRI")))</f>
        <v>N/A - Facility Does Not Report to TRI</v>
      </c>
      <c r="AK47" s="97" t="str" cm="1">
        <f t="array" ref="AK47">IFERROR(_xlfn.XLOOKUP(1,  (MAX(IF(I47 = 'Processed Non-zero TRI Data'!$I$2:$I$6,'Processed Non-zero TRI Data'!$A$2:$A$6)) = 'Processed Non-zero TRI Data'!$A$2:$A$6)*('Processed Non-zero TRI Data'!$I$2:$I$6 = I47), 'Processed Non-zero TRI Data'!$X$2:$X$6), "N/A- Facility Does Not Report to TRI")</f>
        <v>N/A- Facility Does Not Report to TRI</v>
      </c>
      <c r="AL47" s="9" t="str">
        <f t="shared" si="32"/>
        <v>N/A - Facility Does Not Report to TRI</v>
      </c>
      <c r="AM47" s="9" t="str" cm="1">
        <f t="array" ref="AM47">IF(COUNTIF('Processed Non-zero TRI Data'!$I:$I,$I47)&gt;0,MEDIAN(IF('Processed Non-zero TRI Data'!$I:$I=I47,'Processed Non-zero TRI Data'!$X:$X)), "N/A - Facility Does Not Report to TRI")</f>
        <v>N/A - Facility Does Not Report to TRI</v>
      </c>
      <c r="AN47" s="9" t="str">
        <f t="shared" si="33"/>
        <v>N/A - Facility Does Not Report to TRI</v>
      </c>
      <c r="AO47" s="9" t="str">
        <f>IF(COUNTIF('Processed Non-zero TRI Data'!$I:$I,$I47)&gt;0,_xlfn.MAXIFS('Processed Non-zero TRI Data'!$X:$X,'Processed Non-zero TRI Data'!$I:$I,$I47), "N/A - Facility Does Not Report to TRI")</f>
        <v>N/A - Facility Does Not Report to TRI</v>
      </c>
      <c r="AP47" s="9" t="str">
        <f t="shared" si="34"/>
        <v>N/A - Facility Does Not Report to TRI</v>
      </c>
      <c r="AQ47" s="251" t="str" cm="1">
        <f t="array" ref="AQ47">IF(B47="TRI Form A",AC47,IF(AO47=0,"Facility has no transfers to non-POTWs between 2019-2023.",IF(COUNTIF('Processed Non-zero TRI Data'!$I:$I,$I47)&gt;0,INDEX('Processed Non-zero TRI Data'!$A:$A,MATCH(1,($I47='Processed Non-zero TRI Data'!$I:$I)*(AO47='Processed Non-zero TRI Data'!$X:$X),0)),"N/A - Facility Does Not Report to TRI")))</f>
        <v>N/A - Facility Does Not Report to TRI</v>
      </c>
      <c r="AR47" s="260">
        <f t="shared" si="12"/>
        <v>0</v>
      </c>
      <c r="AS47" s="260">
        <f t="shared" si="13"/>
        <v>5.8727870750000001E-2</v>
      </c>
    </row>
    <row r="48" spans="1:45" ht="30" x14ac:dyDescent="0.25">
      <c r="A48" s="12">
        <v>45</v>
      </c>
      <c r="B48" s="10" t="str">
        <f>IFERROR("TRI Form "&amp; VLOOKUP(I48, 'Processed Non-zero TRI Data'!$I$2:$K$6, 3, FALSE), "DMR")</f>
        <v>DMR</v>
      </c>
      <c r="C48" s="181" t="e">
        <f>VLOOKUP(D48,#REF!, 2, FALSE)</f>
        <v>#REF!</v>
      </c>
      <c r="D48" s="181" t="str">
        <f>IF(I48&lt;&gt;"",INDEX('Processed Non-zero TRI Data'!$O:$O,MATCH(I48,'Processed Non-zero TRI Data'!$I:$I,0)),INDEX('Processed Non-zero DMR Data'!$S:$S,MATCH(J48,'Processed Non-zero DMR Data'!$I:$I,0)))</f>
        <v>Waste Handling, Disposal and Treatment (POTW)</v>
      </c>
      <c r="E48" s="181" t="str">
        <f>IF(I48&lt;&gt;"",INDEX('Processed Non-zero TRI Data'!$P:$P,MATCH(I48,'Processed Non-zero TRI Data'!$I:$I,0)),INDEX('Processed Non-zero DMR Data'!$T:$T,MATCH(J48,'Processed Non-zero DMR Data'!$I:$I,0)))</f>
        <v>POTW indicator in DMR</v>
      </c>
      <c r="F48" s="9" t="str">
        <f>_xlfn.XLOOKUP(J48, 'Processed Non-zero DMR Data'!I:I, 'Processed Non-zero DMR Data'!B:B)</f>
        <v>HARRODSBURG WWTP EXPANSION</v>
      </c>
      <c r="G48" s="9" t="str">
        <f>_xlfn.XLOOKUP(J48, 'Processed Non-zero DMR Data'!I:I, 'Processed Non-zero DMR Data'!C:C)</f>
        <v>HARRODSBURG</v>
      </c>
      <c r="H48" s="9" t="str">
        <f>_xlfn.XLOOKUP(J48, 'Processed Non-zero DMR Data'!I:I, 'Processed Non-zero DMR Data'!E:E)</f>
        <v>KY</v>
      </c>
      <c r="I48" s="9"/>
      <c r="J48" s="13">
        <v>110000732324</v>
      </c>
      <c r="K48" s="9" t="str">
        <f>IFERROR(INDEX('Raw Non-zero DMR Data'!$C:$C, MATCH(J48,'Raw Non-zero DMR Data'!$D:$D,0)),"")</f>
        <v>KY0027421</v>
      </c>
      <c r="L48" s="9" t="str">
        <f>IFERROR(INDEX('Raw Non-zero DMR Data'!$U:$U, MATCH($J48,'Raw Non-zero DMR Data'!$D:$D,0)),"")</f>
        <v>Dry Branch-Salt River</v>
      </c>
      <c r="M48" s="155" t="str">
        <f>IFERROR(INDEX('Raw Non-zero DMR Data'!$T:$T, MATCH($J48,'Raw Non-zero DMR Data'!$D:$D,0)),"")</f>
        <v>051401020102</v>
      </c>
      <c r="N48" s="155" t="str">
        <f>IFERROR(INDEX('Off-site Locations'!$E:$E,MATCH(I48,'Off-site Locations'!$B:$B,0)),"No offsite transfers")</f>
        <v>No offsite transfers</v>
      </c>
      <c r="O48" s="165">
        <f>INDEX('TRI and DMR OES Summary'!D:D,MATCH('Facility Discharge Summary'!D48,'TRI and DMR OES Summary'!A:A,0))</f>
        <v>365</v>
      </c>
      <c r="P48" s="17" cm="1">
        <f t="array" ref="P48">IFERROR(_xlfn.XLOOKUP(1,  (MAX(IF(J48 = 'Processed Non-zero DMR Data'!$I$2:$I$651,'Processed Non-zero DMR Data'!$A$2:$A$651)) = 'Processed Non-zero DMR Data'!$A$2:$A$651)*('Processed Non-zero DMR Data'!$I$2:$I$651 = J48),'Processed Non-zero DMR Data'!$W$2:$W$651), "N/A- Facility Does Not Report DMRs")</f>
        <v>1.24613555</v>
      </c>
      <c r="Q48" s="10">
        <f t="shared" si="14"/>
        <v>3.41407E-3</v>
      </c>
      <c r="R48" s="10" cm="1">
        <f t="array" ref="R48">IF(COUNTIF('Processed Non-zero DMR Data'!$I:$I,$J48)&gt;0,MEDIAN(IF('Processed Non-zero DMR Data'!$I:$I=J48,'Processed Non-zero DMR Data'!$W:$W)),"N/A - Facility Does Not Report DMRs")</f>
        <v>1.526585125</v>
      </c>
      <c r="S48" s="10">
        <f t="shared" si="15"/>
        <v>4.182425E-3</v>
      </c>
      <c r="T48" s="10">
        <f>IF(COUNTIF('Processed Non-zero DMR Data'!$I:$I,$J48)&gt;0,_xlfn.MAXIFS('Processed Non-zero DMR Data'!$W:$W,'Processed Non-zero DMR Data'!$I:$I,$J48), "N/A - Facility Does Not Report DMRs")</f>
        <v>1.8070347</v>
      </c>
      <c r="U48" s="10">
        <f t="shared" si="16"/>
        <v>4.9507800000000001E-3</v>
      </c>
      <c r="V48" s="158" cm="1">
        <f t="array" ref="V48">IF(COUNTIF('Processed Non-zero DMR Data'!$I:$I,$J48)&gt;0,INDEX('Processed Non-zero DMR Data'!$A:$A,MATCH(1,($J48='Processed Non-zero DMR Data'!$I:$I)*($T48='Processed Non-zero DMR Data'!$W:$W),0)), "N/A - Facility Does Not Report DMRs")</f>
        <v>2019</v>
      </c>
      <c r="W48" s="17" t="str" cm="1">
        <f t="array" ref="W48">IFERROR(_xlfn.XLOOKUP(1,  (MAX(IF(I48 = 'Processed Non-zero TRI Data'!$I$2:$I$6,'Processed Non-zero TRI Data'!$A$2:$A$6)) = 'Processed Non-zero TRI Data'!$A$2:$A$6)*('Processed Non-zero TRI Data'!$I$2:$I$6 = I48), 'Processed Non-zero TRI Data'!$T$2:$T$6), "N/A- Facility Does Not Report to TRI")</f>
        <v>N/A- Facility Does Not Report to TRI</v>
      </c>
      <c r="X48" s="10" t="str">
        <f t="shared" si="26"/>
        <v>N/A - Facility Does Not Report to TRI</v>
      </c>
      <c r="Y48" s="10" t="str" cm="1">
        <f t="array" ref="Y48">IF(COUNTIF('Processed Non-zero TRI Data'!$I:$I,$I48)&gt;0,MEDIAN(IF('Processed Non-zero TRI Data'!$I:$I=I48,'Processed Non-zero TRI Data'!$T:$T)), "N/A - Facility Does Not Report to TRI")</f>
        <v>N/A - Facility Does Not Report to TRI</v>
      </c>
      <c r="Z48" s="10" t="str">
        <f t="shared" si="27"/>
        <v>N/A - Facility Does Not Report to TRI</v>
      </c>
      <c r="AA48" s="10" t="str">
        <f>IF(COUNTIF('Processed Non-zero TRI Data'!$I:$I,$I48)&gt;0,_xlfn.MAXIFS('Processed Non-zero TRI Data'!$T:$T,'Processed Non-zero TRI Data'!$I:$I,$I48), "N/A - Facility Does Not Report to TRI")</f>
        <v>N/A - Facility Does Not Report to TRI</v>
      </c>
      <c r="AB48" s="10" t="str">
        <f t="shared" si="28"/>
        <v>N/A - Facility Does Not Report to TRI</v>
      </c>
      <c r="AC48" s="158" t="str" cm="1">
        <f t="array" ref="AC48">IFERROR(IF(B48 = "TRI Form R", IF(AA48 = 0, "Facility has no on-site water discharges between 2017-2022.",  IF(COUNTIF('Processed Non-zero TRI Data'!$I:$I,$I48)&gt;0,INDEX('Processed Non-zero TRI Data'!$A:$A,MATCH(1,($I48='Processed Non-zero TRI Data'!$I:$I)*(AA48='Processed Non-zero TRI Data'!$T:$T),0)))), VLOOKUP(I48,#REF!, 2, FALSE)), ("N/A - Facility Does Not Report to TRI"))</f>
        <v>N/A - Facility Does Not Report to TRI</v>
      </c>
      <c r="AD48" s="97" t="str" cm="1">
        <f t="array" ref="AD48">IFERROR(_xlfn.XLOOKUP(1,  (MAX(IF(I48 = 'Processed Non-zero TRI Data'!$I$2:$I$6,'Processed Non-zero TRI Data'!$A$2:$A$6)) = 'Processed Non-zero TRI Data'!$A$2:$A$6)*('Processed Non-zero TRI Data'!$I$2:$I$6 = I48), 'Processed Non-zero TRI Data'!$V$2:$V$6), "N/A- Facility Does Not Report to TRI")</f>
        <v>N/A- Facility Does Not Report to TRI</v>
      </c>
      <c r="AE48" s="9" t="str">
        <f t="shared" si="29"/>
        <v>N/A - Facility Does Not Report to TRI</v>
      </c>
      <c r="AF48" s="9" t="str" cm="1">
        <f t="array" ref="AF48">IF(COUNTIF('Processed Non-zero TRI Data'!$I:$I,$I48)&gt;0,MEDIAN(IF('Processed Non-zero TRI Data'!$I:$I=I48,'Processed Non-zero TRI Data'!$V:$V)), "N/A - Facility Does Not Report to TRI")</f>
        <v>N/A - Facility Does Not Report to TRI</v>
      </c>
      <c r="AG48" s="9" t="str">
        <f t="shared" si="30"/>
        <v>N/A - Facility Does Not Report to TRI</v>
      </c>
      <c r="AH48" s="9" t="str">
        <f>IF(COUNTIF('Processed Non-zero TRI Data'!$I:$I,$I48)&gt;0,_xlfn.MAXIFS('Processed Non-zero TRI Data'!$V:$V,'Processed Non-zero TRI Data'!$I:$I,$I48), "N/A - Facility Does Not Report to TRI")</f>
        <v>N/A - Facility Does Not Report to TRI</v>
      </c>
      <c r="AI48" s="9" t="str">
        <f t="shared" si="31"/>
        <v>N/A - Facility Does Not Report to TRI</v>
      </c>
      <c r="AJ48" s="158" t="str" cm="1">
        <f t="array" ref="AJ48">IF(B48="TRI Form A",AC48,IF(AH48=0,"Facility has no transfers to POTWs between 2019-2023.",IF(COUNTIF('Processed Non-zero TRI Data'!$I:$I,$I48)&gt;0,INDEX('Processed Non-zero TRI Data'!$A:$A,MATCH(1,($I48='Processed Non-zero TRI Data'!$I:$I)*(AH48='Processed Non-zero TRI Data'!$V:$V),0)),"N/A - Facility Does Not Report to TRI")))</f>
        <v>N/A - Facility Does Not Report to TRI</v>
      </c>
      <c r="AK48" s="97" t="str" cm="1">
        <f t="array" ref="AK48">IFERROR(_xlfn.XLOOKUP(1,  (MAX(IF(I48 = 'Processed Non-zero TRI Data'!$I$2:$I$6,'Processed Non-zero TRI Data'!$A$2:$A$6)) = 'Processed Non-zero TRI Data'!$A$2:$A$6)*('Processed Non-zero TRI Data'!$I$2:$I$6 = I48), 'Processed Non-zero TRI Data'!$X$2:$X$6), "N/A- Facility Does Not Report to TRI")</f>
        <v>N/A- Facility Does Not Report to TRI</v>
      </c>
      <c r="AL48" s="9" t="str">
        <f t="shared" si="32"/>
        <v>N/A - Facility Does Not Report to TRI</v>
      </c>
      <c r="AM48" s="9" t="str" cm="1">
        <f t="array" ref="AM48">IF(COUNTIF('Processed Non-zero TRI Data'!$I:$I,$I48)&gt;0,MEDIAN(IF('Processed Non-zero TRI Data'!$I:$I=I48,'Processed Non-zero TRI Data'!$X:$X)), "N/A - Facility Does Not Report to TRI")</f>
        <v>N/A - Facility Does Not Report to TRI</v>
      </c>
      <c r="AN48" s="9" t="str">
        <f t="shared" si="33"/>
        <v>N/A - Facility Does Not Report to TRI</v>
      </c>
      <c r="AO48" s="9" t="str">
        <f>IF(COUNTIF('Processed Non-zero TRI Data'!$I:$I,$I48)&gt;0,_xlfn.MAXIFS('Processed Non-zero TRI Data'!$X:$X,'Processed Non-zero TRI Data'!$I:$I,$I48), "N/A - Facility Does Not Report to TRI")</f>
        <v>N/A - Facility Does Not Report to TRI</v>
      </c>
      <c r="AP48" s="9" t="str">
        <f t="shared" si="34"/>
        <v>N/A - Facility Does Not Report to TRI</v>
      </c>
      <c r="AQ48" s="251" t="str" cm="1">
        <f t="array" ref="AQ48">IF(B48="TRI Form A",AC48,IF(AO48=0,"Facility has no transfers to non-POTWs between 2019-2023.",IF(COUNTIF('Processed Non-zero TRI Data'!$I:$I,$I48)&gt;0,INDEX('Processed Non-zero TRI Data'!$A:$A,MATCH(1,($I48='Processed Non-zero TRI Data'!$I:$I)*(AO48='Processed Non-zero TRI Data'!$X:$X),0)),"N/A - Facility Does Not Report to TRI")))</f>
        <v>N/A - Facility Does Not Report to TRI</v>
      </c>
      <c r="AR48" s="260">
        <f t="shared" si="12"/>
        <v>0</v>
      </c>
      <c r="AS48" s="260">
        <f t="shared" si="13"/>
        <v>1.8070347</v>
      </c>
    </row>
    <row r="49" spans="1:45" ht="30" x14ac:dyDescent="0.25">
      <c r="A49" s="12">
        <v>46</v>
      </c>
      <c r="B49" s="10" t="str">
        <f>IFERROR("TRI Form "&amp; VLOOKUP(I49, 'Processed Non-zero TRI Data'!$I$2:$K$6, 3, FALSE), "DMR")</f>
        <v>DMR</v>
      </c>
      <c r="C49" s="181" t="e">
        <f>VLOOKUP(D49,#REF!, 2, FALSE)</f>
        <v>#REF!</v>
      </c>
      <c r="D49" s="181" t="str">
        <f>IF(I49&lt;&gt;"",INDEX('Processed Non-zero TRI Data'!$O:$O,MATCH(I49,'Processed Non-zero TRI Data'!$I:$I,0)),INDEX('Processed Non-zero DMR Data'!$S:$S,MATCH(J49,'Processed Non-zero DMR Data'!$I:$I,0)))</f>
        <v>Unknown</v>
      </c>
      <c r="E49" s="181" t="str">
        <f>IF(I49&lt;&gt;"",INDEX('Processed Non-zero TRI Data'!$P:$P,MATCH(I49,'Processed Non-zero TRI Data'!$I:$I,0)),INDEX('Processed Non-zero DMR Data'!$T:$T,MATCH(J49,'Processed Non-zero DMR Data'!$I:$I,0)))</f>
        <v>Facility is a casino; no OES to map to.</v>
      </c>
      <c r="F49" s="9" t="str">
        <f>_xlfn.XLOOKUP(J49, 'Processed Non-zero DMR Data'!I:I, 'Processed Non-zero DMR Data'!B:B)</f>
        <v>CLUB CAL NEVA</v>
      </c>
      <c r="G49" s="9" t="str">
        <f>_xlfn.XLOOKUP(J49, 'Processed Non-zero DMR Data'!I:I, 'Processed Non-zero DMR Data'!C:C)</f>
        <v>RENO</v>
      </c>
      <c r="H49" s="9" t="str">
        <f>_xlfn.XLOOKUP(J49, 'Processed Non-zero DMR Data'!I:I, 'Processed Non-zero DMR Data'!E:E)</f>
        <v>NV</v>
      </c>
      <c r="I49" s="12"/>
      <c r="J49" s="13">
        <v>110009830273</v>
      </c>
      <c r="K49" s="9" t="str">
        <f>IFERROR(INDEX('Raw Non-zero DMR Data'!$C:$C, MATCH(J49,'Raw Non-zero DMR Data'!$D:$D,0)),"")</f>
        <v>NV0021067</v>
      </c>
      <c r="L49" s="9" t="str">
        <f>IFERROR(INDEX('Raw Non-zero DMR Data'!$U:$U, MATCH($J49,'Raw Non-zero DMR Data'!$D:$D,0)),"")</f>
        <v>Peavine Creek-Truckee River</v>
      </c>
      <c r="M49" s="155">
        <f>IFERROR(INDEX('Raw Non-zero DMR Data'!$T:$T, MATCH($J49,'Raw Non-zero DMR Data'!$D:$D,0)),"")</f>
        <v>160501020506</v>
      </c>
      <c r="N49" s="155" t="str">
        <f>IFERROR(INDEX('Off-site Locations'!$E:$E,MATCH(I49,'Off-site Locations'!$B:$B,0)),"No offsite transfers")</f>
        <v>No offsite transfers</v>
      </c>
      <c r="O49" s="165">
        <f>INDEX('TRI and DMR OES Summary'!D:D,MATCH('Facility Discharge Summary'!D49,'TRI and DMR OES Summary'!A:A,0))</f>
        <v>250</v>
      </c>
      <c r="P49" s="17" cm="1">
        <f t="array" ref="P49">IFERROR(_xlfn.XLOOKUP(1,  (MAX(IF(J49 = 'Processed Non-zero DMR Data'!$I$2:$I$651,'Processed Non-zero DMR Data'!$A$2:$A$651)) = 'Processed Non-zero DMR Data'!$A$2:$A$651)*('Processed Non-zero DMR Data'!$I$2:$I$651 = J49),'Processed Non-zero DMR Data'!$W$2:$W$651), "N/A- Facility Does Not Report DMRs")</f>
        <v>0.481522525905</v>
      </c>
      <c r="Q49" s="10">
        <f t="shared" ref="Q49:Q112" si="35">IFERROR(P49/$O49, "N/A - Facility Does Not Report DMRs")</f>
        <v>1.92609010362E-3</v>
      </c>
      <c r="R49" s="10" cm="1">
        <f t="array" ref="R49">IF(COUNTIF('Processed Non-zero DMR Data'!$I:$I,$J49)&gt;0,MEDIAN(IF('Processed Non-zero DMR Data'!$I:$I=J49,'Processed Non-zero DMR Data'!$W:$W)),"N/A - Facility Does Not Report DMRs")</f>
        <v>0.481522525905</v>
      </c>
      <c r="S49" s="10">
        <f t="shared" ref="S49:S112" si="36">IFERROR(R49/$O49, "N/A - Facility Does Not Report DMRs")</f>
        <v>1.92609010362E-3</v>
      </c>
      <c r="T49" s="10">
        <f>IF(COUNTIF('Processed Non-zero DMR Data'!$I:$I,$J49)&gt;0,_xlfn.MAXIFS('Processed Non-zero DMR Data'!$W:$W,'Processed Non-zero DMR Data'!$I:$I,$J49), "N/A - Facility Does Not Report DMRs")</f>
        <v>0.481522525905</v>
      </c>
      <c r="U49" s="10">
        <f t="shared" ref="U49:U112" si="37">IFERROR(T49/$O49, "N/A - Facility Does Not Report DMRs")</f>
        <v>1.92609010362E-3</v>
      </c>
      <c r="V49" s="158" cm="1">
        <f t="array" ref="V49">IF(COUNTIF('Processed Non-zero DMR Data'!$I:$I,$J49)&gt;0,INDEX('Processed Non-zero DMR Data'!$A:$A,MATCH(1,($J49='Processed Non-zero DMR Data'!$I:$I)*($T49='Processed Non-zero DMR Data'!$W:$W),0)), "N/A - Facility Does Not Report DMRs")</f>
        <v>2019</v>
      </c>
      <c r="W49" s="17" t="str" cm="1">
        <f t="array" ref="W49">IFERROR(_xlfn.XLOOKUP(1,  (MAX(IF(I49 = 'Processed Non-zero TRI Data'!$I$2:$I$6,'Processed Non-zero TRI Data'!$A$2:$A$6)) = 'Processed Non-zero TRI Data'!$A$2:$A$6)*('Processed Non-zero TRI Data'!$I$2:$I$6 = I49), 'Processed Non-zero TRI Data'!$T$2:$T$6), "N/A- Facility Does Not Report to TRI")</f>
        <v>N/A- Facility Does Not Report to TRI</v>
      </c>
      <c r="X49" s="10" t="str">
        <f t="shared" ref="X49:X112" si="38">IFERROR(W49/$O49, "N/A - Facility Does Not Report to TRI")</f>
        <v>N/A - Facility Does Not Report to TRI</v>
      </c>
      <c r="Y49" s="10" t="str" cm="1">
        <f t="array" ref="Y49">IF(COUNTIF('Processed Non-zero TRI Data'!$I:$I,$I49)&gt;0,MEDIAN(IF('Processed Non-zero TRI Data'!$I:$I=I49,'Processed Non-zero TRI Data'!$T:$T)), "N/A - Facility Does Not Report to TRI")</f>
        <v>N/A - Facility Does Not Report to TRI</v>
      </c>
      <c r="Z49" s="10" t="str">
        <f t="shared" ref="Z49:Z112" si="39">IFERROR(Y49/$O49, "N/A - Facility Does Not Report to TRI")</f>
        <v>N/A - Facility Does Not Report to TRI</v>
      </c>
      <c r="AA49" s="10" t="str">
        <f>IF(COUNTIF('Processed Non-zero TRI Data'!$I:$I,$I49)&gt;0,_xlfn.MAXIFS('Processed Non-zero TRI Data'!$T:$T,'Processed Non-zero TRI Data'!$I:$I,$I49), "N/A - Facility Does Not Report to TRI")</f>
        <v>N/A - Facility Does Not Report to TRI</v>
      </c>
      <c r="AB49" s="10" t="str">
        <f t="shared" ref="AB49:AB112" si="40">IFERROR(AA49/$O49, "N/A - Facility Does Not Report to TRI")</f>
        <v>N/A - Facility Does Not Report to TRI</v>
      </c>
      <c r="AC49" s="158" t="str" cm="1">
        <f t="array" ref="AC49">IFERROR(IF(B49 = "TRI Form R", IF(AA49 = 0, "Facility has no on-site water discharges between 2017-2022.",  IF(COUNTIF('Processed Non-zero TRI Data'!$I:$I,$I49)&gt;0,INDEX('Processed Non-zero TRI Data'!$A:$A,MATCH(1,($I49='Processed Non-zero TRI Data'!$I:$I)*(AA49='Processed Non-zero TRI Data'!$T:$T),0)))), VLOOKUP(I49,#REF!, 2, FALSE)), ("N/A - Facility Does Not Report to TRI"))</f>
        <v>N/A - Facility Does Not Report to TRI</v>
      </c>
      <c r="AD49" s="97" t="str" cm="1">
        <f t="array" ref="AD49">IFERROR(_xlfn.XLOOKUP(1,  (MAX(IF(I49 = 'Processed Non-zero TRI Data'!$I$2:$I$6,'Processed Non-zero TRI Data'!$A$2:$A$6)) = 'Processed Non-zero TRI Data'!$A$2:$A$6)*('Processed Non-zero TRI Data'!$I$2:$I$6 = I49), 'Processed Non-zero TRI Data'!$V$2:$V$6), "N/A- Facility Does Not Report to TRI")</f>
        <v>N/A- Facility Does Not Report to TRI</v>
      </c>
      <c r="AE49" s="9" t="str">
        <f t="shared" ref="AE49:AE112" si="41">IFERROR(AD49/$O49, "N/A - Facility Does Not Report to TRI")</f>
        <v>N/A - Facility Does Not Report to TRI</v>
      </c>
      <c r="AF49" s="9" t="str" cm="1">
        <f t="array" ref="AF49">IF(COUNTIF('Processed Non-zero TRI Data'!$I:$I,$I49)&gt;0,MEDIAN(IF('Processed Non-zero TRI Data'!$I:$I=I49,'Processed Non-zero TRI Data'!$V:$V)), "N/A - Facility Does Not Report to TRI")</f>
        <v>N/A - Facility Does Not Report to TRI</v>
      </c>
      <c r="AG49" s="9" t="str">
        <f t="shared" ref="AG49:AG112" si="42">IFERROR(AF49/$O49, "N/A - Facility Does Not Report to TRI")</f>
        <v>N/A - Facility Does Not Report to TRI</v>
      </c>
      <c r="AH49" s="9" t="str">
        <f>IF(COUNTIF('Processed Non-zero TRI Data'!$I:$I,$I49)&gt;0,_xlfn.MAXIFS('Processed Non-zero TRI Data'!$V:$V,'Processed Non-zero TRI Data'!$I:$I,$I49), "N/A - Facility Does Not Report to TRI")</f>
        <v>N/A - Facility Does Not Report to TRI</v>
      </c>
      <c r="AI49" s="9" t="str">
        <f t="shared" ref="AI49:AI112" si="43">IFERROR(AH49/$O49, "N/A - Facility Does Not Report to TRI")</f>
        <v>N/A - Facility Does Not Report to TRI</v>
      </c>
      <c r="AJ49" s="158" t="str" cm="1">
        <f t="array" ref="AJ49">IF(B49="TRI Form A",AC49,IF(AH49=0,"Facility has no transfers to POTWs between 2019-2023.",IF(COUNTIF('Processed Non-zero TRI Data'!$I:$I,$I49)&gt;0,INDEX('Processed Non-zero TRI Data'!$A:$A,MATCH(1,($I49='Processed Non-zero TRI Data'!$I:$I)*(AH49='Processed Non-zero TRI Data'!$V:$V),0)),"N/A - Facility Does Not Report to TRI")))</f>
        <v>N/A - Facility Does Not Report to TRI</v>
      </c>
      <c r="AK49" s="97" t="str" cm="1">
        <f t="array" ref="AK49">IFERROR(_xlfn.XLOOKUP(1,  (MAX(IF(I49 = 'Processed Non-zero TRI Data'!$I$2:$I$6,'Processed Non-zero TRI Data'!$A$2:$A$6)) = 'Processed Non-zero TRI Data'!$A$2:$A$6)*('Processed Non-zero TRI Data'!$I$2:$I$6 = I49), 'Processed Non-zero TRI Data'!$X$2:$X$6), "N/A- Facility Does Not Report to TRI")</f>
        <v>N/A- Facility Does Not Report to TRI</v>
      </c>
      <c r="AL49" s="9" t="str">
        <f t="shared" ref="AL49:AL112" si="44">IFERROR(AK49/$O49, "N/A - Facility Does Not Report to TRI")</f>
        <v>N/A - Facility Does Not Report to TRI</v>
      </c>
      <c r="AM49" s="9" t="str" cm="1">
        <f t="array" ref="AM49">IF(COUNTIF('Processed Non-zero TRI Data'!$I:$I,$I49)&gt;0,MEDIAN(IF('Processed Non-zero TRI Data'!$I:$I=I49,'Processed Non-zero TRI Data'!$X:$X)), "N/A - Facility Does Not Report to TRI")</f>
        <v>N/A - Facility Does Not Report to TRI</v>
      </c>
      <c r="AN49" s="9" t="str">
        <f t="shared" ref="AN49:AN112" si="45">IFERROR(AM49/$O49, "N/A - Facility Does Not Report to TRI")</f>
        <v>N/A - Facility Does Not Report to TRI</v>
      </c>
      <c r="AO49" s="9" t="str">
        <f>IF(COUNTIF('Processed Non-zero TRI Data'!$I:$I,$I49)&gt;0,_xlfn.MAXIFS('Processed Non-zero TRI Data'!$X:$X,'Processed Non-zero TRI Data'!$I:$I,$I49), "N/A - Facility Does Not Report to TRI")</f>
        <v>N/A - Facility Does Not Report to TRI</v>
      </c>
      <c r="AP49" s="9" t="str">
        <f t="shared" ref="AP49:AP112" si="46">IFERROR(AO49/$O49, "N/A - Facility Does Not Report to TRI")</f>
        <v>N/A - Facility Does Not Report to TRI</v>
      </c>
      <c r="AQ49" s="251" t="str" cm="1">
        <f t="array" ref="AQ49">IF(B49="TRI Form A",AC49,IF(AO49=0,"Facility has no transfers to non-POTWs between 2019-2023.",IF(COUNTIF('Processed Non-zero TRI Data'!$I:$I,$I49)&gt;0,INDEX('Processed Non-zero TRI Data'!$A:$A,MATCH(1,($I49='Processed Non-zero TRI Data'!$I:$I)*(AO49='Processed Non-zero TRI Data'!$X:$X),0)),"N/A - Facility Does Not Report to TRI")))</f>
        <v>N/A - Facility Does Not Report to TRI</v>
      </c>
      <c r="AR49" s="260">
        <f t="shared" si="12"/>
        <v>0</v>
      </c>
      <c r="AS49" s="260">
        <f t="shared" si="13"/>
        <v>0.481522525905</v>
      </c>
    </row>
    <row r="50" spans="1:45" ht="45" x14ac:dyDescent="0.25">
      <c r="A50" s="12">
        <v>47</v>
      </c>
      <c r="B50" s="10" t="str">
        <f>IFERROR("TRI Form "&amp; VLOOKUP(I50, 'Processed Non-zero TRI Data'!$I$2:$K$6, 3, FALSE), "DMR")</f>
        <v>DMR</v>
      </c>
      <c r="C50" s="181" t="e">
        <f>VLOOKUP(D50,#REF!, 2, FALSE)</f>
        <v>#REF!</v>
      </c>
      <c r="D50" s="181" t="str">
        <f>IF(I50&lt;&gt;"",INDEX('Processed Non-zero TRI Data'!$O:$O,MATCH(I50,'Processed Non-zero TRI Data'!$I:$I,0)),INDEX('Processed Non-zero DMR Data'!$S:$S,MATCH(J50,'Processed Non-zero DMR Data'!$I:$I,0)))</f>
        <v>Impurity in Plastics</v>
      </c>
      <c r="E50" s="181" t="str">
        <f>IF(I50&lt;&gt;"",INDEX('Processed Non-zero TRI Data'!$P:$P,MATCH(I50,'Processed Non-zero TRI Data'!$I:$I,0)),INDEX('Processed Non-zero DMR Data'!$T:$T,MATCH(J50,'Processed Non-zero DMR Data'!$I:$I,0)))</f>
        <v>Plastics SIC/NAICS - EPA-HQ-OPPT-2018-0428-0011 indicates 1,2-dichloropropane can be a residual/byproduct in PVC plastics or a flame retardant plasticizer.</v>
      </c>
      <c r="F50" s="9" t="str">
        <f>_xlfn.XLOOKUP(J50, 'Processed Non-zero DMR Data'!I:I, 'Processed Non-zero DMR Data'!B:B)</f>
        <v>EQUISTAR CHEMICALS, LP - MORRIS PLANT</v>
      </c>
      <c r="G50" s="9" t="str">
        <f>_xlfn.XLOOKUP(J50, 'Processed Non-zero DMR Data'!I:I, 'Processed Non-zero DMR Data'!C:C)</f>
        <v>MORRIS</v>
      </c>
      <c r="H50" s="9" t="str">
        <f>_xlfn.XLOOKUP(J50, 'Processed Non-zero DMR Data'!I:I, 'Processed Non-zero DMR Data'!E:E)</f>
        <v>IL</v>
      </c>
      <c r="I50" s="12"/>
      <c r="J50" s="13">
        <v>110000433013</v>
      </c>
      <c r="K50" s="9" t="str">
        <f>IFERROR(INDEX('Raw Non-zero DMR Data'!$C:$C, MATCH(J50,'Raw Non-zero DMR Data'!$D:$D,0)),"")</f>
        <v>IL0002917</v>
      </c>
      <c r="L50" s="9" t="str">
        <f>IFERROR(INDEX('Raw Non-zero DMR Data'!$U:$U, MATCH($J50,'Raw Non-zero DMR Data'!$D:$D,0)),"")</f>
        <v>Walley Run-Aux Sable Creek</v>
      </c>
      <c r="M50" s="155" t="str">
        <f>IFERROR(INDEX('Raw Non-zero DMR Data'!$T:$T, MATCH($J50,'Raw Non-zero DMR Data'!$D:$D,0)),"")</f>
        <v>071200050106</v>
      </c>
      <c r="N50" s="155" t="str">
        <f>IFERROR(INDEX('Off-site Locations'!$E:$E,MATCH(I50,'Off-site Locations'!$B:$B,0)),"No offsite transfers")</f>
        <v>No offsite transfers</v>
      </c>
      <c r="O50" s="165">
        <f>INDEX('TRI and DMR OES Summary'!D:D,MATCH('Facility Discharge Summary'!D50,'TRI and DMR OES Summary'!A:A,0))</f>
        <v>350</v>
      </c>
      <c r="P50" s="17" cm="1">
        <f t="array" ref="P50">IFERROR(_xlfn.XLOOKUP(1,  (MAX(IF(J50 = 'Processed Non-zero DMR Data'!$I$2:$I$651,'Processed Non-zero DMR Data'!$A$2:$A$651)) = 'Processed Non-zero DMR Data'!$A$2:$A$651)*('Processed Non-zero DMR Data'!$I$2:$I$651 = J50),'Processed Non-zero DMR Data'!$W$2:$W$651), "N/A- Facility Does Not Report DMRs")</f>
        <v>1.2530399999999999</v>
      </c>
      <c r="Q50" s="10">
        <f t="shared" si="35"/>
        <v>3.5801142857142857E-3</v>
      </c>
      <c r="R50" s="10" cm="1">
        <f t="array" ref="R50">IF(COUNTIF('Processed Non-zero DMR Data'!$I:$I,$J50)&gt;0,MEDIAN(IF('Processed Non-zero DMR Data'!$I:$I=J50,'Processed Non-zero DMR Data'!$W:$W)),"N/A - Facility Does Not Report DMRs")</f>
        <v>0.83082</v>
      </c>
      <c r="S50" s="10">
        <f t="shared" si="36"/>
        <v>2.3737714285714286E-3</v>
      </c>
      <c r="T50" s="10">
        <f>IF(COUNTIF('Processed Non-zero DMR Data'!$I:$I,$J50)&gt;0,_xlfn.MAXIFS('Processed Non-zero DMR Data'!$W:$W,'Processed Non-zero DMR Data'!$I:$I,$J50), "N/A - Facility Does Not Report DMRs")</f>
        <v>2.09748</v>
      </c>
      <c r="U50" s="10">
        <f t="shared" si="37"/>
        <v>5.9928000000000004E-3</v>
      </c>
      <c r="V50" s="158" cm="1">
        <f t="array" ref="V50">IF(COUNTIF('Processed Non-zero DMR Data'!$I:$I,$J50)&gt;0,INDEX('Processed Non-zero DMR Data'!$A:$A,MATCH(1,($J50='Processed Non-zero DMR Data'!$I:$I)*($T50='Processed Non-zero DMR Data'!$W:$W),0)), "N/A - Facility Does Not Report DMRs")</f>
        <v>2023</v>
      </c>
      <c r="W50" s="17" t="str" cm="1">
        <f t="array" ref="W50">IFERROR(_xlfn.XLOOKUP(1,  (MAX(IF(I50 = 'Processed Non-zero TRI Data'!$I$2:$I$6,'Processed Non-zero TRI Data'!$A$2:$A$6)) = 'Processed Non-zero TRI Data'!$A$2:$A$6)*('Processed Non-zero TRI Data'!$I$2:$I$6 = I50), 'Processed Non-zero TRI Data'!$T$2:$T$6), "N/A- Facility Does Not Report to TRI")</f>
        <v>N/A- Facility Does Not Report to TRI</v>
      </c>
      <c r="X50" s="10" t="str">
        <f t="shared" si="38"/>
        <v>N/A - Facility Does Not Report to TRI</v>
      </c>
      <c r="Y50" s="10" t="str" cm="1">
        <f t="array" ref="Y50">IF(COUNTIF('Processed Non-zero TRI Data'!$I:$I,$I50)&gt;0,MEDIAN(IF('Processed Non-zero TRI Data'!$I:$I=I50,'Processed Non-zero TRI Data'!$T:$T)), "N/A - Facility Does Not Report to TRI")</f>
        <v>N/A - Facility Does Not Report to TRI</v>
      </c>
      <c r="Z50" s="10" t="str">
        <f t="shared" si="39"/>
        <v>N/A - Facility Does Not Report to TRI</v>
      </c>
      <c r="AA50" s="10" t="str">
        <f>IF(COUNTIF('Processed Non-zero TRI Data'!$I:$I,$I50)&gt;0,_xlfn.MAXIFS('Processed Non-zero TRI Data'!$T:$T,'Processed Non-zero TRI Data'!$I:$I,$I50), "N/A - Facility Does Not Report to TRI")</f>
        <v>N/A - Facility Does Not Report to TRI</v>
      </c>
      <c r="AB50" s="10" t="str">
        <f t="shared" si="40"/>
        <v>N/A - Facility Does Not Report to TRI</v>
      </c>
      <c r="AC50" s="158" t="str" cm="1">
        <f t="array" ref="AC50">IFERROR(IF(B50 = "TRI Form R", IF(AA50 = 0, "Facility has no on-site water discharges between 2017-2022.",  IF(COUNTIF('Processed Non-zero TRI Data'!$I:$I,$I50)&gt;0,INDEX('Processed Non-zero TRI Data'!$A:$A,MATCH(1,($I50='Processed Non-zero TRI Data'!$I:$I)*(AA50='Processed Non-zero TRI Data'!$T:$T),0)))), VLOOKUP(I50,#REF!, 2, FALSE)), ("N/A - Facility Does Not Report to TRI"))</f>
        <v>N/A - Facility Does Not Report to TRI</v>
      </c>
      <c r="AD50" s="97" t="str" cm="1">
        <f t="array" ref="AD50">IFERROR(_xlfn.XLOOKUP(1,  (MAX(IF(I50 = 'Processed Non-zero TRI Data'!$I$2:$I$6,'Processed Non-zero TRI Data'!$A$2:$A$6)) = 'Processed Non-zero TRI Data'!$A$2:$A$6)*('Processed Non-zero TRI Data'!$I$2:$I$6 = I50), 'Processed Non-zero TRI Data'!$V$2:$V$6), "N/A- Facility Does Not Report to TRI")</f>
        <v>N/A- Facility Does Not Report to TRI</v>
      </c>
      <c r="AE50" s="9" t="str">
        <f t="shared" si="41"/>
        <v>N/A - Facility Does Not Report to TRI</v>
      </c>
      <c r="AF50" s="9" t="str" cm="1">
        <f t="array" ref="AF50">IF(COUNTIF('Processed Non-zero TRI Data'!$I:$I,$I50)&gt;0,MEDIAN(IF('Processed Non-zero TRI Data'!$I:$I=I50,'Processed Non-zero TRI Data'!$V:$V)), "N/A - Facility Does Not Report to TRI")</f>
        <v>N/A - Facility Does Not Report to TRI</v>
      </c>
      <c r="AG50" s="9" t="str">
        <f t="shared" si="42"/>
        <v>N/A - Facility Does Not Report to TRI</v>
      </c>
      <c r="AH50" s="9" t="str">
        <f>IF(COUNTIF('Processed Non-zero TRI Data'!$I:$I,$I50)&gt;0,_xlfn.MAXIFS('Processed Non-zero TRI Data'!$V:$V,'Processed Non-zero TRI Data'!$I:$I,$I50), "N/A - Facility Does Not Report to TRI")</f>
        <v>N/A - Facility Does Not Report to TRI</v>
      </c>
      <c r="AI50" s="9" t="str">
        <f t="shared" si="43"/>
        <v>N/A - Facility Does Not Report to TRI</v>
      </c>
      <c r="AJ50" s="158" t="str" cm="1">
        <f t="array" ref="AJ50">IF(B50="TRI Form A",AC50,IF(AH50=0,"Facility has no transfers to POTWs between 2019-2023.",IF(COUNTIF('Processed Non-zero TRI Data'!$I:$I,$I50)&gt;0,INDEX('Processed Non-zero TRI Data'!$A:$A,MATCH(1,($I50='Processed Non-zero TRI Data'!$I:$I)*(AH50='Processed Non-zero TRI Data'!$V:$V),0)),"N/A - Facility Does Not Report to TRI")))</f>
        <v>N/A - Facility Does Not Report to TRI</v>
      </c>
      <c r="AK50" s="97" t="str" cm="1">
        <f t="array" ref="AK50">IFERROR(_xlfn.XLOOKUP(1,  (MAX(IF(I50 = 'Processed Non-zero TRI Data'!$I$2:$I$6,'Processed Non-zero TRI Data'!$A$2:$A$6)) = 'Processed Non-zero TRI Data'!$A$2:$A$6)*('Processed Non-zero TRI Data'!$I$2:$I$6 = I50), 'Processed Non-zero TRI Data'!$X$2:$X$6), "N/A- Facility Does Not Report to TRI")</f>
        <v>N/A- Facility Does Not Report to TRI</v>
      </c>
      <c r="AL50" s="9" t="str">
        <f t="shared" si="44"/>
        <v>N/A - Facility Does Not Report to TRI</v>
      </c>
      <c r="AM50" s="9" t="str" cm="1">
        <f t="array" ref="AM50">IF(COUNTIF('Processed Non-zero TRI Data'!$I:$I,$I50)&gt;0,MEDIAN(IF('Processed Non-zero TRI Data'!$I:$I=I50,'Processed Non-zero TRI Data'!$X:$X)), "N/A - Facility Does Not Report to TRI")</f>
        <v>N/A - Facility Does Not Report to TRI</v>
      </c>
      <c r="AN50" s="9" t="str">
        <f t="shared" si="45"/>
        <v>N/A - Facility Does Not Report to TRI</v>
      </c>
      <c r="AO50" s="9" t="str">
        <f>IF(COUNTIF('Processed Non-zero TRI Data'!$I:$I,$I50)&gt;0,_xlfn.MAXIFS('Processed Non-zero TRI Data'!$X:$X,'Processed Non-zero TRI Data'!$I:$I,$I50), "N/A - Facility Does Not Report to TRI")</f>
        <v>N/A - Facility Does Not Report to TRI</v>
      </c>
      <c r="AP50" s="9" t="str">
        <f t="shared" si="46"/>
        <v>N/A - Facility Does Not Report to TRI</v>
      </c>
      <c r="AQ50" s="251" t="str" cm="1">
        <f t="array" ref="AQ50">IF(B50="TRI Form A",AC50,IF(AO50=0,"Facility has no transfers to non-POTWs between 2019-2023.",IF(COUNTIF('Processed Non-zero TRI Data'!$I:$I,$I50)&gt;0,INDEX('Processed Non-zero TRI Data'!$A:$A,MATCH(1,($I50='Processed Non-zero TRI Data'!$I:$I)*(AO50='Processed Non-zero TRI Data'!$X:$X),0)),"N/A - Facility Does Not Report to TRI")))</f>
        <v>N/A - Facility Does Not Report to TRI</v>
      </c>
      <c r="AR50" s="260">
        <f t="shared" si="12"/>
        <v>0</v>
      </c>
      <c r="AS50" s="260">
        <f t="shared" si="13"/>
        <v>2.09748</v>
      </c>
    </row>
    <row r="51" spans="1:45" ht="30" x14ac:dyDescent="0.25">
      <c r="A51" s="12">
        <v>48</v>
      </c>
      <c r="B51" s="10" t="str">
        <f>IFERROR("TRI Form "&amp; VLOOKUP(I51, 'Processed Non-zero TRI Data'!$I$2:$K$6, 3, FALSE), "DMR")</f>
        <v>DMR</v>
      </c>
      <c r="C51" s="181" t="e">
        <f>VLOOKUP(D51,#REF!, 2, FALSE)</f>
        <v>#REF!</v>
      </c>
      <c r="D51" s="181" t="str">
        <f>IF(I51&lt;&gt;"",INDEX('Processed Non-zero TRI Data'!$O:$O,MATCH(I51,'Processed Non-zero TRI Data'!$I:$I,0)),INDEX('Processed Non-zero DMR Data'!$S:$S,MATCH(J51,'Processed Non-zero DMR Data'!$I:$I,0)))</f>
        <v>Waste Handling, Disposal and Treatment (POTW)</v>
      </c>
      <c r="E51" s="181" t="str">
        <f>IF(I51&lt;&gt;"",INDEX('Processed Non-zero TRI Data'!$P:$P,MATCH(I51,'Processed Non-zero TRI Data'!$I:$I,0)),INDEX('Processed Non-zero DMR Data'!$T:$T,MATCH(J51,'Processed Non-zero DMR Data'!$I:$I,0)))</f>
        <v>POTW indicator in DMR</v>
      </c>
      <c r="F51" s="9" t="str">
        <f>_xlfn.XLOOKUP(J51, 'Processed Non-zero DMR Data'!I:I, 'Processed Non-zero DMR Data'!B:B)</f>
        <v>LOMPOC WASTEWATER PLANT</v>
      </c>
      <c r="G51" s="9" t="str">
        <f>_xlfn.XLOOKUP(J51, 'Processed Non-zero DMR Data'!I:I, 'Processed Non-zero DMR Data'!C:C)</f>
        <v>LOMPOC</v>
      </c>
      <c r="H51" s="9" t="str">
        <f>_xlfn.XLOOKUP(J51, 'Processed Non-zero DMR Data'!I:I, 'Processed Non-zero DMR Data'!E:E)</f>
        <v>CA</v>
      </c>
      <c r="I51" s="12"/>
      <c r="J51" s="13">
        <v>110009547222</v>
      </c>
      <c r="K51" s="9" t="str">
        <f>IFERROR(INDEX('Raw Non-zero DMR Data'!$C:$C, MATCH(J51,'Raw Non-zero DMR Data'!$D:$D,0)),"")</f>
        <v>CA0048127</v>
      </c>
      <c r="L51" s="9" t="str">
        <f>IFERROR(INDEX('Raw Non-zero DMR Data'!$U:$U, MATCH($J51,'Raw Non-zero DMR Data'!$D:$D,0)),"")</f>
        <v>San Miguelito Creek-Santa Ynez River</v>
      </c>
      <c r="M51" s="155">
        <f>IFERROR(INDEX('Raw Non-zero DMR Data'!$T:$T, MATCH($J51,'Raw Non-zero DMR Data'!$D:$D,0)),"")</f>
        <v>180600100703</v>
      </c>
      <c r="N51" s="155" t="str">
        <f>IFERROR(INDEX('Off-site Locations'!$E:$E,MATCH(I51,'Off-site Locations'!$B:$B,0)),"No offsite transfers")</f>
        <v>No offsite transfers</v>
      </c>
      <c r="O51" s="165">
        <f>INDEX('TRI and DMR OES Summary'!D:D,MATCH('Facility Discharge Summary'!D51,'TRI and DMR OES Summary'!A:A,0))</f>
        <v>365</v>
      </c>
      <c r="P51" s="17" cm="1">
        <f t="array" ref="P51">IFERROR(_xlfn.XLOOKUP(1,  (MAX(IF(J51 = 'Processed Non-zero DMR Data'!$I$2:$I$651,'Processed Non-zero DMR Data'!$A$2:$A$651)) = 'Processed Non-zero DMR Data'!$A$2:$A$651)*('Processed Non-zero DMR Data'!$I$2:$I$651 = J51),'Processed Non-zero DMR Data'!$W$2:$W$651), "N/A- Facility Does Not Report DMRs")</f>
        <v>1.0603204374999999</v>
      </c>
      <c r="Q51" s="10">
        <f t="shared" si="35"/>
        <v>2.9049874999999997E-3</v>
      </c>
      <c r="R51" s="10" cm="1">
        <f t="array" ref="R51">IF(COUNTIF('Processed Non-zero DMR Data'!$I:$I,$J51)&gt;0,MEDIAN(IF('Processed Non-zero DMR Data'!$I:$I=J51,'Processed Non-zero DMR Data'!$W:$W)),"N/A - Facility Does Not Report DMRs")</f>
        <v>1.0603204374999999</v>
      </c>
      <c r="S51" s="10">
        <f t="shared" si="36"/>
        <v>2.9049874999999997E-3</v>
      </c>
      <c r="T51" s="10">
        <f>IF(COUNTIF('Processed Non-zero DMR Data'!$I:$I,$J51)&gt;0,_xlfn.MAXIFS('Processed Non-zero DMR Data'!$W:$W,'Processed Non-zero DMR Data'!$I:$I,$J51), "N/A - Facility Does Not Report DMRs")</f>
        <v>1.0603204374999999</v>
      </c>
      <c r="U51" s="10">
        <f t="shared" si="37"/>
        <v>2.9049874999999997E-3</v>
      </c>
      <c r="V51" s="158" cm="1">
        <f t="array" ref="V51">IF(COUNTIF('Processed Non-zero DMR Data'!$I:$I,$J51)&gt;0,INDEX('Processed Non-zero DMR Data'!$A:$A,MATCH(1,($J51='Processed Non-zero DMR Data'!$I:$I)*($T51='Processed Non-zero DMR Data'!$W:$W),0)), "N/A - Facility Does Not Report DMRs")</f>
        <v>2019</v>
      </c>
      <c r="W51" s="17" t="str" cm="1">
        <f t="array" ref="W51">IFERROR(_xlfn.XLOOKUP(1,  (MAX(IF(I51 = 'Processed Non-zero TRI Data'!$I$2:$I$6,'Processed Non-zero TRI Data'!$A$2:$A$6)) = 'Processed Non-zero TRI Data'!$A$2:$A$6)*('Processed Non-zero TRI Data'!$I$2:$I$6 = I51), 'Processed Non-zero TRI Data'!$T$2:$T$6), "N/A- Facility Does Not Report to TRI")</f>
        <v>N/A- Facility Does Not Report to TRI</v>
      </c>
      <c r="X51" s="10" t="str">
        <f t="shared" si="38"/>
        <v>N/A - Facility Does Not Report to TRI</v>
      </c>
      <c r="Y51" s="10" t="str" cm="1">
        <f t="array" ref="Y51">IF(COUNTIF('Processed Non-zero TRI Data'!$I:$I,$I51)&gt;0,MEDIAN(IF('Processed Non-zero TRI Data'!$I:$I=I51,'Processed Non-zero TRI Data'!$T:$T)), "N/A - Facility Does Not Report to TRI")</f>
        <v>N/A - Facility Does Not Report to TRI</v>
      </c>
      <c r="Z51" s="10" t="str">
        <f t="shared" si="39"/>
        <v>N/A - Facility Does Not Report to TRI</v>
      </c>
      <c r="AA51" s="10" t="str">
        <f>IF(COUNTIF('Processed Non-zero TRI Data'!$I:$I,$I51)&gt;0,_xlfn.MAXIFS('Processed Non-zero TRI Data'!$T:$T,'Processed Non-zero TRI Data'!$I:$I,$I51), "N/A - Facility Does Not Report to TRI")</f>
        <v>N/A - Facility Does Not Report to TRI</v>
      </c>
      <c r="AB51" s="10" t="str">
        <f t="shared" si="40"/>
        <v>N/A - Facility Does Not Report to TRI</v>
      </c>
      <c r="AC51" s="158" t="str" cm="1">
        <f t="array" ref="AC51">IFERROR(IF(B51 = "TRI Form R", IF(AA51 = 0, "Facility has no on-site water discharges between 2017-2022.",  IF(COUNTIF('Processed Non-zero TRI Data'!$I:$I,$I51)&gt;0,INDEX('Processed Non-zero TRI Data'!$A:$A,MATCH(1,($I51='Processed Non-zero TRI Data'!$I:$I)*(AA51='Processed Non-zero TRI Data'!$T:$T),0)))), VLOOKUP(I51,#REF!, 2, FALSE)), ("N/A - Facility Does Not Report to TRI"))</f>
        <v>N/A - Facility Does Not Report to TRI</v>
      </c>
      <c r="AD51" s="97" t="str" cm="1">
        <f t="array" ref="AD51">IFERROR(_xlfn.XLOOKUP(1,  (MAX(IF(I51 = 'Processed Non-zero TRI Data'!$I$2:$I$6,'Processed Non-zero TRI Data'!$A$2:$A$6)) = 'Processed Non-zero TRI Data'!$A$2:$A$6)*('Processed Non-zero TRI Data'!$I$2:$I$6 = I51), 'Processed Non-zero TRI Data'!$V$2:$V$6), "N/A- Facility Does Not Report to TRI")</f>
        <v>N/A- Facility Does Not Report to TRI</v>
      </c>
      <c r="AE51" s="9" t="str">
        <f t="shared" si="41"/>
        <v>N/A - Facility Does Not Report to TRI</v>
      </c>
      <c r="AF51" s="9" t="str" cm="1">
        <f t="array" ref="AF51">IF(COUNTIF('Processed Non-zero TRI Data'!$I:$I,$I51)&gt;0,MEDIAN(IF('Processed Non-zero TRI Data'!$I:$I=I51,'Processed Non-zero TRI Data'!$V:$V)), "N/A - Facility Does Not Report to TRI")</f>
        <v>N/A - Facility Does Not Report to TRI</v>
      </c>
      <c r="AG51" s="9" t="str">
        <f t="shared" si="42"/>
        <v>N/A - Facility Does Not Report to TRI</v>
      </c>
      <c r="AH51" s="9" t="str">
        <f>IF(COUNTIF('Processed Non-zero TRI Data'!$I:$I,$I51)&gt;0,_xlfn.MAXIFS('Processed Non-zero TRI Data'!$V:$V,'Processed Non-zero TRI Data'!$I:$I,$I51), "N/A - Facility Does Not Report to TRI")</f>
        <v>N/A - Facility Does Not Report to TRI</v>
      </c>
      <c r="AI51" s="9" t="str">
        <f t="shared" si="43"/>
        <v>N/A - Facility Does Not Report to TRI</v>
      </c>
      <c r="AJ51" s="158" t="str" cm="1">
        <f t="array" ref="AJ51">IF(B51="TRI Form A",AC51,IF(AH51=0,"Facility has no transfers to POTWs between 2019-2023.",IF(COUNTIF('Processed Non-zero TRI Data'!$I:$I,$I51)&gt;0,INDEX('Processed Non-zero TRI Data'!$A:$A,MATCH(1,($I51='Processed Non-zero TRI Data'!$I:$I)*(AH51='Processed Non-zero TRI Data'!$V:$V),0)),"N/A - Facility Does Not Report to TRI")))</f>
        <v>N/A - Facility Does Not Report to TRI</v>
      </c>
      <c r="AK51" s="97" t="str" cm="1">
        <f t="array" ref="AK51">IFERROR(_xlfn.XLOOKUP(1,  (MAX(IF(I51 = 'Processed Non-zero TRI Data'!$I$2:$I$6,'Processed Non-zero TRI Data'!$A$2:$A$6)) = 'Processed Non-zero TRI Data'!$A$2:$A$6)*('Processed Non-zero TRI Data'!$I$2:$I$6 = I51), 'Processed Non-zero TRI Data'!$X$2:$X$6), "N/A- Facility Does Not Report to TRI")</f>
        <v>N/A- Facility Does Not Report to TRI</v>
      </c>
      <c r="AL51" s="9" t="str">
        <f t="shared" si="44"/>
        <v>N/A - Facility Does Not Report to TRI</v>
      </c>
      <c r="AM51" s="9" t="str" cm="1">
        <f t="array" ref="AM51">IF(COUNTIF('Processed Non-zero TRI Data'!$I:$I,$I51)&gt;0,MEDIAN(IF('Processed Non-zero TRI Data'!$I:$I=I51,'Processed Non-zero TRI Data'!$X:$X)), "N/A - Facility Does Not Report to TRI")</f>
        <v>N/A - Facility Does Not Report to TRI</v>
      </c>
      <c r="AN51" s="9" t="str">
        <f t="shared" si="45"/>
        <v>N/A - Facility Does Not Report to TRI</v>
      </c>
      <c r="AO51" s="9" t="str">
        <f>IF(COUNTIF('Processed Non-zero TRI Data'!$I:$I,$I51)&gt;0,_xlfn.MAXIFS('Processed Non-zero TRI Data'!$X:$X,'Processed Non-zero TRI Data'!$I:$I,$I51), "N/A - Facility Does Not Report to TRI")</f>
        <v>N/A - Facility Does Not Report to TRI</v>
      </c>
      <c r="AP51" s="9" t="str">
        <f t="shared" si="46"/>
        <v>N/A - Facility Does Not Report to TRI</v>
      </c>
      <c r="AQ51" s="251" t="str" cm="1">
        <f t="array" ref="AQ51">IF(B51="TRI Form A",AC51,IF(AO51=0,"Facility has no transfers to non-POTWs between 2019-2023.",IF(COUNTIF('Processed Non-zero TRI Data'!$I:$I,$I51)&gt;0,INDEX('Processed Non-zero TRI Data'!$A:$A,MATCH(1,($I51='Processed Non-zero TRI Data'!$I:$I)*(AO51='Processed Non-zero TRI Data'!$X:$X),0)),"N/A - Facility Does Not Report to TRI")))</f>
        <v>N/A - Facility Does Not Report to TRI</v>
      </c>
      <c r="AR51" s="260">
        <f t="shared" si="12"/>
        <v>0</v>
      </c>
      <c r="AS51" s="260">
        <f t="shared" si="13"/>
        <v>1.0603204374999999</v>
      </c>
    </row>
    <row r="52" spans="1:45" ht="30" x14ac:dyDescent="0.25">
      <c r="A52" s="12">
        <v>49</v>
      </c>
      <c r="B52" s="10" t="str">
        <f>IFERROR("TRI Form "&amp; VLOOKUP(I52, 'Processed Non-zero TRI Data'!$I$2:$K$6, 3, FALSE), "DMR")</f>
        <v>DMR</v>
      </c>
      <c r="C52" s="181" t="e">
        <f>VLOOKUP(D52,#REF!, 2, FALSE)</f>
        <v>#REF!</v>
      </c>
      <c r="D52" s="181" t="str">
        <f>IF(I52&lt;&gt;"",INDEX('Processed Non-zero TRI Data'!$O:$O,MATCH(I52,'Processed Non-zero TRI Data'!$I:$I,0)),INDEX('Processed Non-zero DMR Data'!$S:$S,MATCH(J52,'Processed Non-zero DMR Data'!$I:$I,0)))</f>
        <v>Waste Handling, Disposal and Treatment (POTW)</v>
      </c>
      <c r="E52" s="181" t="str">
        <f>IF(I52&lt;&gt;"",INDEX('Processed Non-zero TRI Data'!$P:$P,MATCH(I52,'Processed Non-zero TRI Data'!$I:$I,0)),INDEX('Processed Non-zero DMR Data'!$T:$T,MATCH(J52,'Processed Non-zero DMR Data'!$I:$I,0)))</f>
        <v>POTW indicator in DMR</v>
      </c>
      <c r="F52" s="9" t="str">
        <f>_xlfn.XLOOKUP(J52, 'Processed Non-zero DMR Data'!I:I, 'Processed Non-zero DMR Data'!B:B)</f>
        <v>GUTHRIE STP</v>
      </c>
      <c r="G52" s="9" t="str">
        <f>_xlfn.XLOOKUP(J52, 'Processed Non-zero DMR Data'!I:I, 'Processed Non-zero DMR Data'!C:C)</f>
        <v>GUTHRIE</v>
      </c>
      <c r="H52" s="9" t="str">
        <f>_xlfn.XLOOKUP(J52, 'Processed Non-zero DMR Data'!I:I, 'Processed Non-zero DMR Data'!E:E)</f>
        <v>KY</v>
      </c>
      <c r="I52" s="12"/>
      <c r="J52" s="13">
        <v>110009937499</v>
      </c>
      <c r="K52" s="9" t="str">
        <f>IFERROR(INDEX('Raw Non-zero DMR Data'!$C:$C, MATCH(J52,'Raw Non-zero DMR Data'!$D:$D,0)),"")</f>
        <v>KY0063649</v>
      </c>
      <c r="L52" s="9" t="str">
        <f>IFERROR(INDEX('Raw Non-zero DMR Data'!$U:$U, MATCH($J52,'Raw Non-zero DMR Data'!$D:$D,0)),"")</f>
        <v>Spring Creek</v>
      </c>
      <c r="M52" s="155" t="str">
        <f>IFERROR(INDEX('Raw Non-zero DMR Data'!$T:$T, MATCH($J52,'Raw Non-zero DMR Data'!$D:$D,0)),"")</f>
        <v>051302060603</v>
      </c>
      <c r="N52" s="155" t="str">
        <f>IFERROR(INDEX('Off-site Locations'!$E:$E,MATCH(I52,'Off-site Locations'!$B:$B,0)),"No offsite transfers")</f>
        <v>No offsite transfers</v>
      </c>
      <c r="O52" s="165">
        <f>INDEX('TRI and DMR OES Summary'!D:D,MATCH('Facility Discharge Summary'!D52,'TRI and DMR OES Summary'!A:A,0))</f>
        <v>365</v>
      </c>
      <c r="P52" s="17" cm="1">
        <f t="array" ref="P52">IFERROR(_xlfn.XLOOKUP(1,  (MAX(IF(J52 = 'Processed Non-zero DMR Data'!$I$2:$I$651,'Processed Non-zero DMR Data'!$A$2:$A$651)) = 'Processed Non-zero DMR Data'!$A$2:$A$651)*('Processed Non-zero DMR Data'!$I$2:$I$651 = J52),'Processed Non-zero DMR Data'!$W$2:$W$651), "N/A- Facility Does Not Report DMRs")</f>
        <v>0.1540400375</v>
      </c>
      <c r="Q52" s="10">
        <f t="shared" si="35"/>
        <v>4.2202750000000001E-4</v>
      </c>
      <c r="R52" s="10" cm="1">
        <f t="array" ref="R52">IF(COUNTIF('Processed Non-zero DMR Data'!$I:$I,$J52)&gt;0,MEDIAN(IF('Processed Non-zero DMR Data'!$I:$I=J52,'Processed Non-zero DMR Data'!$W:$W)),"N/A - Facility Does Not Report DMRs")</f>
        <v>0.60372642500000007</v>
      </c>
      <c r="S52" s="10">
        <f t="shared" si="36"/>
        <v>1.6540450000000003E-3</v>
      </c>
      <c r="T52" s="10">
        <f>IF(COUNTIF('Processed Non-zero DMR Data'!$I:$I,$J52)&gt;0,_xlfn.MAXIFS('Processed Non-zero DMR Data'!$W:$W,'Processed Non-zero DMR Data'!$I:$I,$J52), "N/A - Facility Does Not Report DMRs")</f>
        <v>1.0534128125</v>
      </c>
      <c r="U52" s="10">
        <f t="shared" si="37"/>
        <v>2.8860624999999997E-3</v>
      </c>
      <c r="V52" s="158" cm="1">
        <f t="array" ref="V52">IF(COUNTIF('Processed Non-zero DMR Data'!$I:$I,$J52)&gt;0,INDEX('Processed Non-zero DMR Data'!$A:$A,MATCH(1,($J52='Processed Non-zero DMR Data'!$I:$I)*($T52='Processed Non-zero DMR Data'!$W:$W),0)), "N/A - Facility Does Not Report DMRs")</f>
        <v>2019</v>
      </c>
      <c r="W52" s="17" t="str" cm="1">
        <f t="array" ref="W52">IFERROR(_xlfn.XLOOKUP(1,  (MAX(IF(I52 = 'Processed Non-zero TRI Data'!$I$2:$I$6,'Processed Non-zero TRI Data'!$A$2:$A$6)) = 'Processed Non-zero TRI Data'!$A$2:$A$6)*('Processed Non-zero TRI Data'!$I$2:$I$6 = I52), 'Processed Non-zero TRI Data'!$T$2:$T$6), "N/A- Facility Does Not Report to TRI")</f>
        <v>N/A- Facility Does Not Report to TRI</v>
      </c>
      <c r="X52" s="10" t="str">
        <f t="shared" si="38"/>
        <v>N/A - Facility Does Not Report to TRI</v>
      </c>
      <c r="Y52" s="10" t="str" cm="1">
        <f t="array" ref="Y52">IF(COUNTIF('Processed Non-zero TRI Data'!$I:$I,$I52)&gt;0,MEDIAN(IF('Processed Non-zero TRI Data'!$I:$I=I52,'Processed Non-zero TRI Data'!$T:$T)), "N/A - Facility Does Not Report to TRI")</f>
        <v>N/A - Facility Does Not Report to TRI</v>
      </c>
      <c r="Z52" s="10" t="str">
        <f t="shared" si="39"/>
        <v>N/A - Facility Does Not Report to TRI</v>
      </c>
      <c r="AA52" s="10" t="str">
        <f>IF(COUNTIF('Processed Non-zero TRI Data'!$I:$I,$I52)&gt;0,_xlfn.MAXIFS('Processed Non-zero TRI Data'!$T:$T,'Processed Non-zero TRI Data'!$I:$I,$I52), "N/A - Facility Does Not Report to TRI")</f>
        <v>N/A - Facility Does Not Report to TRI</v>
      </c>
      <c r="AB52" s="10" t="str">
        <f t="shared" si="40"/>
        <v>N/A - Facility Does Not Report to TRI</v>
      </c>
      <c r="AC52" s="158" t="str" cm="1">
        <f t="array" ref="AC52">IFERROR(IF(B52 = "TRI Form R", IF(AA52 = 0, "Facility has no on-site water discharges between 2017-2022.",  IF(COUNTIF('Processed Non-zero TRI Data'!$I:$I,$I52)&gt;0,INDEX('Processed Non-zero TRI Data'!$A:$A,MATCH(1,($I52='Processed Non-zero TRI Data'!$I:$I)*(AA52='Processed Non-zero TRI Data'!$T:$T),0)))), VLOOKUP(I52,#REF!, 2, FALSE)), ("N/A - Facility Does Not Report to TRI"))</f>
        <v>N/A - Facility Does Not Report to TRI</v>
      </c>
      <c r="AD52" s="97" t="str" cm="1">
        <f t="array" ref="AD52">IFERROR(_xlfn.XLOOKUP(1,  (MAX(IF(I52 = 'Processed Non-zero TRI Data'!$I$2:$I$6,'Processed Non-zero TRI Data'!$A$2:$A$6)) = 'Processed Non-zero TRI Data'!$A$2:$A$6)*('Processed Non-zero TRI Data'!$I$2:$I$6 = I52), 'Processed Non-zero TRI Data'!$V$2:$V$6), "N/A- Facility Does Not Report to TRI")</f>
        <v>N/A- Facility Does Not Report to TRI</v>
      </c>
      <c r="AE52" s="9" t="str">
        <f t="shared" si="41"/>
        <v>N/A - Facility Does Not Report to TRI</v>
      </c>
      <c r="AF52" s="9" t="str" cm="1">
        <f t="array" ref="AF52">IF(COUNTIF('Processed Non-zero TRI Data'!$I:$I,$I52)&gt;0,MEDIAN(IF('Processed Non-zero TRI Data'!$I:$I=I52,'Processed Non-zero TRI Data'!$V:$V)), "N/A - Facility Does Not Report to TRI")</f>
        <v>N/A - Facility Does Not Report to TRI</v>
      </c>
      <c r="AG52" s="9" t="str">
        <f t="shared" si="42"/>
        <v>N/A - Facility Does Not Report to TRI</v>
      </c>
      <c r="AH52" s="9" t="str">
        <f>IF(COUNTIF('Processed Non-zero TRI Data'!$I:$I,$I52)&gt;0,_xlfn.MAXIFS('Processed Non-zero TRI Data'!$V:$V,'Processed Non-zero TRI Data'!$I:$I,$I52), "N/A - Facility Does Not Report to TRI")</f>
        <v>N/A - Facility Does Not Report to TRI</v>
      </c>
      <c r="AI52" s="9" t="str">
        <f t="shared" si="43"/>
        <v>N/A - Facility Does Not Report to TRI</v>
      </c>
      <c r="AJ52" s="158" t="str" cm="1">
        <f t="array" ref="AJ52">IF(B52="TRI Form A",AC52,IF(AH52=0,"Facility has no transfers to POTWs between 2019-2023.",IF(COUNTIF('Processed Non-zero TRI Data'!$I:$I,$I52)&gt;0,INDEX('Processed Non-zero TRI Data'!$A:$A,MATCH(1,($I52='Processed Non-zero TRI Data'!$I:$I)*(AH52='Processed Non-zero TRI Data'!$V:$V),0)),"N/A - Facility Does Not Report to TRI")))</f>
        <v>N/A - Facility Does Not Report to TRI</v>
      </c>
      <c r="AK52" s="97" t="str" cm="1">
        <f t="array" ref="AK52">IFERROR(_xlfn.XLOOKUP(1,  (MAX(IF(I52 = 'Processed Non-zero TRI Data'!$I$2:$I$6,'Processed Non-zero TRI Data'!$A$2:$A$6)) = 'Processed Non-zero TRI Data'!$A$2:$A$6)*('Processed Non-zero TRI Data'!$I$2:$I$6 = I52), 'Processed Non-zero TRI Data'!$X$2:$X$6), "N/A- Facility Does Not Report to TRI")</f>
        <v>N/A- Facility Does Not Report to TRI</v>
      </c>
      <c r="AL52" s="9" t="str">
        <f t="shared" si="44"/>
        <v>N/A - Facility Does Not Report to TRI</v>
      </c>
      <c r="AM52" s="9" t="str" cm="1">
        <f t="array" ref="AM52">IF(COUNTIF('Processed Non-zero TRI Data'!$I:$I,$I52)&gt;0,MEDIAN(IF('Processed Non-zero TRI Data'!$I:$I=I52,'Processed Non-zero TRI Data'!$X:$X)), "N/A - Facility Does Not Report to TRI")</f>
        <v>N/A - Facility Does Not Report to TRI</v>
      </c>
      <c r="AN52" s="9" t="str">
        <f t="shared" si="45"/>
        <v>N/A - Facility Does Not Report to TRI</v>
      </c>
      <c r="AO52" s="9" t="str">
        <f>IF(COUNTIF('Processed Non-zero TRI Data'!$I:$I,$I52)&gt;0,_xlfn.MAXIFS('Processed Non-zero TRI Data'!$X:$X,'Processed Non-zero TRI Data'!$I:$I,$I52), "N/A - Facility Does Not Report to TRI")</f>
        <v>N/A - Facility Does Not Report to TRI</v>
      </c>
      <c r="AP52" s="9" t="str">
        <f t="shared" si="46"/>
        <v>N/A - Facility Does Not Report to TRI</v>
      </c>
      <c r="AQ52" s="251" t="str" cm="1">
        <f t="array" ref="AQ52">IF(B52="TRI Form A",AC52,IF(AO52=0,"Facility has no transfers to non-POTWs between 2019-2023.",IF(COUNTIF('Processed Non-zero TRI Data'!$I:$I,$I52)&gt;0,INDEX('Processed Non-zero TRI Data'!$A:$A,MATCH(1,($I52='Processed Non-zero TRI Data'!$I:$I)*(AO52='Processed Non-zero TRI Data'!$X:$X),0)),"N/A - Facility Does Not Report to TRI")))</f>
        <v>N/A - Facility Does Not Report to TRI</v>
      </c>
      <c r="AR52" s="260">
        <f t="shared" si="12"/>
        <v>0</v>
      </c>
      <c r="AS52" s="260">
        <f t="shared" si="13"/>
        <v>1.0534128125</v>
      </c>
    </row>
    <row r="53" spans="1:45" ht="30" x14ac:dyDescent="0.25">
      <c r="A53" s="12">
        <v>50</v>
      </c>
      <c r="B53" s="10" t="str">
        <f>IFERROR("TRI Form "&amp; VLOOKUP(I53, 'Processed Non-zero TRI Data'!$I$2:$K$6, 3, FALSE), "DMR")</f>
        <v>DMR</v>
      </c>
      <c r="C53" s="181" t="e">
        <f>VLOOKUP(D53,#REF!, 2, FALSE)</f>
        <v>#REF!</v>
      </c>
      <c r="D53" s="181" t="str">
        <f>IF(I53&lt;&gt;"",INDEX('Processed Non-zero TRI Data'!$O:$O,MATCH(I53,'Processed Non-zero TRI Data'!$I:$I,0)),INDEX('Processed Non-zero DMR Data'!$S:$S,MATCH(J53,'Processed Non-zero DMR Data'!$I:$I,0)))</f>
        <v>Waste Handling, Disposal and Treatment (POTW)</v>
      </c>
      <c r="E53" s="181" t="str">
        <f>IF(I53&lt;&gt;"",INDEX('Processed Non-zero TRI Data'!$P:$P,MATCH(I53,'Processed Non-zero TRI Data'!$I:$I,0)),INDEX('Processed Non-zero DMR Data'!$T:$T,MATCH(J53,'Processed Non-zero DMR Data'!$I:$I,0)))</f>
        <v>POTW indicator in DMR</v>
      </c>
      <c r="F53" s="9" t="str">
        <f>_xlfn.XLOOKUP(J53, 'Processed Non-zero DMR Data'!I:I, 'Processed Non-zero DMR Data'!B:B)</f>
        <v>SANTA CRUZ WASTEWATER TREATMENT PLANT</v>
      </c>
      <c r="G53" s="9" t="str">
        <f>_xlfn.XLOOKUP(J53, 'Processed Non-zero DMR Data'!I:I, 'Processed Non-zero DMR Data'!C:C)</f>
        <v>SANTA CRUZ</v>
      </c>
      <c r="H53" s="9" t="str">
        <f>_xlfn.XLOOKUP(J53, 'Processed Non-zero DMR Data'!I:I, 'Processed Non-zero DMR Data'!E:E)</f>
        <v>CA</v>
      </c>
      <c r="I53" s="12"/>
      <c r="J53" s="13">
        <v>110013848453</v>
      </c>
      <c r="K53" s="9" t="str">
        <f>IFERROR(INDEX('Raw Non-zero DMR Data'!$C:$C, MATCH(J53,'Raw Non-zero DMR Data'!$D:$D,0)),"")</f>
        <v>CA0048194</v>
      </c>
      <c r="L53" s="9" t="str">
        <f>IFERROR(INDEX('Raw Non-zero DMR Data'!$U:$U, MATCH($J53,'Raw Non-zero DMR Data'!$D:$D,0)),"")</f>
        <v>Monterey Bay</v>
      </c>
      <c r="M53" s="155">
        <f>IFERROR(INDEX('Raw Non-zero DMR Data'!$T:$T, MATCH($J53,'Raw Non-zero DMR Data'!$D:$D,0)),"")</f>
        <v>180600150305</v>
      </c>
      <c r="N53" s="155" t="str">
        <f>IFERROR(INDEX('Off-site Locations'!$E:$E,MATCH(I53,'Off-site Locations'!$B:$B,0)),"No offsite transfers")</f>
        <v>No offsite transfers</v>
      </c>
      <c r="O53" s="165">
        <f>INDEX('TRI and DMR OES Summary'!D:D,MATCH('Facility Discharge Summary'!D53,'TRI and DMR OES Summary'!A:A,0))</f>
        <v>365</v>
      </c>
      <c r="P53" s="17" cm="1">
        <f t="array" ref="P53">IFERROR(_xlfn.XLOOKUP(1,  (MAX(IF(J53 = 'Processed Non-zero DMR Data'!$I$2:$I$651,'Processed Non-zero DMR Data'!$A$2:$A$651)) = 'Processed Non-zero DMR Data'!$A$2:$A$651)*('Processed Non-zero DMR Data'!$I$2:$I$651 = J53),'Processed Non-zero DMR Data'!$W$2:$W$651), "N/A- Facility Does Not Report DMRs")</f>
        <v>1.037379174</v>
      </c>
      <c r="Q53" s="10">
        <f t="shared" si="35"/>
        <v>2.8421347232876711E-3</v>
      </c>
      <c r="R53" s="10" cm="1">
        <f t="array" ref="R53">IF(COUNTIF('Processed Non-zero DMR Data'!$I:$I,$J53)&gt;0,MEDIAN(IF('Processed Non-zero DMR Data'!$I:$I=J53,'Processed Non-zero DMR Data'!$W:$W)),"N/A - Facility Does Not Report DMRs")</f>
        <v>0.548674822555</v>
      </c>
      <c r="S53" s="10">
        <f t="shared" si="36"/>
        <v>1.5032186919315068E-3</v>
      </c>
      <c r="T53" s="10">
        <f>IF(COUNTIF('Processed Non-zero DMR Data'!$I:$I,$J53)&gt;0,_xlfn.MAXIFS('Processed Non-zero DMR Data'!$W:$W,'Processed Non-zero DMR Data'!$I:$I,$J53), "N/A - Facility Does Not Report DMRs")</f>
        <v>1.485631425</v>
      </c>
      <c r="U53" s="10">
        <f t="shared" si="37"/>
        <v>4.0702230821917807E-3</v>
      </c>
      <c r="V53" s="158" cm="1">
        <f t="array" ref="V53">IF(COUNTIF('Processed Non-zero DMR Data'!$I:$I,$J53)&gt;0,INDEX('Processed Non-zero DMR Data'!$A:$A,MATCH(1,($J53='Processed Non-zero DMR Data'!$I:$I)*($T53='Processed Non-zero DMR Data'!$W:$W),0)), "N/A - Facility Does Not Report DMRs")</f>
        <v>2019</v>
      </c>
      <c r="W53" s="17" t="str" cm="1">
        <f t="array" ref="W53">IFERROR(_xlfn.XLOOKUP(1,  (MAX(IF(I53 = 'Processed Non-zero TRI Data'!$I$2:$I$6,'Processed Non-zero TRI Data'!$A$2:$A$6)) = 'Processed Non-zero TRI Data'!$A$2:$A$6)*('Processed Non-zero TRI Data'!$I$2:$I$6 = I53), 'Processed Non-zero TRI Data'!$T$2:$T$6), "N/A- Facility Does Not Report to TRI")</f>
        <v>N/A- Facility Does Not Report to TRI</v>
      </c>
      <c r="X53" s="10" t="str">
        <f t="shared" si="38"/>
        <v>N/A - Facility Does Not Report to TRI</v>
      </c>
      <c r="Y53" s="10" t="str" cm="1">
        <f t="array" ref="Y53">IF(COUNTIF('Processed Non-zero TRI Data'!$I:$I,$I53)&gt;0,MEDIAN(IF('Processed Non-zero TRI Data'!$I:$I=I53,'Processed Non-zero TRI Data'!$T:$T)), "N/A - Facility Does Not Report to TRI")</f>
        <v>N/A - Facility Does Not Report to TRI</v>
      </c>
      <c r="Z53" s="10" t="str">
        <f t="shared" si="39"/>
        <v>N/A - Facility Does Not Report to TRI</v>
      </c>
      <c r="AA53" s="10" t="str">
        <f>IF(COUNTIF('Processed Non-zero TRI Data'!$I:$I,$I53)&gt;0,_xlfn.MAXIFS('Processed Non-zero TRI Data'!$T:$T,'Processed Non-zero TRI Data'!$I:$I,$I53), "N/A - Facility Does Not Report to TRI")</f>
        <v>N/A - Facility Does Not Report to TRI</v>
      </c>
      <c r="AB53" s="10" t="str">
        <f t="shared" si="40"/>
        <v>N/A - Facility Does Not Report to TRI</v>
      </c>
      <c r="AC53" s="158" t="str" cm="1">
        <f t="array" ref="AC53">IFERROR(IF(B53 = "TRI Form R", IF(AA53 = 0, "Facility has no on-site water discharges between 2017-2022.",  IF(COUNTIF('Processed Non-zero TRI Data'!$I:$I,$I53)&gt;0,INDEX('Processed Non-zero TRI Data'!$A:$A,MATCH(1,($I53='Processed Non-zero TRI Data'!$I:$I)*(AA53='Processed Non-zero TRI Data'!$T:$T),0)))), VLOOKUP(I53,#REF!, 2, FALSE)), ("N/A - Facility Does Not Report to TRI"))</f>
        <v>N/A - Facility Does Not Report to TRI</v>
      </c>
      <c r="AD53" s="97" t="str" cm="1">
        <f t="array" ref="AD53">IFERROR(_xlfn.XLOOKUP(1,  (MAX(IF(I53 = 'Processed Non-zero TRI Data'!$I$2:$I$6,'Processed Non-zero TRI Data'!$A$2:$A$6)) = 'Processed Non-zero TRI Data'!$A$2:$A$6)*('Processed Non-zero TRI Data'!$I$2:$I$6 = I53), 'Processed Non-zero TRI Data'!$V$2:$V$6), "N/A- Facility Does Not Report to TRI")</f>
        <v>N/A- Facility Does Not Report to TRI</v>
      </c>
      <c r="AE53" s="9" t="str">
        <f t="shared" si="41"/>
        <v>N/A - Facility Does Not Report to TRI</v>
      </c>
      <c r="AF53" s="9" t="str" cm="1">
        <f t="array" ref="AF53">IF(COUNTIF('Processed Non-zero TRI Data'!$I:$I,$I53)&gt;0,MEDIAN(IF('Processed Non-zero TRI Data'!$I:$I=I53,'Processed Non-zero TRI Data'!$V:$V)), "N/A - Facility Does Not Report to TRI")</f>
        <v>N/A - Facility Does Not Report to TRI</v>
      </c>
      <c r="AG53" s="9" t="str">
        <f t="shared" si="42"/>
        <v>N/A - Facility Does Not Report to TRI</v>
      </c>
      <c r="AH53" s="9" t="str">
        <f>IF(COUNTIF('Processed Non-zero TRI Data'!$I:$I,$I53)&gt;0,_xlfn.MAXIFS('Processed Non-zero TRI Data'!$V:$V,'Processed Non-zero TRI Data'!$I:$I,$I53), "N/A - Facility Does Not Report to TRI")</f>
        <v>N/A - Facility Does Not Report to TRI</v>
      </c>
      <c r="AI53" s="9" t="str">
        <f t="shared" si="43"/>
        <v>N/A - Facility Does Not Report to TRI</v>
      </c>
      <c r="AJ53" s="158" t="str" cm="1">
        <f t="array" ref="AJ53">IF(B53="TRI Form A",AC53,IF(AH53=0,"Facility has no transfers to POTWs between 2019-2023.",IF(COUNTIF('Processed Non-zero TRI Data'!$I:$I,$I53)&gt;0,INDEX('Processed Non-zero TRI Data'!$A:$A,MATCH(1,($I53='Processed Non-zero TRI Data'!$I:$I)*(AH53='Processed Non-zero TRI Data'!$V:$V),0)),"N/A - Facility Does Not Report to TRI")))</f>
        <v>N/A - Facility Does Not Report to TRI</v>
      </c>
      <c r="AK53" s="97" t="str" cm="1">
        <f t="array" ref="AK53">IFERROR(_xlfn.XLOOKUP(1,  (MAX(IF(I53 = 'Processed Non-zero TRI Data'!$I$2:$I$6,'Processed Non-zero TRI Data'!$A$2:$A$6)) = 'Processed Non-zero TRI Data'!$A$2:$A$6)*('Processed Non-zero TRI Data'!$I$2:$I$6 = I53), 'Processed Non-zero TRI Data'!$X$2:$X$6), "N/A- Facility Does Not Report to TRI")</f>
        <v>N/A- Facility Does Not Report to TRI</v>
      </c>
      <c r="AL53" s="9" t="str">
        <f t="shared" si="44"/>
        <v>N/A - Facility Does Not Report to TRI</v>
      </c>
      <c r="AM53" s="9" t="str" cm="1">
        <f t="array" ref="AM53">IF(COUNTIF('Processed Non-zero TRI Data'!$I:$I,$I53)&gt;0,MEDIAN(IF('Processed Non-zero TRI Data'!$I:$I=I53,'Processed Non-zero TRI Data'!$X:$X)), "N/A - Facility Does Not Report to TRI")</f>
        <v>N/A - Facility Does Not Report to TRI</v>
      </c>
      <c r="AN53" s="9" t="str">
        <f t="shared" si="45"/>
        <v>N/A - Facility Does Not Report to TRI</v>
      </c>
      <c r="AO53" s="9" t="str">
        <f>IF(COUNTIF('Processed Non-zero TRI Data'!$I:$I,$I53)&gt;0,_xlfn.MAXIFS('Processed Non-zero TRI Data'!$X:$X,'Processed Non-zero TRI Data'!$I:$I,$I53), "N/A - Facility Does Not Report to TRI")</f>
        <v>N/A - Facility Does Not Report to TRI</v>
      </c>
      <c r="AP53" s="9" t="str">
        <f t="shared" si="46"/>
        <v>N/A - Facility Does Not Report to TRI</v>
      </c>
      <c r="AQ53" s="251" t="str" cm="1">
        <f t="array" ref="AQ53">IF(B53="TRI Form A",AC53,IF(AO53=0,"Facility has no transfers to non-POTWs between 2019-2023.",IF(COUNTIF('Processed Non-zero TRI Data'!$I:$I,$I53)&gt;0,INDEX('Processed Non-zero TRI Data'!$A:$A,MATCH(1,($I53='Processed Non-zero TRI Data'!$I:$I)*(AO53='Processed Non-zero TRI Data'!$X:$X),0)),"N/A - Facility Does Not Report to TRI")))</f>
        <v>N/A - Facility Does Not Report to TRI</v>
      </c>
      <c r="AR53" s="260">
        <f t="shared" si="12"/>
        <v>0</v>
      </c>
      <c r="AS53" s="260">
        <f t="shared" si="13"/>
        <v>1.485631425</v>
      </c>
    </row>
    <row r="54" spans="1:45" ht="30" x14ac:dyDescent="0.25">
      <c r="A54" s="12">
        <v>51</v>
      </c>
      <c r="B54" s="10" t="str">
        <f>IFERROR("TRI Form "&amp; VLOOKUP(I54, 'Processed Non-zero TRI Data'!$I$2:$K$6, 3, FALSE), "DMR")</f>
        <v>DMR</v>
      </c>
      <c r="C54" s="181" t="e">
        <f>VLOOKUP(D54,#REF!, 2, FALSE)</f>
        <v>#REF!</v>
      </c>
      <c r="D54" s="181" t="str">
        <f>IF(I54&lt;&gt;"",INDEX('Processed Non-zero TRI Data'!$O:$O,MATCH(I54,'Processed Non-zero TRI Data'!$I:$I,0)),INDEX('Processed Non-zero DMR Data'!$S:$S,MATCH(J54,'Processed Non-zero DMR Data'!$I:$I,0)))</f>
        <v>Unknown</v>
      </c>
      <c r="E54" s="181" t="str">
        <f>IF(I54&lt;&gt;"",INDEX('Processed Non-zero TRI Data'!$P:$P,MATCH(I54,'Processed Non-zero TRI Data'!$I:$I,0)),INDEX('Processed Non-zero DMR Data'!$T:$T,MATCH(J54,'Processed Non-zero DMR Data'!$I:$I,0)))</f>
        <v>Coal power plant; no OES to map to.</v>
      </c>
      <c r="F54" s="9" t="str">
        <f>_xlfn.XLOOKUP(J54, 'Processed Non-zero DMR Data'!I:I, 'Processed Non-zero DMR Data'!B:B)</f>
        <v>PRAIRIE STATE GENERATING STATION</v>
      </c>
      <c r="G54" s="9" t="str">
        <f>_xlfn.XLOOKUP(J54, 'Processed Non-zero DMR Data'!I:I, 'Processed Non-zero DMR Data'!C:C)</f>
        <v>MARISSA</v>
      </c>
      <c r="H54" s="9" t="str">
        <f>_xlfn.XLOOKUP(J54, 'Processed Non-zero DMR Data'!I:I, 'Processed Non-zero DMR Data'!E:E)</f>
        <v>IL</v>
      </c>
      <c r="I54" s="12"/>
      <c r="J54" s="13">
        <v>110044852068</v>
      </c>
      <c r="K54" s="9" t="str">
        <f>IFERROR(INDEX('Raw Non-zero DMR Data'!$C:$C, MATCH(J54,'Raw Non-zero DMR Data'!$D:$D,0)),"")</f>
        <v>IL0076996</v>
      </c>
      <c r="L54" s="9" t="str">
        <f>IFERROR(INDEX('Raw Non-zero DMR Data'!$U:$U, MATCH($J54,'Raw Non-zero DMR Data'!$D:$D,0)),"")</f>
        <v>South Fork Mud Creek</v>
      </c>
      <c r="M54" s="155" t="str">
        <f>IFERROR(INDEX('Raw Non-zero DMR Data'!$T:$T, MATCH($J54,'Raw Non-zero DMR Data'!$D:$D,0)),"")</f>
        <v>071402040302</v>
      </c>
      <c r="N54" s="155" t="str">
        <f>IFERROR(INDEX('Off-site Locations'!$E:$E,MATCH(I54,'Off-site Locations'!$B:$B,0)),"No offsite transfers")</f>
        <v>No offsite transfers</v>
      </c>
      <c r="O54" s="165">
        <f>INDEX('TRI and DMR OES Summary'!D:D,MATCH('Facility Discharge Summary'!D54,'TRI and DMR OES Summary'!A:A,0))</f>
        <v>250</v>
      </c>
      <c r="P54" s="17" cm="1">
        <f t="array" ref="P54">IFERROR(_xlfn.XLOOKUP(1,  (MAX(IF(J54 = 'Processed Non-zero DMR Data'!$I$2:$I$651,'Processed Non-zero DMR Data'!$A$2:$A$651)) = 'Processed Non-zero DMR Data'!$A$2:$A$651)*('Processed Non-zero DMR Data'!$I$2:$I$651 = J54),'Processed Non-zero DMR Data'!$W$2:$W$651), "N/A- Facility Does Not Report DMRs")</f>
        <v>2.4298261700000001</v>
      </c>
      <c r="Q54" s="10">
        <f t="shared" si="35"/>
        <v>9.7193046800000005E-3</v>
      </c>
      <c r="R54" s="10" cm="1">
        <f t="array" ref="R54">IF(COUNTIF('Processed Non-zero DMR Data'!$I:$I,$J54)&gt;0,MEDIAN(IF('Processed Non-zero DMR Data'!$I:$I=J54,'Processed Non-zero DMR Data'!$W:$W)),"N/A - Facility Does Not Report DMRs")</f>
        <v>2.03367387625</v>
      </c>
      <c r="S54" s="10">
        <f t="shared" si="36"/>
        <v>8.1346955049999992E-3</v>
      </c>
      <c r="T54" s="10">
        <f>IF(COUNTIF('Processed Non-zero DMR Data'!$I:$I,$J54)&gt;0,_xlfn.MAXIFS('Processed Non-zero DMR Data'!$W:$W,'Processed Non-zero DMR Data'!$I:$I,$J54), "N/A - Facility Does Not Report DMRs")</f>
        <v>2.4298261700000001</v>
      </c>
      <c r="U54" s="10">
        <f t="shared" si="37"/>
        <v>9.7193046800000005E-3</v>
      </c>
      <c r="V54" s="158" cm="1">
        <f t="array" ref="V54">IF(COUNTIF('Processed Non-zero DMR Data'!$I:$I,$J54)&gt;0,INDEX('Processed Non-zero DMR Data'!$A:$A,MATCH(1,($J54='Processed Non-zero DMR Data'!$I:$I)*($T54='Processed Non-zero DMR Data'!$W:$W),0)), "N/A - Facility Does Not Report DMRs")</f>
        <v>2023</v>
      </c>
      <c r="W54" s="17" t="str" cm="1">
        <f t="array" ref="W54">IFERROR(_xlfn.XLOOKUP(1,  (MAX(IF(I54 = 'Processed Non-zero TRI Data'!$I$2:$I$6,'Processed Non-zero TRI Data'!$A$2:$A$6)) = 'Processed Non-zero TRI Data'!$A$2:$A$6)*('Processed Non-zero TRI Data'!$I$2:$I$6 = I54), 'Processed Non-zero TRI Data'!$T$2:$T$6), "N/A- Facility Does Not Report to TRI")</f>
        <v>N/A- Facility Does Not Report to TRI</v>
      </c>
      <c r="X54" s="10" t="str">
        <f t="shared" si="38"/>
        <v>N/A - Facility Does Not Report to TRI</v>
      </c>
      <c r="Y54" s="10" t="str" cm="1">
        <f t="array" ref="Y54">IF(COUNTIF('Processed Non-zero TRI Data'!$I:$I,$I54)&gt;0,MEDIAN(IF('Processed Non-zero TRI Data'!$I:$I=I54,'Processed Non-zero TRI Data'!$T:$T)), "N/A - Facility Does Not Report to TRI")</f>
        <v>N/A - Facility Does Not Report to TRI</v>
      </c>
      <c r="Z54" s="10" t="str">
        <f t="shared" si="39"/>
        <v>N/A - Facility Does Not Report to TRI</v>
      </c>
      <c r="AA54" s="10" t="str">
        <f>IF(COUNTIF('Processed Non-zero TRI Data'!$I:$I,$I54)&gt;0,_xlfn.MAXIFS('Processed Non-zero TRI Data'!$T:$T,'Processed Non-zero TRI Data'!$I:$I,$I54), "N/A - Facility Does Not Report to TRI")</f>
        <v>N/A - Facility Does Not Report to TRI</v>
      </c>
      <c r="AB54" s="10" t="str">
        <f t="shared" si="40"/>
        <v>N/A - Facility Does Not Report to TRI</v>
      </c>
      <c r="AC54" s="158" t="str" cm="1">
        <f t="array" ref="AC54">IFERROR(IF(B54 = "TRI Form R", IF(AA54 = 0, "Facility has no on-site water discharges between 2017-2022.",  IF(COUNTIF('Processed Non-zero TRI Data'!$I:$I,$I54)&gt;0,INDEX('Processed Non-zero TRI Data'!$A:$A,MATCH(1,($I54='Processed Non-zero TRI Data'!$I:$I)*(AA54='Processed Non-zero TRI Data'!$T:$T),0)))), VLOOKUP(I54,#REF!, 2, FALSE)), ("N/A - Facility Does Not Report to TRI"))</f>
        <v>N/A - Facility Does Not Report to TRI</v>
      </c>
      <c r="AD54" s="97" t="str" cm="1">
        <f t="array" ref="AD54">IFERROR(_xlfn.XLOOKUP(1,  (MAX(IF(I54 = 'Processed Non-zero TRI Data'!$I$2:$I$6,'Processed Non-zero TRI Data'!$A$2:$A$6)) = 'Processed Non-zero TRI Data'!$A$2:$A$6)*('Processed Non-zero TRI Data'!$I$2:$I$6 = I54), 'Processed Non-zero TRI Data'!$V$2:$V$6), "N/A- Facility Does Not Report to TRI")</f>
        <v>N/A- Facility Does Not Report to TRI</v>
      </c>
      <c r="AE54" s="9" t="str">
        <f t="shared" si="41"/>
        <v>N/A - Facility Does Not Report to TRI</v>
      </c>
      <c r="AF54" s="9" t="str" cm="1">
        <f t="array" ref="AF54">IF(COUNTIF('Processed Non-zero TRI Data'!$I:$I,$I54)&gt;0,MEDIAN(IF('Processed Non-zero TRI Data'!$I:$I=I54,'Processed Non-zero TRI Data'!$V:$V)), "N/A - Facility Does Not Report to TRI")</f>
        <v>N/A - Facility Does Not Report to TRI</v>
      </c>
      <c r="AG54" s="9" t="str">
        <f t="shared" si="42"/>
        <v>N/A - Facility Does Not Report to TRI</v>
      </c>
      <c r="AH54" s="9" t="str">
        <f>IF(COUNTIF('Processed Non-zero TRI Data'!$I:$I,$I54)&gt;0,_xlfn.MAXIFS('Processed Non-zero TRI Data'!$V:$V,'Processed Non-zero TRI Data'!$I:$I,$I54), "N/A - Facility Does Not Report to TRI")</f>
        <v>N/A - Facility Does Not Report to TRI</v>
      </c>
      <c r="AI54" s="9" t="str">
        <f t="shared" si="43"/>
        <v>N/A - Facility Does Not Report to TRI</v>
      </c>
      <c r="AJ54" s="158" t="str" cm="1">
        <f t="array" ref="AJ54">IF(B54="TRI Form A",AC54,IF(AH54=0,"Facility has no transfers to POTWs between 2019-2023.",IF(COUNTIF('Processed Non-zero TRI Data'!$I:$I,$I54)&gt;0,INDEX('Processed Non-zero TRI Data'!$A:$A,MATCH(1,($I54='Processed Non-zero TRI Data'!$I:$I)*(AH54='Processed Non-zero TRI Data'!$V:$V),0)),"N/A - Facility Does Not Report to TRI")))</f>
        <v>N/A - Facility Does Not Report to TRI</v>
      </c>
      <c r="AK54" s="97" t="str" cm="1">
        <f t="array" ref="AK54">IFERROR(_xlfn.XLOOKUP(1,  (MAX(IF(I54 = 'Processed Non-zero TRI Data'!$I$2:$I$6,'Processed Non-zero TRI Data'!$A$2:$A$6)) = 'Processed Non-zero TRI Data'!$A$2:$A$6)*('Processed Non-zero TRI Data'!$I$2:$I$6 = I54), 'Processed Non-zero TRI Data'!$X$2:$X$6), "N/A- Facility Does Not Report to TRI")</f>
        <v>N/A- Facility Does Not Report to TRI</v>
      </c>
      <c r="AL54" s="9" t="str">
        <f t="shared" si="44"/>
        <v>N/A - Facility Does Not Report to TRI</v>
      </c>
      <c r="AM54" s="9" t="str" cm="1">
        <f t="array" ref="AM54">IF(COUNTIF('Processed Non-zero TRI Data'!$I:$I,$I54)&gt;0,MEDIAN(IF('Processed Non-zero TRI Data'!$I:$I=I54,'Processed Non-zero TRI Data'!$X:$X)), "N/A - Facility Does Not Report to TRI")</f>
        <v>N/A - Facility Does Not Report to TRI</v>
      </c>
      <c r="AN54" s="9" t="str">
        <f t="shared" si="45"/>
        <v>N/A - Facility Does Not Report to TRI</v>
      </c>
      <c r="AO54" s="9" t="str">
        <f>IF(COUNTIF('Processed Non-zero TRI Data'!$I:$I,$I54)&gt;0,_xlfn.MAXIFS('Processed Non-zero TRI Data'!$X:$X,'Processed Non-zero TRI Data'!$I:$I,$I54), "N/A - Facility Does Not Report to TRI")</f>
        <v>N/A - Facility Does Not Report to TRI</v>
      </c>
      <c r="AP54" s="9" t="str">
        <f t="shared" si="46"/>
        <v>N/A - Facility Does Not Report to TRI</v>
      </c>
      <c r="AQ54" s="251" t="str" cm="1">
        <f t="array" ref="AQ54">IF(B54="TRI Form A",AC54,IF(AO54=0,"Facility has no transfers to non-POTWs between 2019-2023.",IF(COUNTIF('Processed Non-zero TRI Data'!$I:$I,$I54)&gt;0,INDEX('Processed Non-zero TRI Data'!$A:$A,MATCH(1,($I54='Processed Non-zero TRI Data'!$I:$I)*(AO54='Processed Non-zero TRI Data'!$X:$X),0)),"N/A - Facility Does Not Report to TRI")))</f>
        <v>N/A - Facility Does Not Report to TRI</v>
      </c>
      <c r="AR54" s="260">
        <f t="shared" si="12"/>
        <v>0</v>
      </c>
      <c r="AS54" s="260">
        <f t="shared" si="13"/>
        <v>2.4298261700000001</v>
      </c>
    </row>
    <row r="55" spans="1:45" ht="30" x14ac:dyDescent="0.25">
      <c r="A55" s="12">
        <v>52</v>
      </c>
      <c r="B55" s="10" t="str">
        <f>IFERROR("TRI Form "&amp; VLOOKUP(I55, 'Processed Non-zero TRI Data'!$I$2:$K$6, 3, FALSE), "DMR")</f>
        <v>DMR</v>
      </c>
      <c r="C55" s="181" t="e">
        <f>VLOOKUP(D55,#REF!, 2, FALSE)</f>
        <v>#REF!</v>
      </c>
      <c r="D55" s="181" t="str">
        <f>IF(I55&lt;&gt;"",INDEX('Processed Non-zero TRI Data'!$O:$O,MATCH(I55,'Processed Non-zero TRI Data'!$I:$I,0)),INDEX('Processed Non-zero DMR Data'!$S:$S,MATCH(J55,'Processed Non-zero DMR Data'!$I:$I,0)))</f>
        <v>Unknown</v>
      </c>
      <c r="E55" s="181" t="str">
        <f>IF(I55&lt;&gt;"",INDEX('Processed Non-zero TRI Data'!$P:$P,MATCH(I55,'Processed Non-zero TRI Data'!$I:$I,0)),INDEX('Processed Non-zero DMR Data'!$T:$T,MATCH(J55,'Processed Non-zero DMR Data'!$I:$I,0)))</f>
        <v>Airport; no OES to map to.</v>
      </c>
      <c r="F55" s="9" t="str">
        <f>_xlfn.XLOOKUP(J55, 'Processed Non-zero DMR Data'!I:I, 'Processed Non-zero DMR Data'!B:B)</f>
        <v>MCCARRAN INTERNATIONAL AIRPORT</v>
      </c>
      <c r="G55" s="9" t="str">
        <f>_xlfn.XLOOKUP(J55, 'Processed Non-zero DMR Data'!I:I, 'Processed Non-zero DMR Data'!C:C)</f>
        <v>LAS VEGAS</v>
      </c>
      <c r="H55" s="9" t="str">
        <f>_xlfn.XLOOKUP(J55, 'Processed Non-zero DMR Data'!I:I, 'Processed Non-zero DMR Data'!E:E)</f>
        <v>NV</v>
      </c>
      <c r="I55" s="12"/>
      <c r="J55" s="13">
        <v>110064134459</v>
      </c>
      <c r="K55" s="9" t="str">
        <f>IFERROR(INDEX('Raw Non-zero DMR Data'!$C:$C, MATCH(J55,'Raw Non-zero DMR Data'!$D:$D,0)),"")</f>
        <v>NV0023761</v>
      </c>
      <c r="L55" s="9" t="str">
        <f>IFERROR(INDEX('Raw Non-zero DMR Data'!$U:$U, MATCH($J55,'Raw Non-zero DMR Data'!$D:$D,0)),"")</f>
        <v>Duck Creek</v>
      </c>
      <c r="M55" s="155">
        <f>IFERROR(INDEX('Raw Non-zero DMR Data'!$T:$T, MATCH($J55,'Raw Non-zero DMR Data'!$D:$D,0)),"")</f>
        <v>150100150704</v>
      </c>
      <c r="N55" s="155" t="str">
        <f>IFERROR(INDEX('Off-site Locations'!$E:$E,MATCH(I55,'Off-site Locations'!$B:$B,0)),"No offsite transfers")</f>
        <v>No offsite transfers</v>
      </c>
      <c r="O55" s="165">
        <f>INDEX('TRI and DMR OES Summary'!D:D,MATCH('Facility Discharge Summary'!D55,'TRI and DMR OES Summary'!A:A,0))</f>
        <v>250</v>
      </c>
      <c r="P55" s="17" cm="1">
        <f t="array" ref="P55">IFERROR(_xlfn.XLOOKUP(1,  (MAX(IF(J55 = 'Processed Non-zero DMR Data'!$I$2:$I$651,'Processed Non-zero DMR Data'!$A$2:$A$651)) = 'Processed Non-zero DMR Data'!$A$2:$A$651)*('Processed Non-zero DMR Data'!$I$2:$I$651 = J55),'Processed Non-zero DMR Data'!$W$2:$W$651), "N/A- Facility Does Not Report DMRs")</f>
        <v>7.1289528749999996E-3</v>
      </c>
      <c r="Q55" s="10">
        <f t="shared" si="35"/>
        <v>2.8515811499999997E-5</v>
      </c>
      <c r="R55" s="10" cm="1">
        <f t="array" ref="R55">IF(COUNTIF('Processed Non-zero DMR Data'!$I:$I,$J55)&gt;0,MEDIAN(IF('Processed Non-zero DMR Data'!$I:$I=J55,'Processed Non-zero DMR Data'!$W:$W)),"N/A - Facility Does Not Report DMRs")</f>
        <v>7.3289428124999993E-3</v>
      </c>
      <c r="S55" s="10">
        <f t="shared" si="36"/>
        <v>2.9315771249999998E-5</v>
      </c>
      <c r="T55" s="10">
        <f>IF(COUNTIF('Processed Non-zero DMR Data'!$I:$I,$J55)&gt;0,_xlfn.MAXIFS('Processed Non-zero DMR Data'!$W:$W,'Processed Non-zero DMR Data'!$I:$I,$J55), "N/A - Facility Does Not Report DMRs")</f>
        <v>2.847020225E-2</v>
      </c>
      <c r="U55" s="10">
        <f t="shared" si="37"/>
        <v>1.1388080899999999E-4</v>
      </c>
      <c r="V55" s="158" cm="1">
        <f t="array" ref="V55">IF(COUNTIF('Processed Non-zero DMR Data'!$I:$I,$J55)&gt;0,INDEX('Processed Non-zero DMR Data'!$A:$A,MATCH(1,($J55='Processed Non-zero DMR Data'!$I:$I)*($T55='Processed Non-zero DMR Data'!$W:$W),0)), "N/A - Facility Does Not Report DMRs")</f>
        <v>2020</v>
      </c>
      <c r="W55" s="17" t="str" cm="1">
        <f t="array" ref="W55">IFERROR(_xlfn.XLOOKUP(1,  (MAX(IF(I55 = 'Processed Non-zero TRI Data'!$I$2:$I$6,'Processed Non-zero TRI Data'!$A$2:$A$6)) = 'Processed Non-zero TRI Data'!$A$2:$A$6)*('Processed Non-zero TRI Data'!$I$2:$I$6 = I55), 'Processed Non-zero TRI Data'!$T$2:$T$6), "N/A- Facility Does Not Report to TRI")</f>
        <v>N/A- Facility Does Not Report to TRI</v>
      </c>
      <c r="X55" s="10" t="str">
        <f t="shared" si="38"/>
        <v>N/A - Facility Does Not Report to TRI</v>
      </c>
      <c r="Y55" s="10" t="str" cm="1">
        <f t="array" ref="Y55">IF(COUNTIF('Processed Non-zero TRI Data'!$I:$I,$I55)&gt;0,MEDIAN(IF('Processed Non-zero TRI Data'!$I:$I=I55,'Processed Non-zero TRI Data'!$T:$T)), "N/A - Facility Does Not Report to TRI")</f>
        <v>N/A - Facility Does Not Report to TRI</v>
      </c>
      <c r="Z55" s="10" t="str">
        <f t="shared" si="39"/>
        <v>N/A - Facility Does Not Report to TRI</v>
      </c>
      <c r="AA55" s="10" t="str">
        <f>IF(COUNTIF('Processed Non-zero TRI Data'!$I:$I,$I55)&gt;0,_xlfn.MAXIFS('Processed Non-zero TRI Data'!$T:$T,'Processed Non-zero TRI Data'!$I:$I,$I55), "N/A - Facility Does Not Report to TRI")</f>
        <v>N/A - Facility Does Not Report to TRI</v>
      </c>
      <c r="AB55" s="10" t="str">
        <f t="shared" si="40"/>
        <v>N/A - Facility Does Not Report to TRI</v>
      </c>
      <c r="AC55" s="158" t="str" cm="1">
        <f t="array" ref="AC55">IFERROR(IF(B55 = "TRI Form R", IF(AA55 = 0, "Facility has no on-site water discharges between 2017-2022.",  IF(COUNTIF('Processed Non-zero TRI Data'!$I:$I,$I55)&gt;0,INDEX('Processed Non-zero TRI Data'!$A:$A,MATCH(1,($I55='Processed Non-zero TRI Data'!$I:$I)*(AA55='Processed Non-zero TRI Data'!$T:$T),0)))), VLOOKUP(I55,#REF!, 2, FALSE)), ("N/A - Facility Does Not Report to TRI"))</f>
        <v>N/A - Facility Does Not Report to TRI</v>
      </c>
      <c r="AD55" s="97" t="str" cm="1">
        <f t="array" ref="AD55">IFERROR(_xlfn.XLOOKUP(1,  (MAX(IF(I55 = 'Processed Non-zero TRI Data'!$I$2:$I$6,'Processed Non-zero TRI Data'!$A$2:$A$6)) = 'Processed Non-zero TRI Data'!$A$2:$A$6)*('Processed Non-zero TRI Data'!$I$2:$I$6 = I55), 'Processed Non-zero TRI Data'!$V$2:$V$6), "N/A- Facility Does Not Report to TRI")</f>
        <v>N/A- Facility Does Not Report to TRI</v>
      </c>
      <c r="AE55" s="9" t="str">
        <f t="shared" si="41"/>
        <v>N/A - Facility Does Not Report to TRI</v>
      </c>
      <c r="AF55" s="9" t="str" cm="1">
        <f t="array" ref="AF55">IF(COUNTIF('Processed Non-zero TRI Data'!$I:$I,$I55)&gt;0,MEDIAN(IF('Processed Non-zero TRI Data'!$I:$I=I55,'Processed Non-zero TRI Data'!$V:$V)), "N/A - Facility Does Not Report to TRI")</f>
        <v>N/A - Facility Does Not Report to TRI</v>
      </c>
      <c r="AG55" s="9" t="str">
        <f t="shared" si="42"/>
        <v>N/A - Facility Does Not Report to TRI</v>
      </c>
      <c r="AH55" s="9" t="str">
        <f>IF(COUNTIF('Processed Non-zero TRI Data'!$I:$I,$I55)&gt;0,_xlfn.MAXIFS('Processed Non-zero TRI Data'!$V:$V,'Processed Non-zero TRI Data'!$I:$I,$I55), "N/A - Facility Does Not Report to TRI")</f>
        <v>N/A - Facility Does Not Report to TRI</v>
      </c>
      <c r="AI55" s="9" t="str">
        <f t="shared" si="43"/>
        <v>N/A - Facility Does Not Report to TRI</v>
      </c>
      <c r="AJ55" s="158" t="str" cm="1">
        <f t="array" ref="AJ55">IF(B55="TRI Form A",AC55,IF(AH55=0,"Facility has no transfers to POTWs between 2019-2023.",IF(COUNTIF('Processed Non-zero TRI Data'!$I:$I,$I55)&gt;0,INDEX('Processed Non-zero TRI Data'!$A:$A,MATCH(1,($I55='Processed Non-zero TRI Data'!$I:$I)*(AH55='Processed Non-zero TRI Data'!$V:$V),0)),"N/A - Facility Does Not Report to TRI")))</f>
        <v>N/A - Facility Does Not Report to TRI</v>
      </c>
      <c r="AK55" s="97" t="str" cm="1">
        <f t="array" ref="AK55">IFERROR(_xlfn.XLOOKUP(1,  (MAX(IF(I55 = 'Processed Non-zero TRI Data'!$I$2:$I$6,'Processed Non-zero TRI Data'!$A$2:$A$6)) = 'Processed Non-zero TRI Data'!$A$2:$A$6)*('Processed Non-zero TRI Data'!$I$2:$I$6 = I55), 'Processed Non-zero TRI Data'!$X$2:$X$6), "N/A- Facility Does Not Report to TRI")</f>
        <v>N/A- Facility Does Not Report to TRI</v>
      </c>
      <c r="AL55" s="9" t="str">
        <f t="shared" si="44"/>
        <v>N/A - Facility Does Not Report to TRI</v>
      </c>
      <c r="AM55" s="9" t="str" cm="1">
        <f t="array" ref="AM55">IF(COUNTIF('Processed Non-zero TRI Data'!$I:$I,$I55)&gt;0,MEDIAN(IF('Processed Non-zero TRI Data'!$I:$I=I55,'Processed Non-zero TRI Data'!$X:$X)), "N/A - Facility Does Not Report to TRI")</f>
        <v>N/A - Facility Does Not Report to TRI</v>
      </c>
      <c r="AN55" s="9" t="str">
        <f t="shared" si="45"/>
        <v>N/A - Facility Does Not Report to TRI</v>
      </c>
      <c r="AO55" s="9" t="str">
        <f>IF(COUNTIF('Processed Non-zero TRI Data'!$I:$I,$I55)&gt;0,_xlfn.MAXIFS('Processed Non-zero TRI Data'!$X:$X,'Processed Non-zero TRI Data'!$I:$I,$I55), "N/A - Facility Does Not Report to TRI")</f>
        <v>N/A - Facility Does Not Report to TRI</v>
      </c>
      <c r="AP55" s="9" t="str">
        <f t="shared" si="46"/>
        <v>N/A - Facility Does Not Report to TRI</v>
      </c>
      <c r="AQ55" s="251" t="str" cm="1">
        <f t="array" ref="AQ55">IF(B55="TRI Form A",AC55,IF(AO55=0,"Facility has no transfers to non-POTWs between 2019-2023.",IF(COUNTIF('Processed Non-zero TRI Data'!$I:$I,$I55)&gt;0,INDEX('Processed Non-zero TRI Data'!$A:$A,MATCH(1,($I55='Processed Non-zero TRI Data'!$I:$I)*(AO55='Processed Non-zero TRI Data'!$X:$X),0)),"N/A - Facility Does Not Report to TRI")))</f>
        <v>N/A - Facility Does Not Report to TRI</v>
      </c>
      <c r="AR55" s="260">
        <f t="shared" si="12"/>
        <v>0</v>
      </c>
      <c r="AS55" s="260">
        <f t="shared" si="13"/>
        <v>2.847020225E-2</v>
      </c>
    </row>
    <row r="56" spans="1:45" ht="30" x14ac:dyDescent="0.25">
      <c r="A56" s="12">
        <v>53</v>
      </c>
      <c r="B56" s="10" t="str">
        <f>IFERROR("TRI Form "&amp; VLOOKUP(I56, 'Processed Non-zero TRI Data'!$I$2:$K$6, 3, FALSE), "DMR")</f>
        <v>DMR</v>
      </c>
      <c r="C56" s="181" t="e">
        <f>VLOOKUP(D56,#REF!, 2, FALSE)</f>
        <v>#REF!</v>
      </c>
      <c r="D56" s="181" t="str">
        <f>IF(I56&lt;&gt;"",INDEX('Processed Non-zero TRI Data'!$O:$O,MATCH(I56,'Processed Non-zero TRI Data'!$I:$I,0)),INDEX('Processed Non-zero DMR Data'!$S:$S,MATCH(J56,'Processed Non-zero DMR Data'!$I:$I,0)))</f>
        <v>Processing as a reactant</v>
      </c>
      <c r="E56" s="181" t="str">
        <f>IF(I56&lt;&gt;"",INDEX('Processed Non-zero TRI Data'!$P:$P,MATCH(I56,'Processed Non-zero TRI Data'!$I:$I,0)),INDEX('Processed Non-zero DMR Data'!$T:$T,MATCH(J56,'Processed Non-zero DMR Data'!$I:$I,0)))</f>
        <v>Assumed processing as a reactant based on SIC and NAICS; this also matches 1,1,-DCA mapping.</v>
      </c>
      <c r="F56" s="9" t="str">
        <f>_xlfn.XLOOKUP(J56, 'Processed Non-zero DMR Data'!I:I, 'Processed Non-zero DMR Data'!B:B)</f>
        <v>BAKELITE SYNTHETICS</v>
      </c>
      <c r="G56" s="9" t="str">
        <f>_xlfn.XLOOKUP(J56, 'Processed Non-zero DMR Data'!I:I, 'Processed Non-zero DMR Data'!C:C)</f>
        <v>LOUISVILLE</v>
      </c>
      <c r="H56" s="9" t="str">
        <f>_xlfn.XLOOKUP(J56, 'Processed Non-zero DMR Data'!I:I, 'Processed Non-zero DMR Data'!E:E)</f>
        <v>KY</v>
      </c>
      <c r="I56" s="12"/>
      <c r="J56" s="13">
        <v>110000378467</v>
      </c>
      <c r="K56" s="9" t="str">
        <f>IFERROR(INDEX('Raw Non-zero DMR Data'!$C:$C, MATCH(J56,'Raw Non-zero DMR Data'!$D:$D,0)),"")</f>
        <v>KY0001112</v>
      </c>
      <c r="L56" s="9" t="str">
        <f>IFERROR(INDEX('Raw Non-zero DMR Data'!$U:$U, MATCH($J56,'Raw Non-zero DMR Data'!$D:$D,0)),"")</f>
        <v>Mill Creek Cutoff-Ohio River</v>
      </c>
      <c r="M56" s="155" t="str">
        <f>IFERROR(INDEX('Raw Non-zero DMR Data'!$T:$T, MATCH($J56,'Raw Non-zero DMR Data'!$D:$D,0)),"")</f>
        <v>051401010903</v>
      </c>
      <c r="N56" s="155" t="str">
        <f>IFERROR(INDEX('Off-site Locations'!$E:$E,MATCH(I56,'Off-site Locations'!$B:$B,0)),"No offsite transfers")</f>
        <v>No offsite transfers</v>
      </c>
      <c r="O56" s="165">
        <f>INDEX('TRI and DMR OES Summary'!D:D,MATCH('Facility Discharge Summary'!D56,'TRI and DMR OES Summary'!A:A,0))</f>
        <v>350</v>
      </c>
      <c r="P56" s="17" cm="1">
        <f t="array" ref="P56">IFERROR(_xlfn.XLOOKUP(1,  (MAX(IF(J56 = 'Processed Non-zero DMR Data'!$I$2:$I$651,'Processed Non-zero DMR Data'!$A$2:$A$651)) = 'Processed Non-zero DMR Data'!$A$2:$A$651)*('Processed Non-zero DMR Data'!$I$2:$I$651 = J56),'Processed Non-zero DMR Data'!$W$2:$W$651), "N/A- Facility Does Not Report DMRs")</f>
        <v>0.91140500000000002</v>
      </c>
      <c r="Q56" s="10">
        <f t="shared" si="35"/>
        <v>2.604014285714286E-3</v>
      </c>
      <c r="R56" s="10" cm="1">
        <f t="array" ref="R56">IF(COUNTIF('Processed Non-zero DMR Data'!$I:$I,$J56)&gt;0,MEDIAN(IF('Processed Non-zero DMR Data'!$I:$I=J56,'Processed Non-zero DMR Data'!$W:$W)),"N/A - Facility Does Not Report DMRs")</f>
        <v>0.53515249999999992</v>
      </c>
      <c r="S56" s="10">
        <f t="shared" si="36"/>
        <v>1.5290071428571425E-3</v>
      </c>
      <c r="T56" s="10">
        <f>IF(COUNTIF('Processed Non-zero DMR Data'!$I:$I,$J56)&gt;0,_xlfn.MAXIFS('Processed Non-zero DMR Data'!$W:$W,'Processed Non-zero DMR Data'!$I:$I,$J56), "N/A - Facility Does Not Report DMRs")</f>
        <v>0.91140500000000002</v>
      </c>
      <c r="U56" s="10">
        <f t="shared" si="37"/>
        <v>2.604014285714286E-3</v>
      </c>
      <c r="V56" s="158" cm="1">
        <f t="array" ref="V56">IF(COUNTIF('Processed Non-zero DMR Data'!$I:$I,$J56)&gt;0,INDEX('Processed Non-zero DMR Data'!$A:$A,MATCH(1,($J56='Processed Non-zero DMR Data'!$I:$I)*($T56='Processed Non-zero DMR Data'!$W:$W),0)), "N/A - Facility Does Not Report DMRs")</f>
        <v>2023</v>
      </c>
      <c r="W56" s="17" t="str" cm="1">
        <f t="array" ref="W56">IFERROR(_xlfn.XLOOKUP(1,  (MAX(IF(I56 = 'Processed Non-zero TRI Data'!$I$2:$I$6,'Processed Non-zero TRI Data'!$A$2:$A$6)) = 'Processed Non-zero TRI Data'!$A$2:$A$6)*('Processed Non-zero TRI Data'!$I$2:$I$6 = I56), 'Processed Non-zero TRI Data'!$T$2:$T$6), "N/A- Facility Does Not Report to TRI")</f>
        <v>N/A- Facility Does Not Report to TRI</v>
      </c>
      <c r="X56" s="10" t="str">
        <f t="shared" si="38"/>
        <v>N/A - Facility Does Not Report to TRI</v>
      </c>
      <c r="Y56" s="10" t="str" cm="1">
        <f t="array" ref="Y56">IF(COUNTIF('Processed Non-zero TRI Data'!$I:$I,$I56)&gt;0,MEDIAN(IF('Processed Non-zero TRI Data'!$I:$I=I56,'Processed Non-zero TRI Data'!$T:$T)), "N/A - Facility Does Not Report to TRI")</f>
        <v>N/A - Facility Does Not Report to TRI</v>
      </c>
      <c r="Z56" s="10" t="str">
        <f t="shared" si="39"/>
        <v>N/A - Facility Does Not Report to TRI</v>
      </c>
      <c r="AA56" s="10" t="str">
        <f>IF(COUNTIF('Processed Non-zero TRI Data'!$I:$I,$I56)&gt;0,_xlfn.MAXIFS('Processed Non-zero TRI Data'!$T:$T,'Processed Non-zero TRI Data'!$I:$I,$I56), "N/A - Facility Does Not Report to TRI")</f>
        <v>N/A - Facility Does Not Report to TRI</v>
      </c>
      <c r="AB56" s="10" t="str">
        <f t="shared" si="40"/>
        <v>N/A - Facility Does Not Report to TRI</v>
      </c>
      <c r="AC56" s="158" t="str" cm="1">
        <f t="array" ref="AC56">IFERROR(IF(B56 = "TRI Form R", IF(AA56 = 0, "Facility has no on-site water discharges between 2017-2022.",  IF(COUNTIF('Processed Non-zero TRI Data'!$I:$I,$I56)&gt;0,INDEX('Processed Non-zero TRI Data'!$A:$A,MATCH(1,($I56='Processed Non-zero TRI Data'!$I:$I)*(AA56='Processed Non-zero TRI Data'!$T:$T),0)))), VLOOKUP(I56,#REF!, 2, FALSE)), ("N/A - Facility Does Not Report to TRI"))</f>
        <v>N/A - Facility Does Not Report to TRI</v>
      </c>
      <c r="AD56" s="97" t="str" cm="1">
        <f t="array" ref="AD56">IFERROR(_xlfn.XLOOKUP(1,  (MAX(IF(I56 = 'Processed Non-zero TRI Data'!$I$2:$I$6,'Processed Non-zero TRI Data'!$A$2:$A$6)) = 'Processed Non-zero TRI Data'!$A$2:$A$6)*('Processed Non-zero TRI Data'!$I$2:$I$6 = I56), 'Processed Non-zero TRI Data'!$V$2:$V$6), "N/A- Facility Does Not Report to TRI")</f>
        <v>N/A- Facility Does Not Report to TRI</v>
      </c>
      <c r="AE56" s="9" t="str">
        <f t="shared" si="41"/>
        <v>N/A - Facility Does Not Report to TRI</v>
      </c>
      <c r="AF56" s="9" t="str" cm="1">
        <f t="array" ref="AF56">IF(COUNTIF('Processed Non-zero TRI Data'!$I:$I,$I56)&gt;0,MEDIAN(IF('Processed Non-zero TRI Data'!$I:$I=I56,'Processed Non-zero TRI Data'!$V:$V)), "N/A - Facility Does Not Report to TRI")</f>
        <v>N/A - Facility Does Not Report to TRI</v>
      </c>
      <c r="AG56" s="9" t="str">
        <f t="shared" si="42"/>
        <v>N/A - Facility Does Not Report to TRI</v>
      </c>
      <c r="AH56" s="9" t="str">
        <f>IF(COUNTIF('Processed Non-zero TRI Data'!$I:$I,$I56)&gt;0,_xlfn.MAXIFS('Processed Non-zero TRI Data'!$V:$V,'Processed Non-zero TRI Data'!$I:$I,$I56), "N/A - Facility Does Not Report to TRI")</f>
        <v>N/A - Facility Does Not Report to TRI</v>
      </c>
      <c r="AI56" s="9" t="str">
        <f t="shared" si="43"/>
        <v>N/A - Facility Does Not Report to TRI</v>
      </c>
      <c r="AJ56" s="158" t="str" cm="1">
        <f t="array" ref="AJ56">IF(B56="TRI Form A",AC56,IF(AH56=0,"Facility has no transfers to POTWs between 2019-2023.",IF(COUNTIF('Processed Non-zero TRI Data'!$I:$I,$I56)&gt;0,INDEX('Processed Non-zero TRI Data'!$A:$A,MATCH(1,($I56='Processed Non-zero TRI Data'!$I:$I)*(AH56='Processed Non-zero TRI Data'!$V:$V),0)),"N/A - Facility Does Not Report to TRI")))</f>
        <v>N/A - Facility Does Not Report to TRI</v>
      </c>
      <c r="AK56" s="97" t="str" cm="1">
        <f t="array" ref="AK56">IFERROR(_xlfn.XLOOKUP(1,  (MAX(IF(I56 = 'Processed Non-zero TRI Data'!$I$2:$I$6,'Processed Non-zero TRI Data'!$A$2:$A$6)) = 'Processed Non-zero TRI Data'!$A$2:$A$6)*('Processed Non-zero TRI Data'!$I$2:$I$6 = I56), 'Processed Non-zero TRI Data'!$X$2:$X$6), "N/A- Facility Does Not Report to TRI")</f>
        <v>N/A- Facility Does Not Report to TRI</v>
      </c>
      <c r="AL56" s="9" t="str">
        <f t="shared" si="44"/>
        <v>N/A - Facility Does Not Report to TRI</v>
      </c>
      <c r="AM56" s="9" t="str" cm="1">
        <f t="array" ref="AM56">IF(COUNTIF('Processed Non-zero TRI Data'!$I:$I,$I56)&gt;0,MEDIAN(IF('Processed Non-zero TRI Data'!$I:$I=I56,'Processed Non-zero TRI Data'!$X:$X)), "N/A - Facility Does Not Report to TRI")</f>
        <v>N/A - Facility Does Not Report to TRI</v>
      </c>
      <c r="AN56" s="9" t="str">
        <f t="shared" si="45"/>
        <v>N/A - Facility Does Not Report to TRI</v>
      </c>
      <c r="AO56" s="9" t="str">
        <f>IF(COUNTIF('Processed Non-zero TRI Data'!$I:$I,$I56)&gt;0,_xlfn.MAXIFS('Processed Non-zero TRI Data'!$X:$X,'Processed Non-zero TRI Data'!$I:$I,$I56), "N/A - Facility Does Not Report to TRI")</f>
        <v>N/A - Facility Does Not Report to TRI</v>
      </c>
      <c r="AP56" s="9" t="str">
        <f t="shared" si="46"/>
        <v>N/A - Facility Does Not Report to TRI</v>
      </c>
      <c r="AQ56" s="251" t="str" cm="1">
        <f t="array" ref="AQ56">IF(B56="TRI Form A",AC56,IF(AO56=0,"Facility has no transfers to non-POTWs between 2019-2023.",IF(COUNTIF('Processed Non-zero TRI Data'!$I:$I,$I56)&gt;0,INDEX('Processed Non-zero TRI Data'!$A:$A,MATCH(1,($I56='Processed Non-zero TRI Data'!$I:$I)*(AO56='Processed Non-zero TRI Data'!$X:$X),0)),"N/A - Facility Does Not Report to TRI")))</f>
        <v>N/A - Facility Does Not Report to TRI</v>
      </c>
      <c r="AR56" s="260">
        <f t="shared" si="12"/>
        <v>0</v>
      </c>
      <c r="AS56" s="260">
        <f t="shared" si="13"/>
        <v>0.91140500000000002</v>
      </c>
    </row>
    <row r="57" spans="1:45" ht="30" x14ac:dyDescent="0.25">
      <c r="A57" s="12">
        <v>54</v>
      </c>
      <c r="B57" s="10" t="str">
        <f>IFERROR("TRI Form "&amp; VLOOKUP(I57, 'Processed Non-zero TRI Data'!$I$2:$K$6, 3, FALSE), "DMR")</f>
        <v>DMR</v>
      </c>
      <c r="C57" s="181" t="e">
        <f>VLOOKUP(D57,#REF!, 2, FALSE)</f>
        <v>#REF!</v>
      </c>
      <c r="D57" s="181" t="str">
        <f>IF(I57&lt;&gt;"",INDEX('Processed Non-zero TRI Data'!$O:$O,MATCH(I57,'Processed Non-zero TRI Data'!$I:$I,0)),INDEX('Processed Non-zero DMR Data'!$S:$S,MATCH(J57,'Processed Non-zero DMR Data'!$I:$I,0)))</f>
        <v>Waste Handling, Disposal and Treatment (POTW)</v>
      </c>
      <c r="E57" s="181" t="str">
        <f>IF(I57&lt;&gt;"",INDEX('Processed Non-zero TRI Data'!$P:$P,MATCH(I57,'Processed Non-zero TRI Data'!$I:$I,0)),INDEX('Processed Non-zero DMR Data'!$T:$T,MATCH(J57,'Processed Non-zero DMR Data'!$I:$I,0)))</f>
        <v>POTW indicator in DMR</v>
      </c>
      <c r="F57" s="9" t="str">
        <f>_xlfn.XLOOKUP(J57, 'Processed Non-zero DMR Data'!I:I, 'Processed Non-zero DMR Data'!B:B)</f>
        <v>GLASGOW STP</v>
      </c>
      <c r="G57" s="9" t="str">
        <f>_xlfn.XLOOKUP(J57, 'Processed Non-zero DMR Data'!I:I, 'Processed Non-zero DMR Data'!C:C)</f>
        <v>GLASGOW</v>
      </c>
      <c r="H57" s="9" t="str">
        <f>_xlfn.XLOOKUP(J57, 'Processed Non-zero DMR Data'!I:I, 'Processed Non-zero DMR Data'!E:E)</f>
        <v>KY</v>
      </c>
      <c r="I57" s="12"/>
      <c r="J57" s="13">
        <v>110001123276</v>
      </c>
      <c r="K57" s="9" t="str">
        <f>IFERROR(INDEX('Raw Non-zero DMR Data'!$C:$C, MATCH(J57,'Raw Non-zero DMR Data'!$D:$D,0)),"")</f>
        <v>KY0021164</v>
      </c>
      <c r="L57" s="9" t="str">
        <f>IFERROR(INDEX('Raw Non-zero DMR Data'!$U:$U, MATCH($J57,'Raw Non-zero DMR Data'!$D:$D,0)),"")</f>
        <v>South Fork Beaver Creek-Beaver Creek</v>
      </c>
      <c r="M57" s="155" t="str">
        <f>IFERROR(INDEX('Raw Non-zero DMR Data'!$T:$T, MATCH($J57,'Raw Non-zero DMR Data'!$D:$D,0)),"")</f>
        <v>051100020306</v>
      </c>
      <c r="N57" s="155" t="str">
        <f>IFERROR(INDEX('Off-site Locations'!$E:$E,MATCH(I57,'Off-site Locations'!$B:$B,0)),"No offsite transfers")</f>
        <v>No offsite transfers</v>
      </c>
      <c r="O57" s="165">
        <f>INDEX('TRI and DMR OES Summary'!D:D,MATCH('Facility Discharge Summary'!D57,'TRI and DMR OES Summary'!A:A,0))</f>
        <v>365</v>
      </c>
      <c r="P57" s="17" cm="1">
        <f t="array" ref="P57">IFERROR(_xlfn.XLOOKUP(1,  (MAX(IF(J57 = 'Processed Non-zero DMR Data'!$I$2:$I$651,'Processed Non-zero DMR Data'!$A$2:$A$651)) = 'Processed Non-zero DMR Data'!$A$2:$A$651)*('Processed Non-zero DMR Data'!$I$2:$I$651 = J57),'Processed Non-zero DMR Data'!$W$2:$W$651), "N/A- Facility Does Not Report DMRs")</f>
        <v>3.6251215999999999</v>
      </c>
      <c r="Q57" s="10">
        <f t="shared" si="35"/>
        <v>9.9318399999999991E-3</v>
      </c>
      <c r="R57" s="10" cm="1">
        <f t="array" ref="R57">IF(COUNTIF('Processed Non-zero DMR Data'!$I:$I,$J57)&gt;0,MEDIAN(IF('Processed Non-zero DMR Data'!$I:$I=J57,'Processed Non-zero DMR Data'!$W:$W)),"N/A - Facility Does Not Report DMRs")</f>
        <v>3.6251215999999999</v>
      </c>
      <c r="S57" s="10">
        <f t="shared" si="36"/>
        <v>9.9318399999999991E-3</v>
      </c>
      <c r="T57" s="10">
        <f>IF(COUNTIF('Processed Non-zero DMR Data'!$I:$I,$J57)&gt;0,_xlfn.MAXIFS('Processed Non-zero DMR Data'!$W:$W,'Processed Non-zero DMR Data'!$I:$I,$J57), "N/A - Facility Does Not Report DMRs")</f>
        <v>5.2014416250000002</v>
      </c>
      <c r="U57" s="10">
        <f t="shared" si="37"/>
        <v>1.4250525E-2</v>
      </c>
      <c r="V57" s="158" cm="1">
        <f t="array" ref="V57">IF(COUNTIF('Processed Non-zero DMR Data'!$I:$I,$J57)&gt;0,INDEX('Processed Non-zero DMR Data'!$A:$A,MATCH(1,($J57='Processed Non-zero DMR Data'!$I:$I)*($T57='Processed Non-zero DMR Data'!$W:$W),0)), "N/A - Facility Does Not Report DMRs")</f>
        <v>2019</v>
      </c>
      <c r="W57" s="17" t="str" cm="1">
        <f t="array" ref="W57">IFERROR(_xlfn.XLOOKUP(1,  (MAX(IF(I57 = 'Processed Non-zero TRI Data'!$I$2:$I$6,'Processed Non-zero TRI Data'!$A$2:$A$6)) = 'Processed Non-zero TRI Data'!$A$2:$A$6)*('Processed Non-zero TRI Data'!$I$2:$I$6 = I57), 'Processed Non-zero TRI Data'!$T$2:$T$6), "N/A- Facility Does Not Report to TRI")</f>
        <v>N/A- Facility Does Not Report to TRI</v>
      </c>
      <c r="X57" s="10" t="str">
        <f t="shared" si="38"/>
        <v>N/A - Facility Does Not Report to TRI</v>
      </c>
      <c r="Y57" s="10" t="str" cm="1">
        <f t="array" ref="Y57">IF(COUNTIF('Processed Non-zero TRI Data'!$I:$I,$I57)&gt;0,MEDIAN(IF('Processed Non-zero TRI Data'!$I:$I=I57,'Processed Non-zero TRI Data'!$T:$T)), "N/A - Facility Does Not Report to TRI")</f>
        <v>N/A - Facility Does Not Report to TRI</v>
      </c>
      <c r="Z57" s="10" t="str">
        <f t="shared" si="39"/>
        <v>N/A - Facility Does Not Report to TRI</v>
      </c>
      <c r="AA57" s="10" t="str">
        <f>IF(COUNTIF('Processed Non-zero TRI Data'!$I:$I,$I57)&gt;0,_xlfn.MAXIFS('Processed Non-zero TRI Data'!$T:$T,'Processed Non-zero TRI Data'!$I:$I,$I57), "N/A - Facility Does Not Report to TRI")</f>
        <v>N/A - Facility Does Not Report to TRI</v>
      </c>
      <c r="AB57" s="10" t="str">
        <f t="shared" si="40"/>
        <v>N/A - Facility Does Not Report to TRI</v>
      </c>
      <c r="AC57" s="158" t="str" cm="1">
        <f t="array" ref="AC57">IFERROR(IF(B57 = "TRI Form R", IF(AA57 = 0, "Facility has no on-site water discharges between 2017-2022.",  IF(COUNTIF('Processed Non-zero TRI Data'!$I:$I,$I57)&gt;0,INDEX('Processed Non-zero TRI Data'!$A:$A,MATCH(1,($I57='Processed Non-zero TRI Data'!$I:$I)*(AA57='Processed Non-zero TRI Data'!$T:$T),0)))), VLOOKUP(I57,#REF!, 2, FALSE)), ("N/A - Facility Does Not Report to TRI"))</f>
        <v>N/A - Facility Does Not Report to TRI</v>
      </c>
      <c r="AD57" s="97" t="str" cm="1">
        <f t="array" ref="AD57">IFERROR(_xlfn.XLOOKUP(1,  (MAX(IF(I57 = 'Processed Non-zero TRI Data'!$I$2:$I$6,'Processed Non-zero TRI Data'!$A$2:$A$6)) = 'Processed Non-zero TRI Data'!$A$2:$A$6)*('Processed Non-zero TRI Data'!$I$2:$I$6 = I57), 'Processed Non-zero TRI Data'!$V$2:$V$6), "N/A- Facility Does Not Report to TRI")</f>
        <v>N/A- Facility Does Not Report to TRI</v>
      </c>
      <c r="AE57" s="9" t="str">
        <f t="shared" si="41"/>
        <v>N/A - Facility Does Not Report to TRI</v>
      </c>
      <c r="AF57" s="9" t="str" cm="1">
        <f t="array" ref="AF57">IF(COUNTIF('Processed Non-zero TRI Data'!$I:$I,$I57)&gt;0,MEDIAN(IF('Processed Non-zero TRI Data'!$I:$I=I57,'Processed Non-zero TRI Data'!$V:$V)), "N/A - Facility Does Not Report to TRI")</f>
        <v>N/A - Facility Does Not Report to TRI</v>
      </c>
      <c r="AG57" s="9" t="str">
        <f t="shared" si="42"/>
        <v>N/A - Facility Does Not Report to TRI</v>
      </c>
      <c r="AH57" s="9" t="str">
        <f>IF(COUNTIF('Processed Non-zero TRI Data'!$I:$I,$I57)&gt;0,_xlfn.MAXIFS('Processed Non-zero TRI Data'!$V:$V,'Processed Non-zero TRI Data'!$I:$I,$I57), "N/A - Facility Does Not Report to TRI")</f>
        <v>N/A - Facility Does Not Report to TRI</v>
      </c>
      <c r="AI57" s="9" t="str">
        <f t="shared" si="43"/>
        <v>N/A - Facility Does Not Report to TRI</v>
      </c>
      <c r="AJ57" s="158" t="str" cm="1">
        <f t="array" ref="AJ57">IF(B57="TRI Form A",AC57,IF(AH57=0,"Facility has no transfers to POTWs between 2019-2023.",IF(COUNTIF('Processed Non-zero TRI Data'!$I:$I,$I57)&gt;0,INDEX('Processed Non-zero TRI Data'!$A:$A,MATCH(1,($I57='Processed Non-zero TRI Data'!$I:$I)*(AH57='Processed Non-zero TRI Data'!$V:$V),0)),"N/A - Facility Does Not Report to TRI")))</f>
        <v>N/A - Facility Does Not Report to TRI</v>
      </c>
      <c r="AK57" s="97" t="str" cm="1">
        <f t="array" ref="AK57">IFERROR(_xlfn.XLOOKUP(1,  (MAX(IF(I57 = 'Processed Non-zero TRI Data'!$I$2:$I$6,'Processed Non-zero TRI Data'!$A$2:$A$6)) = 'Processed Non-zero TRI Data'!$A$2:$A$6)*('Processed Non-zero TRI Data'!$I$2:$I$6 = I57), 'Processed Non-zero TRI Data'!$X$2:$X$6), "N/A- Facility Does Not Report to TRI")</f>
        <v>N/A- Facility Does Not Report to TRI</v>
      </c>
      <c r="AL57" s="9" t="str">
        <f t="shared" si="44"/>
        <v>N/A - Facility Does Not Report to TRI</v>
      </c>
      <c r="AM57" s="9" t="str" cm="1">
        <f t="array" ref="AM57">IF(COUNTIF('Processed Non-zero TRI Data'!$I:$I,$I57)&gt;0,MEDIAN(IF('Processed Non-zero TRI Data'!$I:$I=I57,'Processed Non-zero TRI Data'!$X:$X)), "N/A - Facility Does Not Report to TRI")</f>
        <v>N/A - Facility Does Not Report to TRI</v>
      </c>
      <c r="AN57" s="9" t="str">
        <f t="shared" si="45"/>
        <v>N/A - Facility Does Not Report to TRI</v>
      </c>
      <c r="AO57" s="9" t="str">
        <f>IF(COUNTIF('Processed Non-zero TRI Data'!$I:$I,$I57)&gt;0,_xlfn.MAXIFS('Processed Non-zero TRI Data'!$X:$X,'Processed Non-zero TRI Data'!$I:$I,$I57), "N/A - Facility Does Not Report to TRI")</f>
        <v>N/A - Facility Does Not Report to TRI</v>
      </c>
      <c r="AP57" s="9" t="str">
        <f t="shared" si="46"/>
        <v>N/A - Facility Does Not Report to TRI</v>
      </c>
      <c r="AQ57" s="251" t="str" cm="1">
        <f t="array" ref="AQ57">IF(B57="TRI Form A",AC57,IF(AO57=0,"Facility has no transfers to non-POTWs between 2019-2023.",IF(COUNTIF('Processed Non-zero TRI Data'!$I:$I,$I57)&gt;0,INDEX('Processed Non-zero TRI Data'!$A:$A,MATCH(1,($I57='Processed Non-zero TRI Data'!$I:$I)*(AO57='Processed Non-zero TRI Data'!$X:$X),0)),"N/A - Facility Does Not Report to TRI")))</f>
        <v>N/A - Facility Does Not Report to TRI</v>
      </c>
      <c r="AR57" s="260">
        <f t="shared" si="12"/>
        <v>0</v>
      </c>
      <c r="AS57" s="260">
        <f t="shared" si="13"/>
        <v>5.2014416250000002</v>
      </c>
    </row>
    <row r="58" spans="1:45" ht="30" x14ac:dyDescent="0.25">
      <c r="A58" s="12">
        <v>55</v>
      </c>
      <c r="B58" s="10" t="str">
        <f>IFERROR("TRI Form "&amp; VLOOKUP(I58, 'Processed Non-zero TRI Data'!$I$2:$K$6, 3, FALSE), "DMR")</f>
        <v>DMR</v>
      </c>
      <c r="C58" s="181" t="e">
        <f>VLOOKUP(D58,#REF!, 2, FALSE)</f>
        <v>#REF!</v>
      </c>
      <c r="D58" s="181" t="str">
        <f>IF(I58&lt;&gt;"",INDEX('Processed Non-zero TRI Data'!$O:$O,MATCH(I58,'Processed Non-zero TRI Data'!$I:$I,0)),INDEX('Processed Non-zero DMR Data'!$S:$S,MATCH(J58,'Processed Non-zero DMR Data'!$I:$I,0)))</f>
        <v>Waste Handling, Disposal and Treatment (POTW)</v>
      </c>
      <c r="E58" s="181" t="str">
        <f>IF(I58&lt;&gt;"",INDEX('Processed Non-zero TRI Data'!$P:$P,MATCH(I58,'Processed Non-zero TRI Data'!$I:$I,0)),INDEX('Processed Non-zero DMR Data'!$T:$T,MATCH(J58,'Processed Non-zero DMR Data'!$I:$I,0)))</f>
        <v>POTW indicator in DMR</v>
      </c>
      <c r="F58" s="9" t="str">
        <f>_xlfn.XLOOKUP(J58, 'Processed Non-zero DMR Data'!I:I, 'Processed Non-zero DMR Data'!B:B)</f>
        <v>NILAND SD WWTP</v>
      </c>
      <c r="G58" s="9" t="str">
        <f>_xlfn.XLOOKUP(J58, 'Processed Non-zero DMR Data'!I:I, 'Processed Non-zero DMR Data'!C:C)</f>
        <v>NILAND</v>
      </c>
      <c r="H58" s="9" t="str">
        <f>_xlfn.XLOOKUP(J58, 'Processed Non-zero DMR Data'!I:I, 'Processed Non-zero DMR Data'!E:E)</f>
        <v>CA</v>
      </c>
      <c r="I58" s="12"/>
      <c r="J58" s="13">
        <v>110001177958</v>
      </c>
      <c r="K58" s="9" t="str">
        <f>IFERROR(INDEX('Raw Non-zero DMR Data'!$C:$C, MATCH(J58,'Raw Non-zero DMR Data'!$D:$D,0)),"")</f>
        <v>CA0104451</v>
      </c>
      <c r="L58" s="9" t="str">
        <f>IFERROR(INDEX('Raw Non-zero DMR Data'!$U:$U, MATCH($J58,'Raw Non-zero DMR Data'!$D:$D,0)),"")</f>
        <v>Town of Niland-Frontal Salton Sea</v>
      </c>
      <c r="M58" s="155">
        <f>IFERROR(INDEX('Raw Non-zero DMR Data'!$T:$T, MATCH($J58,'Raw Non-zero DMR Data'!$D:$D,0)),"")</f>
        <v>181002041109</v>
      </c>
      <c r="N58" s="155" t="str">
        <f>IFERROR(INDEX('Off-site Locations'!$E:$E,MATCH(I58,'Off-site Locations'!$B:$B,0)),"No offsite transfers")</f>
        <v>No offsite transfers</v>
      </c>
      <c r="O58" s="165">
        <f>INDEX('TRI and DMR OES Summary'!D:D,MATCH('Facility Discharge Summary'!D58,'TRI and DMR OES Summary'!A:A,0))</f>
        <v>365</v>
      </c>
      <c r="P58" s="17" cm="1">
        <f t="array" ref="P58">IFERROR(_xlfn.XLOOKUP(1,  (MAX(IF(J58 = 'Processed Non-zero DMR Data'!$I$2:$I$651,'Processed Non-zero DMR Data'!$A$2:$A$651)) = 'Processed Non-zero DMR Data'!$A$2:$A$651)*('Processed Non-zero DMR Data'!$I$2:$I$651 = J58),'Processed Non-zero DMR Data'!$W$2:$W$651), "N/A- Facility Does Not Report DMRs")</f>
        <v>3.5919649999999997E-2</v>
      </c>
      <c r="Q58" s="10">
        <f t="shared" si="35"/>
        <v>9.8409999999999988E-5</v>
      </c>
      <c r="R58" s="10" cm="1">
        <f t="array" ref="R58">IF(COUNTIF('Processed Non-zero DMR Data'!$I:$I,$J58)&gt;0,MEDIAN(IF('Processed Non-zero DMR Data'!$I:$I=J58,'Processed Non-zero DMR Data'!$W:$W)),"N/A - Facility Does Not Report DMRs")</f>
        <v>3.5919649999999997E-2</v>
      </c>
      <c r="S58" s="10">
        <f t="shared" si="36"/>
        <v>9.8409999999999988E-5</v>
      </c>
      <c r="T58" s="10">
        <f>IF(COUNTIF('Processed Non-zero DMR Data'!$I:$I,$J58)&gt;0,_xlfn.MAXIFS('Processed Non-zero DMR Data'!$W:$W,'Processed Non-zero DMR Data'!$I:$I,$J58), "N/A - Facility Does Not Report DMRs")</f>
        <v>3.5919649999999997E-2</v>
      </c>
      <c r="U58" s="10">
        <f t="shared" si="37"/>
        <v>9.8409999999999988E-5</v>
      </c>
      <c r="V58" s="158" cm="1">
        <f t="array" ref="V58">IF(COUNTIF('Processed Non-zero DMR Data'!$I:$I,$J58)&gt;0,INDEX('Processed Non-zero DMR Data'!$A:$A,MATCH(1,($J58='Processed Non-zero DMR Data'!$I:$I)*($T58='Processed Non-zero DMR Data'!$W:$W),0)), "N/A - Facility Does Not Report DMRs")</f>
        <v>2019</v>
      </c>
      <c r="W58" s="17" t="str" cm="1">
        <f t="array" ref="W58">IFERROR(_xlfn.XLOOKUP(1,  (MAX(IF(I58 = 'Processed Non-zero TRI Data'!$I$2:$I$6,'Processed Non-zero TRI Data'!$A$2:$A$6)) = 'Processed Non-zero TRI Data'!$A$2:$A$6)*('Processed Non-zero TRI Data'!$I$2:$I$6 = I58), 'Processed Non-zero TRI Data'!$T$2:$T$6), "N/A- Facility Does Not Report to TRI")</f>
        <v>N/A- Facility Does Not Report to TRI</v>
      </c>
      <c r="X58" s="10" t="str">
        <f t="shared" si="38"/>
        <v>N/A - Facility Does Not Report to TRI</v>
      </c>
      <c r="Y58" s="10" t="str" cm="1">
        <f t="array" ref="Y58">IF(COUNTIF('Processed Non-zero TRI Data'!$I:$I,$I58)&gt;0,MEDIAN(IF('Processed Non-zero TRI Data'!$I:$I=I58,'Processed Non-zero TRI Data'!$T:$T)), "N/A - Facility Does Not Report to TRI")</f>
        <v>N/A - Facility Does Not Report to TRI</v>
      </c>
      <c r="Z58" s="10" t="str">
        <f t="shared" si="39"/>
        <v>N/A - Facility Does Not Report to TRI</v>
      </c>
      <c r="AA58" s="10" t="str">
        <f>IF(COUNTIF('Processed Non-zero TRI Data'!$I:$I,$I58)&gt;0,_xlfn.MAXIFS('Processed Non-zero TRI Data'!$T:$T,'Processed Non-zero TRI Data'!$I:$I,$I58), "N/A - Facility Does Not Report to TRI")</f>
        <v>N/A - Facility Does Not Report to TRI</v>
      </c>
      <c r="AB58" s="10" t="str">
        <f t="shared" si="40"/>
        <v>N/A - Facility Does Not Report to TRI</v>
      </c>
      <c r="AC58" s="158" t="str" cm="1">
        <f t="array" ref="AC58">IFERROR(IF(B58 = "TRI Form R", IF(AA58 = 0, "Facility has no on-site water discharges between 2017-2022.",  IF(COUNTIF('Processed Non-zero TRI Data'!$I:$I,$I58)&gt;0,INDEX('Processed Non-zero TRI Data'!$A:$A,MATCH(1,($I58='Processed Non-zero TRI Data'!$I:$I)*(AA58='Processed Non-zero TRI Data'!$T:$T),0)))), VLOOKUP(I58,#REF!, 2, FALSE)), ("N/A - Facility Does Not Report to TRI"))</f>
        <v>N/A - Facility Does Not Report to TRI</v>
      </c>
      <c r="AD58" s="97" t="str" cm="1">
        <f t="array" ref="AD58">IFERROR(_xlfn.XLOOKUP(1,  (MAX(IF(I58 = 'Processed Non-zero TRI Data'!$I$2:$I$6,'Processed Non-zero TRI Data'!$A$2:$A$6)) = 'Processed Non-zero TRI Data'!$A$2:$A$6)*('Processed Non-zero TRI Data'!$I$2:$I$6 = I58), 'Processed Non-zero TRI Data'!$V$2:$V$6), "N/A- Facility Does Not Report to TRI")</f>
        <v>N/A- Facility Does Not Report to TRI</v>
      </c>
      <c r="AE58" s="9" t="str">
        <f t="shared" si="41"/>
        <v>N/A - Facility Does Not Report to TRI</v>
      </c>
      <c r="AF58" s="9" t="str" cm="1">
        <f t="array" ref="AF58">IF(COUNTIF('Processed Non-zero TRI Data'!$I:$I,$I58)&gt;0,MEDIAN(IF('Processed Non-zero TRI Data'!$I:$I=I58,'Processed Non-zero TRI Data'!$V:$V)), "N/A - Facility Does Not Report to TRI")</f>
        <v>N/A - Facility Does Not Report to TRI</v>
      </c>
      <c r="AG58" s="9" t="str">
        <f t="shared" si="42"/>
        <v>N/A - Facility Does Not Report to TRI</v>
      </c>
      <c r="AH58" s="9" t="str">
        <f>IF(COUNTIF('Processed Non-zero TRI Data'!$I:$I,$I58)&gt;0,_xlfn.MAXIFS('Processed Non-zero TRI Data'!$V:$V,'Processed Non-zero TRI Data'!$I:$I,$I58), "N/A - Facility Does Not Report to TRI")</f>
        <v>N/A - Facility Does Not Report to TRI</v>
      </c>
      <c r="AI58" s="9" t="str">
        <f t="shared" si="43"/>
        <v>N/A - Facility Does Not Report to TRI</v>
      </c>
      <c r="AJ58" s="158" t="str" cm="1">
        <f t="array" ref="AJ58">IF(B58="TRI Form A",AC58,IF(AH58=0,"Facility has no transfers to POTWs between 2019-2023.",IF(COUNTIF('Processed Non-zero TRI Data'!$I:$I,$I58)&gt;0,INDEX('Processed Non-zero TRI Data'!$A:$A,MATCH(1,($I58='Processed Non-zero TRI Data'!$I:$I)*(AH58='Processed Non-zero TRI Data'!$V:$V),0)),"N/A - Facility Does Not Report to TRI")))</f>
        <v>N/A - Facility Does Not Report to TRI</v>
      </c>
      <c r="AK58" s="97" t="str" cm="1">
        <f t="array" ref="AK58">IFERROR(_xlfn.XLOOKUP(1,  (MAX(IF(I58 = 'Processed Non-zero TRI Data'!$I$2:$I$6,'Processed Non-zero TRI Data'!$A$2:$A$6)) = 'Processed Non-zero TRI Data'!$A$2:$A$6)*('Processed Non-zero TRI Data'!$I$2:$I$6 = I58), 'Processed Non-zero TRI Data'!$X$2:$X$6), "N/A- Facility Does Not Report to TRI")</f>
        <v>N/A- Facility Does Not Report to TRI</v>
      </c>
      <c r="AL58" s="9" t="str">
        <f t="shared" si="44"/>
        <v>N/A - Facility Does Not Report to TRI</v>
      </c>
      <c r="AM58" s="9" t="str" cm="1">
        <f t="array" ref="AM58">IF(COUNTIF('Processed Non-zero TRI Data'!$I:$I,$I58)&gt;0,MEDIAN(IF('Processed Non-zero TRI Data'!$I:$I=I58,'Processed Non-zero TRI Data'!$X:$X)), "N/A - Facility Does Not Report to TRI")</f>
        <v>N/A - Facility Does Not Report to TRI</v>
      </c>
      <c r="AN58" s="9" t="str">
        <f t="shared" si="45"/>
        <v>N/A - Facility Does Not Report to TRI</v>
      </c>
      <c r="AO58" s="9" t="str">
        <f>IF(COUNTIF('Processed Non-zero TRI Data'!$I:$I,$I58)&gt;0,_xlfn.MAXIFS('Processed Non-zero TRI Data'!$X:$X,'Processed Non-zero TRI Data'!$I:$I,$I58), "N/A - Facility Does Not Report to TRI")</f>
        <v>N/A - Facility Does Not Report to TRI</v>
      </c>
      <c r="AP58" s="9" t="str">
        <f t="shared" si="46"/>
        <v>N/A - Facility Does Not Report to TRI</v>
      </c>
      <c r="AQ58" s="251" t="str" cm="1">
        <f t="array" ref="AQ58">IF(B58="TRI Form A",AC58,IF(AO58=0,"Facility has no transfers to non-POTWs between 2019-2023.",IF(COUNTIF('Processed Non-zero TRI Data'!$I:$I,$I58)&gt;0,INDEX('Processed Non-zero TRI Data'!$A:$A,MATCH(1,($I58='Processed Non-zero TRI Data'!$I:$I)*(AO58='Processed Non-zero TRI Data'!$X:$X),0)),"N/A - Facility Does Not Report to TRI")))</f>
        <v>N/A - Facility Does Not Report to TRI</v>
      </c>
      <c r="AR58" s="260">
        <f t="shared" si="12"/>
        <v>0</v>
      </c>
      <c r="AS58" s="260">
        <f t="shared" si="13"/>
        <v>3.5919649999999997E-2</v>
      </c>
    </row>
    <row r="59" spans="1:45" ht="30" x14ac:dyDescent="0.25">
      <c r="A59" s="12">
        <v>56</v>
      </c>
      <c r="B59" s="10" t="str">
        <f>IFERROR("TRI Form "&amp; VLOOKUP(I59, 'Processed Non-zero TRI Data'!$I$2:$K$6, 3, FALSE), "DMR")</f>
        <v>DMR</v>
      </c>
      <c r="C59" s="181" t="e">
        <f>VLOOKUP(D59,#REF!, 2, FALSE)</f>
        <v>#REF!</v>
      </c>
      <c r="D59" s="181" t="str">
        <f>IF(I59&lt;&gt;"",INDEX('Processed Non-zero TRI Data'!$O:$O,MATCH(I59,'Processed Non-zero TRI Data'!$I:$I,0)),INDEX('Processed Non-zero DMR Data'!$S:$S,MATCH(J59,'Processed Non-zero DMR Data'!$I:$I,0)))</f>
        <v>Unknown</v>
      </c>
      <c r="E59" s="181" t="str">
        <f>IF(I59&lt;&gt;"",INDEX('Processed Non-zero TRI Data'!$P:$P,MATCH(I59,'Processed Non-zero TRI Data'!$I:$I,0)),INDEX('Processed Non-zero DMR Data'!$T:$T,MATCH(J59,'Processed Non-zero DMR Data'!$I:$I,0)))</f>
        <v>US Airforce Base; no OES to map to.</v>
      </c>
      <c r="F59" s="9" t="str">
        <f>_xlfn.XLOOKUP(J59, 'Processed Non-zero DMR Data'!I:I, 'Processed Non-zero DMR Data'!B:B)</f>
        <v>US DEPARTMENT OF THE AIR FORCE</v>
      </c>
      <c r="G59" s="9" t="str">
        <f>_xlfn.XLOOKUP(J59, 'Processed Non-zero DMR Data'!I:I, 'Processed Non-zero DMR Data'!C:C)</f>
        <v>SAN ANTONIO</v>
      </c>
      <c r="H59" s="9" t="str">
        <f>_xlfn.XLOOKUP(J59, 'Processed Non-zero DMR Data'!I:I, 'Processed Non-zero DMR Data'!E:E)</f>
        <v>TX</v>
      </c>
      <c r="I59" s="12"/>
      <c r="J59" s="13">
        <v>110042004915</v>
      </c>
      <c r="K59" s="9" t="str">
        <f>IFERROR(INDEX('Raw Non-zero DMR Data'!$C:$C, MATCH(J59,'Raw Non-zero DMR Data'!$D:$D,0)),"")</f>
        <v>TX0116114</v>
      </c>
      <c r="L59" s="9" t="str">
        <f>IFERROR(INDEX('Raw Non-zero DMR Data'!$U:$U, MATCH($J59,'Raw Non-zero DMR Data'!$D:$D,0)),"")</f>
        <v>Salado Creek-San Antonio River</v>
      </c>
      <c r="M59" s="155">
        <f>IFERROR(INDEX('Raw Non-zero DMR Data'!$T:$T, MATCH($J59,'Raw Non-zero DMR Data'!$D:$D,0)),"")</f>
        <v>121003010203</v>
      </c>
      <c r="N59" s="155" t="str">
        <f>IFERROR(INDEX('Off-site Locations'!$E:$E,MATCH(I59,'Off-site Locations'!$B:$B,0)),"No offsite transfers")</f>
        <v>No offsite transfers</v>
      </c>
      <c r="O59" s="165">
        <f>INDEX('TRI and DMR OES Summary'!D:D,MATCH('Facility Discharge Summary'!D59,'TRI and DMR OES Summary'!A:A,0))</f>
        <v>250</v>
      </c>
      <c r="P59" s="17" cm="1">
        <f t="array" ref="P59">IFERROR(_xlfn.XLOOKUP(1,  (MAX(IF(J59 = 'Processed Non-zero DMR Data'!$I$2:$I$651,'Processed Non-zero DMR Data'!$A$2:$A$651)) = 'Processed Non-zero DMR Data'!$A$2:$A$651)*('Processed Non-zero DMR Data'!$I$2:$I$651 = J59),'Processed Non-zero DMR Data'!$W$2:$W$651), "N/A- Facility Does Not Report DMRs")</f>
        <v>3.4654466437500003E-2</v>
      </c>
      <c r="Q59" s="10">
        <f t="shared" si="35"/>
        <v>1.3861786575000001E-4</v>
      </c>
      <c r="R59" s="10" cm="1">
        <f t="array" ref="R59">IF(COUNTIF('Processed Non-zero DMR Data'!$I:$I,$J59)&gt;0,MEDIAN(IF('Processed Non-zero DMR Data'!$I:$I=J59,'Processed Non-zero DMR Data'!$W:$W)),"N/A - Facility Does Not Report DMRs")</f>
        <v>3.4654466437500003E-2</v>
      </c>
      <c r="S59" s="10">
        <f t="shared" si="36"/>
        <v>1.3861786575000001E-4</v>
      </c>
      <c r="T59" s="10">
        <f>IF(COUNTIF('Processed Non-zero DMR Data'!$I:$I,$J59)&gt;0,_xlfn.MAXIFS('Processed Non-zero DMR Data'!$W:$W,'Processed Non-zero DMR Data'!$I:$I,$J59), "N/A - Facility Does Not Report DMRs")</f>
        <v>3.6077092752499998E-2</v>
      </c>
      <c r="U59" s="10">
        <f t="shared" si="37"/>
        <v>1.4430837100999999E-4</v>
      </c>
      <c r="V59" s="158" cm="1">
        <f t="array" ref="V59">IF(COUNTIF('Processed Non-zero DMR Data'!$I:$I,$J59)&gt;0,INDEX('Processed Non-zero DMR Data'!$A:$A,MATCH(1,($J59='Processed Non-zero DMR Data'!$I:$I)*($T59='Processed Non-zero DMR Data'!$W:$W),0)), "N/A - Facility Does Not Report DMRs")</f>
        <v>2021</v>
      </c>
      <c r="W59" s="17" t="str" cm="1">
        <f t="array" ref="W59">IFERROR(_xlfn.XLOOKUP(1,  (MAX(IF(I59 = 'Processed Non-zero TRI Data'!$I$2:$I$6,'Processed Non-zero TRI Data'!$A$2:$A$6)) = 'Processed Non-zero TRI Data'!$A$2:$A$6)*('Processed Non-zero TRI Data'!$I$2:$I$6 = I59), 'Processed Non-zero TRI Data'!$T$2:$T$6), "N/A- Facility Does Not Report to TRI")</f>
        <v>N/A- Facility Does Not Report to TRI</v>
      </c>
      <c r="X59" s="10" t="str">
        <f t="shared" si="38"/>
        <v>N/A - Facility Does Not Report to TRI</v>
      </c>
      <c r="Y59" s="10" t="str" cm="1">
        <f t="array" ref="Y59">IF(COUNTIF('Processed Non-zero TRI Data'!$I:$I,$I59)&gt;0,MEDIAN(IF('Processed Non-zero TRI Data'!$I:$I=I59,'Processed Non-zero TRI Data'!$T:$T)), "N/A - Facility Does Not Report to TRI")</f>
        <v>N/A - Facility Does Not Report to TRI</v>
      </c>
      <c r="Z59" s="10" t="str">
        <f t="shared" si="39"/>
        <v>N/A - Facility Does Not Report to TRI</v>
      </c>
      <c r="AA59" s="10" t="str">
        <f>IF(COUNTIF('Processed Non-zero TRI Data'!$I:$I,$I59)&gt;0,_xlfn.MAXIFS('Processed Non-zero TRI Data'!$T:$T,'Processed Non-zero TRI Data'!$I:$I,$I59), "N/A - Facility Does Not Report to TRI")</f>
        <v>N/A - Facility Does Not Report to TRI</v>
      </c>
      <c r="AB59" s="10" t="str">
        <f t="shared" si="40"/>
        <v>N/A - Facility Does Not Report to TRI</v>
      </c>
      <c r="AC59" s="158" t="str" cm="1">
        <f t="array" ref="AC59">IFERROR(IF(B59 = "TRI Form R", IF(AA59 = 0, "Facility has no on-site water discharges between 2017-2022.",  IF(COUNTIF('Processed Non-zero TRI Data'!$I:$I,$I59)&gt;0,INDEX('Processed Non-zero TRI Data'!$A:$A,MATCH(1,($I59='Processed Non-zero TRI Data'!$I:$I)*(AA59='Processed Non-zero TRI Data'!$T:$T),0)))), VLOOKUP(I59,#REF!, 2, FALSE)), ("N/A - Facility Does Not Report to TRI"))</f>
        <v>N/A - Facility Does Not Report to TRI</v>
      </c>
      <c r="AD59" s="97" t="str" cm="1">
        <f t="array" ref="AD59">IFERROR(_xlfn.XLOOKUP(1,  (MAX(IF(I59 = 'Processed Non-zero TRI Data'!$I$2:$I$6,'Processed Non-zero TRI Data'!$A$2:$A$6)) = 'Processed Non-zero TRI Data'!$A$2:$A$6)*('Processed Non-zero TRI Data'!$I$2:$I$6 = I59), 'Processed Non-zero TRI Data'!$V$2:$V$6), "N/A- Facility Does Not Report to TRI")</f>
        <v>N/A- Facility Does Not Report to TRI</v>
      </c>
      <c r="AE59" s="9" t="str">
        <f t="shared" si="41"/>
        <v>N/A - Facility Does Not Report to TRI</v>
      </c>
      <c r="AF59" s="9" t="str" cm="1">
        <f t="array" ref="AF59">IF(COUNTIF('Processed Non-zero TRI Data'!$I:$I,$I59)&gt;0,MEDIAN(IF('Processed Non-zero TRI Data'!$I:$I=I59,'Processed Non-zero TRI Data'!$V:$V)), "N/A - Facility Does Not Report to TRI")</f>
        <v>N/A - Facility Does Not Report to TRI</v>
      </c>
      <c r="AG59" s="9" t="str">
        <f t="shared" si="42"/>
        <v>N/A - Facility Does Not Report to TRI</v>
      </c>
      <c r="AH59" s="9" t="str">
        <f>IF(COUNTIF('Processed Non-zero TRI Data'!$I:$I,$I59)&gt;0,_xlfn.MAXIFS('Processed Non-zero TRI Data'!$V:$V,'Processed Non-zero TRI Data'!$I:$I,$I59), "N/A - Facility Does Not Report to TRI")</f>
        <v>N/A - Facility Does Not Report to TRI</v>
      </c>
      <c r="AI59" s="9" t="str">
        <f t="shared" si="43"/>
        <v>N/A - Facility Does Not Report to TRI</v>
      </c>
      <c r="AJ59" s="158" t="str" cm="1">
        <f t="array" ref="AJ59">IF(B59="TRI Form A",AC59,IF(AH59=0,"Facility has no transfers to POTWs between 2019-2023.",IF(COUNTIF('Processed Non-zero TRI Data'!$I:$I,$I59)&gt;0,INDEX('Processed Non-zero TRI Data'!$A:$A,MATCH(1,($I59='Processed Non-zero TRI Data'!$I:$I)*(AH59='Processed Non-zero TRI Data'!$V:$V),0)),"N/A - Facility Does Not Report to TRI")))</f>
        <v>N/A - Facility Does Not Report to TRI</v>
      </c>
      <c r="AK59" s="97" t="str" cm="1">
        <f t="array" ref="AK59">IFERROR(_xlfn.XLOOKUP(1,  (MAX(IF(I59 = 'Processed Non-zero TRI Data'!$I$2:$I$6,'Processed Non-zero TRI Data'!$A$2:$A$6)) = 'Processed Non-zero TRI Data'!$A$2:$A$6)*('Processed Non-zero TRI Data'!$I$2:$I$6 = I59), 'Processed Non-zero TRI Data'!$X$2:$X$6), "N/A- Facility Does Not Report to TRI")</f>
        <v>N/A- Facility Does Not Report to TRI</v>
      </c>
      <c r="AL59" s="9" t="str">
        <f t="shared" si="44"/>
        <v>N/A - Facility Does Not Report to TRI</v>
      </c>
      <c r="AM59" s="9" t="str" cm="1">
        <f t="array" ref="AM59">IF(COUNTIF('Processed Non-zero TRI Data'!$I:$I,$I59)&gt;0,MEDIAN(IF('Processed Non-zero TRI Data'!$I:$I=I59,'Processed Non-zero TRI Data'!$X:$X)), "N/A - Facility Does Not Report to TRI")</f>
        <v>N/A - Facility Does Not Report to TRI</v>
      </c>
      <c r="AN59" s="9" t="str">
        <f t="shared" si="45"/>
        <v>N/A - Facility Does Not Report to TRI</v>
      </c>
      <c r="AO59" s="9" t="str">
        <f>IF(COUNTIF('Processed Non-zero TRI Data'!$I:$I,$I59)&gt;0,_xlfn.MAXIFS('Processed Non-zero TRI Data'!$X:$X,'Processed Non-zero TRI Data'!$I:$I,$I59), "N/A - Facility Does Not Report to TRI")</f>
        <v>N/A - Facility Does Not Report to TRI</v>
      </c>
      <c r="AP59" s="9" t="str">
        <f t="shared" si="46"/>
        <v>N/A - Facility Does Not Report to TRI</v>
      </c>
      <c r="AQ59" s="251" t="str" cm="1">
        <f t="array" ref="AQ59">IF(B59="TRI Form A",AC59,IF(AO59=0,"Facility has no transfers to non-POTWs between 2019-2023.",IF(COUNTIF('Processed Non-zero TRI Data'!$I:$I,$I59)&gt;0,INDEX('Processed Non-zero TRI Data'!$A:$A,MATCH(1,($I59='Processed Non-zero TRI Data'!$I:$I)*(AO59='Processed Non-zero TRI Data'!$X:$X),0)),"N/A - Facility Does Not Report to TRI")))</f>
        <v>N/A - Facility Does Not Report to TRI</v>
      </c>
      <c r="AR59" s="260">
        <f t="shared" si="12"/>
        <v>0</v>
      </c>
      <c r="AS59" s="260">
        <f t="shared" si="13"/>
        <v>3.6077092752499998E-2</v>
      </c>
    </row>
    <row r="60" spans="1:45" ht="30" x14ac:dyDescent="0.25">
      <c r="A60" s="12">
        <v>57</v>
      </c>
      <c r="B60" s="10" t="str">
        <f>IFERROR("TRI Form "&amp; VLOOKUP(I60, 'Processed Non-zero TRI Data'!$I$2:$K$6, 3, FALSE), "DMR")</f>
        <v>DMR</v>
      </c>
      <c r="C60" s="181" t="e">
        <f>VLOOKUP(D60,#REF!, 2, FALSE)</f>
        <v>#REF!</v>
      </c>
      <c r="D60" s="181" t="str">
        <f>IF(I60&lt;&gt;"",INDEX('Processed Non-zero TRI Data'!$O:$O,MATCH(I60,'Processed Non-zero TRI Data'!$I:$I,0)),INDEX('Processed Non-zero DMR Data'!$S:$S,MATCH(J60,'Processed Non-zero DMR Data'!$I:$I,0)))</f>
        <v>Waste Handling, Disposal and Treatment (POTW)</v>
      </c>
      <c r="E60" s="181" t="str">
        <f>IF(I60&lt;&gt;"",INDEX('Processed Non-zero TRI Data'!$P:$P,MATCH(I60,'Processed Non-zero TRI Data'!$I:$I,0)),INDEX('Processed Non-zero DMR Data'!$T:$T,MATCH(J60,'Processed Non-zero DMR Data'!$I:$I,0)))</f>
        <v>POTW indicator in DMR</v>
      </c>
      <c r="F60" s="9" t="str">
        <f>_xlfn.XLOOKUP(J60, 'Processed Non-zero DMR Data'!I:I, 'Processed Non-zero DMR Data'!B:B)</f>
        <v>RUSSELLVILLE STP</v>
      </c>
      <c r="G60" s="9" t="str">
        <f>_xlfn.XLOOKUP(J60, 'Processed Non-zero DMR Data'!I:I, 'Processed Non-zero DMR Data'!C:C)</f>
        <v>RUSSELLVILLE</v>
      </c>
      <c r="H60" s="9" t="str">
        <f>_xlfn.XLOOKUP(J60, 'Processed Non-zero DMR Data'!I:I, 'Processed Non-zero DMR Data'!E:E)</f>
        <v>KY</v>
      </c>
      <c r="I60" s="12"/>
      <c r="J60" s="13">
        <v>110000736730</v>
      </c>
      <c r="K60" s="9" t="str">
        <f>IFERROR(INDEX('Raw Non-zero DMR Data'!$C:$C, MATCH(J60,'Raw Non-zero DMR Data'!$D:$D,0)),"")</f>
        <v>KY0020877</v>
      </c>
      <c r="L60" s="9" t="str">
        <f>IFERROR(INDEX('Raw Non-zero DMR Data'!$U:$U, MATCH($J60,'Raw Non-zero DMR Data'!$D:$D,0)),"")</f>
        <v>Headwaters Mud River</v>
      </c>
      <c r="M60" s="155" t="str">
        <f>IFERROR(INDEX('Raw Non-zero DMR Data'!$T:$T, MATCH($J60,'Raw Non-zero DMR Data'!$D:$D,0)),"")</f>
        <v>051100030204</v>
      </c>
      <c r="N60" s="155" t="str">
        <f>IFERROR(INDEX('Off-site Locations'!$E:$E,MATCH(I60,'Off-site Locations'!$B:$B,0)),"No offsite transfers")</f>
        <v>No offsite transfers</v>
      </c>
      <c r="O60" s="165">
        <f>INDEX('TRI and DMR OES Summary'!D:D,MATCH('Facility Discharge Summary'!D60,'TRI and DMR OES Summary'!A:A,0))</f>
        <v>365</v>
      </c>
      <c r="P60" s="17" cm="1">
        <f t="array" ref="P60">IFERROR(_xlfn.XLOOKUP(1,  (MAX(IF(J60 = 'Processed Non-zero DMR Data'!$I$2:$I$651,'Processed Non-zero DMR Data'!$A$2:$A$651)) = 'Processed Non-zero DMR Data'!$A$2:$A$651)*('Processed Non-zero DMR Data'!$I$2:$I$651 = J60),'Processed Non-zero DMR Data'!$W$2:$W$651), "N/A- Facility Does Not Report DMRs")</f>
        <v>3.8199166250000001E-3</v>
      </c>
      <c r="Q60" s="10">
        <f t="shared" si="35"/>
        <v>1.0465525E-5</v>
      </c>
      <c r="R60" s="10" cm="1">
        <f t="array" ref="R60">IF(COUNTIF('Processed Non-zero DMR Data'!$I:$I,$J60)&gt;0,MEDIAN(IF('Processed Non-zero DMR Data'!$I:$I=J60,'Processed Non-zero DMR Data'!$W:$W)),"N/A - Facility Does Not Report DMRs")</f>
        <v>0.6762564875</v>
      </c>
      <c r="S60" s="10">
        <f t="shared" si="36"/>
        <v>1.8527575E-3</v>
      </c>
      <c r="T60" s="10">
        <f>IF(COUNTIF('Processed Non-zero DMR Data'!$I:$I,$J60)&gt;0,_xlfn.MAXIFS('Processed Non-zero DMR Data'!$W:$W,'Processed Non-zero DMR Data'!$I:$I,$J60), "N/A - Facility Does Not Report DMRs")</f>
        <v>1.4202077</v>
      </c>
      <c r="U60" s="10">
        <f t="shared" si="37"/>
        <v>3.89098E-3</v>
      </c>
      <c r="V60" s="158" cm="1">
        <f t="array" ref="V60">IF(COUNTIF('Processed Non-zero DMR Data'!$I:$I,$J60)&gt;0,INDEX('Processed Non-zero DMR Data'!$A:$A,MATCH(1,($J60='Processed Non-zero DMR Data'!$I:$I)*($T60='Processed Non-zero DMR Data'!$W:$W),0)), "N/A - Facility Does Not Report DMRs")</f>
        <v>2019</v>
      </c>
      <c r="W60" s="17" t="str" cm="1">
        <f t="array" ref="W60">IFERROR(_xlfn.XLOOKUP(1,  (MAX(IF(I60 = 'Processed Non-zero TRI Data'!$I$2:$I$6,'Processed Non-zero TRI Data'!$A$2:$A$6)) = 'Processed Non-zero TRI Data'!$A$2:$A$6)*('Processed Non-zero TRI Data'!$I$2:$I$6 = I60), 'Processed Non-zero TRI Data'!$T$2:$T$6), "N/A- Facility Does Not Report to TRI")</f>
        <v>N/A- Facility Does Not Report to TRI</v>
      </c>
      <c r="X60" s="10" t="str">
        <f t="shared" si="38"/>
        <v>N/A - Facility Does Not Report to TRI</v>
      </c>
      <c r="Y60" s="10" t="str" cm="1">
        <f t="array" ref="Y60">IF(COUNTIF('Processed Non-zero TRI Data'!$I:$I,$I60)&gt;0,MEDIAN(IF('Processed Non-zero TRI Data'!$I:$I=I60,'Processed Non-zero TRI Data'!$T:$T)), "N/A - Facility Does Not Report to TRI")</f>
        <v>N/A - Facility Does Not Report to TRI</v>
      </c>
      <c r="Z60" s="10" t="str">
        <f t="shared" si="39"/>
        <v>N/A - Facility Does Not Report to TRI</v>
      </c>
      <c r="AA60" s="10" t="str">
        <f>IF(COUNTIF('Processed Non-zero TRI Data'!$I:$I,$I60)&gt;0,_xlfn.MAXIFS('Processed Non-zero TRI Data'!$T:$T,'Processed Non-zero TRI Data'!$I:$I,$I60), "N/A - Facility Does Not Report to TRI")</f>
        <v>N/A - Facility Does Not Report to TRI</v>
      </c>
      <c r="AB60" s="10" t="str">
        <f t="shared" si="40"/>
        <v>N/A - Facility Does Not Report to TRI</v>
      </c>
      <c r="AC60" s="158" t="str" cm="1">
        <f t="array" ref="AC60">IFERROR(IF(B60 = "TRI Form R", IF(AA60 = 0, "Facility has no on-site water discharges between 2017-2022.",  IF(COUNTIF('Processed Non-zero TRI Data'!$I:$I,$I60)&gt;0,INDEX('Processed Non-zero TRI Data'!$A:$A,MATCH(1,($I60='Processed Non-zero TRI Data'!$I:$I)*(AA60='Processed Non-zero TRI Data'!$T:$T),0)))), VLOOKUP(I60,#REF!, 2, FALSE)), ("N/A - Facility Does Not Report to TRI"))</f>
        <v>N/A - Facility Does Not Report to TRI</v>
      </c>
      <c r="AD60" s="97" t="str" cm="1">
        <f t="array" ref="AD60">IFERROR(_xlfn.XLOOKUP(1,  (MAX(IF(I60 = 'Processed Non-zero TRI Data'!$I$2:$I$6,'Processed Non-zero TRI Data'!$A$2:$A$6)) = 'Processed Non-zero TRI Data'!$A$2:$A$6)*('Processed Non-zero TRI Data'!$I$2:$I$6 = I60), 'Processed Non-zero TRI Data'!$V$2:$V$6), "N/A- Facility Does Not Report to TRI")</f>
        <v>N/A- Facility Does Not Report to TRI</v>
      </c>
      <c r="AE60" s="9" t="str">
        <f t="shared" si="41"/>
        <v>N/A - Facility Does Not Report to TRI</v>
      </c>
      <c r="AF60" s="9" t="str" cm="1">
        <f t="array" ref="AF60">IF(COUNTIF('Processed Non-zero TRI Data'!$I:$I,$I60)&gt;0,MEDIAN(IF('Processed Non-zero TRI Data'!$I:$I=I60,'Processed Non-zero TRI Data'!$V:$V)), "N/A - Facility Does Not Report to TRI")</f>
        <v>N/A - Facility Does Not Report to TRI</v>
      </c>
      <c r="AG60" s="9" t="str">
        <f t="shared" si="42"/>
        <v>N/A - Facility Does Not Report to TRI</v>
      </c>
      <c r="AH60" s="9" t="str">
        <f>IF(COUNTIF('Processed Non-zero TRI Data'!$I:$I,$I60)&gt;0,_xlfn.MAXIFS('Processed Non-zero TRI Data'!$V:$V,'Processed Non-zero TRI Data'!$I:$I,$I60), "N/A - Facility Does Not Report to TRI")</f>
        <v>N/A - Facility Does Not Report to TRI</v>
      </c>
      <c r="AI60" s="9" t="str">
        <f t="shared" si="43"/>
        <v>N/A - Facility Does Not Report to TRI</v>
      </c>
      <c r="AJ60" s="158" t="str" cm="1">
        <f t="array" ref="AJ60">IF(B60="TRI Form A",AC60,IF(AH60=0,"Facility has no transfers to POTWs between 2019-2023.",IF(COUNTIF('Processed Non-zero TRI Data'!$I:$I,$I60)&gt;0,INDEX('Processed Non-zero TRI Data'!$A:$A,MATCH(1,($I60='Processed Non-zero TRI Data'!$I:$I)*(AH60='Processed Non-zero TRI Data'!$V:$V),0)),"N/A - Facility Does Not Report to TRI")))</f>
        <v>N/A - Facility Does Not Report to TRI</v>
      </c>
      <c r="AK60" s="97" t="str" cm="1">
        <f t="array" ref="AK60">IFERROR(_xlfn.XLOOKUP(1,  (MAX(IF(I60 = 'Processed Non-zero TRI Data'!$I$2:$I$6,'Processed Non-zero TRI Data'!$A$2:$A$6)) = 'Processed Non-zero TRI Data'!$A$2:$A$6)*('Processed Non-zero TRI Data'!$I$2:$I$6 = I60), 'Processed Non-zero TRI Data'!$X$2:$X$6), "N/A- Facility Does Not Report to TRI")</f>
        <v>N/A- Facility Does Not Report to TRI</v>
      </c>
      <c r="AL60" s="9" t="str">
        <f t="shared" si="44"/>
        <v>N/A - Facility Does Not Report to TRI</v>
      </c>
      <c r="AM60" s="9" t="str" cm="1">
        <f t="array" ref="AM60">IF(COUNTIF('Processed Non-zero TRI Data'!$I:$I,$I60)&gt;0,MEDIAN(IF('Processed Non-zero TRI Data'!$I:$I=I60,'Processed Non-zero TRI Data'!$X:$X)), "N/A - Facility Does Not Report to TRI")</f>
        <v>N/A - Facility Does Not Report to TRI</v>
      </c>
      <c r="AN60" s="9" t="str">
        <f t="shared" si="45"/>
        <v>N/A - Facility Does Not Report to TRI</v>
      </c>
      <c r="AO60" s="9" t="str">
        <f>IF(COUNTIF('Processed Non-zero TRI Data'!$I:$I,$I60)&gt;0,_xlfn.MAXIFS('Processed Non-zero TRI Data'!$X:$X,'Processed Non-zero TRI Data'!$I:$I,$I60), "N/A - Facility Does Not Report to TRI")</f>
        <v>N/A - Facility Does Not Report to TRI</v>
      </c>
      <c r="AP60" s="9" t="str">
        <f t="shared" si="46"/>
        <v>N/A - Facility Does Not Report to TRI</v>
      </c>
      <c r="AQ60" s="251" t="str" cm="1">
        <f t="array" ref="AQ60">IF(B60="TRI Form A",AC60,IF(AO60=0,"Facility has no transfers to non-POTWs between 2019-2023.",IF(COUNTIF('Processed Non-zero TRI Data'!$I:$I,$I60)&gt;0,INDEX('Processed Non-zero TRI Data'!$A:$A,MATCH(1,($I60='Processed Non-zero TRI Data'!$I:$I)*(AO60='Processed Non-zero TRI Data'!$X:$X),0)),"N/A - Facility Does Not Report to TRI")))</f>
        <v>N/A - Facility Does Not Report to TRI</v>
      </c>
      <c r="AR60" s="260">
        <f t="shared" si="12"/>
        <v>0</v>
      </c>
      <c r="AS60" s="260">
        <f t="shared" si="13"/>
        <v>1.4202077</v>
      </c>
    </row>
    <row r="61" spans="1:45" ht="30" x14ac:dyDescent="0.25">
      <c r="A61" s="12">
        <v>58</v>
      </c>
      <c r="B61" s="10" t="str">
        <f>IFERROR("TRI Form "&amp; VLOOKUP(I61, 'Processed Non-zero TRI Data'!$I$2:$K$6, 3, FALSE), "DMR")</f>
        <v>DMR</v>
      </c>
      <c r="C61" s="181" t="e">
        <f>VLOOKUP(D61,#REF!, 2, FALSE)</f>
        <v>#REF!</v>
      </c>
      <c r="D61" s="181" t="str">
        <f>IF(I61&lt;&gt;"",INDEX('Processed Non-zero TRI Data'!$O:$O,MATCH(I61,'Processed Non-zero TRI Data'!$I:$I,0)),INDEX('Processed Non-zero DMR Data'!$S:$S,MATCH(J61,'Processed Non-zero DMR Data'!$I:$I,0)))</f>
        <v>Waste Handling, Disposal and Treatment (POTW)</v>
      </c>
      <c r="E61" s="181" t="str">
        <f>IF(I61&lt;&gt;"",INDEX('Processed Non-zero TRI Data'!$P:$P,MATCH(I61,'Processed Non-zero TRI Data'!$I:$I,0)),INDEX('Processed Non-zero DMR Data'!$T:$T,MATCH(J61,'Processed Non-zero DMR Data'!$I:$I,0)))</f>
        <v>POTW indicator in DMR</v>
      </c>
      <c r="F61" s="9" t="str">
        <f>_xlfn.XLOOKUP(J61, 'Processed Non-zero DMR Data'!I:I, 'Processed Non-zero DMR Data'!B:B)</f>
        <v>CENTRAL CITY STP</v>
      </c>
      <c r="G61" s="9" t="str">
        <f>_xlfn.XLOOKUP(J61, 'Processed Non-zero DMR Data'!I:I, 'Processed Non-zero DMR Data'!C:C)</f>
        <v>CENTRAL CITY</v>
      </c>
      <c r="H61" s="9" t="str">
        <f>_xlfn.XLOOKUP(J61, 'Processed Non-zero DMR Data'!I:I, 'Processed Non-zero DMR Data'!E:E)</f>
        <v>KY</v>
      </c>
      <c r="I61" s="12"/>
      <c r="J61" s="13">
        <v>110064265496</v>
      </c>
      <c r="K61" s="9" t="str">
        <f>IFERROR(INDEX('Raw Non-zero DMR Data'!$C:$C, MATCH(J61,'Raw Non-zero DMR Data'!$D:$D,0)),"")</f>
        <v>KY0023540</v>
      </c>
      <c r="L61" s="9" t="str">
        <f>IFERROR(INDEX('Raw Non-zero DMR Data'!$U:$U, MATCH($J61,'Raw Non-zero DMR Data'!$D:$D,0)),"")</f>
        <v>Little Cypress Creek</v>
      </c>
      <c r="M61" s="155" t="str">
        <f>IFERROR(INDEX('Raw Non-zero DMR Data'!$T:$T, MATCH($J61,'Raw Non-zero DMR Data'!$D:$D,0)),"")</f>
        <v>051100060401</v>
      </c>
      <c r="N61" s="155" t="str">
        <f>IFERROR(INDEX('Off-site Locations'!$E:$E,MATCH(I61,'Off-site Locations'!$B:$B,0)),"No offsite transfers")</f>
        <v>No offsite transfers</v>
      </c>
      <c r="O61" s="165">
        <f>INDEX('TRI and DMR OES Summary'!D:D,MATCH('Facility Discharge Summary'!D61,'TRI and DMR OES Summary'!A:A,0))</f>
        <v>365</v>
      </c>
      <c r="P61" s="17" cm="1">
        <f t="array" ref="P61">IFERROR(_xlfn.XLOOKUP(1,  (MAX(IF(J61 = 'Processed Non-zero DMR Data'!$I$2:$I$651,'Processed Non-zero DMR Data'!$A$2:$A$651)) = 'Processed Non-zero DMR Data'!$A$2:$A$651)*('Processed Non-zero DMR Data'!$I$2:$I$651 = J61),'Processed Non-zero DMR Data'!$W$2:$W$651), "N/A- Facility Does Not Report DMRs")</f>
        <v>2.2311628749999999</v>
      </c>
      <c r="Q61" s="10">
        <f t="shared" si="35"/>
        <v>6.112775E-3</v>
      </c>
      <c r="R61" s="10" cm="1">
        <f t="array" ref="R61">IF(COUNTIF('Processed Non-zero DMR Data'!$I:$I,$J61)&gt;0,MEDIAN(IF('Processed Non-zero DMR Data'!$I:$I=J61,'Processed Non-zero DMR Data'!$W:$W)),"N/A - Facility Does Not Report DMRs")</f>
        <v>3.5401578124999999</v>
      </c>
      <c r="S61" s="10">
        <f t="shared" si="36"/>
        <v>9.6990624999999994E-3</v>
      </c>
      <c r="T61" s="10">
        <f>IF(COUNTIF('Processed Non-zero DMR Data'!$I:$I,$J61)&gt;0,_xlfn.MAXIFS('Processed Non-zero DMR Data'!$W:$W,'Processed Non-zero DMR Data'!$I:$I,$J61), "N/A - Facility Does Not Report DMRs")</f>
        <v>5.6711601250000001</v>
      </c>
      <c r="U61" s="10">
        <f t="shared" si="37"/>
        <v>1.5537425000000001E-2</v>
      </c>
      <c r="V61" s="158" cm="1">
        <f t="array" ref="V61">IF(COUNTIF('Processed Non-zero DMR Data'!$I:$I,$J61)&gt;0,INDEX('Processed Non-zero DMR Data'!$A:$A,MATCH(1,($J61='Processed Non-zero DMR Data'!$I:$I)*($T61='Processed Non-zero DMR Data'!$W:$W),0)), "N/A - Facility Does Not Report DMRs")</f>
        <v>2019</v>
      </c>
      <c r="W61" s="17" t="str" cm="1">
        <f t="array" ref="W61">IFERROR(_xlfn.XLOOKUP(1,  (MAX(IF(I61 = 'Processed Non-zero TRI Data'!$I$2:$I$6,'Processed Non-zero TRI Data'!$A$2:$A$6)) = 'Processed Non-zero TRI Data'!$A$2:$A$6)*('Processed Non-zero TRI Data'!$I$2:$I$6 = I61), 'Processed Non-zero TRI Data'!$T$2:$T$6), "N/A- Facility Does Not Report to TRI")</f>
        <v>N/A- Facility Does Not Report to TRI</v>
      </c>
      <c r="X61" s="10" t="str">
        <f t="shared" si="38"/>
        <v>N/A - Facility Does Not Report to TRI</v>
      </c>
      <c r="Y61" s="10" t="str" cm="1">
        <f t="array" ref="Y61">IF(COUNTIF('Processed Non-zero TRI Data'!$I:$I,$I61)&gt;0,MEDIAN(IF('Processed Non-zero TRI Data'!$I:$I=I61,'Processed Non-zero TRI Data'!$T:$T)), "N/A - Facility Does Not Report to TRI")</f>
        <v>N/A - Facility Does Not Report to TRI</v>
      </c>
      <c r="Z61" s="10" t="str">
        <f t="shared" si="39"/>
        <v>N/A - Facility Does Not Report to TRI</v>
      </c>
      <c r="AA61" s="10" t="str">
        <f>IF(COUNTIF('Processed Non-zero TRI Data'!$I:$I,$I61)&gt;0,_xlfn.MAXIFS('Processed Non-zero TRI Data'!$T:$T,'Processed Non-zero TRI Data'!$I:$I,$I61), "N/A - Facility Does Not Report to TRI")</f>
        <v>N/A - Facility Does Not Report to TRI</v>
      </c>
      <c r="AB61" s="10" t="str">
        <f t="shared" si="40"/>
        <v>N/A - Facility Does Not Report to TRI</v>
      </c>
      <c r="AC61" s="158" t="str" cm="1">
        <f t="array" ref="AC61">IFERROR(IF(B61 = "TRI Form R", IF(AA61 = 0, "Facility has no on-site water discharges between 2017-2022.",  IF(COUNTIF('Processed Non-zero TRI Data'!$I:$I,$I61)&gt;0,INDEX('Processed Non-zero TRI Data'!$A:$A,MATCH(1,($I61='Processed Non-zero TRI Data'!$I:$I)*(AA61='Processed Non-zero TRI Data'!$T:$T),0)))), VLOOKUP(I61,#REF!, 2, FALSE)), ("N/A - Facility Does Not Report to TRI"))</f>
        <v>N/A - Facility Does Not Report to TRI</v>
      </c>
      <c r="AD61" s="97" t="str" cm="1">
        <f t="array" ref="AD61">IFERROR(_xlfn.XLOOKUP(1,  (MAX(IF(I61 = 'Processed Non-zero TRI Data'!$I$2:$I$6,'Processed Non-zero TRI Data'!$A$2:$A$6)) = 'Processed Non-zero TRI Data'!$A$2:$A$6)*('Processed Non-zero TRI Data'!$I$2:$I$6 = I61), 'Processed Non-zero TRI Data'!$V$2:$V$6), "N/A- Facility Does Not Report to TRI")</f>
        <v>N/A- Facility Does Not Report to TRI</v>
      </c>
      <c r="AE61" s="9" t="str">
        <f t="shared" si="41"/>
        <v>N/A - Facility Does Not Report to TRI</v>
      </c>
      <c r="AF61" s="9" t="str" cm="1">
        <f t="array" ref="AF61">IF(COUNTIF('Processed Non-zero TRI Data'!$I:$I,$I61)&gt;0,MEDIAN(IF('Processed Non-zero TRI Data'!$I:$I=I61,'Processed Non-zero TRI Data'!$V:$V)), "N/A - Facility Does Not Report to TRI")</f>
        <v>N/A - Facility Does Not Report to TRI</v>
      </c>
      <c r="AG61" s="9" t="str">
        <f t="shared" si="42"/>
        <v>N/A - Facility Does Not Report to TRI</v>
      </c>
      <c r="AH61" s="9" t="str">
        <f>IF(COUNTIF('Processed Non-zero TRI Data'!$I:$I,$I61)&gt;0,_xlfn.MAXIFS('Processed Non-zero TRI Data'!$V:$V,'Processed Non-zero TRI Data'!$I:$I,$I61), "N/A - Facility Does Not Report to TRI")</f>
        <v>N/A - Facility Does Not Report to TRI</v>
      </c>
      <c r="AI61" s="9" t="str">
        <f t="shared" si="43"/>
        <v>N/A - Facility Does Not Report to TRI</v>
      </c>
      <c r="AJ61" s="158" t="str" cm="1">
        <f t="array" ref="AJ61">IF(B61="TRI Form A",AC61,IF(AH61=0,"Facility has no transfers to POTWs between 2019-2023.",IF(COUNTIF('Processed Non-zero TRI Data'!$I:$I,$I61)&gt;0,INDEX('Processed Non-zero TRI Data'!$A:$A,MATCH(1,($I61='Processed Non-zero TRI Data'!$I:$I)*(AH61='Processed Non-zero TRI Data'!$V:$V),0)),"N/A - Facility Does Not Report to TRI")))</f>
        <v>N/A - Facility Does Not Report to TRI</v>
      </c>
      <c r="AK61" s="97" t="str" cm="1">
        <f t="array" ref="AK61">IFERROR(_xlfn.XLOOKUP(1,  (MAX(IF(I61 = 'Processed Non-zero TRI Data'!$I$2:$I$6,'Processed Non-zero TRI Data'!$A$2:$A$6)) = 'Processed Non-zero TRI Data'!$A$2:$A$6)*('Processed Non-zero TRI Data'!$I$2:$I$6 = I61), 'Processed Non-zero TRI Data'!$X$2:$X$6), "N/A- Facility Does Not Report to TRI")</f>
        <v>N/A- Facility Does Not Report to TRI</v>
      </c>
      <c r="AL61" s="9" t="str">
        <f t="shared" si="44"/>
        <v>N/A - Facility Does Not Report to TRI</v>
      </c>
      <c r="AM61" s="9" t="str" cm="1">
        <f t="array" ref="AM61">IF(COUNTIF('Processed Non-zero TRI Data'!$I:$I,$I61)&gt;0,MEDIAN(IF('Processed Non-zero TRI Data'!$I:$I=I61,'Processed Non-zero TRI Data'!$X:$X)), "N/A - Facility Does Not Report to TRI")</f>
        <v>N/A - Facility Does Not Report to TRI</v>
      </c>
      <c r="AN61" s="9" t="str">
        <f t="shared" si="45"/>
        <v>N/A - Facility Does Not Report to TRI</v>
      </c>
      <c r="AO61" s="9" t="str">
        <f>IF(COUNTIF('Processed Non-zero TRI Data'!$I:$I,$I61)&gt;0,_xlfn.MAXIFS('Processed Non-zero TRI Data'!$X:$X,'Processed Non-zero TRI Data'!$I:$I,$I61), "N/A - Facility Does Not Report to TRI")</f>
        <v>N/A - Facility Does Not Report to TRI</v>
      </c>
      <c r="AP61" s="9" t="str">
        <f t="shared" si="46"/>
        <v>N/A - Facility Does Not Report to TRI</v>
      </c>
      <c r="AQ61" s="251" t="str" cm="1">
        <f t="array" ref="AQ61">IF(B61="TRI Form A",AC61,IF(AO61=0,"Facility has no transfers to non-POTWs between 2019-2023.",IF(COUNTIF('Processed Non-zero TRI Data'!$I:$I,$I61)&gt;0,INDEX('Processed Non-zero TRI Data'!$A:$A,MATCH(1,($I61='Processed Non-zero TRI Data'!$I:$I)*(AO61='Processed Non-zero TRI Data'!$X:$X),0)),"N/A - Facility Does Not Report to TRI")))</f>
        <v>N/A - Facility Does Not Report to TRI</v>
      </c>
      <c r="AR61" s="260">
        <f t="shared" si="12"/>
        <v>0</v>
      </c>
      <c r="AS61" s="260">
        <f t="shared" si="13"/>
        <v>5.6711601250000001</v>
      </c>
    </row>
    <row r="62" spans="1:45" ht="30" x14ac:dyDescent="0.25">
      <c r="A62" s="12">
        <v>59</v>
      </c>
      <c r="B62" s="10" t="str">
        <f>IFERROR("TRI Form "&amp; VLOOKUP(I62, 'Processed Non-zero TRI Data'!$I$2:$K$6, 3, FALSE), "DMR")</f>
        <v>DMR</v>
      </c>
      <c r="C62" s="181" t="e">
        <f>VLOOKUP(D62,#REF!, 2, FALSE)</f>
        <v>#REF!</v>
      </c>
      <c r="D62" s="181" t="str">
        <f>IF(I62&lt;&gt;"",INDEX('Processed Non-zero TRI Data'!$O:$O,MATCH(I62,'Processed Non-zero TRI Data'!$I:$I,0)),INDEX('Processed Non-zero DMR Data'!$S:$S,MATCH(J62,'Processed Non-zero DMR Data'!$I:$I,0)))</f>
        <v>Processing as a reactant</v>
      </c>
      <c r="E62" s="181" t="str">
        <f>IF(I62&lt;&gt;"",INDEX('Processed Non-zero TRI Data'!$P:$P,MATCH(I62,'Processed Non-zero TRI Data'!$I:$I,0)),INDEX('Processed Non-zero DMR Data'!$T:$T,MATCH(J62,'Processed Non-zero DMR Data'!$I:$I,0)))</f>
        <v>Agricultural chemical manufacturer; assumed processing as a reactant.</v>
      </c>
      <c r="F62" s="9" t="str">
        <f>_xlfn.XLOOKUP(J62, 'Processed Non-zero DMR Data'!I:I, 'Processed Non-zero DMR Data'!B:B)</f>
        <v>SYNGENTA CROP PROTECTION, LLC. - ST GABRIEL PLANT</v>
      </c>
      <c r="G62" s="9" t="str">
        <f>_xlfn.XLOOKUP(J62, 'Processed Non-zero DMR Data'!I:I, 'Processed Non-zero DMR Data'!C:C)</f>
        <v>SAINT GABRIEL</v>
      </c>
      <c r="H62" s="9" t="str">
        <f>_xlfn.XLOOKUP(J62, 'Processed Non-zero DMR Data'!I:I, 'Processed Non-zero DMR Data'!E:E)</f>
        <v>LA</v>
      </c>
      <c r="I62" s="12"/>
      <c r="J62" s="13">
        <v>110000597426</v>
      </c>
      <c r="K62" s="9" t="str">
        <f>IFERROR(INDEX('Raw Non-zero DMR Data'!$C:$C, MATCH(J62,'Raw Non-zero DMR Data'!$D:$D,0)),"")</f>
        <v>LA0005487</v>
      </c>
      <c r="L62" s="9" t="str">
        <f>IFERROR(INDEX('Raw Non-zero DMR Data'!$U:$U, MATCH($J62,'Raw Non-zero DMR Data'!$D:$D,0)),"")</f>
        <v>Bayou Braud</v>
      </c>
      <c r="M62" s="155" t="str">
        <f>IFERROR(INDEX('Raw Non-zero DMR Data'!$T:$T, MATCH($J62,'Raw Non-zero DMR Data'!$D:$D,0)),"")</f>
        <v>080702020801</v>
      </c>
      <c r="N62" s="155" t="str">
        <f>IFERROR(INDEX('Off-site Locations'!$E:$E,MATCH(I62,'Off-site Locations'!$B:$B,0)),"No offsite transfers")</f>
        <v>No offsite transfers</v>
      </c>
      <c r="O62" s="165">
        <f>INDEX('TRI and DMR OES Summary'!D:D,MATCH('Facility Discharge Summary'!D62,'TRI and DMR OES Summary'!A:A,0))</f>
        <v>350</v>
      </c>
      <c r="P62" s="17" cm="1">
        <f t="array" ref="P62">IFERROR(_xlfn.XLOOKUP(1,  (MAX(IF(J62 = 'Processed Non-zero DMR Data'!$I$2:$I$651,'Processed Non-zero DMR Data'!$A$2:$A$651)) = 'Processed Non-zero DMR Data'!$A$2:$A$651)*('Processed Non-zero DMR Data'!$I$2:$I$651 = J62),'Processed Non-zero DMR Data'!$W$2:$W$651), "N/A- Facility Does Not Report DMRs")</f>
        <v>0.82855000000000001</v>
      </c>
      <c r="Q62" s="10">
        <f t="shared" si="35"/>
        <v>2.3672857142857141E-3</v>
      </c>
      <c r="R62" s="10" cm="1">
        <f t="array" ref="R62">IF(COUNTIF('Processed Non-zero DMR Data'!$I:$I,$J62)&gt;0,MEDIAN(IF('Processed Non-zero DMR Data'!$I:$I=J62,'Processed Non-zero DMR Data'!$W:$W)),"N/A - Facility Does Not Report DMRs")</f>
        <v>0.82855000000000001</v>
      </c>
      <c r="S62" s="10">
        <f t="shared" si="36"/>
        <v>2.3672857142857141E-3</v>
      </c>
      <c r="T62" s="10">
        <f>IF(COUNTIF('Processed Non-zero DMR Data'!$I:$I,$J62)&gt;0,_xlfn.MAXIFS('Processed Non-zero DMR Data'!$W:$W,'Processed Non-zero DMR Data'!$I:$I,$J62), "N/A - Facility Does Not Report DMRs")</f>
        <v>0.82855000000000001</v>
      </c>
      <c r="U62" s="10">
        <f t="shared" si="37"/>
        <v>2.3672857142857141E-3</v>
      </c>
      <c r="V62" s="158" cm="1">
        <f t="array" ref="V62">IF(COUNTIF('Processed Non-zero DMR Data'!$I:$I,$J62)&gt;0,INDEX('Processed Non-zero DMR Data'!$A:$A,MATCH(1,($J62='Processed Non-zero DMR Data'!$I:$I)*($T62='Processed Non-zero DMR Data'!$W:$W),0)), "N/A - Facility Does Not Report DMRs")</f>
        <v>2019</v>
      </c>
      <c r="W62" s="17" t="str" cm="1">
        <f t="array" ref="W62">IFERROR(_xlfn.XLOOKUP(1,  (MAX(IF(I62 = 'Processed Non-zero TRI Data'!$I$2:$I$6,'Processed Non-zero TRI Data'!$A$2:$A$6)) = 'Processed Non-zero TRI Data'!$A$2:$A$6)*('Processed Non-zero TRI Data'!$I$2:$I$6 = I62), 'Processed Non-zero TRI Data'!$T$2:$T$6), "N/A- Facility Does Not Report to TRI")</f>
        <v>N/A- Facility Does Not Report to TRI</v>
      </c>
      <c r="X62" s="10" t="str">
        <f t="shared" si="38"/>
        <v>N/A - Facility Does Not Report to TRI</v>
      </c>
      <c r="Y62" s="10" t="str" cm="1">
        <f t="array" ref="Y62">IF(COUNTIF('Processed Non-zero TRI Data'!$I:$I,$I62)&gt;0,MEDIAN(IF('Processed Non-zero TRI Data'!$I:$I=I62,'Processed Non-zero TRI Data'!$T:$T)), "N/A - Facility Does Not Report to TRI")</f>
        <v>N/A - Facility Does Not Report to TRI</v>
      </c>
      <c r="Z62" s="10" t="str">
        <f t="shared" si="39"/>
        <v>N/A - Facility Does Not Report to TRI</v>
      </c>
      <c r="AA62" s="10" t="str">
        <f>IF(COUNTIF('Processed Non-zero TRI Data'!$I:$I,$I62)&gt;0,_xlfn.MAXIFS('Processed Non-zero TRI Data'!$T:$T,'Processed Non-zero TRI Data'!$I:$I,$I62), "N/A - Facility Does Not Report to TRI")</f>
        <v>N/A - Facility Does Not Report to TRI</v>
      </c>
      <c r="AB62" s="10" t="str">
        <f t="shared" si="40"/>
        <v>N/A - Facility Does Not Report to TRI</v>
      </c>
      <c r="AC62" s="158" t="str" cm="1">
        <f t="array" ref="AC62">IFERROR(IF(B62 = "TRI Form R", IF(AA62 = 0, "Facility has no on-site water discharges between 2017-2022.",  IF(COUNTIF('Processed Non-zero TRI Data'!$I:$I,$I62)&gt;0,INDEX('Processed Non-zero TRI Data'!$A:$A,MATCH(1,($I62='Processed Non-zero TRI Data'!$I:$I)*(AA62='Processed Non-zero TRI Data'!$T:$T),0)))), VLOOKUP(I62,#REF!, 2, FALSE)), ("N/A - Facility Does Not Report to TRI"))</f>
        <v>N/A - Facility Does Not Report to TRI</v>
      </c>
      <c r="AD62" s="97" t="str" cm="1">
        <f t="array" ref="AD62">IFERROR(_xlfn.XLOOKUP(1,  (MAX(IF(I62 = 'Processed Non-zero TRI Data'!$I$2:$I$6,'Processed Non-zero TRI Data'!$A$2:$A$6)) = 'Processed Non-zero TRI Data'!$A$2:$A$6)*('Processed Non-zero TRI Data'!$I$2:$I$6 = I62), 'Processed Non-zero TRI Data'!$V$2:$V$6), "N/A- Facility Does Not Report to TRI")</f>
        <v>N/A- Facility Does Not Report to TRI</v>
      </c>
      <c r="AE62" s="9" t="str">
        <f t="shared" si="41"/>
        <v>N/A - Facility Does Not Report to TRI</v>
      </c>
      <c r="AF62" s="9" t="str" cm="1">
        <f t="array" ref="AF62">IF(COUNTIF('Processed Non-zero TRI Data'!$I:$I,$I62)&gt;0,MEDIAN(IF('Processed Non-zero TRI Data'!$I:$I=I62,'Processed Non-zero TRI Data'!$V:$V)), "N/A - Facility Does Not Report to TRI")</f>
        <v>N/A - Facility Does Not Report to TRI</v>
      </c>
      <c r="AG62" s="9" t="str">
        <f t="shared" si="42"/>
        <v>N/A - Facility Does Not Report to TRI</v>
      </c>
      <c r="AH62" s="9" t="str">
        <f>IF(COUNTIF('Processed Non-zero TRI Data'!$I:$I,$I62)&gt;0,_xlfn.MAXIFS('Processed Non-zero TRI Data'!$V:$V,'Processed Non-zero TRI Data'!$I:$I,$I62), "N/A - Facility Does Not Report to TRI")</f>
        <v>N/A - Facility Does Not Report to TRI</v>
      </c>
      <c r="AI62" s="9" t="str">
        <f t="shared" si="43"/>
        <v>N/A - Facility Does Not Report to TRI</v>
      </c>
      <c r="AJ62" s="158" t="str" cm="1">
        <f t="array" ref="AJ62">IF(B62="TRI Form A",AC62,IF(AH62=0,"Facility has no transfers to POTWs between 2019-2023.",IF(COUNTIF('Processed Non-zero TRI Data'!$I:$I,$I62)&gt;0,INDEX('Processed Non-zero TRI Data'!$A:$A,MATCH(1,($I62='Processed Non-zero TRI Data'!$I:$I)*(AH62='Processed Non-zero TRI Data'!$V:$V),0)),"N/A - Facility Does Not Report to TRI")))</f>
        <v>N/A - Facility Does Not Report to TRI</v>
      </c>
      <c r="AK62" s="97" t="str" cm="1">
        <f t="array" ref="AK62">IFERROR(_xlfn.XLOOKUP(1,  (MAX(IF(I62 = 'Processed Non-zero TRI Data'!$I$2:$I$6,'Processed Non-zero TRI Data'!$A$2:$A$6)) = 'Processed Non-zero TRI Data'!$A$2:$A$6)*('Processed Non-zero TRI Data'!$I$2:$I$6 = I62), 'Processed Non-zero TRI Data'!$X$2:$X$6), "N/A- Facility Does Not Report to TRI")</f>
        <v>N/A- Facility Does Not Report to TRI</v>
      </c>
      <c r="AL62" s="9" t="str">
        <f t="shared" si="44"/>
        <v>N/A - Facility Does Not Report to TRI</v>
      </c>
      <c r="AM62" s="9" t="str" cm="1">
        <f t="array" ref="AM62">IF(COUNTIF('Processed Non-zero TRI Data'!$I:$I,$I62)&gt;0,MEDIAN(IF('Processed Non-zero TRI Data'!$I:$I=I62,'Processed Non-zero TRI Data'!$X:$X)), "N/A - Facility Does Not Report to TRI")</f>
        <v>N/A - Facility Does Not Report to TRI</v>
      </c>
      <c r="AN62" s="9" t="str">
        <f t="shared" si="45"/>
        <v>N/A - Facility Does Not Report to TRI</v>
      </c>
      <c r="AO62" s="9" t="str">
        <f>IF(COUNTIF('Processed Non-zero TRI Data'!$I:$I,$I62)&gt;0,_xlfn.MAXIFS('Processed Non-zero TRI Data'!$X:$X,'Processed Non-zero TRI Data'!$I:$I,$I62), "N/A - Facility Does Not Report to TRI")</f>
        <v>N/A - Facility Does Not Report to TRI</v>
      </c>
      <c r="AP62" s="9" t="str">
        <f t="shared" si="46"/>
        <v>N/A - Facility Does Not Report to TRI</v>
      </c>
      <c r="AQ62" s="251" t="str" cm="1">
        <f t="array" ref="AQ62">IF(B62="TRI Form A",AC62,IF(AO62=0,"Facility has no transfers to non-POTWs between 2019-2023.",IF(COUNTIF('Processed Non-zero TRI Data'!$I:$I,$I62)&gt;0,INDEX('Processed Non-zero TRI Data'!$A:$A,MATCH(1,($I62='Processed Non-zero TRI Data'!$I:$I)*(AO62='Processed Non-zero TRI Data'!$X:$X),0)),"N/A - Facility Does Not Report to TRI")))</f>
        <v>N/A - Facility Does Not Report to TRI</v>
      </c>
      <c r="AR62" s="260">
        <f t="shared" si="12"/>
        <v>0</v>
      </c>
      <c r="AS62" s="260">
        <f t="shared" si="13"/>
        <v>0.82855000000000001</v>
      </c>
    </row>
    <row r="63" spans="1:45" ht="30" x14ac:dyDescent="0.25">
      <c r="A63" s="12">
        <v>60</v>
      </c>
      <c r="B63" s="10" t="str">
        <f>IFERROR("TRI Form "&amp; VLOOKUP(I63, 'Processed Non-zero TRI Data'!$I$2:$K$6, 3, FALSE), "DMR")</f>
        <v>DMR</v>
      </c>
      <c r="C63" s="181" t="e">
        <f>VLOOKUP(D63,#REF!, 2, FALSE)</f>
        <v>#REF!</v>
      </c>
      <c r="D63" s="181" t="str">
        <f>IF(I63&lt;&gt;"",INDEX('Processed Non-zero TRI Data'!$O:$O,MATCH(I63,'Processed Non-zero TRI Data'!$I:$I,0)),INDEX('Processed Non-zero DMR Data'!$S:$S,MATCH(J63,'Processed Non-zero DMR Data'!$I:$I,0)))</f>
        <v>Waste Handling, Disposal and Treatment (POTW)</v>
      </c>
      <c r="E63" s="181" t="str">
        <f>IF(I63&lt;&gt;"",INDEX('Processed Non-zero TRI Data'!$P:$P,MATCH(I63,'Processed Non-zero TRI Data'!$I:$I,0)),INDEX('Processed Non-zero DMR Data'!$T:$T,MATCH(J63,'Processed Non-zero DMR Data'!$I:$I,0)))</f>
        <v>POTW indicator in DMR</v>
      </c>
      <c r="F63" s="9" t="str">
        <f>_xlfn.XLOOKUP(J63, 'Processed Non-zero DMR Data'!I:I, 'Processed Non-zero DMR Data'!B:B)</f>
        <v>CEDAR CREEK WWTP</v>
      </c>
      <c r="G63" s="9" t="str">
        <f>_xlfn.XLOOKUP(J63, 'Processed Non-zero DMR Data'!I:I, 'Processed Non-zero DMR Data'!C:C)</f>
        <v>LOUISVILLE</v>
      </c>
      <c r="H63" s="9" t="str">
        <f>_xlfn.XLOOKUP(J63, 'Processed Non-zero DMR Data'!I:I, 'Processed Non-zero DMR Data'!E:E)</f>
        <v>KY</v>
      </c>
      <c r="I63" s="12"/>
      <c r="J63" s="13">
        <v>110043485421</v>
      </c>
      <c r="K63" s="9" t="str">
        <f>IFERROR(INDEX('Raw Non-zero DMR Data'!$C:$C, MATCH(J63,'Raw Non-zero DMR Data'!$D:$D,0)),"")</f>
        <v>KY0098540</v>
      </c>
      <c r="L63" s="9" t="str">
        <f>IFERROR(INDEX('Raw Non-zero DMR Data'!$U:$U, MATCH($J63,'Raw Non-zero DMR Data'!$D:$D,0)),"")</f>
        <v>Pennsylvania Run-Cedar Creek</v>
      </c>
      <c r="M63" s="155" t="str">
        <f>IFERROR(INDEX('Raw Non-zero DMR Data'!$T:$T, MATCH($J63,'Raw Non-zero DMR Data'!$D:$D,0)),"")</f>
        <v>051401021002</v>
      </c>
      <c r="N63" s="155" t="str">
        <f>IFERROR(INDEX('Off-site Locations'!$E:$E,MATCH(I63,'Off-site Locations'!$B:$B,0)),"No offsite transfers")</f>
        <v>No offsite transfers</v>
      </c>
      <c r="O63" s="165">
        <f>INDEX('TRI and DMR OES Summary'!D:D,MATCH('Facility Discharge Summary'!D63,'TRI and DMR OES Summary'!A:A,0))</f>
        <v>365</v>
      </c>
      <c r="P63" s="17" cm="1">
        <f t="array" ref="P63">IFERROR(_xlfn.XLOOKUP(1,  (MAX(IF(J63 = 'Processed Non-zero DMR Data'!$I$2:$I$651,'Processed Non-zero DMR Data'!$A$2:$A$651)) = 'Processed Non-zero DMR Data'!$A$2:$A$651)*('Processed Non-zero DMR Data'!$I$2:$I$651 = J63),'Processed Non-zero DMR Data'!$W$2:$W$651), "N/A- Facility Does Not Report DMRs")</f>
        <v>16.3192640625</v>
      </c>
      <c r="Q63" s="10">
        <f t="shared" si="35"/>
        <v>4.4710312500000002E-2</v>
      </c>
      <c r="R63" s="10" cm="1">
        <f t="array" ref="R63">IF(COUNTIF('Processed Non-zero DMR Data'!$I:$I,$J63)&gt;0,MEDIAN(IF('Processed Non-zero DMR Data'!$I:$I=J63,'Processed Non-zero DMR Data'!$W:$W)),"N/A - Facility Does Not Report DMRs")</f>
        <v>21.130424874999999</v>
      </c>
      <c r="S63" s="10">
        <f t="shared" si="36"/>
        <v>5.7891575000000001E-2</v>
      </c>
      <c r="T63" s="10">
        <f>IF(COUNTIF('Processed Non-zero DMR Data'!$I:$I,$J63)&gt;0,_xlfn.MAXIFS('Processed Non-zero DMR Data'!$W:$W,'Processed Non-zero DMR Data'!$I:$I,$J63), "N/A - Facility Does Not Report DMRs")</f>
        <v>27.7651986875</v>
      </c>
      <c r="U63" s="10">
        <f t="shared" si="37"/>
        <v>7.6069037500000006E-2</v>
      </c>
      <c r="V63" s="158" cm="1">
        <f t="array" ref="V63">IF(COUNTIF('Processed Non-zero DMR Data'!$I:$I,$J63)&gt;0,INDEX('Processed Non-zero DMR Data'!$A:$A,MATCH(1,($J63='Processed Non-zero DMR Data'!$I:$I)*($T63='Processed Non-zero DMR Data'!$W:$W),0)), "N/A - Facility Does Not Report DMRs")</f>
        <v>2019</v>
      </c>
      <c r="W63" s="17" t="str" cm="1">
        <f t="array" ref="W63">IFERROR(_xlfn.XLOOKUP(1,  (MAX(IF(I63 = 'Processed Non-zero TRI Data'!$I$2:$I$6,'Processed Non-zero TRI Data'!$A$2:$A$6)) = 'Processed Non-zero TRI Data'!$A$2:$A$6)*('Processed Non-zero TRI Data'!$I$2:$I$6 = I63), 'Processed Non-zero TRI Data'!$T$2:$T$6), "N/A- Facility Does Not Report to TRI")</f>
        <v>N/A- Facility Does Not Report to TRI</v>
      </c>
      <c r="X63" s="10" t="str">
        <f t="shared" si="38"/>
        <v>N/A - Facility Does Not Report to TRI</v>
      </c>
      <c r="Y63" s="10" t="str" cm="1">
        <f t="array" ref="Y63">IF(COUNTIF('Processed Non-zero TRI Data'!$I:$I,$I63)&gt;0,MEDIAN(IF('Processed Non-zero TRI Data'!$I:$I=I63,'Processed Non-zero TRI Data'!$T:$T)), "N/A - Facility Does Not Report to TRI")</f>
        <v>N/A - Facility Does Not Report to TRI</v>
      </c>
      <c r="Z63" s="10" t="str">
        <f t="shared" si="39"/>
        <v>N/A - Facility Does Not Report to TRI</v>
      </c>
      <c r="AA63" s="10" t="str">
        <f>IF(COUNTIF('Processed Non-zero TRI Data'!$I:$I,$I63)&gt;0,_xlfn.MAXIFS('Processed Non-zero TRI Data'!$T:$T,'Processed Non-zero TRI Data'!$I:$I,$I63), "N/A - Facility Does Not Report to TRI")</f>
        <v>N/A - Facility Does Not Report to TRI</v>
      </c>
      <c r="AB63" s="10" t="str">
        <f t="shared" si="40"/>
        <v>N/A - Facility Does Not Report to TRI</v>
      </c>
      <c r="AC63" s="158" t="str" cm="1">
        <f t="array" ref="AC63">IFERROR(IF(B63 = "TRI Form R", IF(AA63 = 0, "Facility has no on-site water discharges between 2017-2022.",  IF(COUNTIF('Processed Non-zero TRI Data'!$I:$I,$I63)&gt;0,INDEX('Processed Non-zero TRI Data'!$A:$A,MATCH(1,($I63='Processed Non-zero TRI Data'!$I:$I)*(AA63='Processed Non-zero TRI Data'!$T:$T),0)))), VLOOKUP(I63,#REF!, 2, FALSE)), ("N/A - Facility Does Not Report to TRI"))</f>
        <v>N/A - Facility Does Not Report to TRI</v>
      </c>
      <c r="AD63" s="97" t="str" cm="1">
        <f t="array" ref="AD63">IFERROR(_xlfn.XLOOKUP(1,  (MAX(IF(I63 = 'Processed Non-zero TRI Data'!$I$2:$I$6,'Processed Non-zero TRI Data'!$A$2:$A$6)) = 'Processed Non-zero TRI Data'!$A$2:$A$6)*('Processed Non-zero TRI Data'!$I$2:$I$6 = I63), 'Processed Non-zero TRI Data'!$V$2:$V$6), "N/A- Facility Does Not Report to TRI")</f>
        <v>N/A- Facility Does Not Report to TRI</v>
      </c>
      <c r="AE63" s="9" t="str">
        <f t="shared" si="41"/>
        <v>N/A - Facility Does Not Report to TRI</v>
      </c>
      <c r="AF63" s="9" t="str" cm="1">
        <f t="array" ref="AF63">IF(COUNTIF('Processed Non-zero TRI Data'!$I:$I,$I63)&gt;0,MEDIAN(IF('Processed Non-zero TRI Data'!$I:$I=I63,'Processed Non-zero TRI Data'!$V:$V)), "N/A - Facility Does Not Report to TRI")</f>
        <v>N/A - Facility Does Not Report to TRI</v>
      </c>
      <c r="AG63" s="9" t="str">
        <f t="shared" si="42"/>
        <v>N/A - Facility Does Not Report to TRI</v>
      </c>
      <c r="AH63" s="9" t="str">
        <f>IF(COUNTIF('Processed Non-zero TRI Data'!$I:$I,$I63)&gt;0,_xlfn.MAXIFS('Processed Non-zero TRI Data'!$V:$V,'Processed Non-zero TRI Data'!$I:$I,$I63), "N/A - Facility Does Not Report to TRI")</f>
        <v>N/A - Facility Does Not Report to TRI</v>
      </c>
      <c r="AI63" s="9" t="str">
        <f t="shared" si="43"/>
        <v>N/A - Facility Does Not Report to TRI</v>
      </c>
      <c r="AJ63" s="158" t="str" cm="1">
        <f t="array" ref="AJ63">IF(B63="TRI Form A",AC63,IF(AH63=0,"Facility has no transfers to POTWs between 2019-2023.",IF(COUNTIF('Processed Non-zero TRI Data'!$I:$I,$I63)&gt;0,INDEX('Processed Non-zero TRI Data'!$A:$A,MATCH(1,($I63='Processed Non-zero TRI Data'!$I:$I)*(AH63='Processed Non-zero TRI Data'!$V:$V),0)),"N/A - Facility Does Not Report to TRI")))</f>
        <v>N/A - Facility Does Not Report to TRI</v>
      </c>
      <c r="AK63" s="97" t="str" cm="1">
        <f t="array" ref="AK63">IFERROR(_xlfn.XLOOKUP(1,  (MAX(IF(I63 = 'Processed Non-zero TRI Data'!$I$2:$I$6,'Processed Non-zero TRI Data'!$A$2:$A$6)) = 'Processed Non-zero TRI Data'!$A$2:$A$6)*('Processed Non-zero TRI Data'!$I$2:$I$6 = I63), 'Processed Non-zero TRI Data'!$X$2:$X$6), "N/A- Facility Does Not Report to TRI")</f>
        <v>N/A- Facility Does Not Report to TRI</v>
      </c>
      <c r="AL63" s="9" t="str">
        <f t="shared" si="44"/>
        <v>N/A - Facility Does Not Report to TRI</v>
      </c>
      <c r="AM63" s="9" t="str" cm="1">
        <f t="array" ref="AM63">IF(COUNTIF('Processed Non-zero TRI Data'!$I:$I,$I63)&gt;0,MEDIAN(IF('Processed Non-zero TRI Data'!$I:$I=I63,'Processed Non-zero TRI Data'!$X:$X)), "N/A - Facility Does Not Report to TRI")</f>
        <v>N/A - Facility Does Not Report to TRI</v>
      </c>
      <c r="AN63" s="9" t="str">
        <f t="shared" si="45"/>
        <v>N/A - Facility Does Not Report to TRI</v>
      </c>
      <c r="AO63" s="9" t="str">
        <f>IF(COUNTIF('Processed Non-zero TRI Data'!$I:$I,$I63)&gt;0,_xlfn.MAXIFS('Processed Non-zero TRI Data'!$X:$X,'Processed Non-zero TRI Data'!$I:$I,$I63), "N/A - Facility Does Not Report to TRI")</f>
        <v>N/A - Facility Does Not Report to TRI</v>
      </c>
      <c r="AP63" s="9" t="str">
        <f t="shared" si="46"/>
        <v>N/A - Facility Does Not Report to TRI</v>
      </c>
      <c r="AQ63" s="251" t="str" cm="1">
        <f t="array" ref="AQ63">IF(B63="TRI Form A",AC63,IF(AO63=0,"Facility has no transfers to non-POTWs between 2019-2023.",IF(COUNTIF('Processed Non-zero TRI Data'!$I:$I,$I63)&gt;0,INDEX('Processed Non-zero TRI Data'!$A:$A,MATCH(1,($I63='Processed Non-zero TRI Data'!$I:$I)*(AO63='Processed Non-zero TRI Data'!$X:$X),0)),"N/A - Facility Does Not Report to TRI")))</f>
        <v>N/A - Facility Does Not Report to TRI</v>
      </c>
      <c r="AR63" s="260">
        <f t="shared" si="12"/>
        <v>0</v>
      </c>
      <c r="AS63" s="260">
        <f t="shared" si="13"/>
        <v>27.7651986875</v>
      </c>
    </row>
    <row r="64" spans="1:45" ht="45" x14ac:dyDescent="0.25">
      <c r="A64" s="12">
        <v>61</v>
      </c>
      <c r="B64" s="10" t="str">
        <f>IFERROR("TRI Form "&amp; VLOOKUP(I64, 'Processed Non-zero TRI Data'!$I$2:$K$6, 3, FALSE), "DMR")</f>
        <v>DMR</v>
      </c>
      <c r="C64" s="181" t="e">
        <f>VLOOKUP(D64,#REF!, 2, FALSE)</f>
        <v>#REF!</v>
      </c>
      <c r="D64" s="181" t="str">
        <f>IF(I64&lt;&gt;"",INDEX('Processed Non-zero TRI Data'!$O:$O,MATCH(I64,'Processed Non-zero TRI Data'!$I:$I,0)),INDEX('Processed Non-zero DMR Data'!$S:$S,MATCH(J64,'Processed Non-zero DMR Data'!$I:$I,0)))</f>
        <v>Processing Aid</v>
      </c>
      <c r="E64" s="181" t="str">
        <f>IF(I64&lt;&gt;"",INDEX('Processed Non-zero TRI Data'!$P:$P,MATCH(I64,'Processed Non-zero TRI Data'!$I:$I,0)),INDEX('Processed Non-zero DMR Data'!$T:$T,MATCH(J64,'Processed Non-zero DMR Data'!$I:$I,0)))</f>
        <v>Kodak potentially uses 1,2-dichloropropane as a paper sizing agent similar to Solenis which would fall under processing aid.</v>
      </c>
      <c r="F64" s="9" t="str">
        <f>_xlfn.XLOOKUP(J64, 'Processed Non-zero DMR Data'!I:I, 'Processed Non-zero DMR Data'!B:B)</f>
        <v>KODAK PARK DIVISION</v>
      </c>
      <c r="G64" s="9" t="str">
        <f>_xlfn.XLOOKUP(J64, 'Processed Non-zero DMR Data'!I:I, 'Processed Non-zero DMR Data'!C:C)</f>
        <v>ROCHESTER</v>
      </c>
      <c r="H64" s="9" t="str">
        <f>_xlfn.XLOOKUP(J64, 'Processed Non-zero DMR Data'!I:I, 'Processed Non-zero DMR Data'!E:E)</f>
        <v>NY</v>
      </c>
      <c r="I64" s="12"/>
      <c r="J64" s="13">
        <v>110000492173</v>
      </c>
      <c r="K64" s="9" t="str">
        <f>IFERROR(INDEX('Raw Non-zero DMR Data'!$C:$C, MATCH(J64,'Raw Non-zero DMR Data'!$D:$D,0)),"")</f>
        <v>NY0001643</v>
      </c>
      <c r="L64" s="9" t="str">
        <f>IFERROR(INDEX('Raw Non-zero DMR Data'!$U:$U, MATCH($J64,'Raw Non-zero DMR Data'!$D:$D,0)),"")</f>
        <v>Genesee River</v>
      </c>
      <c r="M64" s="155" t="str">
        <f>IFERROR(INDEX('Raw Non-zero DMR Data'!$T:$T, MATCH($J64,'Raw Non-zero DMR Data'!$D:$D,0)),"")</f>
        <v>041300030704</v>
      </c>
      <c r="N64" s="155" t="str">
        <f>IFERROR(INDEX('Off-site Locations'!$E:$E,MATCH(I64,'Off-site Locations'!$B:$B,0)),"No offsite transfers")</f>
        <v>No offsite transfers</v>
      </c>
      <c r="O64" s="165">
        <f>INDEX('TRI and DMR OES Summary'!D:D,MATCH('Facility Discharge Summary'!D64,'TRI and DMR OES Summary'!A:A,0))</f>
        <v>300</v>
      </c>
      <c r="P64" s="17" cm="1">
        <f t="array" ref="P64">IFERROR(_xlfn.XLOOKUP(1,  (MAX(IF(J64 = 'Processed Non-zero DMR Data'!$I$2:$I$651,'Processed Non-zero DMR Data'!$A$2:$A$651)) = 'Processed Non-zero DMR Data'!$A$2:$A$651)*('Processed Non-zero DMR Data'!$I$2:$I$651 = J64),'Processed Non-zero DMR Data'!$W$2:$W$651), "N/A- Facility Does Not Report DMRs")</f>
        <v>3.4622039999999998</v>
      </c>
      <c r="Q64" s="10">
        <f t="shared" si="35"/>
        <v>1.1540679999999999E-2</v>
      </c>
      <c r="R64" s="10" cm="1">
        <f t="array" ref="R64">IF(COUNTIF('Processed Non-zero DMR Data'!$I:$I,$J64)&gt;0,MEDIAN(IF('Processed Non-zero DMR Data'!$I:$I=J64,'Processed Non-zero DMR Data'!$W:$W)),"N/A - Facility Does Not Report DMRs")</f>
        <v>3.8667180000000001</v>
      </c>
      <c r="S64" s="10">
        <f t="shared" si="36"/>
        <v>1.2889060000000001E-2</v>
      </c>
      <c r="T64" s="10">
        <f>IF(COUNTIF('Processed Non-zero DMR Data'!$I:$I,$J64)&gt;0,_xlfn.MAXIFS('Processed Non-zero DMR Data'!$W:$W,'Processed Non-zero DMR Data'!$I:$I,$J64), "N/A - Facility Does Not Report DMRs")</f>
        <v>4.2712320000000004</v>
      </c>
      <c r="U64" s="10">
        <f t="shared" si="37"/>
        <v>1.4237440000000001E-2</v>
      </c>
      <c r="V64" s="158" cm="1">
        <f t="array" ref="V64">IF(COUNTIF('Processed Non-zero DMR Data'!$I:$I,$J64)&gt;0,INDEX('Processed Non-zero DMR Data'!$A:$A,MATCH(1,($J64='Processed Non-zero DMR Data'!$I:$I)*($T64='Processed Non-zero DMR Data'!$W:$W),0)), "N/A - Facility Does Not Report DMRs")</f>
        <v>2019</v>
      </c>
      <c r="W64" s="17" t="str" cm="1">
        <f t="array" ref="W64">IFERROR(_xlfn.XLOOKUP(1,  (MAX(IF(I64 = 'Processed Non-zero TRI Data'!$I$2:$I$6,'Processed Non-zero TRI Data'!$A$2:$A$6)) = 'Processed Non-zero TRI Data'!$A$2:$A$6)*('Processed Non-zero TRI Data'!$I$2:$I$6 = I64), 'Processed Non-zero TRI Data'!$T$2:$T$6), "N/A- Facility Does Not Report to TRI")</f>
        <v>N/A- Facility Does Not Report to TRI</v>
      </c>
      <c r="X64" s="10" t="str">
        <f t="shared" si="38"/>
        <v>N/A - Facility Does Not Report to TRI</v>
      </c>
      <c r="Y64" s="10" t="str" cm="1">
        <f t="array" ref="Y64">IF(COUNTIF('Processed Non-zero TRI Data'!$I:$I,$I64)&gt;0,MEDIAN(IF('Processed Non-zero TRI Data'!$I:$I=I64,'Processed Non-zero TRI Data'!$T:$T)), "N/A - Facility Does Not Report to TRI")</f>
        <v>N/A - Facility Does Not Report to TRI</v>
      </c>
      <c r="Z64" s="10" t="str">
        <f t="shared" si="39"/>
        <v>N/A - Facility Does Not Report to TRI</v>
      </c>
      <c r="AA64" s="10" t="str">
        <f>IF(COUNTIF('Processed Non-zero TRI Data'!$I:$I,$I64)&gt;0,_xlfn.MAXIFS('Processed Non-zero TRI Data'!$T:$T,'Processed Non-zero TRI Data'!$I:$I,$I64), "N/A - Facility Does Not Report to TRI")</f>
        <v>N/A - Facility Does Not Report to TRI</v>
      </c>
      <c r="AB64" s="10" t="str">
        <f t="shared" si="40"/>
        <v>N/A - Facility Does Not Report to TRI</v>
      </c>
      <c r="AC64" s="158" t="str" cm="1">
        <f t="array" ref="AC64">IFERROR(IF(B64 = "TRI Form R", IF(AA64 = 0, "Facility has no on-site water discharges between 2017-2022.",  IF(COUNTIF('Processed Non-zero TRI Data'!$I:$I,$I64)&gt;0,INDEX('Processed Non-zero TRI Data'!$A:$A,MATCH(1,($I64='Processed Non-zero TRI Data'!$I:$I)*(AA64='Processed Non-zero TRI Data'!$T:$T),0)))), VLOOKUP(I64,#REF!, 2, FALSE)), ("N/A - Facility Does Not Report to TRI"))</f>
        <v>N/A - Facility Does Not Report to TRI</v>
      </c>
      <c r="AD64" s="97" t="str" cm="1">
        <f t="array" ref="AD64">IFERROR(_xlfn.XLOOKUP(1,  (MAX(IF(I64 = 'Processed Non-zero TRI Data'!$I$2:$I$6,'Processed Non-zero TRI Data'!$A$2:$A$6)) = 'Processed Non-zero TRI Data'!$A$2:$A$6)*('Processed Non-zero TRI Data'!$I$2:$I$6 = I64), 'Processed Non-zero TRI Data'!$V$2:$V$6), "N/A- Facility Does Not Report to TRI")</f>
        <v>N/A- Facility Does Not Report to TRI</v>
      </c>
      <c r="AE64" s="9" t="str">
        <f t="shared" si="41"/>
        <v>N/A - Facility Does Not Report to TRI</v>
      </c>
      <c r="AF64" s="9" t="str" cm="1">
        <f t="array" ref="AF64">IF(COUNTIF('Processed Non-zero TRI Data'!$I:$I,$I64)&gt;0,MEDIAN(IF('Processed Non-zero TRI Data'!$I:$I=I64,'Processed Non-zero TRI Data'!$V:$V)), "N/A - Facility Does Not Report to TRI")</f>
        <v>N/A - Facility Does Not Report to TRI</v>
      </c>
      <c r="AG64" s="9" t="str">
        <f t="shared" si="42"/>
        <v>N/A - Facility Does Not Report to TRI</v>
      </c>
      <c r="AH64" s="9" t="str">
        <f>IF(COUNTIF('Processed Non-zero TRI Data'!$I:$I,$I64)&gt;0,_xlfn.MAXIFS('Processed Non-zero TRI Data'!$V:$V,'Processed Non-zero TRI Data'!$I:$I,$I64), "N/A - Facility Does Not Report to TRI")</f>
        <v>N/A - Facility Does Not Report to TRI</v>
      </c>
      <c r="AI64" s="9" t="str">
        <f t="shared" si="43"/>
        <v>N/A - Facility Does Not Report to TRI</v>
      </c>
      <c r="AJ64" s="158" t="str" cm="1">
        <f t="array" ref="AJ64">IF(B64="TRI Form A",AC64,IF(AH64=0,"Facility has no transfers to POTWs between 2019-2023.",IF(COUNTIF('Processed Non-zero TRI Data'!$I:$I,$I64)&gt;0,INDEX('Processed Non-zero TRI Data'!$A:$A,MATCH(1,($I64='Processed Non-zero TRI Data'!$I:$I)*(AH64='Processed Non-zero TRI Data'!$V:$V),0)),"N/A - Facility Does Not Report to TRI")))</f>
        <v>N/A - Facility Does Not Report to TRI</v>
      </c>
      <c r="AK64" s="97" t="str" cm="1">
        <f t="array" ref="AK64">IFERROR(_xlfn.XLOOKUP(1,  (MAX(IF(I64 = 'Processed Non-zero TRI Data'!$I$2:$I$6,'Processed Non-zero TRI Data'!$A$2:$A$6)) = 'Processed Non-zero TRI Data'!$A$2:$A$6)*('Processed Non-zero TRI Data'!$I$2:$I$6 = I64), 'Processed Non-zero TRI Data'!$X$2:$X$6), "N/A- Facility Does Not Report to TRI")</f>
        <v>N/A- Facility Does Not Report to TRI</v>
      </c>
      <c r="AL64" s="9" t="str">
        <f t="shared" si="44"/>
        <v>N/A - Facility Does Not Report to TRI</v>
      </c>
      <c r="AM64" s="9" t="str" cm="1">
        <f t="array" ref="AM64">IF(COUNTIF('Processed Non-zero TRI Data'!$I:$I,$I64)&gt;0,MEDIAN(IF('Processed Non-zero TRI Data'!$I:$I=I64,'Processed Non-zero TRI Data'!$X:$X)), "N/A - Facility Does Not Report to TRI")</f>
        <v>N/A - Facility Does Not Report to TRI</v>
      </c>
      <c r="AN64" s="9" t="str">
        <f t="shared" si="45"/>
        <v>N/A - Facility Does Not Report to TRI</v>
      </c>
      <c r="AO64" s="9" t="str">
        <f>IF(COUNTIF('Processed Non-zero TRI Data'!$I:$I,$I64)&gt;0,_xlfn.MAXIFS('Processed Non-zero TRI Data'!$X:$X,'Processed Non-zero TRI Data'!$I:$I,$I64), "N/A - Facility Does Not Report to TRI")</f>
        <v>N/A - Facility Does Not Report to TRI</v>
      </c>
      <c r="AP64" s="9" t="str">
        <f t="shared" si="46"/>
        <v>N/A - Facility Does Not Report to TRI</v>
      </c>
      <c r="AQ64" s="251" t="str" cm="1">
        <f t="array" ref="AQ64">IF(B64="TRI Form A",AC64,IF(AO64=0,"Facility has no transfers to non-POTWs between 2019-2023.",IF(COUNTIF('Processed Non-zero TRI Data'!$I:$I,$I64)&gt;0,INDEX('Processed Non-zero TRI Data'!$A:$A,MATCH(1,($I64='Processed Non-zero TRI Data'!$I:$I)*(AO64='Processed Non-zero TRI Data'!$X:$X),0)),"N/A - Facility Does Not Report to TRI")))</f>
        <v>N/A - Facility Does Not Report to TRI</v>
      </c>
      <c r="AR64" s="260">
        <f t="shared" si="12"/>
        <v>0</v>
      </c>
      <c r="AS64" s="260">
        <f t="shared" si="13"/>
        <v>4.2712320000000004</v>
      </c>
    </row>
    <row r="65" spans="1:45" ht="30" x14ac:dyDescent="0.25">
      <c r="A65" s="12">
        <v>62</v>
      </c>
      <c r="B65" s="10" t="str">
        <f>IFERROR("TRI Form "&amp; VLOOKUP(I65, 'Processed Non-zero TRI Data'!$I$2:$K$6, 3, FALSE), "DMR")</f>
        <v>DMR</v>
      </c>
      <c r="C65" s="181" t="e">
        <f>VLOOKUP(D65,#REF!, 2, FALSE)</f>
        <v>#REF!</v>
      </c>
      <c r="D65" s="181" t="str">
        <f>IF(I65&lt;&gt;"",INDEX('Processed Non-zero TRI Data'!$O:$O,MATCH(I65,'Processed Non-zero TRI Data'!$I:$I,0)),INDEX('Processed Non-zero DMR Data'!$S:$S,MATCH(J65,'Processed Non-zero DMR Data'!$I:$I,0)))</f>
        <v>Waste Handling, Disposal and Treatment (POTW)</v>
      </c>
      <c r="E65" s="181" t="str">
        <f>IF(I65&lt;&gt;"",INDEX('Processed Non-zero TRI Data'!$P:$P,MATCH(I65,'Processed Non-zero TRI Data'!$I:$I,0)),INDEX('Processed Non-zero DMR Data'!$T:$T,MATCH(J65,'Processed Non-zero DMR Data'!$I:$I,0)))</f>
        <v>POTW indicator in DMR</v>
      </c>
      <c r="F65" s="9" t="str">
        <f>_xlfn.XLOOKUP(J65, 'Processed Non-zero DMR Data'!I:I, 'Processed Non-zero DMR Data'!B:B)</f>
        <v>RUSSELL COUNTY REGIONAL STP</v>
      </c>
      <c r="G65" s="9" t="str">
        <f>_xlfn.XLOOKUP(J65, 'Processed Non-zero DMR Data'!I:I, 'Processed Non-zero DMR Data'!C:C)</f>
        <v>JAMESTOWN</v>
      </c>
      <c r="H65" s="9" t="str">
        <f>_xlfn.XLOOKUP(J65, 'Processed Non-zero DMR Data'!I:I, 'Processed Non-zero DMR Data'!E:E)</f>
        <v>KY</v>
      </c>
      <c r="I65" s="12"/>
      <c r="J65" s="13">
        <v>110000719045</v>
      </c>
      <c r="K65" s="9" t="str">
        <f>IFERROR(INDEX('Raw Non-zero DMR Data'!$C:$C, MATCH(J65,'Raw Non-zero DMR Data'!$D:$D,0)),"")</f>
        <v>KY0062995</v>
      </c>
      <c r="L65" s="9" t="str">
        <f>IFERROR(INDEX('Raw Non-zero DMR Data'!$U:$U, MATCH($J65,'Raw Non-zero DMR Data'!$D:$D,0)),"")</f>
        <v>Lily Creek-Cumberland River</v>
      </c>
      <c r="M65" s="155" t="str">
        <f>IFERROR(INDEX('Raw Non-zero DMR Data'!$T:$T, MATCH($J65,'Raw Non-zero DMR Data'!$D:$D,0)),"")</f>
        <v>051301030602</v>
      </c>
      <c r="N65" s="155" t="str">
        <f>IFERROR(INDEX('Off-site Locations'!$E:$E,MATCH(I65,'Off-site Locations'!$B:$B,0)),"No offsite transfers")</f>
        <v>No offsite transfers</v>
      </c>
      <c r="O65" s="165">
        <f>INDEX('TRI and DMR OES Summary'!D:D,MATCH('Facility Discharge Summary'!D65,'TRI and DMR OES Summary'!A:A,0))</f>
        <v>365</v>
      </c>
      <c r="P65" s="17" cm="1">
        <f t="array" ref="P65">IFERROR(_xlfn.XLOOKUP(1,  (MAX(IF(J65 = 'Processed Non-zero DMR Data'!$I$2:$I$651,'Processed Non-zero DMR Data'!$A$2:$A$651)) = 'Processed Non-zero DMR Data'!$A$2:$A$651)*('Processed Non-zero DMR Data'!$I$2:$I$651 = J65),'Processed Non-zero DMR Data'!$W$2:$W$651), "N/A- Facility Does Not Report DMRs")</f>
        <v>0.43172656250000002</v>
      </c>
      <c r="Q65" s="10">
        <f t="shared" si="35"/>
        <v>1.1828125000000001E-3</v>
      </c>
      <c r="R65" s="10" cm="1">
        <f t="array" ref="R65">IF(COUNTIF('Processed Non-zero DMR Data'!$I:$I,$J65)&gt;0,MEDIAN(IF('Processed Non-zero DMR Data'!$I:$I=J65,'Processed Non-zero DMR Data'!$W:$W)),"N/A - Facility Does Not Report DMRs")</f>
        <v>0.5353409375</v>
      </c>
      <c r="S65" s="10">
        <f t="shared" si="36"/>
        <v>1.4666875000000001E-3</v>
      </c>
      <c r="T65" s="10">
        <f>IF(COUNTIF('Processed Non-zero DMR Data'!$I:$I,$J65)&gt;0,_xlfn.MAXIFS('Processed Non-zero DMR Data'!$W:$W,'Processed Non-zero DMR Data'!$I:$I,$J65), "N/A - Facility Does Not Report DMRs")</f>
        <v>0.69628860000000004</v>
      </c>
      <c r="U65" s="10">
        <f t="shared" si="37"/>
        <v>1.9076400000000002E-3</v>
      </c>
      <c r="V65" s="158" cm="1">
        <f t="array" ref="V65">IF(COUNTIF('Processed Non-zero DMR Data'!$I:$I,$J65)&gt;0,INDEX('Processed Non-zero DMR Data'!$A:$A,MATCH(1,($J65='Processed Non-zero DMR Data'!$I:$I)*($T65='Processed Non-zero DMR Data'!$W:$W),0)), "N/A - Facility Does Not Report DMRs")</f>
        <v>2019</v>
      </c>
      <c r="W65" s="17" t="str" cm="1">
        <f t="array" ref="W65">IFERROR(_xlfn.XLOOKUP(1,  (MAX(IF(I65 = 'Processed Non-zero TRI Data'!$I$2:$I$6,'Processed Non-zero TRI Data'!$A$2:$A$6)) = 'Processed Non-zero TRI Data'!$A$2:$A$6)*('Processed Non-zero TRI Data'!$I$2:$I$6 = I65), 'Processed Non-zero TRI Data'!$T$2:$T$6), "N/A- Facility Does Not Report to TRI")</f>
        <v>N/A- Facility Does Not Report to TRI</v>
      </c>
      <c r="X65" s="10" t="str">
        <f t="shared" si="38"/>
        <v>N/A - Facility Does Not Report to TRI</v>
      </c>
      <c r="Y65" s="10" t="str" cm="1">
        <f t="array" ref="Y65">IF(COUNTIF('Processed Non-zero TRI Data'!$I:$I,$I65)&gt;0,MEDIAN(IF('Processed Non-zero TRI Data'!$I:$I=I65,'Processed Non-zero TRI Data'!$T:$T)), "N/A - Facility Does Not Report to TRI")</f>
        <v>N/A - Facility Does Not Report to TRI</v>
      </c>
      <c r="Z65" s="10" t="str">
        <f t="shared" si="39"/>
        <v>N/A - Facility Does Not Report to TRI</v>
      </c>
      <c r="AA65" s="10" t="str">
        <f>IF(COUNTIF('Processed Non-zero TRI Data'!$I:$I,$I65)&gt;0,_xlfn.MAXIFS('Processed Non-zero TRI Data'!$T:$T,'Processed Non-zero TRI Data'!$I:$I,$I65), "N/A - Facility Does Not Report to TRI")</f>
        <v>N/A - Facility Does Not Report to TRI</v>
      </c>
      <c r="AB65" s="10" t="str">
        <f t="shared" si="40"/>
        <v>N/A - Facility Does Not Report to TRI</v>
      </c>
      <c r="AC65" s="158" t="str" cm="1">
        <f t="array" ref="AC65">IFERROR(IF(B65 = "TRI Form R", IF(AA65 = 0, "Facility has no on-site water discharges between 2017-2022.",  IF(COUNTIF('Processed Non-zero TRI Data'!$I:$I,$I65)&gt;0,INDEX('Processed Non-zero TRI Data'!$A:$A,MATCH(1,($I65='Processed Non-zero TRI Data'!$I:$I)*(AA65='Processed Non-zero TRI Data'!$T:$T),0)))), VLOOKUP(I65,#REF!, 2, FALSE)), ("N/A - Facility Does Not Report to TRI"))</f>
        <v>N/A - Facility Does Not Report to TRI</v>
      </c>
      <c r="AD65" s="97" t="str" cm="1">
        <f t="array" ref="AD65">IFERROR(_xlfn.XLOOKUP(1,  (MAX(IF(I65 = 'Processed Non-zero TRI Data'!$I$2:$I$6,'Processed Non-zero TRI Data'!$A$2:$A$6)) = 'Processed Non-zero TRI Data'!$A$2:$A$6)*('Processed Non-zero TRI Data'!$I$2:$I$6 = I65), 'Processed Non-zero TRI Data'!$V$2:$V$6), "N/A- Facility Does Not Report to TRI")</f>
        <v>N/A- Facility Does Not Report to TRI</v>
      </c>
      <c r="AE65" s="9" t="str">
        <f t="shared" si="41"/>
        <v>N/A - Facility Does Not Report to TRI</v>
      </c>
      <c r="AF65" s="9" t="str" cm="1">
        <f t="array" ref="AF65">IF(COUNTIF('Processed Non-zero TRI Data'!$I:$I,$I65)&gt;0,MEDIAN(IF('Processed Non-zero TRI Data'!$I:$I=I65,'Processed Non-zero TRI Data'!$V:$V)), "N/A - Facility Does Not Report to TRI")</f>
        <v>N/A - Facility Does Not Report to TRI</v>
      </c>
      <c r="AG65" s="9" t="str">
        <f t="shared" si="42"/>
        <v>N/A - Facility Does Not Report to TRI</v>
      </c>
      <c r="AH65" s="9" t="str">
        <f>IF(COUNTIF('Processed Non-zero TRI Data'!$I:$I,$I65)&gt;0,_xlfn.MAXIFS('Processed Non-zero TRI Data'!$V:$V,'Processed Non-zero TRI Data'!$I:$I,$I65), "N/A - Facility Does Not Report to TRI")</f>
        <v>N/A - Facility Does Not Report to TRI</v>
      </c>
      <c r="AI65" s="9" t="str">
        <f t="shared" si="43"/>
        <v>N/A - Facility Does Not Report to TRI</v>
      </c>
      <c r="AJ65" s="158" t="str" cm="1">
        <f t="array" ref="AJ65">IF(B65="TRI Form A",AC65,IF(AH65=0,"Facility has no transfers to POTWs between 2019-2023.",IF(COUNTIF('Processed Non-zero TRI Data'!$I:$I,$I65)&gt;0,INDEX('Processed Non-zero TRI Data'!$A:$A,MATCH(1,($I65='Processed Non-zero TRI Data'!$I:$I)*(AH65='Processed Non-zero TRI Data'!$V:$V),0)),"N/A - Facility Does Not Report to TRI")))</f>
        <v>N/A - Facility Does Not Report to TRI</v>
      </c>
      <c r="AK65" s="97" t="str" cm="1">
        <f t="array" ref="AK65">IFERROR(_xlfn.XLOOKUP(1,  (MAX(IF(I65 = 'Processed Non-zero TRI Data'!$I$2:$I$6,'Processed Non-zero TRI Data'!$A$2:$A$6)) = 'Processed Non-zero TRI Data'!$A$2:$A$6)*('Processed Non-zero TRI Data'!$I$2:$I$6 = I65), 'Processed Non-zero TRI Data'!$X$2:$X$6), "N/A- Facility Does Not Report to TRI")</f>
        <v>N/A- Facility Does Not Report to TRI</v>
      </c>
      <c r="AL65" s="9" t="str">
        <f t="shared" si="44"/>
        <v>N/A - Facility Does Not Report to TRI</v>
      </c>
      <c r="AM65" s="9" t="str" cm="1">
        <f t="array" ref="AM65">IF(COUNTIF('Processed Non-zero TRI Data'!$I:$I,$I65)&gt;0,MEDIAN(IF('Processed Non-zero TRI Data'!$I:$I=I65,'Processed Non-zero TRI Data'!$X:$X)), "N/A - Facility Does Not Report to TRI")</f>
        <v>N/A - Facility Does Not Report to TRI</v>
      </c>
      <c r="AN65" s="9" t="str">
        <f t="shared" si="45"/>
        <v>N/A - Facility Does Not Report to TRI</v>
      </c>
      <c r="AO65" s="9" t="str">
        <f>IF(COUNTIF('Processed Non-zero TRI Data'!$I:$I,$I65)&gt;0,_xlfn.MAXIFS('Processed Non-zero TRI Data'!$X:$X,'Processed Non-zero TRI Data'!$I:$I,$I65), "N/A - Facility Does Not Report to TRI")</f>
        <v>N/A - Facility Does Not Report to TRI</v>
      </c>
      <c r="AP65" s="9" t="str">
        <f t="shared" si="46"/>
        <v>N/A - Facility Does Not Report to TRI</v>
      </c>
      <c r="AQ65" s="251" t="str" cm="1">
        <f t="array" ref="AQ65">IF(B65="TRI Form A",AC65,IF(AO65=0,"Facility has no transfers to non-POTWs between 2019-2023.",IF(COUNTIF('Processed Non-zero TRI Data'!$I:$I,$I65)&gt;0,INDEX('Processed Non-zero TRI Data'!$A:$A,MATCH(1,($I65='Processed Non-zero TRI Data'!$I:$I)*(AO65='Processed Non-zero TRI Data'!$X:$X),0)),"N/A - Facility Does Not Report to TRI")))</f>
        <v>N/A - Facility Does Not Report to TRI</v>
      </c>
      <c r="AR65" s="260">
        <f t="shared" si="12"/>
        <v>0</v>
      </c>
      <c r="AS65" s="260">
        <f t="shared" si="13"/>
        <v>0.69628860000000004</v>
      </c>
    </row>
    <row r="66" spans="1:45" ht="30" x14ac:dyDescent="0.25">
      <c r="A66" s="12">
        <v>63</v>
      </c>
      <c r="B66" s="10" t="str">
        <f>IFERROR("TRI Form "&amp; VLOOKUP(I66, 'Processed Non-zero TRI Data'!$I$2:$K$6, 3, FALSE), "DMR")</f>
        <v>DMR</v>
      </c>
      <c r="C66" s="181" t="e">
        <f>VLOOKUP(D66,#REF!, 2, FALSE)</f>
        <v>#REF!</v>
      </c>
      <c r="D66" s="181" t="str">
        <f>IF(I66&lt;&gt;"",INDEX('Processed Non-zero TRI Data'!$O:$O,MATCH(I66,'Processed Non-zero TRI Data'!$I:$I,0)),INDEX('Processed Non-zero DMR Data'!$S:$S,MATCH(J66,'Processed Non-zero DMR Data'!$I:$I,0)))</f>
        <v>Waste Handling, Disposal and Treatment (POTW)</v>
      </c>
      <c r="E66" s="181" t="str">
        <f>IF(I66&lt;&gt;"",INDEX('Processed Non-zero TRI Data'!$P:$P,MATCH(I66,'Processed Non-zero TRI Data'!$I:$I,0)),INDEX('Processed Non-zero DMR Data'!$T:$T,MATCH(J66,'Processed Non-zero DMR Data'!$I:$I,0)))</f>
        <v>POTW indicator in DMR</v>
      </c>
      <c r="F66" s="9" t="str">
        <f>_xlfn.XLOOKUP(J66, 'Processed Non-zero DMR Data'!I:I, 'Processed Non-zero DMR Data'!B:B)</f>
        <v>AUBURN WWTP</v>
      </c>
      <c r="G66" s="9" t="str">
        <f>_xlfn.XLOOKUP(J66, 'Processed Non-zero DMR Data'!I:I, 'Processed Non-zero DMR Data'!C:C)</f>
        <v>AUBURN</v>
      </c>
      <c r="H66" s="9" t="str">
        <f>_xlfn.XLOOKUP(J66, 'Processed Non-zero DMR Data'!I:I, 'Processed Non-zero DMR Data'!E:E)</f>
        <v>KY</v>
      </c>
      <c r="I66" s="12"/>
      <c r="J66" s="13">
        <v>110003250277</v>
      </c>
      <c r="K66" s="9" t="str">
        <f>IFERROR(INDEX('Raw Non-zero DMR Data'!$C:$C, MATCH(J66,'Raw Non-zero DMR Data'!$D:$D,0)),"")</f>
        <v>KY0021202</v>
      </c>
      <c r="L66" s="9" t="str">
        <f>IFERROR(INDEX('Raw Non-zero DMR Data'!$U:$U, MATCH($J66,'Raw Non-zero DMR Data'!$D:$D,0)),"")</f>
        <v>Clear Fork Creek</v>
      </c>
      <c r="M66" s="155" t="str">
        <f>IFERROR(INDEX('Raw Non-zero DMR Data'!$T:$T, MATCH($J66,'Raw Non-zero DMR Data'!$D:$D,0)),"")</f>
        <v>051100020802</v>
      </c>
      <c r="N66" s="155" t="str">
        <f>IFERROR(INDEX('Off-site Locations'!$E:$E,MATCH(I66,'Off-site Locations'!$B:$B,0)),"No offsite transfers")</f>
        <v>No offsite transfers</v>
      </c>
      <c r="O66" s="165">
        <f>INDEX('TRI and DMR OES Summary'!D:D,MATCH('Facility Discharge Summary'!D66,'TRI and DMR OES Summary'!A:A,0))</f>
        <v>365</v>
      </c>
      <c r="P66" s="17" cm="1">
        <f t="array" ref="P66">IFERROR(_xlfn.XLOOKUP(1,  (MAX(IF(J66 = 'Processed Non-zero DMR Data'!$I$2:$I$651,'Processed Non-zero DMR Data'!$A$2:$A$651)) = 'Processed Non-zero DMR Data'!$A$2:$A$651)*('Processed Non-zero DMR Data'!$I$2:$I$651 = J66),'Processed Non-zero DMR Data'!$W$2:$W$651), "N/A- Facility Does Not Report DMRs")</f>
        <v>0.22104399999999999</v>
      </c>
      <c r="Q66" s="10">
        <f t="shared" si="35"/>
        <v>6.0559999999999998E-4</v>
      </c>
      <c r="R66" s="10" cm="1">
        <f t="array" ref="R66">IF(COUNTIF('Processed Non-zero DMR Data'!$I:$I,$J66)&gt;0,MEDIAN(IF('Processed Non-zero DMR Data'!$I:$I=J66,'Processed Non-zero DMR Data'!$W:$W)),"N/A - Facility Does Not Report DMRs")</f>
        <v>0.22104399999999999</v>
      </c>
      <c r="S66" s="10">
        <f t="shared" si="36"/>
        <v>6.0559999999999998E-4</v>
      </c>
      <c r="T66" s="10">
        <f>IF(COUNTIF('Processed Non-zero DMR Data'!$I:$I,$J66)&gt;0,_xlfn.MAXIFS('Processed Non-zero DMR Data'!$W:$W,'Processed Non-zero DMR Data'!$I:$I,$J66), "N/A - Facility Does Not Report DMRs")</f>
        <v>0.22104399999999999</v>
      </c>
      <c r="U66" s="10">
        <f t="shared" si="37"/>
        <v>6.0559999999999998E-4</v>
      </c>
      <c r="V66" s="158" cm="1">
        <f t="array" ref="V66">IF(COUNTIF('Processed Non-zero DMR Data'!$I:$I,$J66)&gt;0,INDEX('Processed Non-zero DMR Data'!$A:$A,MATCH(1,($J66='Processed Non-zero DMR Data'!$I:$I)*($T66='Processed Non-zero DMR Data'!$W:$W),0)), "N/A - Facility Does Not Report DMRs")</f>
        <v>2019</v>
      </c>
      <c r="W66" s="17" t="str" cm="1">
        <f t="array" ref="W66">IFERROR(_xlfn.XLOOKUP(1,  (MAX(IF(I66 = 'Processed Non-zero TRI Data'!$I$2:$I$6,'Processed Non-zero TRI Data'!$A$2:$A$6)) = 'Processed Non-zero TRI Data'!$A$2:$A$6)*('Processed Non-zero TRI Data'!$I$2:$I$6 = I66), 'Processed Non-zero TRI Data'!$T$2:$T$6), "N/A- Facility Does Not Report to TRI")</f>
        <v>N/A- Facility Does Not Report to TRI</v>
      </c>
      <c r="X66" s="10" t="str">
        <f t="shared" si="38"/>
        <v>N/A - Facility Does Not Report to TRI</v>
      </c>
      <c r="Y66" s="10" t="str" cm="1">
        <f t="array" ref="Y66">IF(COUNTIF('Processed Non-zero TRI Data'!$I:$I,$I66)&gt;0,MEDIAN(IF('Processed Non-zero TRI Data'!$I:$I=I66,'Processed Non-zero TRI Data'!$T:$T)), "N/A - Facility Does Not Report to TRI")</f>
        <v>N/A - Facility Does Not Report to TRI</v>
      </c>
      <c r="Z66" s="10" t="str">
        <f t="shared" si="39"/>
        <v>N/A - Facility Does Not Report to TRI</v>
      </c>
      <c r="AA66" s="10" t="str">
        <f>IF(COUNTIF('Processed Non-zero TRI Data'!$I:$I,$I66)&gt;0,_xlfn.MAXIFS('Processed Non-zero TRI Data'!$T:$T,'Processed Non-zero TRI Data'!$I:$I,$I66), "N/A - Facility Does Not Report to TRI")</f>
        <v>N/A - Facility Does Not Report to TRI</v>
      </c>
      <c r="AB66" s="10" t="str">
        <f t="shared" si="40"/>
        <v>N/A - Facility Does Not Report to TRI</v>
      </c>
      <c r="AC66" s="158" t="str" cm="1">
        <f t="array" ref="AC66">IFERROR(IF(B66 = "TRI Form R", IF(AA66 = 0, "Facility has no on-site water discharges between 2017-2022.",  IF(COUNTIF('Processed Non-zero TRI Data'!$I:$I,$I66)&gt;0,INDEX('Processed Non-zero TRI Data'!$A:$A,MATCH(1,($I66='Processed Non-zero TRI Data'!$I:$I)*(AA66='Processed Non-zero TRI Data'!$T:$T),0)))), VLOOKUP(I66,#REF!, 2, FALSE)), ("N/A - Facility Does Not Report to TRI"))</f>
        <v>N/A - Facility Does Not Report to TRI</v>
      </c>
      <c r="AD66" s="97" t="str" cm="1">
        <f t="array" ref="AD66">IFERROR(_xlfn.XLOOKUP(1,  (MAX(IF(I66 = 'Processed Non-zero TRI Data'!$I$2:$I$6,'Processed Non-zero TRI Data'!$A$2:$A$6)) = 'Processed Non-zero TRI Data'!$A$2:$A$6)*('Processed Non-zero TRI Data'!$I$2:$I$6 = I66), 'Processed Non-zero TRI Data'!$V$2:$V$6), "N/A- Facility Does Not Report to TRI")</f>
        <v>N/A- Facility Does Not Report to TRI</v>
      </c>
      <c r="AE66" s="9" t="str">
        <f t="shared" si="41"/>
        <v>N/A - Facility Does Not Report to TRI</v>
      </c>
      <c r="AF66" s="9" t="str" cm="1">
        <f t="array" ref="AF66">IF(COUNTIF('Processed Non-zero TRI Data'!$I:$I,$I66)&gt;0,MEDIAN(IF('Processed Non-zero TRI Data'!$I:$I=I66,'Processed Non-zero TRI Data'!$V:$V)), "N/A - Facility Does Not Report to TRI")</f>
        <v>N/A - Facility Does Not Report to TRI</v>
      </c>
      <c r="AG66" s="9" t="str">
        <f t="shared" si="42"/>
        <v>N/A - Facility Does Not Report to TRI</v>
      </c>
      <c r="AH66" s="9" t="str">
        <f>IF(COUNTIF('Processed Non-zero TRI Data'!$I:$I,$I66)&gt;0,_xlfn.MAXIFS('Processed Non-zero TRI Data'!$V:$V,'Processed Non-zero TRI Data'!$I:$I,$I66), "N/A - Facility Does Not Report to TRI")</f>
        <v>N/A - Facility Does Not Report to TRI</v>
      </c>
      <c r="AI66" s="9" t="str">
        <f t="shared" si="43"/>
        <v>N/A - Facility Does Not Report to TRI</v>
      </c>
      <c r="AJ66" s="158" t="str" cm="1">
        <f t="array" ref="AJ66">IF(B66="TRI Form A",AC66,IF(AH66=0,"Facility has no transfers to POTWs between 2019-2023.",IF(COUNTIF('Processed Non-zero TRI Data'!$I:$I,$I66)&gt;0,INDEX('Processed Non-zero TRI Data'!$A:$A,MATCH(1,($I66='Processed Non-zero TRI Data'!$I:$I)*(AH66='Processed Non-zero TRI Data'!$V:$V),0)),"N/A - Facility Does Not Report to TRI")))</f>
        <v>N/A - Facility Does Not Report to TRI</v>
      </c>
      <c r="AK66" s="97" t="str" cm="1">
        <f t="array" ref="AK66">IFERROR(_xlfn.XLOOKUP(1,  (MAX(IF(I66 = 'Processed Non-zero TRI Data'!$I$2:$I$6,'Processed Non-zero TRI Data'!$A$2:$A$6)) = 'Processed Non-zero TRI Data'!$A$2:$A$6)*('Processed Non-zero TRI Data'!$I$2:$I$6 = I66), 'Processed Non-zero TRI Data'!$X$2:$X$6), "N/A- Facility Does Not Report to TRI")</f>
        <v>N/A- Facility Does Not Report to TRI</v>
      </c>
      <c r="AL66" s="9" t="str">
        <f t="shared" si="44"/>
        <v>N/A - Facility Does Not Report to TRI</v>
      </c>
      <c r="AM66" s="9" t="str" cm="1">
        <f t="array" ref="AM66">IF(COUNTIF('Processed Non-zero TRI Data'!$I:$I,$I66)&gt;0,MEDIAN(IF('Processed Non-zero TRI Data'!$I:$I=I66,'Processed Non-zero TRI Data'!$X:$X)), "N/A - Facility Does Not Report to TRI")</f>
        <v>N/A - Facility Does Not Report to TRI</v>
      </c>
      <c r="AN66" s="9" t="str">
        <f t="shared" si="45"/>
        <v>N/A - Facility Does Not Report to TRI</v>
      </c>
      <c r="AO66" s="9" t="str">
        <f>IF(COUNTIF('Processed Non-zero TRI Data'!$I:$I,$I66)&gt;0,_xlfn.MAXIFS('Processed Non-zero TRI Data'!$X:$X,'Processed Non-zero TRI Data'!$I:$I,$I66), "N/A - Facility Does Not Report to TRI")</f>
        <v>N/A - Facility Does Not Report to TRI</v>
      </c>
      <c r="AP66" s="9" t="str">
        <f t="shared" si="46"/>
        <v>N/A - Facility Does Not Report to TRI</v>
      </c>
      <c r="AQ66" s="251" t="str" cm="1">
        <f t="array" ref="AQ66">IF(B66="TRI Form A",AC66,IF(AO66=0,"Facility has no transfers to non-POTWs between 2019-2023.",IF(COUNTIF('Processed Non-zero TRI Data'!$I:$I,$I66)&gt;0,INDEX('Processed Non-zero TRI Data'!$A:$A,MATCH(1,($I66='Processed Non-zero TRI Data'!$I:$I)*(AO66='Processed Non-zero TRI Data'!$X:$X),0)),"N/A - Facility Does Not Report to TRI")))</f>
        <v>N/A - Facility Does Not Report to TRI</v>
      </c>
      <c r="AR66" s="260">
        <f t="shared" si="12"/>
        <v>0</v>
      </c>
      <c r="AS66" s="260">
        <f t="shared" si="13"/>
        <v>0.22104399999999999</v>
      </c>
    </row>
    <row r="67" spans="1:45" ht="30" x14ac:dyDescent="0.25">
      <c r="A67" s="12">
        <v>64</v>
      </c>
      <c r="B67" s="10" t="str">
        <f>IFERROR("TRI Form "&amp; VLOOKUP(I67, 'Processed Non-zero TRI Data'!$I$2:$K$6, 3, FALSE), "DMR")</f>
        <v>DMR</v>
      </c>
      <c r="C67" s="181" t="e">
        <f>VLOOKUP(D67,#REF!, 2, FALSE)</f>
        <v>#REF!</v>
      </c>
      <c r="D67" s="181" t="str">
        <f>IF(I67&lt;&gt;"",INDEX('Processed Non-zero TRI Data'!$O:$O,MATCH(I67,'Processed Non-zero TRI Data'!$I:$I,0)),INDEX('Processed Non-zero DMR Data'!$S:$S,MATCH(J67,'Processed Non-zero DMR Data'!$I:$I,0)))</f>
        <v>Processing as a reactant</v>
      </c>
      <c r="E67" s="181" t="str">
        <f>IF(I67&lt;&gt;"",INDEX('Processed Non-zero TRI Data'!$P:$P,MATCH(I67,'Processed Non-zero TRI Data'!$I:$I,0)),INDEX('Processed Non-zero DMR Data'!$T:$T,MATCH(J67,'Processed Non-zero DMR Data'!$I:$I,0)))</f>
        <v>Assumed processing as a reactant based on SIC and NAICS; this also matches 1,1,-DCA mapping.</v>
      </c>
      <c r="F67" s="9" t="str">
        <f>_xlfn.XLOOKUP(J67, 'Processed Non-zero DMR Data'!I:I, 'Processed Non-zero DMR Data'!B:B)</f>
        <v>EQUISTAR CHEMICALS LP TUSCOLA PLANT</v>
      </c>
      <c r="G67" s="9" t="str">
        <f>_xlfn.XLOOKUP(J67, 'Processed Non-zero DMR Data'!I:I, 'Processed Non-zero DMR Data'!C:C)</f>
        <v>TUSCOLA</v>
      </c>
      <c r="H67" s="9" t="str">
        <f>_xlfn.XLOOKUP(J67, 'Processed Non-zero DMR Data'!I:I, 'Processed Non-zero DMR Data'!E:E)</f>
        <v>IL</v>
      </c>
      <c r="I67" s="12"/>
      <c r="J67" s="13">
        <v>110000746211</v>
      </c>
      <c r="K67" s="9" t="str">
        <f>IFERROR(INDEX('Raw Non-zero DMR Data'!$C:$C, MATCH(J67,'Raw Non-zero DMR Data'!$D:$D,0)),"")</f>
        <v>IL0000141</v>
      </c>
      <c r="L67" s="9" t="str">
        <f>IFERROR(INDEX('Raw Non-zero DMR Data'!$U:$U, MATCH($J67,'Raw Non-zero DMR Data'!$D:$D,0)),"")</f>
        <v>Town of Ficklin-Kaskaskia River</v>
      </c>
      <c r="M67" s="155" t="str">
        <f>IFERROR(INDEX('Raw Non-zero DMR Data'!$T:$T, MATCH($J67,'Raw Non-zero DMR Data'!$D:$D,0)),"")</f>
        <v>071402010206</v>
      </c>
      <c r="N67" s="155" t="str">
        <f>IFERROR(INDEX('Off-site Locations'!$E:$E,MATCH(I67,'Off-site Locations'!$B:$B,0)),"No offsite transfers")</f>
        <v>No offsite transfers</v>
      </c>
      <c r="O67" s="165">
        <f>INDEX('TRI and DMR OES Summary'!D:D,MATCH('Facility Discharge Summary'!D67,'TRI and DMR OES Summary'!A:A,0))</f>
        <v>350</v>
      </c>
      <c r="P67" s="17" cm="1">
        <f t="array" ref="P67">IFERROR(_xlfn.XLOOKUP(1,  (MAX(IF(J67 = 'Processed Non-zero DMR Data'!$I$2:$I$651,'Processed Non-zero DMR Data'!$A$2:$A$651)) = 'Processed Non-zero DMR Data'!$A$2:$A$651)*('Processed Non-zero DMR Data'!$I$2:$I$651 = J67),'Processed Non-zero DMR Data'!$W$2:$W$651), "N/A- Facility Does Not Report DMRs")</f>
        <v>4.9631280000000002</v>
      </c>
      <c r="Q67" s="10">
        <f t="shared" si="35"/>
        <v>1.4180365714285714E-2</v>
      </c>
      <c r="R67" s="10" cm="1">
        <f t="array" ref="R67">IF(COUNTIF('Processed Non-zero DMR Data'!$I:$I,$J67)&gt;0,MEDIAN(IF('Processed Non-zero DMR Data'!$I:$I=J67,'Processed Non-zero DMR Data'!$W:$W)),"N/A - Facility Does Not Report DMRs")</f>
        <v>5.0353139999999996</v>
      </c>
      <c r="S67" s="10">
        <f t="shared" si="36"/>
        <v>1.4386611428571427E-2</v>
      </c>
      <c r="T67" s="10">
        <f>IF(COUNTIF('Processed Non-zero DMR Data'!$I:$I,$J67)&gt;0,_xlfn.MAXIFS('Processed Non-zero DMR Data'!$W:$W,'Processed Non-zero DMR Data'!$I:$I,$J67), "N/A - Facility Does Not Report DMRs")</f>
        <v>7.0363015384615304</v>
      </c>
      <c r="U67" s="10">
        <f t="shared" si="37"/>
        <v>2.0103718681318657E-2</v>
      </c>
      <c r="V67" s="158" cm="1">
        <f t="array" ref="V67">IF(COUNTIF('Processed Non-zero DMR Data'!$I:$I,$J67)&gt;0,INDEX('Processed Non-zero DMR Data'!$A:$A,MATCH(1,($J67='Processed Non-zero DMR Data'!$I:$I)*($T67='Processed Non-zero DMR Data'!$W:$W),0)), "N/A - Facility Does Not Report DMRs")</f>
        <v>2020</v>
      </c>
      <c r="W67" s="17" t="str" cm="1">
        <f t="array" ref="W67">IFERROR(_xlfn.XLOOKUP(1,  (MAX(IF(I67 = 'Processed Non-zero TRI Data'!$I$2:$I$6,'Processed Non-zero TRI Data'!$A$2:$A$6)) = 'Processed Non-zero TRI Data'!$A$2:$A$6)*('Processed Non-zero TRI Data'!$I$2:$I$6 = I67), 'Processed Non-zero TRI Data'!$T$2:$T$6), "N/A- Facility Does Not Report to TRI")</f>
        <v>N/A- Facility Does Not Report to TRI</v>
      </c>
      <c r="X67" s="10" t="str">
        <f t="shared" si="38"/>
        <v>N/A - Facility Does Not Report to TRI</v>
      </c>
      <c r="Y67" s="10" t="str" cm="1">
        <f t="array" ref="Y67">IF(COUNTIF('Processed Non-zero TRI Data'!$I:$I,$I67)&gt;0,MEDIAN(IF('Processed Non-zero TRI Data'!$I:$I=I67,'Processed Non-zero TRI Data'!$T:$T)), "N/A - Facility Does Not Report to TRI")</f>
        <v>N/A - Facility Does Not Report to TRI</v>
      </c>
      <c r="Z67" s="10" t="str">
        <f t="shared" si="39"/>
        <v>N/A - Facility Does Not Report to TRI</v>
      </c>
      <c r="AA67" s="10" t="str">
        <f>IF(COUNTIF('Processed Non-zero TRI Data'!$I:$I,$I67)&gt;0,_xlfn.MAXIFS('Processed Non-zero TRI Data'!$T:$T,'Processed Non-zero TRI Data'!$I:$I,$I67), "N/A - Facility Does Not Report to TRI")</f>
        <v>N/A - Facility Does Not Report to TRI</v>
      </c>
      <c r="AB67" s="10" t="str">
        <f t="shared" si="40"/>
        <v>N/A - Facility Does Not Report to TRI</v>
      </c>
      <c r="AC67" s="158" t="str" cm="1">
        <f t="array" ref="AC67">IFERROR(IF(B67 = "TRI Form R", IF(AA67 = 0, "Facility has no on-site water discharges between 2017-2022.",  IF(COUNTIF('Processed Non-zero TRI Data'!$I:$I,$I67)&gt;0,INDEX('Processed Non-zero TRI Data'!$A:$A,MATCH(1,($I67='Processed Non-zero TRI Data'!$I:$I)*(AA67='Processed Non-zero TRI Data'!$T:$T),0)))), VLOOKUP(I67,#REF!, 2, FALSE)), ("N/A - Facility Does Not Report to TRI"))</f>
        <v>N/A - Facility Does Not Report to TRI</v>
      </c>
      <c r="AD67" s="97" t="str" cm="1">
        <f t="array" ref="AD67">IFERROR(_xlfn.XLOOKUP(1,  (MAX(IF(I67 = 'Processed Non-zero TRI Data'!$I$2:$I$6,'Processed Non-zero TRI Data'!$A$2:$A$6)) = 'Processed Non-zero TRI Data'!$A$2:$A$6)*('Processed Non-zero TRI Data'!$I$2:$I$6 = I67), 'Processed Non-zero TRI Data'!$V$2:$V$6), "N/A- Facility Does Not Report to TRI")</f>
        <v>N/A- Facility Does Not Report to TRI</v>
      </c>
      <c r="AE67" s="9" t="str">
        <f t="shared" si="41"/>
        <v>N/A - Facility Does Not Report to TRI</v>
      </c>
      <c r="AF67" s="9" t="str" cm="1">
        <f t="array" ref="AF67">IF(COUNTIF('Processed Non-zero TRI Data'!$I:$I,$I67)&gt;0,MEDIAN(IF('Processed Non-zero TRI Data'!$I:$I=I67,'Processed Non-zero TRI Data'!$V:$V)), "N/A - Facility Does Not Report to TRI")</f>
        <v>N/A - Facility Does Not Report to TRI</v>
      </c>
      <c r="AG67" s="9" t="str">
        <f t="shared" si="42"/>
        <v>N/A - Facility Does Not Report to TRI</v>
      </c>
      <c r="AH67" s="9" t="str">
        <f>IF(COUNTIF('Processed Non-zero TRI Data'!$I:$I,$I67)&gt;0,_xlfn.MAXIFS('Processed Non-zero TRI Data'!$V:$V,'Processed Non-zero TRI Data'!$I:$I,$I67), "N/A - Facility Does Not Report to TRI")</f>
        <v>N/A - Facility Does Not Report to TRI</v>
      </c>
      <c r="AI67" s="9" t="str">
        <f t="shared" si="43"/>
        <v>N/A - Facility Does Not Report to TRI</v>
      </c>
      <c r="AJ67" s="158" t="str" cm="1">
        <f t="array" ref="AJ67">IF(B67="TRI Form A",AC67,IF(AH67=0,"Facility has no transfers to POTWs between 2019-2023.",IF(COUNTIF('Processed Non-zero TRI Data'!$I:$I,$I67)&gt;0,INDEX('Processed Non-zero TRI Data'!$A:$A,MATCH(1,($I67='Processed Non-zero TRI Data'!$I:$I)*(AH67='Processed Non-zero TRI Data'!$V:$V),0)),"N/A - Facility Does Not Report to TRI")))</f>
        <v>N/A - Facility Does Not Report to TRI</v>
      </c>
      <c r="AK67" s="97" t="str" cm="1">
        <f t="array" ref="AK67">IFERROR(_xlfn.XLOOKUP(1,  (MAX(IF(I67 = 'Processed Non-zero TRI Data'!$I$2:$I$6,'Processed Non-zero TRI Data'!$A$2:$A$6)) = 'Processed Non-zero TRI Data'!$A$2:$A$6)*('Processed Non-zero TRI Data'!$I$2:$I$6 = I67), 'Processed Non-zero TRI Data'!$X$2:$X$6), "N/A- Facility Does Not Report to TRI")</f>
        <v>N/A- Facility Does Not Report to TRI</v>
      </c>
      <c r="AL67" s="9" t="str">
        <f t="shared" si="44"/>
        <v>N/A - Facility Does Not Report to TRI</v>
      </c>
      <c r="AM67" s="9" t="str" cm="1">
        <f t="array" ref="AM67">IF(COUNTIF('Processed Non-zero TRI Data'!$I:$I,$I67)&gt;0,MEDIAN(IF('Processed Non-zero TRI Data'!$I:$I=I67,'Processed Non-zero TRI Data'!$X:$X)), "N/A - Facility Does Not Report to TRI")</f>
        <v>N/A - Facility Does Not Report to TRI</v>
      </c>
      <c r="AN67" s="9" t="str">
        <f t="shared" si="45"/>
        <v>N/A - Facility Does Not Report to TRI</v>
      </c>
      <c r="AO67" s="9" t="str">
        <f>IF(COUNTIF('Processed Non-zero TRI Data'!$I:$I,$I67)&gt;0,_xlfn.MAXIFS('Processed Non-zero TRI Data'!$X:$X,'Processed Non-zero TRI Data'!$I:$I,$I67), "N/A - Facility Does Not Report to TRI")</f>
        <v>N/A - Facility Does Not Report to TRI</v>
      </c>
      <c r="AP67" s="9" t="str">
        <f t="shared" si="46"/>
        <v>N/A - Facility Does Not Report to TRI</v>
      </c>
      <c r="AQ67" s="251" t="str" cm="1">
        <f t="array" ref="AQ67">IF(B67="TRI Form A",AC67,IF(AO67=0,"Facility has no transfers to non-POTWs between 2019-2023.",IF(COUNTIF('Processed Non-zero TRI Data'!$I:$I,$I67)&gt;0,INDEX('Processed Non-zero TRI Data'!$A:$A,MATCH(1,($I67='Processed Non-zero TRI Data'!$I:$I)*(AO67='Processed Non-zero TRI Data'!$X:$X),0)),"N/A - Facility Does Not Report to TRI")))</f>
        <v>N/A - Facility Does Not Report to TRI</v>
      </c>
      <c r="AR67" s="260">
        <f t="shared" si="12"/>
        <v>0</v>
      </c>
      <c r="AS67" s="260">
        <f t="shared" si="13"/>
        <v>7.0363015384615304</v>
      </c>
    </row>
    <row r="68" spans="1:45" ht="45" x14ac:dyDescent="0.25">
      <c r="A68" s="12">
        <v>65</v>
      </c>
      <c r="B68" s="10" t="str">
        <f>IFERROR("TRI Form "&amp; VLOOKUP(I68, 'Processed Non-zero TRI Data'!$I$2:$K$6, 3, FALSE), "DMR")</f>
        <v>DMR</v>
      </c>
      <c r="C68" s="181" t="e">
        <f>VLOOKUP(D68,#REF!, 2, FALSE)</f>
        <v>#REF!</v>
      </c>
      <c r="D68" s="181" t="str">
        <f>IF(I68&lt;&gt;"",INDEX('Processed Non-zero TRI Data'!$O:$O,MATCH(I68,'Processed Non-zero TRI Data'!$I:$I,0)),INDEX('Processed Non-zero DMR Data'!$S:$S,MATCH(J68,'Processed Non-zero DMR Data'!$I:$I,0)))</f>
        <v>Waste Handling, Disposal and Treatment (Incinerator)</v>
      </c>
      <c r="E68" s="181" t="str">
        <f>IF(I68&lt;&gt;"",INDEX('Processed Non-zero TRI Data'!$P:$P,MATCH(I68,'Processed Non-zero TRI Data'!$I:$I,0)),INDEX('Processed Non-zero DMR Data'!$T:$T,MATCH(J68,'Processed Non-zero DMR Data'!$I:$I,0)))</f>
        <v>Recycling facility which processes waste through waste to fuel co-processing in cement manufacturing. Assumed disposal to incineration.</v>
      </c>
      <c r="F68" s="9" t="str">
        <f>_xlfn.XLOOKUP(J68, 'Processed Non-zero DMR Data'!I:I, 'Processed Non-zero DMR Data'!B:B)</f>
        <v>GREEN AMERICA RECYCLING LLC</v>
      </c>
      <c r="G68" s="9" t="str">
        <f>_xlfn.XLOOKUP(J68, 'Processed Non-zero DMR Data'!I:I, 'Processed Non-zero DMR Data'!C:C)</f>
        <v>HANNIBAL</v>
      </c>
      <c r="H68" s="9" t="str">
        <f>_xlfn.XLOOKUP(J68, 'Processed Non-zero DMR Data'!I:I, 'Processed Non-zero DMR Data'!E:E)</f>
        <v>MO</v>
      </c>
      <c r="I68" s="12"/>
      <c r="J68" s="13">
        <v>110000595981</v>
      </c>
      <c r="K68" s="9" t="str">
        <f>IFERROR(INDEX('Raw Non-zero DMR Data'!$C:$C, MATCH(J68,'Raw Non-zero DMR Data'!$D:$D,0)),"")</f>
        <v>MO0111686</v>
      </c>
      <c r="L68" s="9" t="str">
        <f>IFERROR(INDEX('Raw Non-zero DMR Data'!$U:$U, MATCH($J68,'Raw Non-zero DMR Data'!$D:$D,0)),"")</f>
        <v>Fools Creek-Mississippi River</v>
      </c>
      <c r="M68" s="155" t="str">
        <f>IFERROR(INDEX('Raw Non-zero DMR Data'!$T:$T, MATCH($J68,'Raw Non-zero DMR Data'!$D:$D,0)),"")</f>
        <v>071100040504</v>
      </c>
      <c r="N68" s="155" t="str">
        <f>IFERROR(INDEX('Off-site Locations'!$E:$E,MATCH(I68,'Off-site Locations'!$B:$B,0)),"No offsite transfers")</f>
        <v>No offsite transfers</v>
      </c>
      <c r="O68" s="165">
        <f>INDEX('TRI and DMR OES Summary'!D:D,MATCH('Facility Discharge Summary'!D68,'TRI and DMR OES Summary'!A:A,0))</f>
        <v>250</v>
      </c>
      <c r="P68" s="17" cm="1">
        <f t="array" ref="P68">IFERROR(_xlfn.XLOOKUP(1,  (MAX(IF(J68 = 'Processed Non-zero DMR Data'!$I$2:$I$651,'Processed Non-zero DMR Data'!$A$2:$A$651)) = 'Processed Non-zero DMR Data'!$A$2:$A$651)*('Processed Non-zero DMR Data'!$I$2:$I$651 = J68),'Processed Non-zero DMR Data'!$W$2:$W$651), "N/A- Facility Does Not Report DMRs")</f>
        <v>0.110522</v>
      </c>
      <c r="Q68" s="10">
        <f t="shared" si="35"/>
        <v>4.4208799999999999E-4</v>
      </c>
      <c r="R68" s="10" cm="1">
        <f t="array" ref="R68">IF(COUNTIF('Processed Non-zero DMR Data'!$I:$I,$J68)&gt;0,MEDIAN(IF('Processed Non-zero DMR Data'!$I:$I=J68,'Processed Non-zero DMR Data'!$W:$W)),"N/A - Facility Does Not Report DMRs")</f>
        <v>0.12433725</v>
      </c>
      <c r="S68" s="10">
        <f t="shared" si="36"/>
        <v>4.9734900000000001E-4</v>
      </c>
      <c r="T68" s="10">
        <f>IF(COUNTIF('Processed Non-zero DMR Data'!$I:$I,$J68)&gt;0,_xlfn.MAXIFS('Processed Non-zero DMR Data'!$W:$W,'Processed Non-zero DMR Data'!$I:$I,$J68), "N/A - Facility Does Not Report DMRs")</f>
        <v>0.92907556250000001</v>
      </c>
      <c r="U68" s="10">
        <f t="shared" si="37"/>
        <v>3.7163022500000002E-3</v>
      </c>
      <c r="V68" s="158" cm="1">
        <f t="array" ref="V68">IF(COUNTIF('Processed Non-zero DMR Data'!$I:$I,$J68)&gt;0,INDEX('Processed Non-zero DMR Data'!$A:$A,MATCH(1,($J68='Processed Non-zero DMR Data'!$I:$I)*($T68='Processed Non-zero DMR Data'!$W:$W),0)), "N/A - Facility Does Not Report DMRs")</f>
        <v>2021</v>
      </c>
      <c r="W68" s="17" t="str" cm="1">
        <f t="array" ref="W68">IFERROR(_xlfn.XLOOKUP(1,  (MAX(IF(I68 = 'Processed Non-zero TRI Data'!$I$2:$I$6,'Processed Non-zero TRI Data'!$A$2:$A$6)) = 'Processed Non-zero TRI Data'!$A$2:$A$6)*('Processed Non-zero TRI Data'!$I$2:$I$6 = I68), 'Processed Non-zero TRI Data'!$T$2:$T$6), "N/A- Facility Does Not Report to TRI")</f>
        <v>N/A- Facility Does Not Report to TRI</v>
      </c>
      <c r="X68" s="10" t="str">
        <f t="shared" si="38"/>
        <v>N/A - Facility Does Not Report to TRI</v>
      </c>
      <c r="Y68" s="10" t="str" cm="1">
        <f t="array" ref="Y68">IF(COUNTIF('Processed Non-zero TRI Data'!$I:$I,$I68)&gt;0,MEDIAN(IF('Processed Non-zero TRI Data'!$I:$I=I68,'Processed Non-zero TRI Data'!$T:$T)), "N/A - Facility Does Not Report to TRI")</f>
        <v>N/A - Facility Does Not Report to TRI</v>
      </c>
      <c r="Z68" s="10" t="str">
        <f t="shared" si="39"/>
        <v>N/A - Facility Does Not Report to TRI</v>
      </c>
      <c r="AA68" s="10" t="str">
        <f>IF(COUNTIF('Processed Non-zero TRI Data'!$I:$I,$I68)&gt;0,_xlfn.MAXIFS('Processed Non-zero TRI Data'!$T:$T,'Processed Non-zero TRI Data'!$I:$I,$I68), "N/A - Facility Does Not Report to TRI")</f>
        <v>N/A - Facility Does Not Report to TRI</v>
      </c>
      <c r="AB68" s="10" t="str">
        <f t="shared" si="40"/>
        <v>N/A - Facility Does Not Report to TRI</v>
      </c>
      <c r="AC68" s="158" t="str" cm="1">
        <f t="array" ref="AC68">IFERROR(IF(B68 = "TRI Form R", IF(AA68 = 0, "Facility has no on-site water discharges between 2017-2022.",  IF(COUNTIF('Processed Non-zero TRI Data'!$I:$I,$I68)&gt;0,INDEX('Processed Non-zero TRI Data'!$A:$A,MATCH(1,($I68='Processed Non-zero TRI Data'!$I:$I)*(AA68='Processed Non-zero TRI Data'!$T:$T),0)))), VLOOKUP(I68,#REF!, 2, FALSE)), ("N/A - Facility Does Not Report to TRI"))</f>
        <v>N/A - Facility Does Not Report to TRI</v>
      </c>
      <c r="AD68" s="97" t="str" cm="1">
        <f t="array" ref="AD68">IFERROR(_xlfn.XLOOKUP(1,  (MAX(IF(I68 = 'Processed Non-zero TRI Data'!$I$2:$I$6,'Processed Non-zero TRI Data'!$A$2:$A$6)) = 'Processed Non-zero TRI Data'!$A$2:$A$6)*('Processed Non-zero TRI Data'!$I$2:$I$6 = I68), 'Processed Non-zero TRI Data'!$V$2:$V$6), "N/A- Facility Does Not Report to TRI")</f>
        <v>N/A- Facility Does Not Report to TRI</v>
      </c>
      <c r="AE68" s="9" t="str">
        <f t="shared" si="41"/>
        <v>N/A - Facility Does Not Report to TRI</v>
      </c>
      <c r="AF68" s="9" t="str" cm="1">
        <f t="array" ref="AF68">IF(COUNTIF('Processed Non-zero TRI Data'!$I:$I,$I68)&gt;0,MEDIAN(IF('Processed Non-zero TRI Data'!$I:$I=I68,'Processed Non-zero TRI Data'!$V:$V)), "N/A - Facility Does Not Report to TRI")</f>
        <v>N/A - Facility Does Not Report to TRI</v>
      </c>
      <c r="AG68" s="9" t="str">
        <f t="shared" si="42"/>
        <v>N/A - Facility Does Not Report to TRI</v>
      </c>
      <c r="AH68" s="9" t="str">
        <f>IF(COUNTIF('Processed Non-zero TRI Data'!$I:$I,$I68)&gt;0,_xlfn.MAXIFS('Processed Non-zero TRI Data'!$V:$V,'Processed Non-zero TRI Data'!$I:$I,$I68), "N/A - Facility Does Not Report to TRI")</f>
        <v>N/A - Facility Does Not Report to TRI</v>
      </c>
      <c r="AI68" s="9" t="str">
        <f t="shared" si="43"/>
        <v>N/A - Facility Does Not Report to TRI</v>
      </c>
      <c r="AJ68" s="158" t="str" cm="1">
        <f t="array" ref="AJ68">IF(B68="TRI Form A",AC68,IF(AH68=0,"Facility has no transfers to POTWs between 2019-2023.",IF(COUNTIF('Processed Non-zero TRI Data'!$I:$I,$I68)&gt;0,INDEX('Processed Non-zero TRI Data'!$A:$A,MATCH(1,($I68='Processed Non-zero TRI Data'!$I:$I)*(AH68='Processed Non-zero TRI Data'!$V:$V),0)),"N/A - Facility Does Not Report to TRI")))</f>
        <v>N/A - Facility Does Not Report to TRI</v>
      </c>
      <c r="AK68" s="97" t="str" cm="1">
        <f t="array" ref="AK68">IFERROR(_xlfn.XLOOKUP(1,  (MAX(IF(I68 = 'Processed Non-zero TRI Data'!$I$2:$I$6,'Processed Non-zero TRI Data'!$A$2:$A$6)) = 'Processed Non-zero TRI Data'!$A$2:$A$6)*('Processed Non-zero TRI Data'!$I$2:$I$6 = I68), 'Processed Non-zero TRI Data'!$X$2:$X$6), "N/A- Facility Does Not Report to TRI")</f>
        <v>N/A- Facility Does Not Report to TRI</v>
      </c>
      <c r="AL68" s="9" t="str">
        <f t="shared" si="44"/>
        <v>N/A - Facility Does Not Report to TRI</v>
      </c>
      <c r="AM68" s="9" t="str" cm="1">
        <f t="array" ref="AM68">IF(COUNTIF('Processed Non-zero TRI Data'!$I:$I,$I68)&gt;0,MEDIAN(IF('Processed Non-zero TRI Data'!$I:$I=I68,'Processed Non-zero TRI Data'!$X:$X)), "N/A - Facility Does Not Report to TRI")</f>
        <v>N/A - Facility Does Not Report to TRI</v>
      </c>
      <c r="AN68" s="9" t="str">
        <f t="shared" si="45"/>
        <v>N/A - Facility Does Not Report to TRI</v>
      </c>
      <c r="AO68" s="9" t="str">
        <f>IF(COUNTIF('Processed Non-zero TRI Data'!$I:$I,$I68)&gt;0,_xlfn.MAXIFS('Processed Non-zero TRI Data'!$X:$X,'Processed Non-zero TRI Data'!$I:$I,$I68), "N/A - Facility Does Not Report to TRI")</f>
        <v>N/A - Facility Does Not Report to TRI</v>
      </c>
      <c r="AP68" s="9" t="str">
        <f t="shared" si="46"/>
        <v>N/A - Facility Does Not Report to TRI</v>
      </c>
      <c r="AQ68" s="251" t="str" cm="1">
        <f t="array" ref="AQ68">IF(B68="TRI Form A",AC68,IF(AO68=0,"Facility has no transfers to non-POTWs between 2019-2023.",IF(COUNTIF('Processed Non-zero TRI Data'!$I:$I,$I68)&gt;0,INDEX('Processed Non-zero TRI Data'!$A:$A,MATCH(1,($I68='Processed Non-zero TRI Data'!$I:$I)*(AO68='Processed Non-zero TRI Data'!$X:$X),0)),"N/A - Facility Does Not Report to TRI")))</f>
        <v>N/A - Facility Does Not Report to TRI</v>
      </c>
      <c r="AR68" s="260">
        <f t="shared" si="12"/>
        <v>0</v>
      </c>
      <c r="AS68" s="260">
        <f t="shared" si="13"/>
        <v>0.92907556250000001</v>
      </c>
    </row>
    <row r="69" spans="1:45" ht="30" x14ac:dyDescent="0.25">
      <c r="A69" s="12">
        <v>66</v>
      </c>
      <c r="B69" s="10" t="str">
        <f>IFERROR("TRI Form "&amp; VLOOKUP(I69, 'Processed Non-zero TRI Data'!$I$2:$K$6, 3, FALSE), "DMR")</f>
        <v>DMR</v>
      </c>
      <c r="C69" s="181" t="e">
        <f>VLOOKUP(D69,#REF!, 2, FALSE)</f>
        <v>#REF!</v>
      </c>
      <c r="D69" s="181" t="str">
        <f>IF(I69&lt;&gt;"",INDEX('Processed Non-zero TRI Data'!$O:$O,MATCH(I69,'Processed Non-zero TRI Data'!$I:$I,0)),INDEX('Processed Non-zero DMR Data'!$S:$S,MATCH(J69,'Processed Non-zero DMR Data'!$I:$I,0)))</f>
        <v>Waste Handling, Disposal and Treatment (POTW)</v>
      </c>
      <c r="E69" s="181" t="str">
        <f>IF(I69&lt;&gt;"",INDEX('Processed Non-zero TRI Data'!$P:$P,MATCH(I69,'Processed Non-zero TRI Data'!$I:$I,0)),INDEX('Processed Non-zero DMR Data'!$T:$T,MATCH(J69,'Processed Non-zero DMR Data'!$I:$I,0)))</f>
        <v>POTW indicator in DMR</v>
      </c>
      <c r="F69" s="9" t="str">
        <f>_xlfn.XLOOKUP(J69, 'Processed Non-zero DMR Data'!I:I, 'Processed Non-zero DMR Data'!B:B)</f>
        <v>HOPKINSVILLE HAMMOND WOOD STP</v>
      </c>
      <c r="G69" s="9" t="str">
        <f>_xlfn.XLOOKUP(J69, 'Processed Non-zero DMR Data'!I:I, 'Processed Non-zero DMR Data'!C:C)</f>
        <v>HOPKINSVILLE</v>
      </c>
      <c r="H69" s="9" t="str">
        <f>_xlfn.XLOOKUP(J69, 'Processed Non-zero DMR Data'!I:I, 'Processed Non-zero DMR Data'!E:E)</f>
        <v>KY</v>
      </c>
      <c r="I69" s="12"/>
      <c r="J69" s="13">
        <v>110039994897</v>
      </c>
      <c r="K69" s="9" t="str">
        <f>IFERROR(INDEX('Raw Non-zero DMR Data'!$C:$C, MATCH(J69,'Raw Non-zero DMR Data'!$D:$D,0)),"")</f>
        <v>KY0066532</v>
      </c>
      <c r="L69" s="9" t="str">
        <f>IFERROR(INDEX('Raw Non-zero DMR Data'!$U:$U, MATCH($J69,'Raw Non-zero DMR Data'!$D:$D,0)),"")</f>
        <v>North Fork Little River</v>
      </c>
      <c r="M69" s="155" t="str">
        <f>IFERROR(INDEX('Raw Non-zero DMR Data'!$T:$T, MATCH($J69,'Raw Non-zero DMR Data'!$D:$D,0)),"")</f>
        <v>051302050503</v>
      </c>
      <c r="N69" s="155" t="str">
        <f>IFERROR(INDEX('Off-site Locations'!$E:$E,MATCH(I69,'Off-site Locations'!$B:$B,0)),"No offsite transfers")</f>
        <v>No offsite transfers</v>
      </c>
      <c r="O69" s="165">
        <f>INDEX('TRI and DMR OES Summary'!D:D,MATCH('Facility Discharge Summary'!D69,'TRI and DMR OES Summary'!A:A,0))</f>
        <v>365</v>
      </c>
      <c r="P69" s="17" cm="1">
        <f t="array" ref="P69">IFERROR(_xlfn.XLOOKUP(1,  (MAX(IF(J69 = 'Processed Non-zero DMR Data'!$I$2:$I$651,'Processed Non-zero DMR Data'!$A$2:$A$651)) = 'Processed Non-zero DMR Data'!$A$2:$A$651)*('Processed Non-zero DMR Data'!$I$2:$I$651 = J69),'Processed Non-zero DMR Data'!$W$2:$W$651), "N/A- Facility Does Not Report DMRs")</f>
        <v>13.0519574375</v>
      </c>
      <c r="Q69" s="10">
        <f t="shared" si="35"/>
        <v>3.57587875E-2</v>
      </c>
      <c r="R69" s="10" cm="1">
        <f t="array" ref="R69">IF(COUNTIF('Processed Non-zero DMR Data'!$I:$I,$J69)&gt;0,MEDIAN(IF('Processed Non-zero DMR Data'!$I:$I=J69,'Processed Non-zero DMR Data'!$W:$W)),"N/A - Facility Does Not Report DMRs")</f>
        <v>5.709842825</v>
      </c>
      <c r="S69" s="10">
        <f t="shared" si="36"/>
        <v>1.5643404999999999E-2</v>
      </c>
      <c r="T69" s="10">
        <f>IF(COUNTIF('Processed Non-zero DMR Data'!$I:$I,$J69)&gt;0,_xlfn.MAXIFS('Processed Non-zero DMR Data'!$W:$W,'Processed Non-zero DMR Data'!$I:$I,$J69), "N/A - Facility Does Not Report DMRs")</f>
        <v>13.0519574375</v>
      </c>
      <c r="U69" s="10">
        <f t="shared" si="37"/>
        <v>3.57587875E-2</v>
      </c>
      <c r="V69" s="158" cm="1">
        <f t="array" ref="V69">IF(COUNTIF('Processed Non-zero DMR Data'!$I:$I,$J69)&gt;0,INDEX('Processed Non-zero DMR Data'!$A:$A,MATCH(1,($J69='Processed Non-zero DMR Data'!$I:$I)*($T69='Processed Non-zero DMR Data'!$W:$W),0)), "N/A - Facility Does Not Report DMRs")</f>
        <v>2021</v>
      </c>
      <c r="W69" s="17" t="str" cm="1">
        <f t="array" ref="W69">IFERROR(_xlfn.XLOOKUP(1,  (MAX(IF(I69 = 'Processed Non-zero TRI Data'!$I$2:$I$6,'Processed Non-zero TRI Data'!$A$2:$A$6)) = 'Processed Non-zero TRI Data'!$A$2:$A$6)*('Processed Non-zero TRI Data'!$I$2:$I$6 = I69), 'Processed Non-zero TRI Data'!$T$2:$T$6), "N/A- Facility Does Not Report to TRI")</f>
        <v>N/A- Facility Does Not Report to TRI</v>
      </c>
      <c r="X69" s="10" t="str">
        <f t="shared" si="38"/>
        <v>N/A - Facility Does Not Report to TRI</v>
      </c>
      <c r="Y69" s="10" t="str" cm="1">
        <f t="array" ref="Y69">IF(COUNTIF('Processed Non-zero TRI Data'!$I:$I,$I69)&gt;0,MEDIAN(IF('Processed Non-zero TRI Data'!$I:$I=I69,'Processed Non-zero TRI Data'!$T:$T)), "N/A - Facility Does Not Report to TRI")</f>
        <v>N/A - Facility Does Not Report to TRI</v>
      </c>
      <c r="Z69" s="10" t="str">
        <f t="shared" si="39"/>
        <v>N/A - Facility Does Not Report to TRI</v>
      </c>
      <c r="AA69" s="10" t="str">
        <f>IF(COUNTIF('Processed Non-zero TRI Data'!$I:$I,$I69)&gt;0,_xlfn.MAXIFS('Processed Non-zero TRI Data'!$T:$T,'Processed Non-zero TRI Data'!$I:$I,$I69), "N/A - Facility Does Not Report to TRI")</f>
        <v>N/A - Facility Does Not Report to TRI</v>
      </c>
      <c r="AB69" s="10" t="str">
        <f t="shared" si="40"/>
        <v>N/A - Facility Does Not Report to TRI</v>
      </c>
      <c r="AC69" s="158" t="str" cm="1">
        <f t="array" ref="AC69">IFERROR(IF(B69 = "TRI Form R", IF(AA69 = 0, "Facility has no on-site water discharges between 2017-2022.",  IF(COUNTIF('Processed Non-zero TRI Data'!$I:$I,$I69)&gt;0,INDEX('Processed Non-zero TRI Data'!$A:$A,MATCH(1,($I69='Processed Non-zero TRI Data'!$I:$I)*(AA69='Processed Non-zero TRI Data'!$T:$T),0)))), VLOOKUP(I69,#REF!, 2, FALSE)), ("N/A - Facility Does Not Report to TRI"))</f>
        <v>N/A - Facility Does Not Report to TRI</v>
      </c>
      <c r="AD69" s="97" t="str" cm="1">
        <f t="array" ref="AD69">IFERROR(_xlfn.XLOOKUP(1,  (MAX(IF(I69 = 'Processed Non-zero TRI Data'!$I$2:$I$6,'Processed Non-zero TRI Data'!$A$2:$A$6)) = 'Processed Non-zero TRI Data'!$A$2:$A$6)*('Processed Non-zero TRI Data'!$I$2:$I$6 = I69), 'Processed Non-zero TRI Data'!$V$2:$V$6), "N/A- Facility Does Not Report to TRI")</f>
        <v>N/A- Facility Does Not Report to TRI</v>
      </c>
      <c r="AE69" s="9" t="str">
        <f t="shared" si="41"/>
        <v>N/A - Facility Does Not Report to TRI</v>
      </c>
      <c r="AF69" s="9" t="str" cm="1">
        <f t="array" ref="AF69">IF(COUNTIF('Processed Non-zero TRI Data'!$I:$I,$I69)&gt;0,MEDIAN(IF('Processed Non-zero TRI Data'!$I:$I=I69,'Processed Non-zero TRI Data'!$V:$V)), "N/A - Facility Does Not Report to TRI")</f>
        <v>N/A - Facility Does Not Report to TRI</v>
      </c>
      <c r="AG69" s="9" t="str">
        <f t="shared" si="42"/>
        <v>N/A - Facility Does Not Report to TRI</v>
      </c>
      <c r="AH69" s="9" t="str">
        <f>IF(COUNTIF('Processed Non-zero TRI Data'!$I:$I,$I69)&gt;0,_xlfn.MAXIFS('Processed Non-zero TRI Data'!$V:$V,'Processed Non-zero TRI Data'!$I:$I,$I69), "N/A - Facility Does Not Report to TRI")</f>
        <v>N/A - Facility Does Not Report to TRI</v>
      </c>
      <c r="AI69" s="9" t="str">
        <f t="shared" si="43"/>
        <v>N/A - Facility Does Not Report to TRI</v>
      </c>
      <c r="AJ69" s="158" t="str" cm="1">
        <f t="array" ref="AJ69">IF(B69="TRI Form A",AC69,IF(AH69=0,"Facility has no transfers to POTWs between 2019-2023.",IF(COUNTIF('Processed Non-zero TRI Data'!$I:$I,$I69)&gt;0,INDEX('Processed Non-zero TRI Data'!$A:$A,MATCH(1,($I69='Processed Non-zero TRI Data'!$I:$I)*(AH69='Processed Non-zero TRI Data'!$V:$V),0)),"N/A - Facility Does Not Report to TRI")))</f>
        <v>N/A - Facility Does Not Report to TRI</v>
      </c>
      <c r="AK69" s="97" t="str" cm="1">
        <f t="array" ref="AK69">IFERROR(_xlfn.XLOOKUP(1,  (MAX(IF(I69 = 'Processed Non-zero TRI Data'!$I$2:$I$6,'Processed Non-zero TRI Data'!$A$2:$A$6)) = 'Processed Non-zero TRI Data'!$A$2:$A$6)*('Processed Non-zero TRI Data'!$I$2:$I$6 = I69), 'Processed Non-zero TRI Data'!$X$2:$X$6), "N/A- Facility Does Not Report to TRI")</f>
        <v>N/A- Facility Does Not Report to TRI</v>
      </c>
      <c r="AL69" s="9" t="str">
        <f t="shared" si="44"/>
        <v>N/A - Facility Does Not Report to TRI</v>
      </c>
      <c r="AM69" s="9" t="str" cm="1">
        <f t="array" ref="AM69">IF(COUNTIF('Processed Non-zero TRI Data'!$I:$I,$I69)&gt;0,MEDIAN(IF('Processed Non-zero TRI Data'!$I:$I=I69,'Processed Non-zero TRI Data'!$X:$X)), "N/A - Facility Does Not Report to TRI")</f>
        <v>N/A - Facility Does Not Report to TRI</v>
      </c>
      <c r="AN69" s="9" t="str">
        <f t="shared" si="45"/>
        <v>N/A - Facility Does Not Report to TRI</v>
      </c>
      <c r="AO69" s="9" t="str">
        <f>IF(COUNTIF('Processed Non-zero TRI Data'!$I:$I,$I69)&gt;0,_xlfn.MAXIFS('Processed Non-zero TRI Data'!$X:$X,'Processed Non-zero TRI Data'!$I:$I,$I69), "N/A - Facility Does Not Report to TRI")</f>
        <v>N/A - Facility Does Not Report to TRI</v>
      </c>
      <c r="AP69" s="9" t="str">
        <f t="shared" si="46"/>
        <v>N/A - Facility Does Not Report to TRI</v>
      </c>
      <c r="AQ69" s="251" t="str" cm="1">
        <f t="array" ref="AQ69">IF(B69="TRI Form A",AC69,IF(AO69=0,"Facility has no transfers to non-POTWs between 2019-2023.",IF(COUNTIF('Processed Non-zero TRI Data'!$I:$I,$I69)&gt;0,INDEX('Processed Non-zero TRI Data'!$A:$A,MATCH(1,($I69='Processed Non-zero TRI Data'!$I:$I)*(AO69='Processed Non-zero TRI Data'!$X:$X),0)),"N/A - Facility Does Not Report to TRI")))</f>
        <v>N/A - Facility Does Not Report to TRI</v>
      </c>
      <c r="AR69" s="260">
        <f t="shared" ref="AR69:AR132" si="47">MAX(AA69,AH69,AO69)</f>
        <v>0</v>
      </c>
      <c r="AS69" s="260">
        <f t="shared" ref="AS69:AS132" si="48">T69</f>
        <v>13.0519574375</v>
      </c>
    </row>
    <row r="70" spans="1:45" ht="30" x14ac:dyDescent="0.25">
      <c r="A70" s="12">
        <v>67</v>
      </c>
      <c r="B70" s="10" t="str">
        <f>IFERROR("TRI Form "&amp; VLOOKUP(I70, 'Processed Non-zero TRI Data'!$I$2:$K$6, 3, FALSE), "DMR")</f>
        <v>DMR</v>
      </c>
      <c r="C70" s="181" t="e">
        <f>VLOOKUP(D70,#REF!, 2, FALSE)</f>
        <v>#REF!</v>
      </c>
      <c r="D70" s="181" t="str">
        <f>IF(I70&lt;&gt;"",INDEX('Processed Non-zero TRI Data'!$O:$O,MATCH(I70,'Processed Non-zero TRI Data'!$I:$I,0)),INDEX('Processed Non-zero DMR Data'!$S:$S,MATCH(J70,'Processed Non-zero DMR Data'!$I:$I,0)))</f>
        <v>Waste Handling, Disposal and Treatment (POTW)</v>
      </c>
      <c r="E70" s="181" t="str">
        <f>IF(I70&lt;&gt;"",INDEX('Processed Non-zero TRI Data'!$P:$P,MATCH(I70,'Processed Non-zero TRI Data'!$I:$I,0)),INDEX('Processed Non-zero DMR Data'!$T:$T,MATCH(J70,'Processed Non-zero DMR Data'!$I:$I,0)))</f>
        <v>POTW indicator in DMR</v>
      </c>
      <c r="F70" s="9" t="str">
        <f>_xlfn.XLOOKUP(J70, 'Processed Non-zero DMR Data'!I:I, 'Processed Non-zero DMR Data'!B:B)</f>
        <v>MAYSVILLE STP</v>
      </c>
      <c r="G70" s="9" t="str">
        <f>_xlfn.XLOOKUP(J70, 'Processed Non-zero DMR Data'!I:I, 'Processed Non-zero DMR Data'!C:C)</f>
        <v>MAYSVILLE</v>
      </c>
      <c r="H70" s="9" t="str">
        <f>_xlfn.XLOOKUP(J70, 'Processed Non-zero DMR Data'!I:I, 'Processed Non-zero DMR Data'!E:E)</f>
        <v>KY</v>
      </c>
      <c r="I70" s="12"/>
      <c r="J70" s="13">
        <v>110000761104</v>
      </c>
      <c r="K70" s="9" t="str">
        <f>IFERROR(INDEX('Raw Non-zero DMR Data'!$C:$C, MATCH(J70,'Raw Non-zero DMR Data'!$D:$D,0)),"")</f>
        <v>KY0020257</v>
      </c>
      <c r="L70" s="9" t="str">
        <f>IFERROR(INDEX('Raw Non-zero DMR Data'!$U:$U, MATCH($J70,'Raw Non-zero DMR Data'!$D:$D,0)),"")</f>
        <v>Lawrence Creek-Ohio River</v>
      </c>
      <c r="M70" s="155" t="str">
        <f>IFERROR(INDEX('Raw Non-zero DMR Data'!$T:$T, MATCH($J70,'Raw Non-zero DMR Data'!$D:$D,0)),"")</f>
        <v>050902010605</v>
      </c>
      <c r="N70" s="155" t="str">
        <f>IFERROR(INDEX('Off-site Locations'!$E:$E,MATCH(I70,'Off-site Locations'!$B:$B,0)),"No offsite transfers")</f>
        <v>No offsite transfers</v>
      </c>
      <c r="O70" s="165">
        <f>INDEX('TRI and DMR OES Summary'!D:D,MATCH('Facility Discharge Summary'!D70,'TRI and DMR OES Summary'!A:A,0))</f>
        <v>365</v>
      </c>
      <c r="P70" s="17" cm="1">
        <f t="array" ref="P70">IFERROR(_xlfn.XLOOKUP(1,  (MAX(IF(J70 = 'Processed Non-zero DMR Data'!$I$2:$I$651,'Processed Non-zero DMR Data'!$A$2:$A$651)) = 'Processed Non-zero DMR Data'!$A$2:$A$651)*('Processed Non-zero DMR Data'!$I$2:$I$651 = J70),'Processed Non-zero DMR Data'!$W$2:$W$651), "N/A- Facility Does Not Report DMRs")</f>
        <v>0.46971849999999998</v>
      </c>
      <c r="Q70" s="10">
        <f t="shared" si="35"/>
        <v>1.2868999999999999E-3</v>
      </c>
      <c r="R70" s="10" cm="1">
        <f t="array" ref="R70">IF(COUNTIF('Processed Non-zero DMR Data'!$I:$I,$J70)&gt;0,MEDIAN(IF('Processed Non-zero DMR Data'!$I:$I=J70,'Processed Non-zero DMR Data'!$W:$W)),"N/A - Facility Does Not Report DMRs")</f>
        <v>0.46971849999999998</v>
      </c>
      <c r="S70" s="10">
        <f t="shared" si="36"/>
        <v>1.2868999999999999E-3</v>
      </c>
      <c r="T70" s="10">
        <f>IF(COUNTIF('Processed Non-zero DMR Data'!$I:$I,$J70)&gt;0,_xlfn.MAXIFS('Processed Non-zero DMR Data'!$W:$W,'Processed Non-zero DMR Data'!$I:$I,$J70), "N/A - Facility Does Not Report DMRs")</f>
        <v>0.46971849999999998</v>
      </c>
      <c r="U70" s="10">
        <f t="shared" si="37"/>
        <v>1.2868999999999999E-3</v>
      </c>
      <c r="V70" s="158" cm="1">
        <f t="array" ref="V70">IF(COUNTIF('Processed Non-zero DMR Data'!$I:$I,$J70)&gt;0,INDEX('Processed Non-zero DMR Data'!$A:$A,MATCH(1,($J70='Processed Non-zero DMR Data'!$I:$I)*($T70='Processed Non-zero DMR Data'!$W:$W),0)), "N/A - Facility Does Not Report DMRs")</f>
        <v>2019</v>
      </c>
      <c r="W70" s="17" t="str" cm="1">
        <f t="array" ref="W70">IFERROR(_xlfn.XLOOKUP(1,  (MAX(IF(I70 = 'Processed Non-zero TRI Data'!$I$2:$I$6,'Processed Non-zero TRI Data'!$A$2:$A$6)) = 'Processed Non-zero TRI Data'!$A$2:$A$6)*('Processed Non-zero TRI Data'!$I$2:$I$6 = I70), 'Processed Non-zero TRI Data'!$T$2:$T$6), "N/A- Facility Does Not Report to TRI")</f>
        <v>N/A- Facility Does Not Report to TRI</v>
      </c>
      <c r="X70" s="10" t="str">
        <f t="shared" si="38"/>
        <v>N/A - Facility Does Not Report to TRI</v>
      </c>
      <c r="Y70" s="10" t="str" cm="1">
        <f t="array" ref="Y70">IF(COUNTIF('Processed Non-zero TRI Data'!$I:$I,$I70)&gt;0,MEDIAN(IF('Processed Non-zero TRI Data'!$I:$I=I70,'Processed Non-zero TRI Data'!$T:$T)), "N/A - Facility Does Not Report to TRI")</f>
        <v>N/A - Facility Does Not Report to TRI</v>
      </c>
      <c r="Z70" s="10" t="str">
        <f t="shared" si="39"/>
        <v>N/A - Facility Does Not Report to TRI</v>
      </c>
      <c r="AA70" s="10" t="str">
        <f>IF(COUNTIF('Processed Non-zero TRI Data'!$I:$I,$I70)&gt;0,_xlfn.MAXIFS('Processed Non-zero TRI Data'!$T:$T,'Processed Non-zero TRI Data'!$I:$I,$I70), "N/A - Facility Does Not Report to TRI")</f>
        <v>N/A - Facility Does Not Report to TRI</v>
      </c>
      <c r="AB70" s="10" t="str">
        <f t="shared" si="40"/>
        <v>N/A - Facility Does Not Report to TRI</v>
      </c>
      <c r="AC70" s="158" t="str" cm="1">
        <f t="array" ref="AC70">IFERROR(IF(B70 = "TRI Form R", IF(AA70 = 0, "Facility has no on-site water discharges between 2017-2022.",  IF(COUNTIF('Processed Non-zero TRI Data'!$I:$I,$I70)&gt;0,INDEX('Processed Non-zero TRI Data'!$A:$A,MATCH(1,($I70='Processed Non-zero TRI Data'!$I:$I)*(AA70='Processed Non-zero TRI Data'!$T:$T),0)))), VLOOKUP(I70,#REF!, 2, FALSE)), ("N/A - Facility Does Not Report to TRI"))</f>
        <v>N/A - Facility Does Not Report to TRI</v>
      </c>
      <c r="AD70" s="97" t="str" cm="1">
        <f t="array" ref="AD70">IFERROR(_xlfn.XLOOKUP(1,  (MAX(IF(I70 = 'Processed Non-zero TRI Data'!$I$2:$I$6,'Processed Non-zero TRI Data'!$A$2:$A$6)) = 'Processed Non-zero TRI Data'!$A$2:$A$6)*('Processed Non-zero TRI Data'!$I$2:$I$6 = I70), 'Processed Non-zero TRI Data'!$V$2:$V$6), "N/A- Facility Does Not Report to TRI")</f>
        <v>N/A- Facility Does Not Report to TRI</v>
      </c>
      <c r="AE70" s="9" t="str">
        <f t="shared" si="41"/>
        <v>N/A - Facility Does Not Report to TRI</v>
      </c>
      <c r="AF70" s="9" t="str" cm="1">
        <f t="array" ref="AF70">IF(COUNTIF('Processed Non-zero TRI Data'!$I:$I,$I70)&gt;0,MEDIAN(IF('Processed Non-zero TRI Data'!$I:$I=I70,'Processed Non-zero TRI Data'!$V:$V)), "N/A - Facility Does Not Report to TRI")</f>
        <v>N/A - Facility Does Not Report to TRI</v>
      </c>
      <c r="AG70" s="9" t="str">
        <f t="shared" si="42"/>
        <v>N/A - Facility Does Not Report to TRI</v>
      </c>
      <c r="AH70" s="9" t="str">
        <f>IF(COUNTIF('Processed Non-zero TRI Data'!$I:$I,$I70)&gt;0,_xlfn.MAXIFS('Processed Non-zero TRI Data'!$V:$V,'Processed Non-zero TRI Data'!$I:$I,$I70), "N/A - Facility Does Not Report to TRI")</f>
        <v>N/A - Facility Does Not Report to TRI</v>
      </c>
      <c r="AI70" s="9" t="str">
        <f t="shared" si="43"/>
        <v>N/A - Facility Does Not Report to TRI</v>
      </c>
      <c r="AJ70" s="158" t="str" cm="1">
        <f t="array" ref="AJ70">IF(B70="TRI Form A",AC70,IF(AH70=0,"Facility has no transfers to POTWs between 2019-2023.",IF(COUNTIF('Processed Non-zero TRI Data'!$I:$I,$I70)&gt;0,INDEX('Processed Non-zero TRI Data'!$A:$A,MATCH(1,($I70='Processed Non-zero TRI Data'!$I:$I)*(AH70='Processed Non-zero TRI Data'!$V:$V),0)),"N/A - Facility Does Not Report to TRI")))</f>
        <v>N/A - Facility Does Not Report to TRI</v>
      </c>
      <c r="AK70" s="97" t="str" cm="1">
        <f t="array" ref="AK70">IFERROR(_xlfn.XLOOKUP(1,  (MAX(IF(I70 = 'Processed Non-zero TRI Data'!$I$2:$I$6,'Processed Non-zero TRI Data'!$A$2:$A$6)) = 'Processed Non-zero TRI Data'!$A$2:$A$6)*('Processed Non-zero TRI Data'!$I$2:$I$6 = I70), 'Processed Non-zero TRI Data'!$X$2:$X$6), "N/A- Facility Does Not Report to TRI")</f>
        <v>N/A- Facility Does Not Report to TRI</v>
      </c>
      <c r="AL70" s="9" t="str">
        <f t="shared" si="44"/>
        <v>N/A - Facility Does Not Report to TRI</v>
      </c>
      <c r="AM70" s="9" t="str" cm="1">
        <f t="array" ref="AM70">IF(COUNTIF('Processed Non-zero TRI Data'!$I:$I,$I70)&gt;0,MEDIAN(IF('Processed Non-zero TRI Data'!$I:$I=I70,'Processed Non-zero TRI Data'!$X:$X)), "N/A - Facility Does Not Report to TRI")</f>
        <v>N/A - Facility Does Not Report to TRI</v>
      </c>
      <c r="AN70" s="9" t="str">
        <f t="shared" si="45"/>
        <v>N/A - Facility Does Not Report to TRI</v>
      </c>
      <c r="AO70" s="9" t="str">
        <f>IF(COUNTIF('Processed Non-zero TRI Data'!$I:$I,$I70)&gt;0,_xlfn.MAXIFS('Processed Non-zero TRI Data'!$X:$X,'Processed Non-zero TRI Data'!$I:$I,$I70), "N/A - Facility Does Not Report to TRI")</f>
        <v>N/A - Facility Does Not Report to TRI</v>
      </c>
      <c r="AP70" s="9" t="str">
        <f t="shared" si="46"/>
        <v>N/A - Facility Does Not Report to TRI</v>
      </c>
      <c r="AQ70" s="251" t="str" cm="1">
        <f t="array" ref="AQ70">IF(B70="TRI Form A",AC70,IF(AO70=0,"Facility has no transfers to non-POTWs between 2019-2023.",IF(COUNTIF('Processed Non-zero TRI Data'!$I:$I,$I70)&gt;0,INDEX('Processed Non-zero TRI Data'!$A:$A,MATCH(1,($I70='Processed Non-zero TRI Data'!$I:$I)*(AO70='Processed Non-zero TRI Data'!$X:$X),0)),"N/A - Facility Does Not Report to TRI")))</f>
        <v>N/A - Facility Does Not Report to TRI</v>
      </c>
      <c r="AR70" s="260">
        <f t="shared" si="47"/>
        <v>0</v>
      </c>
      <c r="AS70" s="260">
        <f t="shared" si="48"/>
        <v>0.46971849999999998</v>
      </c>
    </row>
    <row r="71" spans="1:45" ht="30" x14ac:dyDescent="0.25">
      <c r="A71" s="12">
        <v>68</v>
      </c>
      <c r="B71" s="10" t="str">
        <f>IFERROR("TRI Form "&amp; VLOOKUP(I71, 'Processed Non-zero TRI Data'!$I$2:$K$6, 3, FALSE), "DMR")</f>
        <v>DMR</v>
      </c>
      <c r="C71" s="181" t="e">
        <f>VLOOKUP(D71,#REF!, 2, FALSE)</f>
        <v>#REF!</v>
      </c>
      <c r="D71" s="181" t="str">
        <f>IF(I71&lt;&gt;"",INDEX('Processed Non-zero TRI Data'!$O:$O,MATCH(I71,'Processed Non-zero TRI Data'!$I:$I,0)),INDEX('Processed Non-zero DMR Data'!$S:$S,MATCH(J71,'Processed Non-zero DMR Data'!$I:$I,0)))</f>
        <v>Waste Handling, Disposal and Treatment (Landfill)</v>
      </c>
      <c r="E71" s="181" t="str">
        <f>IF(I71&lt;&gt;"",INDEX('Processed Non-zero TRI Data'!$P:$P,MATCH(I71,'Processed Non-zero TRI Data'!$I:$I,0)),INDEX('Processed Non-zero DMR Data'!$T:$T,MATCH(J71,'Processed Non-zero DMR Data'!$I:$I,0)))</f>
        <v>Facility is a landfill per the facility name.</v>
      </c>
      <c r="F71" s="9" t="str">
        <f>_xlfn.XLOOKUP(J71, 'Processed Non-zero DMR Data'!I:I, 'Processed Non-zero DMR Data'!B:B)</f>
        <v>FOREST LAWN LANDFILL</v>
      </c>
      <c r="G71" s="9" t="str">
        <f>_xlfn.XLOOKUP(J71, 'Processed Non-zero DMR Data'!I:I, 'Processed Non-zero DMR Data'!C:C)</f>
        <v>THREE OAKS</v>
      </c>
      <c r="H71" s="9" t="str">
        <f>_xlfn.XLOOKUP(J71, 'Processed Non-zero DMR Data'!I:I, 'Processed Non-zero DMR Data'!E:E)</f>
        <v>MI</v>
      </c>
      <c r="I71" s="12"/>
      <c r="J71" s="13">
        <v>110001847761</v>
      </c>
      <c r="K71" s="9" t="str">
        <f>IFERROR(INDEX('Raw Non-zero DMR Data'!$C:$C, MATCH(J71,'Raw Non-zero DMR Data'!$D:$D,0)),"")</f>
        <v>MI0048631</v>
      </c>
      <c r="L71" s="9" t="str">
        <f>IFERROR(INDEX('Raw Non-zero DMR Data'!$U:$U, MATCH($J71,'Raw Non-zero DMR Data'!$D:$D,0)),"")</f>
        <v>South Branch Galien River</v>
      </c>
      <c r="M71" s="155" t="str">
        <f>IFERROR(INDEX('Raw Non-zero DMR Data'!$T:$T, MATCH($J71,'Raw Non-zero DMR Data'!$D:$D,0)),"")</f>
        <v>040400010206</v>
      </c>
      <c r="N71" s="155" t="str">
        <f>IFERROR(INDEX('Off-site Locations'!$E:$E,MATCH(I71,'Off-site Locations'!$B:$B,0)),"No offsite transfers")</f>
        <v>No offsite transfers</v>
      </c>
      <c r="O71" s="165">
        <f>INDEX('TRI and DMR OES Summary'!D:D,MATCH('Facility Discharge Summary'!D71,'TRI and DMR OES Summary'!A:A,0))</f>
        <v>250</v>
      </c>
      <c r="P71" s="17" cm="1">
        <f t="array" ref="P71">IFERROR(_xlfn.XLOOKUP(1,  (MAX(IF(J71 = 'Processed Non-zero DMR Data'!$I$2:$I$651,'Processed Non-zero DMR Data'!$A$2:$A$651)) = 'Processed Non-zero DMR Data'!$A$2:$A$651)*('Processed Non-zero DMR Data'!$I$2:$I$651 = J71),'Processed Non-zero DMR Data'!$W$2:$W$651), "N/A- Facility Does Not Report DMRs")</f>
        <v>5.8307924999999997E-2</v>
      </c>
      <c r="Q71" s="10">
        <f t="shared" si="35"/>
        <v>2.332317E-4</v>
      </c>
      <c r="R71" s="10" cm="1">
        <f t="array" ref="R71">IF(COUNTIF('Processed Non-zero DMR Data'!$I:$I,$J71)&gt;0,MEDIAN(IF('Processed Non-zero DMR Data'!$I:$I=J71,'Processed Non-zero DMR Data'!$W:$W)),"N/A - Facility Does Not Report DMRs")</f>
        <v>4.7119637045454493E-2</v>
      </c>
      <c r="S71" s="10">
        <f t="shared" si="36"/>
        <v>1.8847854818181798E-4</v>
      </c>
      <c r="T71" s="10">
        <f>IF(COUNTIF('Processed Non-zero DMR Data'!$I:$I,$J71)&gt;0,_xlfn.MAXIFS('Processed Non-zero DMR Data'!$W:$W,'Processed Non-zero DMR Data'!$I:$I,$J71), "N/A - Facility Does Not Report DMRs")</f>
        <v>5.8307924999999997E-2</v>
      </c>
      <c r="U71" s="10">
        <f t="shared" si="37"/>
        <v>2.332317E-4</v>
      </c>
      <c r="V71" s="158" cm="1">
        <f t="array" ref="V71">IF(COUNTIF('Processed Non-zero DMR Data'!$I:$I,$J71)&gt;0,INDEX('Processed Non-zero DMR Data'!$A:$A,MATCH(1,($J71='Processed Non-zero DMR Data'!$I:$I)*($T71='Processed Non-zero DMR Data'!$W:$W),0)), "N/A - Facility Does Not Report DMRs")</f>
        <v>2020</v>
      </c>
      <c r="W71" s="17" t="str" cm="1">
        <f t="array" ref="W71">IFERROR(_xlfn.XLOOKUP(1,  (MAX(IF(I71 = 'Processed Non-zero TRI Data'!$I$2:$I$6,'Processed Non-zero TRI Data'!$A$2:$A$6)) = 'Processed Non-zero TRI Data'!$A$2:$A$6)*('Processed Non-zero TRI Data'!$I$2:$I$6 = I71), 'Processed Non-zero TRI Data'!$T$2:$T$6), "N/A- Facility Does Not Report to TRI")</f>
        <v>N/A- Facility Does Not Report to TRI</v>
      </c>
      <c r="X71" s="10" t="str">
        <f t="shared" si="38"/>
        <v>N/A - Facility Does Not Report to TRI</v>
      </c>
      <c r="Y71" s="10" t="str" cm="1">
        <f t="array" ref="Y71">IF(COUNTIF('Processed Non-zero TRI Data'!$I:$I,$I71)&gt;0,MEDIAN(IF('Processed Non-zero TRI Data'!$I:$I=I71,'Processed Non-zero TRI Data'!$T:$T)), "N/A - Facility Does Not Report to TRI")</f>
        <v>N/A - Facility Does Not Report to TRI</v>
      </c>
      <c r="Z71" s="10" t="str">
        <f t="shared" si="39"/>
        <v>N/A - Facility Does Not Report to TRI</v>
      </c>
      <c r="AA71" s="10" t="str">
        <f>IF(COUNTIF('Processed Non-zero TRI Data'!$I:$I,$I71)&gt;0,_xlfn.MAXIFS('Processed Non-zero TRI Data'!$T:$T,'Processed Non-zero TRI Data'!$I:$I,$I71), "N/A - Facility Does Not Report to TRI")</f>
        <v>N/A - Facility Does Not Report to TRI</v>
      </c>
      <c r="AB71" s="10" t="str">
        <f t="shared" si="40"/>
        <v>N/A - Facility Does Not Report to TRI</v>
      </c>
      <c r="AC71" s="158" t="str" cm="1">
        <f t="array" ref="AC71">IFERROR(IF(B71 = "TRI Form R", IF(AA71 = 0, "Facility has no on-site water discharges between 2017-2022.",  IF(COUNTIF('Processed Non-zero TRI Data'!$I:$I,$I71)&gt;0,INDEX('Processed Non-zero TRI Data'!$A:$A,MATCH(1,($I71='Processed Non-zero TRI Data'!$I:$I)*(AA71='Processed Non-zero TRI Data'!$T:$T),0)))), VLOOKUP(I71,#REF!, 2, FALSE)), ("N/A - Facility Does Not Report to TRI"))</f>
        <v>N/A - Facility Does Not Report to TRI</v>
      </c>
      <c r="AD71" s="97" t="str" cm="1">
        <f t="array" ref="AD71">IFERROR(_xlfn.XLOOKUP(1,  (MAX(IF(I71 = 'Processed Non-zero TRI Data'!$I$2:$I$6,'Processed Non-zero TRI Data'!$A$2:$A$6)) = 'Processed Non-zero TRI Data'!$A$2:$A$6)*('Processed Non-zero TRI Data'!$I$2:$I$6 = I71), 'Processed Non-zero TRI Data'!$V$2:$V$6), "N/A- Facility Does Not Report to TRI")</f>
        <v>N/A- Facility Does Not Report to TRI</v>
      </c>
      <c r="AE71" s="9" t="str">
        <f t="shared" si="41"/>
        <v>N/A - Facility Does Not Report to TRI</v>
      </c>
      <c r="AF71" s="9" t="str" cm="1">
        <f t="array" ref="AF71">IF(COUNTIF('Processed Non-zero TRI Data'!$I:$I,$I71)&gt;0,MEDIAN(IF('Processed Non-zero TRI Data'!$I:$I=I71,'Processed Non-zero TRI Data'!$V:$V)), "N/A - Facility Does Not Report to TRI")</f>
        <v>N/A - Facility Does Not Report to TRI</v>
      </c>
      <c r="AG71" s="9" t="str">
        <f t="shared" si="42"/>
        <v>N/A - Facility Does Not Report to TRI</v>
      </c>
      <c r="AH71" s="9" t="str">
        <f>IF(COUNTIF('Processed Non-zero TRI Data'!$I:$I,$I71)&gt;0,_xlfn.MAXIFS('Processed Non-zero TRI Data'!$V:$V,'Processed Non-zero TRI Data'!$I:$I,$I71), "N/A - Facility Does Not Report to TRI")</f>
        <v>N/A - Facility Does Not Report to TRI</v>
      </c>
      <c r="AI71" s="9" t="str">
        <f t="shared" si="43"/>
        <v>N/A - Facility Does Not Report to TRI</v>
      </c>
      <c r="AJ71" s="158" t="str" cm="1">
        <f t="array" ref="AJ71">IF(B71="TRI Form A",AC71,IF(AH71=0,"Facility has no transfers to POTWs between 2019-2023.",IF(COUNTIF('Processed Non-zero TRI Data'!$I:$I,$I71)&gt;0,INDEX('Processed Non-zero TRI Data'!$A:$A,MATCH(1,($I71='Processed Non-zero TRI Data'!$I:$I)*(AH71='Processed Non-zero TRI Data'!$V:$V),0)),"N/A - Facility Does Not Report to TRI")))</f>
        <v>N/A - Facility Does Not Report to TRI</v>
      </c>
      <c r="AK71" s="97" t="str" cm="1">
        <f t="array" ref="AK71">IFERROR(_xlfn.XLOOKUP(1,  (MAX(IF(I71 = 'Processed Non-zero TRI Data'!$I$2:$I$6,'Processed Non-zero TRI Data'!$A$2:$A$6)) = 'Processed Non-zero TRI Data'!$A$2:$A$6)*('Processed Non-zero TRI Data'!$I$2:$I$6 = I71), 'Processed Non-zero TRI Data'!$X$2:$X$6), "N/A- Facility Does Not Report to TRI")</f>
        <v>N/A- Facility Does Not Report to TRI</v>
      </c>
      <c r="AL71" s="9" t="str">
        <f t="shared" si="44"/>
        <v>N/A - Facility Does Not Report to TRI</v>
      </c>
      <c r="AM71" s="9" t="str" cm="1">
        <f t="array" ref="AM71">IF(COUNTIF('Processed Non-zero TRI Data'!$I:$I,$I71)&gt;0,MEDIAN(IF('Processed Non-zero TRI Data'!$I:$I=I71,'Processed Non-zero TRI Data'!$X:$X)), "N/A - Facility Does Not Report to TRI")</f>
        <v>N/A - Facility Does Not Report to TRI</v>
      </c>
      <c r="AN71" s="9" t="str">
        <f t="shared" si="45"/>
        <v>N/A - Facility Does Not Report to TRI</v>
      </c>
      <c r="AO71" s="9" t="str">
        <f>IF(COUNTIF('Processed Non-zero TRI Data'!$I:$I,$I71)&gt;0,_xlfn.MAXIFS('Processed Non-zero TRI Data'!$X:$X,'Processed Non-zero TRI Data'!$I:$I,$I71), "N/A - Facility Does Not Report to TRI")</f>
        <v>N/A - Facility Does Not Report to TRI</v>
      </c>
      <c r="AP71" s="9" t="str">
        <f t="shared" si="46"/>
        <v>N/A - Facility Does Not Report to TRI</v>
      </c>
      <c r="AQ71" s="251" t="str" cm="1">
        <f t="array" ref="AQ71">IF(B71="TRI Form A",AC71,IF(AO71=0,"Facility has no transfers to non-POTWs between 2019-2023.",IF(COUNTIF('Processed Non-zero TRI Data'!$I:$I,$I71)&gt;0,INDEX('Processed Non-zero TRI Data'!$A:$A,MATCH(1,($I71='Processed Non-zero TRI Data'!$I:$I)*(AO71='Processed Non-zero TRI Data'!$X:$X),0)),"N/A - Facility Does Not Report to TRI")))</f>
        <v>N/A - Facility Does Not Report to TRI</v>
      </c>
      <c r="AR71" s="260">
        <f t="shared" si="47"/>
        <v>0</v>
      </c>
      <c r="AS71" s="260">
        <f t="shared" si="48"/>
        <v>5.8307924999999997E-2</v>
      </c>
    </row>
    <row r="72" spans="1:45" ht="30" x14ac:dyDescent="0.25">
      <c r="A72" s="12">
        <v>69</v>
      </c>
      <c r="B72" s="10" t="str">
        <f>IFERROR("TRI Form "&amp; VLOOKUP(I72, 'Processed Non-zero TRI Data'!$I$2:$K$6, 3, FALSE), "DMR")</f>
        <v>DMR</v>
      </c>
      <c r="C72" s="181" t="e">
        <f>VLOOKUP(D72,#REF!, 2, FALSE)</f>
        <v>#REF!</v>
      </c>
      <c r="D72" s="181" t="str">
        <f>IF(I72&lt;&gt;"",INDEX('Processed Non-zero TRI Data'!$O:$O,MATCH(I72,'Processed Non-zero TRI Data'!$I:$I,0)),INDEX('Processed Non-zero DMR Data'!$S:$S,MATCH(J72,'Processed Non-zero DMR Data'!$I:$I,0)))</f>
        <v>Processing as a reactant</v>
      </c>
      <c r="E72" s="181" t="str">
        <f>IF(I72&lt;&gt;"",INDEX('Processed Non-zero TRI Data'!$P:$P,MATCH(I72,'Processed Non-zero TRI Data'!$I:$I,0)),INDEX('Processed Non-zero DMR Data'!$T:$T,MATCH(J72,'Processed Non-zero DMR Data'!$I:$I,0)))</f>
        <v>Facility produces swimming pool and spa water care products.</v>
      </c>
      <c r="F72" s="9" t="str">
        <f>_xlfn.XLOOKUP(J72, 'Processed Non-zero DMR Data'!I:I, 'Processed Non-zero DMR Data'!B:B)</f>
        <v>BIO-LAB, INC., A CHEMTURA COMPANY</v>
      </c>
      <c r="G72" s="9" t="str">
        <f>_xlfn.XLOOKUP(J72, 'Processed Non-zero DMR Data'!I:I, 'Processed Non-zero DMR Data'!C:C)</f>
        <v>WESTLAKE</v>
      </c>
      <c r="H72" s="9" t="str">
        <f>_xlfn.XLOOKUP(J72, 'Processed Non-zero DMR Data'!I:I, 'Processed Non-zero DMR Data'!E:E)</f>
        <v>LA</v>
      </c>
      <c r="I72" s="12"/>
      <c r="J72" s="13">
        <v>110064611969</v>
      </c>
      <c r="K72" s="9" t="str">
        <f>IFERROR(INDEX('Raw Non-zero DMR Data'!$C:$C, MATCH(J72,'Raw Non-zero DMR Data'!$D:$D,0)),"")</f>
        <v>LA0125041</v>
      </c>
      <c r="L72" s="9" t="str">
        <f>IFERROR(INDEX('Raw Non-zero DMR Data'!$U:$U, MATCH($J72,'Raw Non-zero DMR Data'!$D:$D,0)),"")</f>
        <v>Bayou Verdine-Calcasieu River</v>
      </c>
      <c r="M72" s="155" t="str">
        <f>IFERROR(INDEX('Raw Non-zero DMR Data'!$T:$T, MATCH($J72,'Raw Non-zero DMR Data'!$D:$D,0)),"")</f>
        <v>080802060302</v>
      </c>
      <c r="N72" s="155" t="str">
        <f>IFERROR(INDEX('Off-site Locations'!$E:$E,MATCH(I72,'Off-site Locations'!$B:$B,0)),"No offsite transfers")</f>
        <v>No offsite transfers</v>
      </c>
      <c r="O72" s="165">
        <f>INDEX('TRI and DMR OES Summary'!D:D,MATCH('Facility Discharge Summary'!D72,'TRI and DMR OES Summary'!A:A,0))</f>
        <v>350</v>
      </c>
      <c r="P72" s="17" cm="1">
        <f t="array" ref="P72">IFERROR(_xlfn.XLOOKUP(1,  (MAX(IF(J72 = 'Processed Non-zero DMR Data'!$I$2:$I$651,'Processed Non-zero DMR Data'!$A$2:$A$651)) = 'Processed Non-zero DMR Data'!$A$2:$A$651)*('Processed Non-zero DMR Data'!$I$2:$I$651 = J72),'Processed Non-zero DMR Data'!$W$2:$W$651), "N/A- Facility Does Not Report DMRs")</f>
        <v>5.10975</v>
      </c>
      <c r="Q72" s="10">
        <f t="shared" si="35"/>
        <v>1.4599285714285714E-2</v>
      </c>
      <c r="R72" s="10" cm="1">
        <f t="array" ref="R72">IF(COUNTIF('Processed Non-zero DMR Data'!$I:$I,$J72)&gt;0,MEDIAN(IF('Processed Non-zero DMR Data'!$I:$I=J72,'Processed Non-zero DMR Data'!$W:$W)),"N/A - Facility Does Not Report DMRs")</f>
        <v>2.9215658000000002</v>
      </c>
      <c r="S72" s="10">
        <f t="shared" si="36"/>
        <v>8.3473308571428585E-3</v>
      </c>
      <c r="T72" s="10">
        <f>IF(COUNTIF('Processed Non-zero DMR Data'!$I:$I,$J72)&gt;0,_xlfn.MAXIFS('Processed Non-zero DMR Data'!$W:$W,'Processed Non-zero DMR Data'!$I:$I,$J72), "N/A - Facility Does Not Report DMRs")</f>
        <v>5.10975</v>
      </c>
      <c r="U72" s="10">
        <f t="shared" si="37"/>
        <v>1.4599285714285714E-2</v>
      </c>
      <c r="V72" s="158" cm="1">
        <f t="array" ref="V72">IF(COUNTIF('Processed Non-zero DMR Data'!$I:$I,$J72)&gt;0,INDEX('Processed Non-zero DMR Data'!$A:$A,MATCH(1,($J72='Processed Non-zero DMR Data'!$I:$I)*($T72='Processed Non-zero DMR Data'!$W:$W),0)), "N/A - Facility Does Not Report DMRs")</f>
        <v>2023</v>
      </c>
      <c r="W72" s="17" t="str" cm="1">
        <f t="array" ref="W72">IFERROR(_xlfn.XLOOKUP(1,  (MAX(IF(I72 = 'Processed Non-zero TRI Data'!$I$2:$I$6,'Processed Non-zero TRI Data'!$A$2:$A$6)) = 'Processed Non-zero TRI Data'!$A$2:$A$6)*('Processed Non-zero TRI Data'!$I$2:$I$6 = I72), 'Processed Non-zero TRI Data'!$T$2:$T$6), "N/A- Facility Does Not Report to TRI")</f>
        <v>N/A- Facility Does Not Report to TRI</v>
      </c>
      <c r="X72" s="10" t="str">
        <f t="shared" si="38"/>
        <v>N/A - Facility Does Not Report to TRI</v>
      </c>
      <c r="Y72" s="10" t="str" cm="1">
        <f t="array" ref="Y72">IF(COUNTIF('Processed Non-zero TRI Data'!$I:$I,$I72)&gt;0,MEDIAN(IF('Processed Non-zero TRI Data'!$I:$I=I72,'Processed Non-zero TRI Data'!$T:$T)), "N/A - Facility Does Not Report to TRI")</f>
        <v>N/A - Facility Does Not Report to TRI</v>
      </c>
      <c r="Z72" s="10" t="str">
        <f t="shared" si="39"/>
        <v>N/A - Facility Does Not Report to TRI</v>
      </c>
      <c r="AA72" s="10" t="str">
        <f>IF(COUNTIF('Processed Non-zero TRI Data'!$I:$I,$I72)&gt;0,_xlfn.MAXIFS('Processed Non-zero TRI Data'!$T:$T,'Processed Non-zero TRI Data'!$I:$I,$I72), "N/A - Facility Does Not Report to TRI")</f>
        <v>N/A - Facility Does Not Report to TRI</v>
      </c>
      <c r="AB72" s="10" t="str">
        <f t="shared" si="40"/>
        <v>N/A - Facility Does Not Report to TRI</v>
      </c>
      <c r="AC72" s="158" t="str" cm="1">
        <f t="array" ref="AC72">IFERROR(IF(B72 = "TRI Form R", IF(AA72 = 0, "Facility has no on-site water discharges between 2017-2022.",  IF(COUNTIF('Processed Non-zero TRI Data'!$I:$I,$I72)&gt;0,INDEX('Processed Non-zero TRI Data'!$A:$A,MATCH(1,($I72='Processed Non-zero TRI Data'!$I:$I)*(AA72='Processed Non-zero TRI Data'!$T:$T),0)))), VLOOKUP(I72,#REF!, 2, FALSE)), ("N/A - Facility Does Not Report to TRI"))</f>
        <v>N/A - Facility Does Not Report to TRI</v>
      </c>
      <c r="AD72" s="97" t="str" cm="1">
        <f t="array" ref="AD72">IFERROR(_xlfn.XLOOKUP(1,  (MAX(IF(I72 = 'Processed Non-zero TRI Data'!$I$2:$I$6,'Processed Non-zero TRI Data'!$A$2:$A$6)) = 'Processed Non-zero TRI Data'!$A$2:$A$6)*('Processed Non-zero TRI Data'!$I$2:$I$6 = I72), 'Processed Non-zero TRI Data'!$V$2:$V$6), "N/A- Facility Does Not Report to TRI")</f>
        <v>N/A- Facility Does Not Report to TRI</v>
      </c>
      <c r="AE72" s="9" t="str">
        <f t="shared" si="41"/>
        <v>N/A - Facility Does Not Report to TRI</v>
      </c>
      <c r="AF72" s="9" t="str" cm="1">
        <f t="array" ref="AF72">IF(COUNTIF('Processed Non-zero TRI Data'!$I:$I,$I72)&gt;0,MEDIAN(IF('Processed Non-zero TRI Data'!$I:$I=I72,'Processed Non-zero TRI Data'!$V:$V)), "N/A - Facility Does Not Report to TRI")</f>
        <v>N/A - Facility Does Not Report to TRI</v>
      </c>
      <c r="AG72" s="9" t="str">
        <f t="shared" si="42"/>
        <v>N/A - Facility Does Not Report to TRI</v>
      </c>
      <c r="AH72" s="9" t="str">
        <f>IF(COUNTIF('Processed Non-zero TRI Data'!$I:$I,$I72)&gt;0,_xlfn.MAXIFS('Processed Non-zero TRI Data'!$V:$V,'Processed Non-zero TRI Data'!$I:$I,$I72), "N/A - Facility Does Not Report to TRI")</f>
        <v>N/A - Facility Does Not Report to TRI</v>
      </c>
      <c r="AI72" s="9" t="str">
        <f t="shared" si="43"/>
        <v>N/A - Facility Does Not Report to TRI</v>
      </c>
      <c r="AJ72" s="158" t="str" cm="1">
        <f t="array" ref="AJ72">IF(B72="TRI Form A",AC72,IF(AH72=0,"Facility has no transfers to POTWs between 2019-2023.",IF(COUNTIF('Processed Non-zero TRI Data'!$I:$I,$I72)&gt;0,INDEX('Processed Non-zero TRI Data'!$A:$A,MATCH(1,($I72='Processed Non-zero TRI Data'!$I:$I)*(AH72='Processed Non-zero TRI Data'!$V:$V),0)),"N/A - Facility Does Not Report to TRI")))</f>
        <v>N/A - Facility Does Not Report to TRI</v>
      </c>
      <c r="AK72" s="97" t="str" cm="1">
        <f t="array" ref="AK72">IFERROR(_xlfn.XLOOKUP(1,  (MAX(IF(I72 = 'Processed Non-zero TRI Data'!$I$2:$I$6,'Processed Non-zero TRI Data'!$A$2:$A$6)) = 'Processed Non-zero TRI Data'!$A$2:$A$6)*('Processed Non-zero TRI Data'!$I$2:$I$6 = I72), 'Processed Non-zero TRI Data'!$X$2:$X$6), "N/A- Facility Does Not Report to TRI")</f>
        <v>N/A- Facility Does Not Report to TRI</v>
      </c>
      <c r="AL72" s="9" t="str">
        <f t="shared" si="44"/>
        <v>N/A - Facility Does Not Report to TRI</v>
      </c>
      <c r="AM72" s="9" t="str" cm="1">
        <f t="array" ref="AM72">IF(COUNTIF('Processed Non-zero TRI Data'!$I:$I,$I72)&gt;0,MEDIAN(IF('Processed Non-zero TRI Data'!$I:$I=I72,'Processed Non-zero TRI Data'!$X:$X)), "N/A - Facility Does Not Report to TRI")</f>
        <v>N/A - Facility Does Not Report to TRI</v>
      </c>
      <c r="AN72" s="9" t="str">
        <f t="shared" si="45"/>
        <v>N/A - Facility Does Not Report to TRI</v>
      </c>
      <c r="AO72" s="9" t="str">
        <f>IF(COUNTIF('Processed Non-zero TRI Data'!$I:$I,$I72)&gt;0,_xlfn.MAXIFS('Processed Non-zero TRI Data'!$X:$X,'Processed Non-zero TRI Data'!$I:$I,$I72), "N/A - Facility Does Not Report to TRI")</f>
        <v>N/A - Facility Does Not Report to TRI</v>
      </c>
      <c r="AP72" s="9" t="str">
        <f t="shared" si="46"/>
        <v>N/A - Facility Does Not Report to TRI</v>
      </c>
      <c r="AQ72" s="251" t="str" cm="1">
        <f t="array" ref="AQ72">IF(B72="TRI Form A",AC72,IF(AO72=0,"Facility has no transfers to non-POTWs between 2019-2023.",IF(COUNTIF('Processed Non-zero TRI Data'!$I:$I,$I72)&gt;0,INDEX('Processed Non-zero TRI Data'!$A:$A,MATCH(1,($I72='Processed Non-zero TRI Data'!$I:$I)*(AO72='Processed Non-zero TRI Data'!$X:$X),0)),"N/A - Facility Does Not Report to TRI")))</f>
        <v>N/A - Facility Does Not Report to TRI</v>
      </c>
      <c r="AR72" s="260">
        <f t="shared" si="47"/>
        <v>0</v>
      </c>
      <c r="AS72" s="260">
        <f t="shared" si="48"/>
        <v>5.10975</v>
      </c>
    </row>
    <row r="73" spans="1:45" ht="30" x14ac:dyDescent="0.25">
      <c r="A73" s="12">
        <v>70</v>
      </c>
      <c r="B73" s="10" t="str">
        <f>IFERROR("TRI Form "&amp; VLOOKUP(I73, 'Processed Non-zero TRI Data'!$I$2:$K$6, 3, FALSE), "DMR")</f>
        <v>DMR</v>
      </c>
      <c r="C73" s="181" t="e">
        <f>VLOOKUP(D73,#REF!, 2, FALSE)</f>
        <v>#REF!</v>
      </c>
      <c r="D73" s="181" t="str">
        <f>IF(I73&lt;&gt;"",INDEX('Processed Non-zero TRI Data'!$O:$O,MATCH(I73,'Processed Non-zero TRI Data'!$I:$I,0)),INDEX('Processed Non-zero DMR Data'!$S:$S,MATCH(J73,'Processed Non-zero DMR Data'!$I:$I,0)))</f>
        <v>Processing as a reactant</v>
      </c>
      <c r="E73" s="181" t="str">
        <f>IF(I73&lt;&gt;"",INDEX('Processed Non-zero TRI Data'!$P:$P,MATCH(I73,'Processed Non-zero TRI Data'!$I:$I,0)),INDEX('Processed Non-zero DMR Data'!$T:$T,MATCH(J73,'Processed Non-zero DMR Data'!$I:$I,0)))</f>
        <v>Chemical manufacturer; assumed processing as a reactant.</v>
      </c>
      <c r="F73" s="9" t="str">
        <f>_xlfn.XLOOKUP(J73, 'Processed Non-zero DMR Data'!I:I, 'Processed Non-zero DMR Data'!B:B)</f>
        <v>SASOL CHEM USA LLC/OIL CITY</v>
      </c>
      <c r="G73" s="9" t="str">
        <f>_xlfn.XLOOKUP(J73, 'Processed Non-zero DMR Data'!I:I, 'Processed Non-zero DMR Data'!C:C)</f>
        <v>OIL CITY</v>
      </c>
      <c r="H73" s="9" t="str">
        <f>_xlfn.XLOOKUP(J73, 'Processed Non-zero DMR Data'!I:I, 'Processed Non-zero DMR Data'!E:E)</f>
        <v>PA</v>
      </c>
      <c r="I73" s="12"/>
      <c r="J73" s="13">
        <v>110008476327</v>
      </c>
      <c r="K73" s="9" t="str">
        <f>IFERROR(INDEX('Raw Non-zero DMR Data'!$C:$C, MATCH(J73,'Raw Non-zero DMR Data'!$D:$D,0)),"")</f>
        <v>PA0103381</v>
      </c>
      <c r="L73" s="9" t="str">
        <f>IFERROR(INDEX('Raw Non-zero DMR Data'!$U:$U, MATCH($J73,'Raw Non-zero DMR Data'!$D:$D,0)),"")</f>
        <v>Oil Creek-Allegheny River</v>
      </c>
      <c r="M73" s="155" t="str">
        <f>IFERROR(INDEX('Raw Non-zero DMR Data'!$T:$T, MATCH($J73,'Raw Non-zero DMR Data'!$D:$D,0)),"")</f>
        <v>050100030606</v>
      </c>
      <c r="N73" s="155" t="str">
        <f>IFERROR(INDEX('Off-site Locations'!$E:$E,MATCH(I73,'Off-site Locations'!$B:$B,0)),"No offsite transfers")</f>
        <v>No offsite transfers</v>
      </c>
      <c r="O73" s="165">
        <f>INDEX('TRI and DMR OES Summary'!D:D,MATCH('Facility Discharge Summary'!D73,'TRI and DMR OES Summary'!A:A,0))</f>
        <v>350</v>
      </c>
      <c r="P73" s="17" cm="1">
        <f t="array" ref="P73">IFERROR(_xlfn.XLOOKUP(1,  (MAX(IF(J73 = 'Processed Non-zero DMR Data'!$I$2:$I$651,'Processed Non-zero DMR Data'!$A$2:$A$651)) = 'Processed Non-zero DMR Data'!$A$2:$A$651)*('Processed Non-zero DMR Data'!$I$2:$I$651 = J73),'Processed Non-zero DMR Data'!$W$2:$W$651), "N/A- Facility Does Not Report DMRs")</f>
        <v>1.6570999999999999E-3</v>
      </c>
      <c r="Q73" s="10">
        <f t="shared" si="35"/>
        <v>4.7345714285714284E-6</v>
      </c>
      <c r="R73" s="10" cm="1">
        <f t="array" ref="R73">IF(COUNTIF('Processed Non-zero DMR Data'!$I:$I,$J73)&gt;0,MEDIAN(IF('Processed Non-zero DMR Data'!$I:$I=J73,'Processed Non-zero DMR Data'!$W:$W)),"N/A - Facility Does Not Report DMRs")</f>
        <v>3.3141999999999998E-3</v>
      </c>
      <c r="S73" s="10">
        <f t="shared" si="36"/>
        <v>9.4691428571428568E-6</v>
      </c>
      <c r="T73" s="10">
        <f>IF(COUNTIF('Processed Non-zero DMR Data'!$I:$I,$J73)&gt;0,_xlfn.MAXIFS('Processed Non-zero DMR Data'!$W:$W,'Processed Non-zero DMR Data'!$I:$I,$J73), "N/A - Facility Does Not Report DMRs")</f>
        <v>1.077115E-2</v>
      </c>
      <c r="U73" s="10">
        <f t="shared" si="37"/>
        <v>3.0774714285714283E-5</v>
      </c>
      <c r="V73" s="158" cm="1">
        <f t="array" ref="V73">IF(COUNTIF('Processed Non-zero DMR Data'!$I:$I,$J73)&gt;0,INDEX('Processed Non-zero DMR Data'!$A:$A,MATCH(1,($J73='Processed Non-zero DMR Data'!$I:$I)*($T73='Processed Non-zero DMR Data'!$W:$W),0)), "N/A - Facility Does Not Report DMRs")</f>
        <v>2021</v>
      </c>
      <c r="W73" s="17" t="str" cm="1">
        <f t="array" ref="W73">IFERROR(_xlfn.XLOOKUP(1,  (MAX(IF(I73 = 'Processed Non-zero TRI Data'!$I$2:$I$6,'Processed Non-zero TRI Data'!$A$2:$A$6)) = 'Processed Non-zero TRI Data'!$A$2:$A$6)*('Processed Non-zero TRI Data'!$I$2:$I$6 = I73), 'Processed Non-zero TRI Data'!$T$2:$T$6), "N/A- Facility Does Not Report to TRI")</f>
        <v>N/A- Facility Does Not Report to TRI</v>
      </c>
      <c r="X73" s="10" t="str">
        <f t="shared" si="38"/>
        <v>N/A - Facility Does Not Report to TRI</v>
      </c>
      <c r="Y73" s="10" t="str" cm="1">
        <f t="array" ref="Y73">IF(COUNTIF('Processed Non-zero TRI Data'!$I:$I,$I73)&gt;0,MEDIAN(IF('Processed Non-zero TRI Data'!$I:$I=I73,'Processed Non-zero TRI Data'!$T:$T)), "N/A - Facility Does Not Report to TRI")</f>
        <v>N/A - Facility Does Not Report to TRI</v>
      </c>
      <c r="Z73" s="10" t="str">
        <f t="shared" si="39"/>
        <v>N/A - Facility Does Not Report to TRI</v>
      </c>
      <c r="AA73" s="10" t="str">
        <f>IF(COUNTIF('Processed Non-zero TRI Data'!$I:$I,$I73)&gt;0,_xlfn.MAXIFS('Processed Non-zero TRI Data'!$T:$T,'Processed Non-zero TRI Data'!$I:$I,$I73), "N/A - Facility Does Not Report to TRI")</f>
        <v>N/A - Facility Does Not Report to TRI</v>
      </c>
      <c r="AB73" s="10" t="str">
        <f t="shared" si="40"/>
        <v>N/A - Facility Does Not Report to TRI</v>
      </c>
      <c r="AC73" s="158" t="str" cm="1">
        <f t="array" ref="AC73">IFERROR(IF(B73 = "TRI Form R", IF(AA73 = 0, "Facility has no on-site water discharges between 2017-2022.",  IF(COUNTIF('Processed Non-zero TRI Data'!$I:$I,$I73)&gt;0,INDEX('Processed Non-zero TRI Data'!$A:$A,MATCH(1,($I73='Processed Non-zero TRI Data'!$I:$I)*(AA73='Processed Non-zero TRI Data'!$T:$T),0)))), VLOOKUP(I73,#REF!, 2, FALSE)), ("N/A - Facility Does Not Report to TRI"))</f>
        <v>N/A - Facility Does Not Report to TRI</v>
      </c>
      <c r="AD73" s="97" t="str" cm="1">
        <f t="array" ref="AD73">IFERROR(_xlfn.XLOOKUP(1,  (MAX(IF(I73 = 'Processed Non-zero TRI Data'!$I$2:$I$6,'Processed Non-zero TRI Data'!$A$2:$A$6)) = 'Processed Non-zero TRI Data'!$A$2:$A$6)*('Processed Non-zero TRI Data'!$I$2:$I$6 = I73), 'Processed Non-zero TRI Data'!$V$2:$V$6), "N/A- Facility Does Not Report to TRI")</f>
        <v>N/A- Facility Does Not Report to TRI</v>
      </c>
      <c r="AE73" s="9" t="str">
        <f t="shared" si="41"/>
        <v>N/A - Facility Does Not Report to TRI</v>
      </c>
      <c r="AF73" s="9" t="str" cm="1">
        <f t="array" ref="AF73">IF(COUNTIF('Processed Non-zero TRI Data'!$I:$I,$I73)&gt;0,MEDIAN(IF('Processed Non-zero TRI Data'!$I:$I=I73,'Processed Non-zero TRI Data'!$V:$V)), "N/A - Facility Does Not Report to TRI")</f>
        <v>N/A - Facility Does Not Report to TRI</v>
      </c>
      <c r="AG73" s="9" t="str">
        <f t="shared" si="42"/>
        <v>N/A - Facility Does Not Report to TRI</v>
      </c>
      <c r="AH73" s="9" t="str">
        <f>IF(COUNTIF('Processed Non-zero TRI Data'!$I:$I,$I73)&gt;0,_xlfn.MAXIFS('Processed Non-zero TRI Data'!$V:$V,'Processed Non-zero TRI Data'!$I:$I,$I73), "N/A - Facility Does Not Report to TRI")</f>
        <v>N/A - Facility Does Not Report to TRI</v>
      </c>
      <c r="AI73" s="9" t="str">
        <f t="shared" si="43"/>
        <v>N/A - Facility Does Not Report to TRI</v>
      </c>
      <c r="AJ73" s="158" t="str" cm="1">
        <f t="array" ref="AJ73">IF(B73="TRI Form A",AC73,IF(AH73=0,"Facility has no transfers to POTWs between 2019-2023.",IF(COUNTIF('Processed Non-zero TRI Data'!$I:$I,$I73)&gt;0,INDEX('Processed Non-zero TRI Data'!$A:$A,MATCH(1,($I73='Processed Non-zero TRI Data'!$I:$I)*(AH73='Processed Non-zero TRI Data'!$V:$V),0)),"N/A - Facility Does Not Report to TRI")))</f>
        <v>N/A - Facility Does Not Report to TRI</v>
      </c>
      <c r="AK73" s="97" t="str" cm="1">
        <f t="array" ref="AK73">IFERROR(_xlfn.XLOOKUP(1,  (MAX(IF(I73 = 'Processed Non-zero TRI Data'!$I$2:$I$6,'Processed Non-zero TRI Data'!$A$2:$A$6)) = 'Processed Non-zero TRI Data'!$A$2:$A$6)*('Processed Non-zero TRI Data'!$I$2:$I$6 = I73), 'Processed Non-zero TRI Data'!$X$2:$X$6), "N/A- Facility Does Not Report to TRI")</f>
        <v>N/A- Facility Does Not Report to TRI</v>
      </c>
      <c r="AL73" s="9" t="str">
        <f t="shared" si="44"/>
        <v>N/A - Facility Does Not Report to TRI</v>
      </c>
      <c r="AM73" s="9" t="str" cm="1">
        <f t="array" ref="AM73">IF(COUNTIF('Processed Non-zero TRI Data'!$I:$I,$I73)&gt;0,MEDIAN(IF('Processed Non-zero TRI Data'!$I:$I=I73,'Processed Non-zero TRI Data'!$X:$X)), "N/A - Facility Does Not Report to TRI")</f>
        <v>N/A - Facility Does Not Report to TRI</v>
      </c>
      <c r="AN73" s="9" t="str">
        <f t="shared" si="45"/>
        <v>N/A - Facility Does Not Report to TRI</v>
      </c>
      <c r="AO73" s="9" t="str">
        <f>IF(COUNTIF('Processed Non-zero TRI Data'!$I:$I,$I73)&gt;0,_xlfn.MAXIFS('Processed Non-zero TRI Data'!$X:$X,'Processed Non-zero TRI Data'!$I:$I,$I73), "N/A - Facility Does Not Report to TRI")</f>
        <v>N/A - Facility Does Not Report to TRI</v>
      </c>
      <c r="AP73" s="9" t="str">
        <f t="shared" si="46"/>
        <v>N/A - Facility Does Not Report to TRI</v>
      </c>
      <c r="AQ73" s="251" t="str" cm="1">
        <f t="array" ref="AQ73">IF(B73="TRI Form A",AC73,IF(AO73=0,"Facility has no transfers to non-POTWs between 2019-2023.",IF(COUNTIF('Processed Non-zero TRI Data'!$I:$I,$I73)&gt;0,INDEX('Processed Non-zero TRI Data'!$A:$A,MATCH(1,($I73='Processed Non-zero TRI Data'!$I:$I)*(AO73='Processed Non-zero TRI Data'!$X:$X),0)),"N/A - Facility Does Not Report to TRI")))</f>
        <v>N/A - Facility Does Not Report to TRI</v>
      </c>
      <c r="AR73" s="260">
        <f t="shared" si="47"/>
        <v>0</v>
      </c>
      <c r="AS73" s="260">
        <f t="shared" si="48"/>
        <v>1.077115E-2</v>
      </c>
    </row>
    <row r="74" spans="1:45" ht="30" x14ac:dyDescent="0.25">
      <c r="A74" s="12">
        <v>71</v>
      </c>
      <c r="B74" s="10" t="str">
        <f>IFERROR("TRI Form "&amp; VLOOKUP(I74, 'Processed Non-zero TRI Data'!$I$2:$K$6, 3, FALSE), "DMR")</f>
        <v>DMR</v>
      </c>
      <c r="C74" s="181" t="e">
        <f>VLOOKUP(D74,#REF!, 2, FALSE)</f>
        <v>#REF!</v>
      </c>
      <c r="D74" s="181" t="str">
        <f>IF(I74&lt;&gt;"",INDEX('Processed Non-zero TRI Data'!$O:$O,MATCH(I74,'Processed Non-zero TRI Data'!$I:$I,0)),INDEX('Processed Non-zero DMR Data'!$S:$S,MATCH(J74,'Processed Non-zero DMR Data'!$I:$I,0)))</f>
        <v>Waste Handling, Disposal and Treatment (POTW)</v>
      </c>
      <c r="E74" s="181" t="str">
        <f>IF(I74&lt;&gt;"",INDEX('Processed Non-zero TRI Data'!$P:$P,MATCH(I74,'Processed Non-zero TRI Data'!$I:$I,0)),INDEX('Processed Non-zero DMR Data'!$T:$T,MATCH(J74,'Processed Non-zero DMR Data'!$I:$I,0)))</f>
        <v>POTW indicator in DMR</v>
      </c>
      <c r="F74" s="9" t="str">
        <f>_xlfn.XLOOKUP(J74, 'Processed Non-zero DMR Data'!I:I, 'Processed Non-zero DMR Data'!B:B)</f>
        <v>VICTOR VALLEY WASTE WATER RA</v>
      </c>
      <c r="G74" s="9" t="str">
        <f>_xlfn.XLOOKUP(J74, 'Processed Non-zero DMR Data'!I:I, 'Processed Non-zero DMR Data'!C:C)</f>
        <v>VICTORVILLE</v>
      </c>
      <c r="H74" s="9" t="str">
        <f>_xlfn.XLOOKUP(J74, 'Processed Non-zero DMR Data'!I:I, 'Processed Non-zero DMR Data'!E:E)</f>
        <v>CA</v>
      </c>
      <c r="I74" s="12"/>
      <c r="J74" s="13">
        <v>110000517637</v>
      </c>
      <c r="K74" s="9" t="str">
        <f>IFERROR(INDEX('Raw Non-zero DMR Data'!$C:$C, MATCH(J74,'Raw Non-zero DMR Data'!$D:$D,0)),"")</f>
        <v>CA0102822</v>
      </c>
      <c r="L74" s="9" t="str">
        <f>IFERROR(INDEX('Raw Non-zero DMR Data'!$U:$U, MATCH($J74,'Raw Non-zero DMR Data'!$D:$D,0)),"")</f>
        <v>Burkhardt Lake-Mojave River</v>
      </c>
      <c r="M74" s="155">
        <f>IFERROR(INDEX('Raw Non-zero DMR Data'!$T:$T, MATCH($J74,'Raw Non-zero DMR Data'!$D:$D,0)),"")</f>
        <v>180902080706</v>
      </c>
      <c r="N74" s="155" t="str">
        <f>IFERROR(INDEX('Off-site Locations'!$E:$E,MATCH(I74,'Off-site Locations'!$B:$B,0)),"No offsite transfers")</f>
        <v>No offsite transfers</v>
      </c>
      <c r="O74" s="165">
        <f>INDEX('TRI and DMR OES Summary'!D:D,MATCH('Facility Discharge Summary'!D74,'TRI and DMR OES Summary'!A:A,0))</f>
        <v>365</v>
      </c>
      <c r="P74" s="17" cm="1">
        <f t="array" ref="P74">IFERROR(_xlfn.XLOOKUP(1,  (MAX(IF(J74 = 'Processed Non-zero DMR Data'!$I$2:$I$651,'Processed Non-zero DMR Data'!$A$2:$A$651)) = 'Processed Non-zero DMR Data'!$A$2:$A$651)*('Processed Non-zero DMR Data'!$I$2:$I$651 = J74),'Processed Non-zero DMR Data'!$W$2:$W$651), "N/A- Facility Does Not Report DMRs")</f>
        <v>0.49044137500000001</v>
      </c>
      <c r="Q74" s="10">
        <f t="shared" si="35"/>
        <v>1.3436750000000001E-3</v>
      </c>
      <c r="R74" s="10" cm="1">
        <f t="array" ref="R74">IF(COUNTIF('Processed Non-zero DMR Data'!$I:$I,$J74)&gt;0,MEDIAN(IF('Processed Non-zero DMR Data'!$I:$I=J74,'Processed Non-zero DMR Data'!$W:$W)),"N/A - Facility Does Not Report DMRs")</f>
        <v>0.49044137500000001</v>
      </c>
      <c r="S74" s="10">
        <f t="shared" si="36"/>
        <v>1.3436750000000001E-3</v>
      </c>
      <c r="T74" s="10">
        <f>IF(COUNTIF('Processed Non-zero DMR Data'!$I:$I,$J74)&gt;0,_xlfn.MAXIFS('Processed Non-zero DMR Data'!$W:$W,'Processed Non-zero DMR Data'!$I:$I,$J74), "N/A - Facility Does Not Report DMRs")</f>
        <v>0.49044137500000001</v>
      </c>
      <c r="U74" s="10">
        <f t="shared" si="37"/>
        <v>1.3436750000000001E-3</v>
      </c>
      <c r="V74" s="158" cm="1">
        <f t="array" ref="V74">IF(COUNTIF('Processed Non-zero DMR Data'!$I:$I,$J74)&gt;0,INDEX('Processed Non-zero DMR Data'!$A:$A,MATCH(1,($J74='Processed Non-zero DMR Data'!$I:$I)*($T74='Processed Non-zero DMR Data'!$W:$W),0)), "N/A - Facility Does Not Report DMRs")</f>
        <v>2019</v>
      </c>
      <c r="W74" s="17" t="str" cm="1">
        <f t="array" ref="W74">IFERROR(_xlfn.XLOOKUP(1,  (MAX(IF(I74 = 'Processed Non-zero TRI Data'!$I$2:$I$6,'Processed Non-zero TRI Data'!$A$2:$A$6)) = 'Processed Non-zero TRI Data'!$A$2:$A$6)*('Processed Non-zero TRI Data'!$I$2:$I$6 = I74), 'Processed Non-zero TRI Data'!$T$2:$T$6), "N/A- Facility Does Not Report to TRI")</f>
        <v>N/A- Facility Does Not Report to TRI</v>
      </c>
      <c r="X74" s="10" t="str">
        <f t="shared" si="38"/>
        <v>N/A - Facility Does Not Report to TRI</v>
      </c>
      <c r="Y74" s="10" t="str" cm="1">
        <f t="array" ref="Y74">IF(COUNTIF('Processed Non-zero TRI Data'!$I:$I,$I74)&gt;0,MEDIAN(IF('Processed Non-zero TRI Data'!$I:$I=I74,'Processed Non-zero TRI Data'!$T:$T)), "N/A - Facility Does Not Report to TRI")</f>
        <v>N/A - Facility Does Not Report to TRI</v>
      </c>
      <c r="Z74" s="10" t="str">
        <f t="shared" si="39"/>
        <v>N/A - Facility Does Not Report to TRI</v>
      </c>
      <c r="AA74" s="10" t="str">
        <f>IF(COUNTIF('Processed Non-zero TRI Data'!$I:$I,$I74)&gt;0,_xlfn.MAXIFS('Processed Non-zero TRI Data'!$T:$T,'Processed Non-zero TRI Data'!$I:$I,$I74), "N/A - Facility Does Not Report to TRI")</f>
        <v>N/A - Facility Does Not Report to TRI</v>
      </c>
      <c r="AB74" s="10" t="str">
        <f t="shared" si="40"/>
        <v>N/A - Facility Does Not Report to TRI</v>
      </c>
      <c r="AC74" s="158" t="str" cm="1">
        <f t="array" ref="AC74">IFERROR(IF(B74 = "TRI Form R", IF(AA74 = 0, "Facility has no on-site water discharges between 2017-2022.",  IF(COUNTIF('Processed Non-zero TRI Data'!$I:$I,$I74)&gt;0,INDEX('Processed Non-zero TRI Data'!$A:$A,MATCH(1,($I74='Processed Non-zero TRI Data'!$I:$I)*(AA74='Processed Non-zero TRI Data'!$T:$T),0)))), VLOOKUP(I74,#REF!, 2, FALSE)), ("N/A - Facility Does Not Report to TRI"))</f>
        <v>N/A - Facility Does Not Report to TRI</v>
      </c>
      <c r="AD74" s="97" t="str" cm="1">
        <f t="array" ref="AD74">IFERROR(_xlfn.XLOOKUP(1,  (MAX(IF(I74 = 'Processed Non-zero TRI Data'!$I$2:$I$6,'Processed Non-zero TRI Data'!$A$2:$A$6)) = 'Processed Non-zero TRI Data'!$A$2:$A$6)*('Processed Non-zero TRI Data'!$I$2:$I$6 = I74), 'Processed Non-zero TRI Data'!$V$2:$V$6), "N/A- Facility Does Not Report to TRI")</f>
        <v>N/A- Facility Does Not Report to TRI</v>
      </c>
      <c r="AE74" s="9" t="str">
        <f t="shared" si="41"/>
        <v>N/A - Facility Does Not Report to TRI</v>
      </c>
      <c r="AF74" s="9" t="str" cm="1">
        <f t="array" ref="AF74">IF(COUNTIF('Processed Non-zero TRI Data'!$I:$I,$I74)&gt;0,MEDIAN(IF('Processed Non-zero TRI Data'!$I:$I=I74,'Processed Non-zero TRI Data'!$V:$V)), "N/A - Facility Does Not Report to TRI")</f>
        <v>N/A - Facility Does Not Report to TRI</v>
      </c>
      <c r="AG74" s="9" t="str">
        <f t="shared" si="42"/>
        <v>N/A - Facility Does Not Report to TRI</v>
      </c>
      <c r="AH74" s="9" t="str">
        <f>IF(COUNTIF('Processed Non-zero TRI Data'!$I:$I,$I74)&gt;0,_xlfn.MAXIFS('Processed Non-zero TRI Data'!$V:$V,'Processed Non-zero TRI Data'!$I:$I,$I74), "N/A - Facility Does Not Report to TRI")</f>
        <v>N/A - Facility Does Not Report to TRI</v>
      </c>
      <c r="AI74" s="9" t="str">
        <f t="shared" si="43"/>
        <v>N/A - Facility Does Not Report to TRI</v>
      </c>
      <c r="AJ74" s="158" t="str" cm="1">
        <f t="array" ref="AJ74">IF(B74="TRI Form A",AC74,IF(AH74=0,"Facility has no transfers to POTWs between 2019-2023.",IF(COUNTIF('Processed Non-zero TRI Data'!$I:$I,$I74)&gt;0,INDEX('Processed Non-zero TRI Data'!$A:$A,MATCH(1,($I74='Processed Non-zero TRI Data'!$I:$I)*(AH74='Processed Non-zero TRI Data'!$V:$V),0)),"N/A - Facility Does Not Report to TRI")))</f>
        <v>N/A - Facility Does Not Report to TRI</v>
      </c>
      <c r="AK74" s="97" t="str" cm="1">
        <f t="array" ref="AK74">IFERROR(_xlfn.XLOOKUP(1,  (MAX(IF(I74 = 'Processed Non-zero TRI Data'!$I$2:$I$6,'Processed Non-zero TRI Data'!$A$2:$A$6)) = 'Processed Non-zero TRI Data'!$A$2:$A$6)*('Processed Non-zero TRI Data'!$I$2:$I$6 = I74), 'Processed Non-zero TRI Data'!$X$2:$X$6), "N/A- Facility Does Not Report to TRI")</f>
        <v>N/A- Facility Does Not Report to TRI</v>
      </c>
      <c r="AL74" s="9" t="str">
        <f t="shared" si="44"/>
        <v>N/A - Facility Does Not Report to TRI</v>
      </c>
      <c r="AM74" s="9" t="str" cm="1">
        <f t="array" ref="AM74">IF(COUNTIF('Processed Non-zero TRI Data'!$I:$I,$I74)&gt;0,MEDIAN(IF('Processed Non-zero TRI Data'!$I:$I=I74,'Processed Non-zero TRI Data'!$X:$X)), "N/A - Facility Does Not Report to TRI")</f>
        <v>N/A - Facility Does Not Report to TRI</v>
      </c>
      <c r="AN74" s="9" t="str">
        <f t="shared" si="45"/>
        <v>N/A - Facility Does Not Report to TRI</v>
      </c>
      <c r="AO74" s="9" t="str">
        <f>IF(COUNTIF('Processed Non-zero TRI Data'!$I:$I,$I74)&gt;0,_xlfn.MAXIFS('Processed Non-zero TRI Data'!$X:$X,'Processed Non-zero TRI Data'!$I:$I,$I74), "N/A - Facility Does Not Report to TRI")</f>
        <v>N/A - Facility Does Not Report to TRI</v>
      </c>
      <c r="AP74" s="9" t="str">
        <f t="shared" si="46"/>
        <v>N/A - Facility Does Not Report to TRI</v>
      </c>
      <c r="AQ74" s="251" t="str" cm="1">
        <f t="array" ref="AQ74">IF(B74="TRI Form A",AC74,IF(AO74=0,"Facility has no transfers to non-POTWs between 2019-2023.",IF(COUNTIF('Processed Non-zero TRI Data'!$I:$I,$I74)&gt;0,INDEX('Processed Non-zero TRI Data'!$A:$A,MATCH(1,($I74='Processed Non-zero TRI Data'!$I:$I)*(AO74='Processed Non-zero TRI Data'!$X:$X),0)),"N/A - Facility Does Not Report to TRI")))</f>
        <v>N/A - Facility Does Not Report to TRI</v>
      </c>
      <c r="AR74" s="260">
        <f t="shared" si="47"/>
        <v>0</v>
      </c>
      <c r="AS74" s="260">
        <f t="shared" si="48"/>
        <v>0.49044137500000001</v>
      </c>
    </row>
    <row r="75" spans="1:45" ht="30" x14ac:dyDescent="0.25">
      <c r="A75" s="12">
        <v>72</v>
      </c>
      <c r="B75" s="10" t="str">
        <f>IFERROR("TRI Form "&amp; VLOOKUP(I75, 'Processed Non-zero TRI Data'!$I$2:$K$6, 3, FALSE), "DMR")</f>
        <v>DMR</v>
      </c>
      <c r="C75" s="181" t="e">
        <f>VLOOKUP(D75,#REF!, 2, FALSE)</f>
        <v>#REF!</v>
      </c>
      <c r="D75" s="181" t="str">
        <f>IF(I75&lt;&gt;"",INDEX('Processed Non-zero TRI Data'!$O:$O,MATCH(I75,'Processed Non-zero TRI Data'!$I:$I,0)),INDEX('Processed Non-zero DMR Data'!$S:$S,MATCH(J75,'Processed Non-zero DMR Data'!$I:$I,0)))</f>
        <v>Waste Handling, Disposal and Treatment (POTW)</v>
      </c>
      <c r="E75" s="181" t="str">
        <f>IF(I75&lt;&gt;"",INDEX('Processed Non-zero TRI Data'!$P:$P,MATCH(I75,'Processed Non-zero TRI Data'!$I:$I,0)),INDEX('Processed Non-zero DMR Data'!$T:$T,MATCH(J75,'Processed Non-zero DMR Data'!$I:$I,0)))</f>
        <v>POTW indicator in DMR</v>
      </c>
      <c r="F75" s="9" t="str">
        <f>_xlfn.XLOOKUP(J75, 'Processed Non-zero DMR Data'!I:I, 'Processed Non-zero DMR Data'!B:B)</f>
        <v>ASHLAND WASTEWATER TREATMENT PLANT</v>
      </c>
      <c r="G75" s="9" t="str">
        <f>_xlfn.XLOOKUP(J75, 'Processed Non-zero DMR Data'!I:I, 'Processed Non-zero DMR Data'!C:C)</f>
        <v>ASHLAND</v>
      </c>
      <c r="H75" s="9" t="str">
        <f>_xlfn.XLOOKUP(J75, 'Processed Non-zero DMR Data'!I:I, 'Processed Non-zero DMR Data'!E:E)</f>
        <v>KY</v>
      </c>
      <c r="I75" s="12"/>
      <c r="J75" s="13">
        <v>110000732244</v>
      </c>
      <c r="K75" s="9" t="str">
        <f>IFERROR(INDEX('Raw Non-zero DMR Data'!$C:$C, MATCH(J75,'Raw Non-zero DMR Data'!$D:$D,0)),"")</f>
        <v>KY0022373</v>
      </c>
      <c r="L75" s="9" t="str">
        <f>IFERROR(INDEX('Raw Non-zero DMR Data'!$U:$U, MATCH($J75,'Raw Non-zero DMR Data'!$D:$D,0)),"")</f>
        <v>Solida Creek-Ohio River</v>
      </c>
      <c r="M75" s="155" t="str">
        <f>IFERROR(INDEX('Raw Non-zero DMR Data'!$T:$T, MATCH($J75,'Raw Non-zero DMR Data'!$D:$D,0)),"")</f>
        <v>050901030101</v>
      </c>
      <c r="N75" s="155" t="str">
        <f>IFERROR(INDEX('Off-site Locations'!$E:$E,MATCH(I75,'Off-site Locations'!$B:$B,0)),"No offsite transfers")</f>
        <v>No offsite transfers</v>
      </c>
      <c r="O75" s="165">
        <f>INDEX('TRI and DMR OES Summary'!D:D,MATCH('Facility Discharge Summary'!D75,'TRI and DMR OES Summary'!A:A,0))</f>
        <v>365</v>
      </c>
      <c r="P75" s="17" cm="1">
        <f t="array" ref="P75">IFERROR(_xlfn.XLOOKUP(1,  (MAX(IF(J75 = 'Processed Non-zero DMR Data'!$I$2:$I$651,'Processed Non-zero DMR Data'!$A$2:$A$651)) = 'Processed Non-zero DMR Data'!$A$2:$A$651)*('Processed Non-zero DMR Data'!$I$2:$I$651 = J75),'Processed Non-zero DMR Data'!$W$2:$W$651), "N/A- Facility Does Not Report DMRs")</f>
        <v>24.038535</v>
      </c>
      <c r="Q75" s="10">
        <f t="shared" si="35"/>
        <v>6.5859000000000001E-2</v>
      </c>
      <c r="R75" s="10" cm="1">
        <f t="array" ref="R75">IF(COUNTIF('Processed Non-zero DMR Data'!$I:$I,$J75)&gt;0,MEDIAN(IF('Processed Non-zero DMR Data'!$I:$I=J75,'Processed Non-zero DMR Data'!$W:$W)),"N/A - Facility Does Not Report DMRs")</f>
        <v>24.038535</v>
      </c>
      <c r="S75" s="10">
        <f t="shared" si="36"/>
        <v>6.5859000000000001E-2</v>
      </c>
      <c r="T75" s="10">
        <f>IF(COUNTIF('Processed Non-zero DMR Data'!$I:$I,$J75)&gt;0,_xlfn.MAXIFS('Processed Non-zero DMR Data'!$W:$W,'Processed Non-zero DMR Data'!$I:$I,$J75), "N/A - Facility Does Not Report DMRs")</f>
        <v>24.038535</v>
      </c>
      <c r="U75" s="10">
        <f t="shared" si="37"/>
        <v>6.5859000000000001E-2</v>
      </c>
      <c r="V75" s="158" cm="1">
        <f t="array" ref="V75">IF(COUNTIF('Processed Non-zero DMR Data'!$I:$I,$J75)&gt;0,INDEX('Processed Non-zero DMR Data'!$A:$A,MATCH(1,($J75='Processed Non-zero DMR Data'!$I:$I)*($T75='Processed Non-zero DMR Data'!$W:$W),0)), "N/A - Facility Does Not Report DMRs")</f>
        <v>2019</v>
      </c>
      <c r="W75" s="17" t="str" cm="1">
        <f t="array" ref="W75">IFERROR(_xlfn.XLOOKUP(1,  (MAX(IF(I75 = 'Processed Non-zero TRI Data'!$I$2:$I$6,'Processed Non-zero TRI Data'!$A$2:$A$6)) = 'Processed Non-zero TRI Data'!$A$2:$A$6)*('Processed Non-zero TRI Data'!$I$2:$I$6 = I75), 'Processed Non-zero TRI Data'!$T$2:$T$6), "N/A- Facility Does Not Report to TRI")</f>
        <v>N/A- Facility Does Not Report to TRI</v>
      </c>
      <c r="X75" s="10" t="str">
        <f t="shared" si="38"/>
        <v>N/A - Facility Does Not Report to TRI</v>
      </c>
      <c r="Y75" s="10" t="str" cm="1">
        <f t="array" ref="Y75">IF(COUNTIF('Processed Non-zero TRI Data'!$I:$I,$I75)&gt;0,MEDIAN(IF('Processed Non-zero TRI Data'!$I:$I=I75,'Processed Non-zero TRI Data'!$T:$T)), "N/A - Facility Does Not Report to TRI")</f>
        <v>N/A - Facility Does Not Report to TRI</v>
      </c>
      <c r="Z75" s="10" t="str">
        <f t="shared" si="39"/>
        <v>N/A - Facility Does Not Report to TRI</v>
      </c>
      <c r="AA75" s="10" t="str">
        <f>IF(COUNTIF('Processed Non-zero TRI Data'!$I:$I,$I75)&gt;0,_xlfn.MAXIFS('Processed Non-zero TRI Data'!$T:$T,'Processed Non-zero TRI Data'!$I:$I,$I75), "N/A - Facility Does Not Report to TRI")</f>
        <v>N/A - Facility Does Not Report to TRI</v>
      </c>
      <c r="AB75" s="10" t="str">
        <f t="shared" si="40"/>
        <v>N/A - Facility Does Not Report to TRI</v>
      </c>
      <c r="AC75" s="158" t="str" cm="1">
        <f t="array" ref="AC75">IFERROR(IF(B75 = "TRI Form R", IF(AA75 = 0, "Facility has no on-site water discharges between 2017-2022.",  IF(COUNTIF('Processed Non-zero TRI Data'!$I:$I,$I75)&gt;0,INDEX('Processed Non-zero TRI Data'!$A:$A,MATCH(1,($I75='Processed Non-zero TRI Data'!$I:$I)*(AA75='Processed Non-zero TRI Data'!$T:$T),0)))), VLOOKUP(I75,#REF!, 2, FALSE)), ("N/A - Facility Does Not Report to TRI"))</f>
        <v>N/A - Facility Does Not Report to TRI</v>
      </c>
      <c r="AD75" s="97" t="str" cm="1">
        <f t="array" ref="AD75">IFERROR(_xlfn.XLOOKUP(1,  (MAX(IF(I75 = 'Processed Non-zero TRI Data'!$I$2:$I$6,'Processed Non-zero TRI Data'!$A$2:$A$6)) = 'Processed Non-zero TRI Data'!$A$2:$A$6)*('Processed Non-zero TRI Data'!$I$2:$I$6 = I75), 'Processed Non-zero TRI Data'!$V$2:$V$6), "N/A- Facility Does Not Report to TRI")</f>
        <v>N/A- Facility Does Not Report to TRI</v>
      </c>
      <c r="AE75" s="9" t="str">
        <f t="shared" si="41"/>
        <v>N/A - Facility Does Not Report to TRI</v>
      </c>
      <c r="AF75" s="9" t="str" cm="1">
        <f t="array" ref="AF75">IF(COUNTIF('Processed Non-zero TRI Data'!$I:$I,$I75)&gt;0,MEDIAN(IF('Processed Non-zero TRI Data'!$I:$I=I75,'Processed Non-zero TRI Data'!$V:$V)), "N/A - Facility Does Not Report to TRI")</f>
        <v>N/A - Facility Does Not Report to TRI</v>
      </c>
      <c r="AG75" s="9" t="str">
        <f t="shared" si="42"/>
        <v>N/A - Facility Does Not Report to TRI</v>
      </c>
      <c r="AH75" s="9" t="str">
        <f>IF(COUNTIF('Processed Non-zero TRI Data'!$I:$I,$I75)&gt;0,_xlfn.MAXIFS('Processed Non-zero TRI Data'!$V:$V,'Processed Non-zero TRI Data'!$I:$I,$I75), "N/A - Facility Does Not Report to TRI")</f>
        <v>N/A - Facility Does Not Report to TRI</v>
      </c>
      <c r="AI75" s="9" t="str">
        <f t="shared" si="43"/>
        <v>N/A - Facility Does Not Report to TRI</v>
      </c>
      <c r="AJ75" s="158" t="str" cm="1">
        <f t="array" ref="AJ75">IF(B75="TRI Form A",AC75,IF(AH75=0,"Facility has no transfers to POTWs between 2019-2023.",IF(COUNTIF('Processed Non-zero TRI Data'!$I:$I,$I75)&gt;0,INDEX('Processed Non-zero TRI Data'!$A:$A,MATCH(1,($I75='Processed Non-zero TRI Data'!$I:$I)*(AH75='Processed Non-zero TRI Data'!$V:$V),0)),"N/A - Facility Does Not Report to TRI")))</f>
        <v>N/A - Facility Does Not Report to TRI</v>
      </c>
      <c r="AK75" s="97" t="str" cm="1">
        <f t="array" ref="AK75">IFERROR(_xlfn.XLOOKUP(1,  (MAX(IF(I75 = 'Processed Non-zero TRI Data'!$I$2:$I$6,'Processed Non-zero TRI Data'!$A$2:$A$6)) = 'Processed Non-zero TRI Data'!$A$2:$A$6)*('Processed Non-zero TRI Data'!$I$2:$I$6 = I75), 'Processed Non-zero TRI Data'!$X$2:$X$6), "N/A- Facility Does Not Report to TRI")</f>
        <v>N/A- Facility Does Not Report to TRI</v>
      </c>
      <c r="AL75" s="9" t="str">
        <f t="shared" si="44"/>
        <v>N/A - Facility Does Not Report to TRI</v>
      </c>
      <c r="AM75" s="9" t="str" cm="1">
        <f t="array" ref="AM75">IF(COUNTIF('Processed Non-zero TRI Data'!$I:$I,$I75)&gt;0,MEDIAN(IF('Processed Non-zero TRI Data'!$I:$I=I75,'Processed Non-zero TRI Data'!$X:$X)), "N/A - Facility Does Not Report to TRI")</f>
        <v>N/A - Facility Does Not Report to TRI</v>
      </c>
      <c r="AN75" s="9" t="str">
        <f t="shared" si="45"/>
        <v>N/A - Facility Does Not Report to TRI</v>
      </c>
      <c r="AO75" s="9" t="str">
        <f>IF(COUNTIF('Processed Non-zero TRI Data'!$I:$I,$I75)&gt;0,_xlfn.MAXIFS('Processed Non-zero TRI Data'!$X:$X,'Processed Non-zero TRI Data'!$I:$I,$I75), "N/A - Facility Does Not Report to TRI")</f>
        <v>N/A - Facility Does Not Report to TRI</v>
      </c>
      <c r="AP75" s="9" t="str">
        <f t="shared" si="46"/>
        <v>N/A - Facility Does Not Report to TRI</v>
      </c>
      <c r="AQ75" s="251" t="str" cm="1">
        <f t="array" ref="AQ75">IF(B75="TRI Form A",AC75,IF(AO75=0,"Facility has no transfers to non-POTWs between 2019-2023.",IF(COUNTIF('Processed Non-zero TRI Data'!$I:$I,$I75)&gt;0,INDEX('Processed Non-zero TRI Data'!$A:$A,MATCH(1,($I75='Processed Non-zero TRI Data'!$I:$I)*(AO75='Processed Non-zero TRI Data'!$X:$X),0)),"N/A - Facility Does Not Report to TRI")))</f>
        <v>N/A - Facility Does Not Report to TRI</v>
      </c>
      <c r="AR75" s="260">
        <f t="shared" si="47"/>
        <v>0</v>
      </c>
      <c r="AS75" s="260">
        <f t="shared" si="48"/>
        <v>24.038535</v>
      </c>
    </row>
    <row r="76" spans="1:45" ht="60" x14ac:dyDescent="0.25">
      <c r="A76" s="12">
        <v>73</v>
      </c>
      <c r="B76" s="10" t="str">
        <f>IFERROR("TRI Form "&amp; VLOOKUP(I76, 'Processed Non-zero TRI Data'!$I$2:$K$6, 3, FALSE), "DMR")</f>
        <v>DMR</v>
      </c>
      <c r="C76" s="181" t="e">
        <f>VLOOKUP(D76,#REF!, 2, FALSE)</f>
        <v>#REF!</v>
      </c>
      <c r="D76" s="181" t="str">
        <f>IF(I76&lt;&gt;"",INDEX('Processed Non-zero TRI Data'!$O:$O,MATCH(I76,'Processed Non-zero TRI Data'!$I:$I,0)),INDEX('Processed Non-zero DMR Data'!$S:$S,MATCH(J76,'Processed Non-zero DMR Data'!$I:$I,0)))</f>
        <v>Waste Handling, Disposal and Treatment (Remediation)</v>
      </c>
      <c r="E76" s="181" t="str">
        <f>IF(I76&lt;&gt;"",INDEX('Processed Non-zero TRI Data'!$P:$P,MATCH(I76,'Processed Non-zero TRI Data'!$I:$I,0)),INDEX('Processed Non-zero DMR Data'!$T:$T,MATCH(J76,'Processed Non-zero DMR Data'!$I:$I,0)))</f>
        <v>Remediation site per EPA: https://19january2017snapshot.epa.gov/hwcorrectiveactionsites/hazardous-waste-cleanup-dow-chemical-formerly-rohm-and-haas-chemicals-llc_.html</v>
      </c>
      <c r="F76" s="9" t="str">
        <f>_xlfn.XLOOKUP(J76, 'Processed Non-zero DMR Data'!I:I, 'Processed Non-zero DMR Data'!B:B)</f>
        <v>ROHM &amp; HAAS BRISTOL FACILITY</v>
      </c>
      <c r="G76" s="9" t="str">
        <f>_xlfn.XLOOKUP(J76, 'Processed Non-zero DMR Data'!I:I, 'Processed Non-zero DMR Data'!C:C)</f>
        <v>CROYDON</v>
      </c>
      <c r="H76" s="9" t="str">
        <f>_xlfn.XLOOKUP(J76, 'Processed Non-zero DMR Data'!I:I, 'Processed Non-zero DMR Data'!E:E)</f>
        <v>PA</v>
      </c>
      <c r="I76" s="12"/>
      <c r="J76" s="13">
        <v>110064634686</v>
      </c>
      <c r="K76" s="9" t="str">
        <f>IFERROR(INDEX('Raw Non-zero DMR Data'!$C:$C, MATCH(J76,'Raw Non-zero DMR Data'!$D:$D,0)),"")</f>
        <v>PA0012769</v>
      </c>
      <c r="L76" s="9" t="str">
        <f>IFERROR(INDEX('Raw Non-zero DMR Data'!$U:$U, MATCH($J76,'Raw Non-zero DMR Data'!$D:$D,0)),"")</f>
        <v>Burlington Island-Delaware River</v>
      </c>
      <c r="M76" s="155" t="str">
        <f>IFERROR(INDEX('Raw Non-zero DMR Data'!$T:$T, MATCH($J76,'Raw Non-zero DMR Data'!$D:$D,0)),"")</f>
        <v>020402010407</v>
      </c>
      <c r="N76" s="155" t="str">
        <f>IFERROR(INDEX('Off-site Locations'!$E:$E,MATCH(I76,'Off-site Locations'!$B:$B,0)),"No offsite transfers")</f>
        <v>No offsite transfers</v>
      </c>
      <c r="O76" s="165">
        <f>INDEX('TRI and DMR OES Summary'!D:D,MATCH('Facility Discharge Summary'!D76,'TRI and DMR OES Summary'!A:A,0))</f>
        <v>250</v>
      </c>
      <c r="P76" s="17" cm="1">
        <f t="array" ref="P76">IFERROR(_xlfn.XLOOKUP(1,  (MAX(IF(J76 = 'Processed Non-zero DMR Data'!$I$2:$I$651,'Processed Non-zero DMR Data'!$A$2:$A$651)) = 'Processed Non-zero DMR Data'!$A$2:$A$651)*('Processed Non-zero DMR Data'!$I$2:$I$651 = J76),'Processed Non-zero DMR Data'!$W$2:$W$651), "N/A- Facility Does Not Report DMRs")</f>
        <v>0.19637769999999999</v>
      </c>
      <c r="Q76" s="10">
        <f t="shared" si="35"/>
        <v>7.8551079999999995E-4</v>
      </c>
      <c r="R76" s="10" cm="1">
        <f t="array" ref="R76">IF(COUNTIF('Processed Non-zero DMR Data'!$I:$I,$J76)&gt;0,MEDIAN(IF('Processed Non-zero DMR Data'!$I:$I=J76,'Processed Non-zero DMR Data'!$W:$W)),"N/A - Facility Does Not Report DMRs")</f>
        <v>0.16709470000000001</v>
      </c>
      <c r="S76" s="10">
        <f t="shared" si="36"/>
        <v>6.6837880000000002E-4</v>
      </c>
      <c r="T76" s="10">
        <f>IF(COUNTIF('Processed Non-zero DMR Data'!$I:$I,$J76)&gt;0,_xlfn.MAXIFS('Processed Non-zero DMR Data'!$W:$W,'Processed Non-zero DMR Data'!$I:$I,$J76), "N/A - Facility Does Not Report DMRs")</f>
        <v>0.19637769999999999</v>
      </c>
      <c r="U76" s="10">
        <f t="shared" si="37"/>
        <v>7.8551079999999995E-4</v>
      </c>
      <c r="V76" s="158" cm="1">
        <f t="array" ref="V76">IF(COUNTIF('Processed Non-zero DMR Data'!$I:$I,$J76)&gt;0,INDEX('Processed Non-zero DMR Data'!$A:$A,MATCH(1,($J76='Processed Non-zero DMR Data'!$I:$I)*($T76='Processed Non-zero DMR Data'!$W:$W),0)), "N/A - Facility Does Not Report DMRs")</f>
        <v>2023</v>
      </c>
      <c r="W76" s="17" t="str" cm="1">
        <f t="array" ref="W76">IFERROR(_xlfn.XLOOKUP(1,  (MAX(IF(I76 = 'Processed Non-zero TRI Data'!$I$2:$I$6,'Processed Non-zero TRI Data'!$A$2:$A$6)) = 'Processed Non-zero TRI Data'!$A$2:$A$6)*('Processed Non-zero TRI Data'!$I$2:$I$6 = I76), 'Processed Non-zero TRI Data'!$T$2:$T$6), "N/A- Facility Does Not Report to TRI")</f>
        <v>N/A- Facility Does Not Report to TRI</v>
      </c>
      <c r="X76" s="10" t="str">
        <f t="shared" si="38"/>
        <v>N/A - Facility Does Not Report to TRI</v>
      </c>
      <c r="Y76" s="10" t="str" cm="1">
        <f t="array" ref="Y76">IF(COUNTIF('Processed Non-zero TRI Data'!$I:$I,$I76)&gt;0,MEDIAN(IF('Processed Non-zero TRI Data'!$I:$I=I76,'Processed Non-zero TRI Data'!$T:$T)), "N/A - Facility Does Not Report to TRI")</f>
        <v>N/A - Facility Does Not Report to TRI</v>
      </c>
      <c r="Z76" s="10" t="str">
        <f t="shared" si="39"/>
        <v>N/A - Facility Does Not Report to TRI</v>
      </c>
      <c r="AA76" s="10" t="str">
        <f>IF(COUNTIF('Processed Non-zero TRI Data'!$I:$I,$I76)&gt;0,_xlfn.MAXIFS('Processed Non-zero TRI Data'!$T:$T,'Processed Non-zero TRI Data'!$I:$I,$I76), "N/A - Facility Does Not Report to TRI")</f>
        <v>N/A - Facility Does Not Report to TRI</v>
      </c>
      <c r="AB76" s="10" t="str">
        <f t="shared" si="40"/>
        <v>N/A - Facility Does Not Report to TRI</v>
      </c>
      <c r="AC76" s="158" t="str" cm="1">
        <f t="array" ref="AC76">IFERROR(IF(B76 = "TRI Form R", IF(AA76 = 0, "Facility has no on-site water discharges between 2017-2022.",  IF(COUNTIF('Processed Non-zero TRI Data'!$I:$I,$I76)&gt;0,INDEX('Processed Non-zero TRI Data'!$A:$A,MATCH(1,($I76='Processed Non-zero TRI Data'!$I:$I)*(AA76='Processed Non-zero TRI Data'!$T:$T),0)))), VLOOKUP(I76,#REF!, 2, FALSE)), ("N/A - Facility Does Not Report to TRI"))</f>
        <v>N/A - Facility Does Not Report to TRI</v>
      </c>
      <c r="AD76" s="97" t="str" cm="1">
        <f t="array" ref="AD76">IFERROR(_xlfn.XLOOKUP(1,  (MAX(IF(I76 = 'Processed Non-zero TRI Data'!$I$2:$I$6,'Processed Non-zero TRI Data'!$A$2:$A$6)) = 'Processed Non-zero TRI Data'!$A$2:$A$6)*('Processed Non-zero TRI Data'!$I$2:$I$6 = I76), 'Processed Non-zero TRI Data'!$V$2:$V$6), "N/A- Facility Does Not Report to TRI")</f>
        <v>N/A- Facility Does Not Report to TRI</v>
      </c>
      <c r="AE76" s="9" t="str">
        <f t="shared" si="41"/>
        <v>N/A - Facility Does Not Report to TRI</v>
      </c>
      <c r="AF76" s="9" t="str" cm="1">
        <f t="array" ref="AF76">IF(COUNTIF('Processed Non-zero TRI Data'!$I:$I,$I76)&gt;0,MEDIAN(IF('Processed Non-zero TRI Data'!$I:$I=I76,'Processed Non-zero TRI Data'!$V:$V)), "N/A - Facility Does Not Report to TRI")</f>
        <v>N/A - Facility Does Not Report to TRI</v>
      </c>
      <c r="AG76" s="9" t="str">
        <f t="shared" si="42"/>
        <v>N/A - Facility Does Not Report to TRI</v>
      </c>
      <c r="AH76" s="9" t="str">
        <f>IF(COUNTIF('Processed Non-zero TRI Data'!$I:$I,$I76)&gt;0,_xlfn.MAXIFS('Processed Non-zero TRI Data'!$V:$V,'Processed Non-zero TRI Data'!$I:$I,$I76), "N/A - Facility Does Not Report to TRI")</f>
        <v>N/A - Facility Does Not Report to TRI</v>
      </c>
      <c r="AI76" s="9" t="str">
        <f t="shared" si="43"/>
        <v>N/A - Facility Does Not Report to TRI</v>
      </c>
      <c r="AJ76" s="158" t="str" cm="1">
        <f t="array" ref="AJ76">IF(B76="TRI Form A",AC76,IF(AH76=0,"Facility has no transfers to POTWs between 2019-2023.",IF(COUNTIF('Processed Non-zero TRI Data'!$I:$I,$I76)&gt;0,INDEX('Processed Non-zero TRI Data'!$A:$A,MATCH(1,($I76='Processed Non-zero TRI Data'!$I:$I)*(AH76='Processed Non-zero TRI Data'!$V:$V),0)),"N/A - Facility Does Not Report to TRI")))</f>
        <v>N/A - Facility Does Not Report to TRI</v>
      </c>
      <c r="AK76" s="97" t="str" cm="1">
        <f t="array" ref="AK76">IFERROR(_xlfn.XLOOKUP(1,  (MAX(IF(I76 = 'Processed Non-zero TRI Data'!$I$2:$I$6,'Processed Non-zero TRI Data'!$A$2:$A$6)) = 'Processed Non-zero TRI Data'!$A$2:$A$6)*('Processed Non-zero TRI Data'!$I$2:$I$6 = I76), 'Processed Non-zero TRI Data'!$X$2:$X$6), "N/A- Facility Does Not Report to TRI")</f>
        <v>N/A- Facility Does Not Report to TRI</v>
      </c>
      <c r="AL76" s="9" t="str">
        <f t="shared" si="44"/>
        <v>N/A - Facility Does Not Report to TRI</v>
      </c>
      <c r="AM76" s="9" t="str" cm="1">
        <f t="array" ref="AM76">IF(COUNTIF('Processed Non-zero TRI Data'!$I:$I,$I76)&gt;0,MEDIAN(IF('Processed Non-zero TRI Data'!$I:$I=I76,'Processed Non-zero TRI Data'!$X:$X)), "N/A - Facility Does Not Report to TRI")</f>
        <v>N/A - Facility Does Not Report to TRI</v>
      </c>
      <c r="AN76" s="9" t="str">
        <f t="shared" si="45"/>
        <v>N/A - Facility Does Not Report to TRI</v>
      </c>
      <c r="AO76" s="9" t="str">
        <f>IF(COUNTIF('Processed Non-zero TRI Data'!$I:$I,$I76)&gt;0,_xlfn.MAXIFS('Processed Non-zero TRI Data'!$X:$X,'Processed Non-zero TRI Data'!$I:$I,$I76), "N/A - Facility Does Not Report to TRI")</f>
        <v>N/A - Facility Does Not Report to TRI</v>
      </c>
      <c r="AP76" s="9" t="str">
        <f t="shared" si="46"/>
        <v>N/A - Facility Does Not Report to TRI</v>
      </c>
      <c r="AQ76" s="251" t="str" cm="1">
        <f t="array" ref="AQ76">IF(B76="TRI Form A",AC76,IF(AO76=0,"Facility has no transfers to non-POTWs between 2019-2023.",IF(COUNTIF('Processed Non-zero TRI Data'!$I:$I,$I76)&gt;0,INDEX('Processed Non-zero TRI Data'!$A:$A,MATCH(1,($I76='Processed Non-zero TRI Data'!$I:$I)*(AO76='Processed Non-zero TRI Data'!$X:$X),0)),"N/A - Facility Does Not Report to TRI")))</f>
        <v>N/A - Facility Does Not Report to TRI</v>
      </c>
      <c r="AR76" s="260">
        <f t="shared" si="47"/>
        <v>0</v>
      </c>
      <c r="AS76" s="260">
        <f t="shared" si="48"/>
        <v>0.19637769999999999</v>
      </c>
    </row>
    <row r="77" spans="1:45" ht="30" x14ac:dyDescent="0.25">
      <c r="A77" s="12">
        <v>74</v>
      </c>
      <c r="B77" s="10" t="str">
        <f>IFERROR("TRI Form "&amp; VLOOKUP(I77, 'Processed Non-zero TRI Data'!$I$2:$K$6, 3, FALSE), "DMR")</f>
        <v>DMR</v>
      </c>
      <c r="C77" s="181" t="e">
        <f>VLOOKUP(D77,#REF!, 2, FALSE)</f>
        <v>#REF!</v>
      </c>
      <c r="D77" s="181" t="str">
        <f>IF(I77&lt;&gt;"",INDEX('Processed Non-zero TRI Data'!$O:$O,MATCH(I77,'Processed Non-zero TRI Data'!$I:$I,0)),INDEX('Processed Non-zero DMR Data'!$S:$S,MATCH(J77,'Processed Non-zero DMR Data'!$I:$I,0)))</f>
        <v>Processing as a reactant</v>
      </c>
      <c r="E77" s="181" t="str">
        <f>IF(I77&lt;&gt;"",INDEX('Processed Non-zero TRI Data'!$P:$P,MATCH(I77,'Processed Non-zero TRI Data'!$I:$I,0)),INDEX('Processed Non-zero DMR Data'!$T:$T,MATCH(J77,'Processed Non-zero DMR Data'!$I:$I,0)))</f>
        <v>Assumed processing as a reactant based on SIC and NAICS; this also matches 1,1,-DCA mapping.</v>
      </c>
      <c r="F77" s="9" t="str">
        <f>_xlfn.XLOOKUP(J77, 'Processed Non-zero DMR Data'!I:I, 'Processed Non-zero DMR Data'!B:B)</f>
        <v>ISP CHEMICALS LLC</v>
      </c>
      <c r="G77" s="9" t="str">
        <f>_xlfn.XLOOKUP(J77, 'Processed Non-zero DMR Data'!I:I, 'Processed Non-zero DMR Data'!C:C)</f>
        <v>CALVERT CITY</v>
      </c>
      <c r="H77" s="9" t="str">
        <f>_xlfn.XLOOKUP(J77, 'Processed Non-zero DMR Data'!I:I, 'Processed Non-zero DMR Data'!E:E)</f>
        <v>KY</v>
      </c>
      <c r="I77" s="12"/>
      <c r="J77" s="13">
        <v>110000741608</v>
      </c>
      <c r="K77" s="9" t="str">
        <f>IFERROR(INDEX('Raw Non-zero DMR Data'!$C:$C, MATCH(J77,'Raw Non-zero DMR Data'!$D:$D,0)),"")</f>
        <v>KY0003701</v>
      </c>
      <c r="L77" s="9" t="str">
        <f>IFERROR(INDEX('Raw Non-zero DMR Data'!$U:$U, MATCH($J77,'Raw Non-zero DMR Data'!$D:$D,0)),"")</f>
        <v>Lower Cypress Creek</v>
      </c>
      <c r="M77" s="155" t="str">
        <f>IFERROR(INDEX('Raw Non-zero DMR Data'!$T:$T, MATCH($J77,'Raw Non-zero DMR Data'!$D:$D,0)),"")</f>
        <v>060400060503</v>
      </c>
      <c r="N77" s="155" t="str">
        <f>IFERROR(INDEX('Off-site Locations'!$E:$E,MATCH(I77,'Off-site Locations'!$B:$B,0)),"No offsite transfers")</f>
        <v>No offsite transfers</v>
      </c>
      <c r="O77" s="165">
        <f>INDEX('TRI and DMR OES Summary'!D:D,MATCH('Facility Discharge Summary'!D77,'TRI and DMR OES Summary'!A:A,0))</f>
        <v>350</v>
      </c>
      <c r="P77" s="17" cm="1">
        <f t="array" ref="P77">IFERROR(_xlfn.XLOOKUP(1,  (MAX(IF(J77 = 'Processed Non-zero DMR Data'!$I$2:$I$651,'Processed Non-zero DMR Data'!$A$2:$A$651)) = 'Processed Non-zero DMR Data'!$A$2:$A$651)*('Processed Non-zero DMR Data'!$I$2:$I$651 = J77),'Processed Non-zero DMR Data'!$W$2:$W$651), "N/A- Facility Does Not Report DMRs")</f>
        <v>0.49713000000000002</v>
      </c>
      <c r="Q77" s="10">
        <f t="shared" si="35"/>
        <v>1.4203714285714287E-3</v>
      </c>
      <c r="R77" s="10" cm="1">
        <f t="array" ref="R77">IF(COUNTIF('Processed Non-zero DMR Data'!$I:$I,$J77)&gt;0,MEDIAN(IF('Processed Non-zero DMR Data'!$I:$I=J77,'Processed Non-zero DMR Data'!$W:$W)),"N/A - Facility Does Not Report DMRs")</f>
        <v>4.3084600000000002</v>
      </c>
      <c r="S77" s="10">
        <f t="shared" si="36"/>
        <v>1.2309885714285715E-2</v>
      </c>
      <c r="T77" s="10">
        <f>IF(COUNTIF('Processed Non-zero DMR Data'!$I:$I,$J77)&gt;0,_xlfn.MAXIFS('Processed Non-zero DMR Data'!$W:$W,'Processed Non-zero DMR Data'!$I:$I,$J77), "N/A - Facility Does Not Report DMRs")</f>
        <v>8.2026450000000004</v>
      </c>
      <c r="U77" s="10">
        <f t="shared" si="37"/>
        <v>2.3436128571428572E-2</v>
      </c>
      <c r="V77" s="158" cm="1">
        <f t="array" ref="V77">IF(COUNTIF('Processed Non-zero DMR Data'!$I:$I,$J77)&gt;0,INDEX('Processed Non-zero DMR Data'!$A:$A,MATCH(1,($J77='Processed Non-zero DMR Data'!$I:$I)*($T77='Processed Non-zero DMR Data'!$W:$W),0)), "N/A - Facility Does Not Report DMRs")</f>
        <v>2021</v>
      </c>
      <c r="W77" s="17" t="str" cm="1">
        <f t="array" ref="W77">IFERROR(_xlfn.XLOOKUP(1,  (MAX(IF(I77 = 'Processed Non-zero TRI Data'!$I$2:$I$6,'Processed Non-zero TRI Data'!$A$2:$A$6)) = 'Processed Non-zero TRI Data'!$A$2:$A$6)*('Processed Non-zero TRI Data'!$I$2:$I$6 = I77), 'Processed Non-zero TRI Data'!$T$2:$T$6), "N/A- Facility Does Not Report to TRI")</f>
        <v>N/A- Facility Does Not Report to TRI</v>
      </c>
      <c r="X77" s="10" t="str">
        <f t="shared" si="38"/>
        <v>N/A - Facility Does Not Report to TRI</v>
      </c>
      <c r="Y77" s="10" t="str" cm="1">
        <f t="array" ref="Y77">IF(COUNTIF('Processed Non-zero TRI Data'!$I:$I,$I77)&gt;0,MEDIAN(IF('Processed Non-zero TRI Data'!$I:$I=I77,'Processed Non-zero TRI Data'!$T:$T)), "N/A - Facility Does Not Report to TRI")</f>
        <v>N/A - Facility Does Not Report to TRI</v>
      </c>
      <c r="Z77" s="10" t="str">
        <f t="shared" si="39"/>
        <v>N/A - Facility Does Not Report to TRI</v>
      </c>
      <c r="AA77" s="10" t="str">
        <f>IF(COUNTIF('Processed Non-zero TRI Data'!$I:$I,$I77)&gt;0,_xlfn.MAXIFS('Processed Non-zero TRI Data'!$T:$T,'Processed Non-zero TRI Data'!$I:$I,$I77), "N/A - Facility Does Not Report to TRI")</f>
        <v>N/A - Facility Does Not Report to TRI</v>
      </c>
      <c r="AB77" s="10" t="str">
        <f t="shared" si="40"/>
        <v>N/A - Facility Does Not Report to TRI</v>
      </c>
      <c r="AC77" s="158" t="str" cm="1">
        <f t="array" ref="AC77">IFERROR(IF(B77 = "TRI Form R", IF(AA77 = 0, "Facility has no on-site water discharges between 2017-2022.",  IF(COUNTIF('Processed Non-zero TRI Data'!$I:$I,$I77)&gt;0,INDEX('Processed Non-zero TRI Data'!$A:$A,MATCH(1,($I77='Processed Non-zero TRI Data'!$I:$I)*(AA77='Processed Non-zero TRI Data'!$T:$T),0)))), VLOOKUP(I77,#REF!, 2, FALSE)), ("N/A - Facility Does Not Report to TRI"))</f>
        <v>N/A - Facility Does Not Report to TRI</v>
      </c>
      <c r="AD77" s="97" t="str" cm="1">
        <f t="array" ref="AD77">IFERROR(_xlfn.XLOOKUP(1,  (MAX(IF(I77 = 'Processed Non-zero TRI Data'!$I$2:$I$6,'Processed Non-zero TRI Data'!$A$2:$A$6)) = 'Processed Non-zero TRI Data'!$A$2:$A$6)*('Processed Non-zero TRI Data'!$I$2:$I$6 = I77), 'Processed Non-zero TRI Data'!$V$2:$V$6), "N/A- Facility Does Not Report to TRI")</f>
        <v>N/A- Facility Does Not Report to TRI</v>
      </c>
      <c r="AE77" s="9" t="str">
        <f t="shared" si="41"/>
        <v>N/A - Facility Does Not Report to TRI</v>
      </c>
      <c r="AF77" s="9" t="str" cm="1">
        <f t="array" ref="AF77">IF(COUNTIF('Processed Non-zero TRI Data'!$I:$I,$I77)&gt;0,MEDIAN(IF('Processed Non-zero TRI Data'!$I:$I=I77,'Processed Non-zero TRI Data'!$V:$V)), "N/A - Facility Does Not Report to TRI")</f>
        <v>N/A - Facility Does Not Report to TRI</v>
      </c>
      <c r="AG77" s="9" t="str">
        <f t="shared" si="42"/>
        <v>N/A - Facility Does Not Report to TRI</v>
      </c>
      <c r="AH77" s="9" t="str">
        <f>IF(COUNTIF('Processed Non-zero TRI Data'!$I:$I,$I77)&gt;0,_xlfn.MAXIFS('Processed Non-zero TRI Data'!$V:$V,'Processed Non-zero TRI Data'!$I:$I,$I77), "N/A - Facility Does Not Report to TRI")</f>
        <v>N/A - Facility Does Not Report to TRI</v>
      </c>
      <c r="AI77" s="9" t="str">
        <f t="shared" si="43"/>
        <v>N/A - Facility Does Not Report to TRI</v>
      </c>
      <c r="AJ77" s="158" t="str" cm="1">
        <f t="array" ref="AJ77">IF(B77="TRI Form A",AC77,IF(AH77=0,"Facility has no transfers to POTWs between 2019-2023.",IF(COUNTIF('Processed Non-zero TRI Data'!$I:$I,$I77)&gt;0,INDEX('Processed Non-zero TRI Data'!$A:$A,MATCH(1,($I77='Processed Non-zero TRI Data'!$I:$I)*(AH77='Processed Non-zero TRI Data'!$V:$V),0)),"N/A - Facility Does Not Report to TRI")))</f>
        <v>N/A - Facility Does Not Report to TRI</v>
      </c>
      <c r="AK77" s="97" t="str" cm="1">
        <f t="array" ref="AK77">IFERROR(_xlfn.XLOOKUP(1,  (MAX(IF(I77 = 'Processed Non-zero TRI Data'!$I$2:$I$6,'Processed Non-zero TRI Data'!$A$2:$A$6)) = 'Processed Non-zero TRI Data'!$A$2:$A$6)*('Processed Non-zero TRI Data'!$I$2:$I$6 = I77), 'Processed Non-zero TRI Data'!$X$2:$X$6), "N/A- Facility Does Not Report to TRI")</f>
        <v>N/A- Facility Does Not Report to TRI</v>
      </c>
      <c r="AL77" s="9" t="str">
        <f t="shared" si="44"/>
        <v>N/A - Facility Does Not Report to TRI</v>
      </c>
      <c r="AM77" s="9" t="str" cm="1">
        <f t="array" ref="AM77">IF(COUNTIF('Processed Non-zero TRI Data'!$I:$I,$I77)&gt;0,MEDIAN(IF('Processed Non-zero TRI Data'!$I:$I=I77,'Processed Non-zero TRI Data'!$X:$X)), "N/A - Facility Does Not Report to TRI")</f>
        <v>N/A - Facility Does Not Report to TRI</v>
      </c>
      <c r="AN77" s="9" t="str">
        <f t="shared" si="45"/>
        <v>N/A - Facility Does Not Report to TRI</v>
      </c>
      <c r="AO77" s="9" t="str">
        <f>IF(COUNTIF('Processed Non-zero TRI Data'!$I:$I,$I77)&gt;0,_xlfn.MAXIFS('Processed Non-zero TRI Data'!$X:$X,'Processed Non-zero TRI Data'!$I:$I,$I77), "N/A - Facility Does Not Report to TRI")</f>
        <v>N/A - Facility Does Not Report to TRI</v>
      </c>
      <c r="AP77" s="9" t="str">
        <f t="shared" si="46"/>
        <v>N/A - Facility Does Not Report to TRI</v>
      </c>
      <c r="AQ77" s="251" t="str" cm="1">
        <f t="array" ref="AQ77">IF(B77="TRI Form A",AC77,IF(AO77=0,"Facility has no transfers to non-POTWs between 2019-2023.",IF(COUNTIF('Processed Non-zero TRI Data'!$I:$I,$I77)&gt;0,INDEX('Processed Non-zero TRI Data'!$A:$A,MATCH(1,($I77='Processed Non-zero TRI Data'!$I:$I)*(AO77='Processed Non-zero TRI Data'!$X:$X),0)),"N/A - Facility Does Not Report to TRI")))</f>
        <v>N/A - Facility Does Not Report to TRI</v>
      </c>
      <c r="AR77" s="260">
        <f t="shared" si="47"/>
        <v>0</v>
      </c>
      <c r="AS77" s="260">
        <f t="shared" si="48"/>
        <v>8.2026450000000004</v>
      </c>
    </row>
    <row r="78" spans="1:45" ht="30" x14ac:dyDescent="0.25">
      <c r="A78" s="12">
        <v>75</v>
      </c>
      <c r="B78" s="10" t="str">
        <f>IFERROR("TRI Form "&amp; VLOOKUP(I78, 'Processed Non-zero TRI Data'!$I$2:$K$6, 3, FALSE), "DMR")</f>
        <v>DMR</v>
      </c>
      <c r="C78" s="181" t="e">
        <f>VLOOKUP(D78,#REF!, 2, FALSE)</f>
        <v>#REF!</v>
      </c>
      <c r="D78" s="181" t="str">
        <f>IF(I78&lt;&gt;"",INDEX('Processed Non-zero TRI Data'!$O:$O,MATCH(I78,'Processed Non-zero TRI Data'!$I:$I,0)),INDEX('Processed Non-zero DMR Data'!$S:$S,MATCH(J78,'Processed Non-zero DMR Data'!$I:$I,0)))</f>
        <v>Waste Handling, Disposal and Treatment (POTW)</v>
      </c>
      <c r="E78" s="181" t="str">
        <f>IF(I78&lt;&gt;"",INDEX('Processed Non-zero TRI Data'!$P:$P,MATCH(I78,'Processed Non-zero TRI Data'!$I:$I,0)),INDEX('Processed Non-zero DMR Data'!$T:$T,MATCH(J78,'Processed Non-zero DMR Data'!$I:$I,0)))</f>
        <v>POTW indicator in DMR</v>
      </c>
      <c r="F78" s="9" t="str">
        <f>_xlfn.XLOOKUP(J78, 'Processed Non-zero DMR Data'!I:I, 'Processed Non-zero DMR Data'!B:B)</f>
        <v>FLOYDS FORK WQTC MSD</v>
      </c>
      <c r="G78" s="9" t="str">
        <f>_xlfn.XLOOKUP(J78, 'Processed Non-zero DMR Data'!I:I, 'Processed Non-zero DMR Data'!C:C)</f>
        <v>LOUISVILLE</v>
      </c>
      <c r="H78" s="9" t="str">
        <f>_xlfn.XLOOKUP(J78, 'Processed Non-zero DMR Data'!I:I, 'Processed Non-zero DMR Data'!E:E)</f>
        <v>KY</v>
      </c>
      <c r="I78" s="12"/>
      <c r="J78" s="13">
        <v>110043486457</v>
      </c>
      <c r="K78" s="9" t="str">
        <f>IFERROR(INDEX('Raw Non-zero DMR Data'!$C:$C, MATCH(J78,'Raw Non-zero DMR Data'!$D:$D,0)),"")</f>
        <v>KY0102784</v>
      </c>
      <c r="L78" s="9" t="str">
        <f>IFERROR(INDEX('Raw Non-zero DMR Data'!$U:$U, MATCH($J78,'Raw Non-zero DMR Data'!$D:$D,0)),"")</f>
        <v>Brush Run-Floyds Fork</v>
      </c>
      <c r="M78" s="155" t="str">
        <f>IFERROR(INDEX('Raw Non-zero DMR Data'!$T:$T, MATCH($J78,'Raw Non-zero DMR Data'!$D:$D,0)),"")</f>
        <v>051401020804</v>
      </c>
      <c r="N78" s="155" t="str">
        <f>IFERROR(INDEX('Off-site Locations'!$E:$E,MATCH(I78,'Off-site Locations'!$B:$B,0)),"No offsite transfers")</f>
        <v>No offsite transfers</v>
      </c>
      <c r="O78" s="165">
        <f>INDEX('TRI and DMR OES Summary'!D:D,MATCH('Facility Discharge Summary'!D78,'TRI and DMR OES Summary'!A:A,0))</f>
        <v>365</v>
      </c>
      <c r="P78" s="17" cm="1">
        <f t="array" ref="P78">IFERROR(_xlfn.XLOOKUP(1,  (MAX(IF(J78 = 'Processed Non-zero DMR Data'!$I$2:$I$651,'Processed Non-zero DMR Data'!$A$2:$A$651)) = 'Processed Non-zero DMR Data'!$A$2:$A$651)*('Processed Non-zero DMR Data'!$I$2:$I$651 = J78),'Processed Non-zero DMR Data'!$W$2:$W$651), "N/A- Facility Does Not Report DMRs")</f>
        <v>11.722239625</v>
      </c>
      <c r="Q78" s="10">
        <f t="shared" si="35"/>
        <v>3.2115724999999998E-2</v>
      </c>
      <c r="R78" s="10" cm="1">
        <f t="array" ref="R78">IF(COUNTIF('Processed Non-zero DMR Data'!$I:$I,$J78)&gt;0,MEDIAN(IF('Processed Non-zero DMR Data'!$I:$I=J78,'Processed Non-zero DMR Data'!$W:$W)),"N/A - Facility Does Not Report DMRs")</f>
        <v>12.817098187499999</v>
      </c>
      <c r="S78" s="10">
        <f t="shared" si="36"/>
        <v>3.5115337499999996E-2</v>
      </c>
      <c r="T78" s="10">
        <f>IF(COUNTIF('Processed Non-zero DMR Data'!$I:$I,$J78)&gt;0,_xlfn.MAXIFS('Processed Non-zero DMR Data'!$W:$W,'Processed Non-zero DMR Data'!$I:$I,$J78), "N/A - Facility Does Not Report DMRs")</f>
        <v>15.645770625000001</v>
      </c>
      <c r="U78" s="10">
        <f t="shared" si="37"/>
        <v>4.2865125000000004E-2</v>
      </c>
      <c r="V78" s="158" cm="1">
        <f t="array" ref="V78">IF(COUNTIF('Processed Non-zero DMR Data'!$I:$I,$J78)&gt;0,INDEX('Processed Non-zero DMR Data'!$A:$A,MATCH(1,($J78='Processed Non-zero DMR Data'!$I:$I)*($T78='Processed Non-zero DMR Data'!$W:$W),0)), "N/A - Facility Does Not Report DMRs")</f>
        <v>2019</v>
      </c>
      <c r="W78" s="17" t="str" cm="1">
        <f t="array" ref="W78">IFERROR(_xlfn.XLOOKUP(1,  (MAX(IF(I78 = 'Processed Non-zero TRI Data'!$I$2:$I$6,'Processed Non-zero TRI Data'!$A$2:$A$6)) = 'Processed Non-zero TRI Data'!$A$2:$A$6)*('Processed Non-zero TRI Data'!$I$2:$I$6 = I78), 'Processed Non-zero TRI Data'!$T$2:$T$6), "N/A- Facility Does Not Report to TRI")</f>
        <v>N/A- Facility Does Not Report to TRI</v>
      </c>
      <c r="X78" s="10" t="str">
        <f t="shared" si="38"/>
        <v>N/A - Facility Does Not Report to TRI</v>
      </c>
      <c r="Y78" s="10" t="str" cm="1">
        <f t="array" ref="Y78">IF(COUNTIF('Processed Non-zero TRI Data'!$I:$I,$I78)&gt;0,MEDIAN(IF('Processed Non-zero TRI Data'!$I:$I=I78,'Processed Non-zero TRI Data'!$T:$T)), "N/A - Facility Does Not Report to TRI")</f>
        <v>N/A - Facility Does Not Report to TRI</v>
      </c>
      <c r="Z78" s="10" t="str">
        <f t="shared" si="39"/>
        <v>N/A - Facility Does Not Report to TRI</v>
      </c>
      <c r="AA78" s="10" t="str">
        <f>IF(COUNTIF('Processed Non-zero TRI Data'!$I:$I,$I78)&gt;0,_xlfn.MAXIFS('Processed Non-zero TRI Data'!$T:$T,'Processed Non-zero TRI Data'!$I:$I,$I78), "N/A - Facility Does Not Report to TRI")</f>
        <v>N/A - Facility Does Not Report to TRI</v>
      </c>
      <c r="AB78" s="10" t="str">
        <f t="shared" si="40"/>
        <v>N/A - Facility Does Not Report to TRI</v>
      </c>
      <c r="AC78" s="158" t="str" cm="1">
        <f t="array" ref="AC78">IFERROR(IF(B78 = "TRI Form R", IF(AA78 = 0, "Facility has no on-site water discharges between 2017-2022.",  IF(COUNTIF('Processed Non-zero TRI Data'!$I:$I,$I78)&gt;0,INDEX('Processed Non-zero TRI Data'!$A:$A,MATCH(1,($I78='Processed Non-zero TRI Data'!$I:$I)*(AA78='Processed Non-zero TRI Data'!$T:$T),0)))), VLOOKUP(I78,#REF!, 2, FALSE)), ("N/A - Facility Does Not Report to TRI"))</f>
        <v>N/A - Facility Does Not Report to TRI</v>
      </c>
      <c r="AD78" s="97" t="str" cm="1">
        <f t="array" ref="AD78">IFERROR(_xlfn.XLOOKUP(1,  (MAX(IF(I78 = 'Processed Non-zero TRI Data'!$I$2:$I$6,'Processed Non-zero TRI Data'!$A$2:$A$6)) = 'Processed Non-zero TRI Data'!$A$2:$A$6)*('Processed Non-zero TRI Data'!$I$2:$I$6 = I78), 'Processed Non-zero TRI Data'!$V$2:$V$6), "N/A- Facility Does Not Report to TRI")</f>
        <v>N/A- Facility Does Not Report to TRI</v>
      </c>
      <c r="AE78" s="9" t="str">
        <f t="shared" si="41"/>
        <v>N/A - Facility Does Not Report to TRI</v>
      </c>
      <c r="AF78" s="9" t="str" cm="1">
        <f t="array" ref="AF78">IF(COUNTIF('Processed Non-zero TRI Data'!$I:$I,$I78)&gt;0,MEDIAN(IF('Processed Non-zero TRI Data'!$I:$I=I78,'Processed Non-zero TRI Data'!$V:$V)), "N/A - Facility Does Not Report to TRI")</f>
        <v>N/A - Facility Does Not Report to TRI</v>
      </c>
      <c r="AG78" s="9" t="str">
        <f t="shared" si="42"/>
        <v>N/A - Facility Does Not Report to TRI</v>
      </c>
      <c r="AH78" s="9" t="str">
        <f>IF(COUNTIF('Processed Non-zero TRI Data'!$I:$I,$I78)&gt;0,_xlfn.MAXIFS('Processed Non-zero TRI Data'!$V:$V,'Processed Non-zero TRI Data'!$I:$I,$I78), "N/A - Facility Does Not Report to TRI")</f>
        <v>N/A - Facility Does Not Report to TRI</v>
      </c>
      <c r="AI78" s="9" t="str">
        <f t="shared" si="43"/>
        <v>N/A - Facility Does Not Report to TRI</v>
      </c>
      <c r="AJ78" s="158" t="str" cm="1">
        <f t="array" ref="AJ78">IF(B78="TRI Form A",AC78,IF(AH78=0,"Facility has no transfers to POTWs between 2019-2023.",IF(COUNTIF('Processed Non-zero TRI Data'!$I:$I,$I78)&gt;0,INDEX('Processed Non-zero TRI Data'!$A:$A,MATCH(1,($I78='Processed Non-zero TRI Data'!$I:$I)*(AH78='Processed Non-zero TRI Data'!$V:$V),0)),"N/A - Facility Does Not Report to TRI")))</f>
        <v>N/A - Facility Does Not Report to TRI</v>
      </c>
      <c r="AK78" s="97" t="str" cm="1">
        <f t="array" ref="AK78">IFERROR(_xlfn.XLOOKUP(1,  (MAX(IF(I78 = 'Processed Non-zero TRI Data'!$I$2:$I$6,'Processed Non-zero TRI Data'!$A$2:$A$6)) = 'Processed Non-zero TRI Data'!$A$2:$A$6)*('Processed Non-zero TRI Data'!$I$2:$I$6 = I78), 'Processed Non-zero TRI Data'!$X$2:$X$6), "N/A- Facility Does Not Report to TRI")</f>
        <v>N/A- Facility Does Not Report to TRI</v>
      </c>
      <c r="AL78" s="9" t="str">
        <f t="shared" si="44"/>
        <v>N/A - Facility Does Not Report to TRI</v>
      </c>
      <c r="AM78" s="9" t="str" cm="1">
        <f t="array" ref="AM78">IF(COUNTIF('Processed Non-zero TRI Data'!$I:$I,$I78)&gt;0,MEDIAN(IF('Processed Non-zero TRI Data'!$I:$I=I78,'Processed Non-zero TRI Data'!$X:$X)), "N/A - Facility Does Not Report to TRI")</f>
        <v>N/A - Facility Does Not Report to TRI</v>
      </c>
      <c r="AN78" s="9" t="str">
        <f t="shared" si="45"/>
        <v>N/A - Facility Does Not Report to TRI</v>
      </c>
      <c r="AO78" s="9" t="str">
        <f>IF(COUNTIF('Processed Non-zero TRI Data'!$I:$I,$I78)&gt;0,_xlfn.MAXIFS('Processed Non-zero TRI Data'!$X:$X,'Processed Non-zero TRI Data'!$I:$I,$I78), "N/A - Facility Does Not Report to TRI")</f>
        <v>N/A - Facility Does Not Report to TRI</v>
      </c>
      <c r="AP78" s="9" t="str">
        <f t="shared" si="46"/>
        <v>N/A - Facility Does Not Report to TRI</v>
      </c>
      <c r="AQ78" s="251" t="str" cm="1">
        <f t="array" ref="AQ78">IF(B78="TRI Form A",AC78,IF(AO78=0,"Facility has no transfers to non-POTWs between 2019-2023.",IF(COUNTIF('Processed Non-zero TRI Data'!$I:$I,$I78)&gt;0,INDEX('Processed Non-zero TRI Data'!$A:$A,MATCH(1,($I78='Processed Non-zero TRI Data'!$I:$I)*(AO78='Processed Non-zero TRI Data'!$X:$X),0)),"N/A - Facility Does Not Report to TRI")))</f>
        <v>N/A - Facility Does Not Report to TRI</v>
      </c>
      <c r="AR78" s="260">
        <f t="shared" si="47"/>
        <v>0</v>
      </c>
      <c r="AS78" s="260">
        <f t="shared" si="48"/>
        <v>15.645770625000001</v>
      </c>
    </row>
    <row r="79" spans="1:45" ht="30" x14ac:dyDescent="0.25">
      <c r="A79" s="12">
        <v>76</v>
      </c>
      <c r="B79" s="10" t="str">
        <f>IFERROR("TRI Form "&amp; VLOOKUP(I79, 'Processed Non-zero TRI Data'!$I$2:$K$6, 3, FALSE), "DMR")</f>
        <v>DMR</v>
      </c>
      <c r="C79" s="181" t="e">
        <f>VLOOKUP(D79,#REF!, 2, FALSE)</f>
        <v>#REF!</v>
      </c>
      <c r="D79" s="181" t="str">
        <f>IF(I79&lt;&gt;"",INDEX('Processed Non-zero TRI Data'!$O:$O,MATCH(I79,'Processed Non-zero TRI Data'!$I:$I,0)),INDEX('Processed Non-zero DMR Data'!$S:$S,MATCH(J79,'Processed Non-zero DMR Data'!$I:$I,0)))</f>
        <v>Processing as a reactant</v>
      </c>
      <c r="E79" s="181" t="str">
        <f>IF(I79&lt;&gt;"",INDEX('Processed Non-zero TRI Data'!$P:$P,MATCH(I79,'Processed Non-zero TRI Data'!$I:$I,0)),INDEX('Processed Non-zero DMR Data'!$T:$T,MATCH(J79,'Processed Non-zero DMR Data'!$I:$I,0)))</f>
        <v>Assumed processing as a reactant based on SIC and NAICS. Not known MFG site.</v>
      </c>
      <c r="F79" s="9" t="str">
        <f>_xlfn.XLOOKUP(J79, 'Processed Non-zero DMR Data'!I:I, 'Processed Non-zero DMR Data'!B:B)</f>
        <v>MONUMENT CHEMICAL KENTUCKY LLC</v>
      </c>
      <c r="G79" s="9" t="str">
        <f>_xlfn.XLOOKUP(J79, 'Processed Non-zero DMR Data'!I:I, 'Processed Non-zero DMR Data'!C:C)</f>
        <v>BRANDENBURG</v>
      </c>
      <c r="H79" s="9" t="str">
        <f>_xlfn.XLOOKUP(J79, 'Processed Non-zero DMR Data'!I:I, 'Processed Non-zero DMR Data'!E:E)</f>
        <v>KY</v>
      </c>
      <c r="I79" s="12"/>
      <c r="J79" s="13">
        <v>110000377976</v>
      </c>
      <c r="K79" s="9" t="str">
        <f>IFERROR(INDEX('Raw Non-zero DMR Data'!$C:$C, MATCH(J79,'Raw Non-zero DMR Data'!$D:$D,0)),"")</f>
        <v>KY0002119</v>
      </c>
      <c r="L79" s="9" t="str">
        <f>IFERROR(INDEX('Raw Non-zero DMR Data'!$U:$U, MATCH($J79,'Raw Non-zero DMR Data'!$D:$D,0)),"")</f>
        <v>Doe Run</v>
      </c>
      <c r="M79" s="155" t="str">
        <f>IFERROR(INDEX('Raw Non-zero DMR Data'!$T:$T, MATCH($J79,'Raw Non-zero DMR Data'!$D:$D,0)),"")</f>
        <v>051401040106</v>
      </c>
      <c r="N79" s="155" t="str">
        <f>IFERROR(INDEX('Off-site Locations'!$E:$E,MATCH(I79,'Off-site Locations'!$B:$B,0)),"No offsite transfers")</f>
        <v>No offsite transfers</v>
      </c>
      <c r="O79" s="165">
        <f>INDEX('TRI and DMR OES Summary'!D:D,MATCH('Facility Discharge Summary'!D79,'TRI and DMR OES Summary'!A:A,0))</f>
        <v>350</v>
      </c>
      <c r="P79" s="17" cm="1">
        <f t="array" ref="P79">IFERROR(_xlfn.XLOOKUP(1,  (MAX(IF(J79 = 'Processed Non-zero DMR Data'!$I$2:$I$651,'Processed Non-zero DMR Data'!$A$2:$A$651)) = 'Processed Non-zero DMR Data'!$A$2:$A$651)*('Processed Non-zero DMR Data'!$I$2:$I$651 = J79),'Processed Non-zero DMR Data'!$W$2:$W$651), "N/A- Facility Does Not Report DMRs")</f>
        <v>9.5703200000000002E-2</v>
      </c>
      <c r="Q79" s="10">
        <f t="shared" si="35"/>
        <v>2.7343771428571431E-4</v>
      </c>
      <c r="R79" s="10" cm="1">
        <f t="array" ref="R79">IF(COUNTIF('Processed Non-zero DMR Data'!$I:$I,$J79)&gt;0,MEDIAN(IF('Processed Non-zero DMR Data'!$I:$I=J79,'Processed Non-zero DMR Data'!$W:$W)),"N/A - Facility Does Not Report DMRs")</f>
        <v>9.5703200000000002E-2</v>
      </c>
      <c r="S79" s="10">
        <f t="shared" si="36"/>
        <v>2.7343771428571431E-4</v>
      </c>
      <c r="T79" s="10">
        <f>IF(COUNTIF('Processed Non-zero DMR Data'!$I:$I,$J79)&gt;0,_xlfn.MAXIFS('Processed Non-zero DMR Data'!$W:$W,'Processed Non-zero DMR Data'!$I:$I,$J79), "N/A - Facility Does Not Report DMRs")</f>
        <v>0.78337699999999999</v>
      </c>
      <c r="U79" s="10">
        <f t="shared" si="37"/>
        <v>2.23822E-3</v>
      </c>
      <c r="V79" s="158" cm="1">
        <f t="array" ref="V79">IF(COUNTIF('Processed Non-zero DMR Data'!$I:$I,$J79)&gt;0,INDEX('Processed Non-zero DMR Data'!$A:$A,MATCH(1,($J79='Processed Non-zero DMR Data'!$I:$I)*($T79='Processed Non-zero DMR Data'!$W:$W),0)), "N/A - Facility Does Not Report DMRs")</f>
        <v>2021</v>
      </c>
      <c r="W79" s="17" t="str" cm="1">
        <f t="array" ref="W79">IFERROR(_xlfn.XLOOKUP(1,  (MAX(IF(I79 = 'Processed Non-zero TRI Data'!$I$2:$I$6,'Processed Non-zero TRI Data'!$A$2:$A$6)) = 'Processed Non-zero TRI Data'!$A$2:$A$6)*('Processed Non-zero TRI Data'!$I$2:$I$6 = I79), 'Processed Non-zero TRI Data'!$T$2:$T$6), "N/A- Facility Does Not Report to TRI")</f>
        <v>N/A- Facility Does Not Report to TRI</v>
      </c>
      <c r="X79" s="10" t="str">
        <f t="shared" si="38"/>
        <v>N/A - Facility Does Not Report to TRI</v>
      </c>
      <c r="Y79" s="10" t="str" cm="1">
        <f t="array" ref="Y79">IF(COUNTIF('Processed Non-zero TRI Data'!$I:$I,$I79)&gt;0,MEDIAN(IF('Processed Non-zero TRI Data'!$I:$I=I79,'Processed Non-zero TRI Data'!$T:$T)), "N/A - Facility Does Not Report to TRI")</f>
        <v>N/A - Facility Does Not Report to TRI</v>
      </c>
      <c r="Z79" s="10" t="str">
        <f t="shared" si="39"/>
        <v>N/A - Facility Does Not Report to TRI</v>
      </c>
      <c r="AA79" s="10" t="str">
        <f>IF(COUNTIF('Processed Non-zero TRI Data'!$I:$I,$I79)&gt;0,_xlfn.MAXIFS('Processed Non-zero TRI Data'!$T:$T,'Processed Non-zero TRI Data'!$I:$I,$I79), "N/A - Facility Does Not Report to TRI")</f>
        <v>N/A - Facility Does Not Report to TRI</v>
      </c>
      <c r="AB79" s="10" t="str">
        <f t="shared" si="40"/>
        <v>N/A - Facility Does Not Report to TRI</v>
      </c>
      <c r="AC79" s="158" t="str" cm="1">
        <f t="array" ref="AC79">IFERROR(IF(B79 = "TRI Form R", IF(AA79 = 0, "Facility has no on-site water discharges between 2017-2022.",  IF(COUNTIF('Processed Non-zero TRI Data'!$I:$I,$I79)&gt;0,INDEX('Processed Non-zero TRI Data'!$A:$A,MATCH(1,($I79='Processed Non-zero TRI Data'!$I:$I)*(AA79='Processed Non-zero TRI Data'!$T:$T),0)))), VLOOKUP(I79,#REF!, 2, FALSE)), ("N/A - Facility Does Not Report to TRI"))</f>
        <v>N/A - Facility Does Not Report to TRI</v>
      </c>
      <c r="AD79" s="97" t="str" cm="1">
        <f t="array" ref="AD79">IFERROR(_xlfn.XLOOKUP(1,  (MAX(IF(I79 = 'Processed Non-zero TRI Data'!$I$2:$I$6,'Processed Non-zero TRI Data'!$A$2:$A$6)) = 'Processed Non-zero TRI Data'!$A$2:$A$6)*('Processed Non-zero TRI Data'!$I$2:$I$6 = I79), 'Processed Non-zero TRI Data'!$V$2:$V$6), "N/A- Facility Does Not Report to TRI")</f>
        <v>N/A- Facility Does Not Report to TRI</v>
      </c>
      <c r="AE79" s="9" t="str">
        <f t="shared" si="41"/>
        <v>N/A - Facility Does Not Report to TRI</v>
      </c>
      <c r="AF79" s="9" t="str" cm="1">
        <f t="array" ref="AF79">IF(COUNTIF('Processed Non-zero TRI Data'!$I:$I,$I79)&gt;0,MEDIAN(IF('Processed Non-zero TRI Data'!$I:$I=I79,'Processed Non-zero TRI Data'!$V:$V)), "N/A - Facility Does Not Report to TRI")</f>
        <v>N/A - Facility Does Not Report to TRI</v>
      </c>
      <c r="AG79" s="9" t="str">
        <f t="shared" si="42"/>
        <v>N/A - Facility Does Not Report to TRI</v>
      </c>
      <c r="AH79" s="9" t="str">
        <f>IF(COUNTIF('Processed Non-zero TRI Data'!$I:$I,$I79)&gt;0,_xlfn.MAXIFS('Processed Non-zero TRI Data'!$V:$V,'Processed Non-zero TRI Data'!$I:$I,$I79), "N/A - Facility Does Not Report to TRI")</f>
        <v>N/A - Facility Does Not Report to TRI</v>
      </c>
      <c r="AI79" s="9" t="str">
        <f t="shared" si="43"/>
        <v>N/A - Facility Does Not Report to TRI</v>
      </c>
      <c r="AJ79" s="158" t="str" cm="1">
        <f t="array" ref="AJ79">IF(B79="TRI Form A",AC79,IF(AH79=0,"Facility has no transfers to POTWs between 2019-2023.",IF(COUNTIF('Processed Non-zero TRI Data'!$I:$I,$I79)&gt;0,INDEX('Processed Non-zero TRI Data'!$A:$A,MATCH(1,($I79='Processed Non-zero TRI Data'!$I:$I)*(AH79='Processed Non-zero TRI Data'!$V:$V),0)),"N/A - Facility Does Not Report to TRI")))</f>
        <v>N/A - Facility Does Not Report to TRI</v>
      </c>
      <c r="AK79" s="97" t="str" cm="1">
        <f t="array" ref="AK79">IFERROR(_xlfn.XLOOKUP(1,  (MAX(IF(I79 = 'Processed Non-zero TRI Data'!$I$2:$I$6,'Processed Non-zero TRI Data'!$A$2:$A$6)) = 'Processed Non-zero TRI Data'!$A$2:$A$6)*('Processed Non-zero TRI Data'!$I$2:$I$6 = I79), 'Processed Non-zero TRI Data'!$X$2:$X$6), "N/A- Facility Does Not Report to TRI")</f>
        <v>N/A- Facility Does Not Report to TRI</v>
      </c>
      <c r="AL79" s="9" t="str">
        <f t="shared" si="44"/>
        <v>N/A - Facility Does Not Report to TRI</v>
      </c>
      <c r="AM79" s="9" t="str" cm="1">
        <f t="array" ref="AM79">IF(COUNTIF('Processed Non-zero TRI Data'!$I:$I,$I79)&gt;0,MEDIAN(IF('Processed Non-zero TRI Data'!$I:$I=I79,'Processed Non-zero TRI Data'!$X:$X)), "N/A - Facility Does Not Report to TRI")</f>
        <v>N/A - Facility Does Not Report to TRI</v>
      </c>
      <c r="AN79" s="9" t="str">
        <f t="shared" si="45"/>
        <v>N/A - Facility Does Not Report to TRI</v>
      </c>
      <c r="AO79" s="9" t="str">
        <f>IF(COUNTIF('Processed Non-zero TRI Data'!$I:$I,$I79)&gt;0,_xlfn.MAXIFS('Processed Non-zero TRI Data'!$X:$X,'Processed Non-zero TRI Data'!$I:$I,$I79), "N/A - Facility Does Not Report to TRI")</f>
        <v>N/A - Facility Does Not Report to TRI</v>
      </c>
      <c r="AP79" s="9" t="str">
        <f t="shared" si="46"/>
        <v>N/A - Facility Does Not Report to TRI</v>
      </c>
      <c r="AQ79" s="251" t="str" cm="1">
        <f t="array" ref="AQ79">IF(B79="TRI Form A",AC79,IF(AO79=0,"Facility has no transfers to non-POTWs between 2019-2023.",IF(COUNTIF('Processed Non-zero TRI Data'!$I:$I,$I79)&gt;0,INDEX('Processed Non-zero TRI Data'!$A:$A,MATCH(1,($I79='Processed Non-zero TRI Data'!$I:$I)*(AO79='Processed Non-zero TRI Data'!$X:$X),0)),"N/A - Facility Does Not Report to TRI")))</f>
        <v>N/A - Facility Does Not Report to TRI</v>
      </c>
      <c r="AR79" s="260">
        <f t="shared" si="47"/>
        <v>0</v>
      </c>
      <c r="AS79" s="260">
        <f t="shared" si="48"/>
        <v>0.78337699999999999</v>
      </c>
    </row>
    <row r="80" spans="1:45" ht="30" x14ac:dyDescent="0.25">
      <c r="A80" s="12">
        <v>77</v>
      </c>
      <c r="B80" s="10" t="str">
        <f>IFERROR("TRI Form "&amp; VLOOKUP(I80, 'Processed Non-zero TRI Data'!$I$2:$K$6, 3, FALSE), "DMR")</f>
        <v>DMR</v>
      </c>
      <c r="C80" s="181" t="e">
        <f>VLOOKUP(D80,#REF!, 2, FALSE)</f>
        <v>#REF!</v>
      </c>
      <c r="D80" s="181" t="str">
        <f>IF(I80&lt;&gt;"",INDEX('Processed Non-zero TRI Data'!$O:$O,MATCH(I80,'Processed Non-zero TRI Data'!$I:$I,0)),INDEX('Processed Non-zero DMR Data'!$S:$S,MATCH(J80,'Processed Non-zero DMR Data'!$I:$I,0)))</f>
        <v>Waste Handling, Disposal and Treatment (POTW)</v>
      </c>
      <c r="E80" s="181" t="str">
        <f>IF(I80&lt;&gt;"",INDEX('Processed Non-zero TRI Data'!$P:$P,MATCH(I80,'Processed Non-zero TRI Data'!$I:$I,0)),INDEX('Processed Non-zero DMR Data'!$T:$T,MATCH(J80,'Processed Non-zero DMR Data'!$I:$I,0)))</f>
        <v>POTW indicator in DMR</v>
      </c>
      <c r="F80" s="9" t="str">
        <f>_xlfn.XLOOKUP(J80, 'Processed Non-zero DMR Data'!I:I, 'Processed Non-zero DMR Data'!B:B)</f>
        <v>HONOULIULI WWTP</v>
      </c>
      <c r="G80" s="9" t="str">
        <f>_xlfn.XLOOKUP(J80, 'Processed Non-zero DMR Data'!I:I, 'Processed Non-zero DMR Data'!C:C)</f>
        <v>EWA BEACH</v>
      </c>
      <c r="H80" s="9" t="str">
        <f>_xlfn.XLOOKUP(J80, 'Processed Non-zero DMR Data'!I:I, 'Processed Non-zero DMR Data'!E:E)</f>
        <v>HI</v>
      </c>
      <c r="I80" s="12"/>
      <c r="J80" s="13">
        <v>110020728943</v>
      </c>
      <c r="K80" s="9" t="str">
        <f>IFERROR(INDEX('Raw Non-zero DMR Data'!$C:$C, MATCH(J80,'Raw Non-zero DMR Data'!$D:$D,0)),"")</f>
        <v>HI0020877</v>
      </c>
      <c r="L80" s="9" t="str">
        <f>IFERROR(INDEX('Raw Non-zero DMR Data'!$U:$U, MATCH($J80,'Raw Non-zero DMR Data'!$D:$D,0)),"")</f>
        <v>Kaloi Gulch</v>
      </c>
      <c r="M80" s="155">
        <f>IFERROR(INDEX('Raw Non-zero DMR Data'!$T:$T, MATCH($J80,'Raw Non-zero DMR Data'!$D:$D,0)),"")</f>
        <v>200600000405</v>
      </c>
      <c r="N80" s="155" t="str">
        <f>IFERROR(INDEX('Off-site Locations'!$E:$E,MATCH(I80,'Off-site Locations'!$B:$B,0)),"No offsite transfers")</f>
        <v>No offsite transfers</v>
      </c>
      <c r="O80" s="165">
        <f>INDEX('TRI and DMR OES Summary'!D:D,MATCH('Facility Discharge Summary'!D80,'TRI and DMR OES Summary'!A:A,0))</f>
        <v>365</v>
      </c>
      <c r="P80" s="17" cm="1">
        <f t="array" ref="P80">IFERROR(_xlfn.XLOOKUP(1,  (MAX(IF(J80 = 'Processed Non-zero DMR Data'!$I$2:$I$651,'Processed Non-zero DMR Data'!$A$2:$A$651)) = 'Processed Non-zero DMR Data'!$A$2:$A$651)*('Processed Non-zero DMR Data'!$I$2:$I$651 = J80),'Processed Non-zero DMR Data'!$W$2:$W$651), "N/A- Facility Does Not Report DMRs")</f>
        <v>0.35673467543999998</v>
      </c>
      <c r="Q80" s="10">
        <f t="shared" si="35"/>
        <v>9.7735527517808221E-4</v>
      </c>
      <c r="R80" s="10" cm="1">
        <f t="array" ref="R80">IF(COUNTIF('Processed Non-zero DMR Data'!$I:$I,$J80)&gt;0,MEDIAN(IF('Processed Non-zero DMR Data'!$I:$I=J80,'Processed Non-zero DMR Data'!$W:$W)),"N/A - Facility Does Not Report DMRs")</f>
        <v>0.35673467543999998</v>
      </c>
      <c r="S80" s="10">
        <f t="shared" si="36"/>
        <v>9.7735527517808221E-4</v>
      </c>
      <c r="T80" s="10">
        <f>IF(COUNTIF('Processed Non-zero DMR Data'!$I:$I,$J80)&gt;0,_xlfn.MAXIFS('Processed Non-zero DMR Data'!$W:$W,'Processed Non-zero DMR Data'!$I:$I,$J80), "N/A - Facility Does Not Report DMRs")</f>
        <v>0.35673467543999998</v>
      </c>
      <c r="U80" s="10">
        <f t="shared" si="37"/>
        <v>9.7735527517808221E-4</v>
      </c>
      <c r="V80" s="158" cm="1">
        <f t="array" ref="V80">IF(COUNTIF('Processed Non-zero DMR Data'!$I:$I,$J80)&gt;0,INDEX('Processed Non-zero DMR Data'!$A:$A,MATCH(1,($J80='Processed Non-zero DMR Data'!$I:$I)*($T80='Processed Non-zero DMR Data'!$W:$W),0)), "N/A - Facility Does Not Report DMRs")</f>
        <v>2019</v>
      </c>
      <c r="W80" s="17" t="str" cm="1">
        <f t="array" ref="W80">IFERROR(_xlfn.XLOOKUP(1,  (MAX(IF(I80 = 'Processed Non-zero TRI Data'!$I$2:$I$6,'Processed Non-zero TRI Data'!$A$2:$A$6)) = 'Processed Non-zero TRI Data'!$A$2:$A$6)*('Processed Non-zero TRI Data'!$I$2:$I$6 = I80), 'Processed Non-zero TRI Data'!$T$2:$T$6), "N/A- Facility Does Not Report to TRI")</f>
        <v>N/A- Facility Does Not Report to TRI</v>
      </c>
      <c r="X80" s="10" t="str">
        <f t="shared" si="38"/>
        <v>N/A - Facility Does Not Report to TRI</v>
      </c>
      <c r="Y80" s="10" t="str" cm="1">
        <f t="array" ref="Y80">IF(COUNTIF('Processed Non-zero TRI Data'!$I:$I,$I80)&gt;0,MEDIAN(IF('Processed Non-zero TRI Data'!$I:$I=I80,'Processed Non-zero TRI Data'!$T:$T)), "N/A - Facility Does Not Report to TRI")</f>
        <v>N/A - Facility Does Not Report to TRI</v>
      </c>
      <c r="Z80" s="10" t="str">
        <f t="shared" si="39"/>
        <v>N/A - Facility Does Not Report to TRI</v>
      </c>
      <c r="AA80" s="10" t="str">
        <f>IF(COUNTIF('Processed Non-zero TRI Data'!$I:$I,$I80)&gt;0,_xlfn.MAXIFS('Processed Non-zero TRI Data'!$T:$T,'Processed Non-zero TRI Data'!$I:$I,$I80), "N/A - Facility Does Not Report to TRI")</f>
        <v>N/A - Facility Does Not Report to TRI</v>
      </c>
      <c r="AB80" s="10" t="str">
        <f t="shared" si="40"/>
        <v>N/A - Facility Does Not Report to TRI</v>
      </c>
      <c r="AC80" s="158" t="str" cm="1">
        <f t="array" ref="AC80">IFERROR(IF(B80 = "TRI Form R", IF(AA80 = 0, "Facility has no on-site water discharges between 2017-2022.",  IF(COUNTIF('Processed Non-zero TRI Data'!$I:$I,$I80)&gt;0,INDEX('Processed Non-zero TRI Data'!$A:$A,MATCH(1,($I80='Processed Non-zero TRI Data'!$I:$I)*(AA80='Processed Non-zero TRI Data'!$T:$T),0)))), VLOOKUP(I80,#REF!, 2, FALSE)), ("N/A - Facility Does Not Report to TRI"))</f>
        <v>N/A - Facility Does Not Report to TRI</v>
      </c>
      <c r="AD80" s="97" t="str" cm="1">
        <f t="array" ref="AD80">IFERROR(_xlfn.XLOOKUP(1,  (MAX(IF(I80 = 'Processed Non-zero TRI Data'!$I$2:$I$6,'Processed Non-zero TRI Data'!$A$2:$A$6)) = 'Processed Non-zero TRI Data'!$A$2:$A$6)*('Processed Non-zero TRI Data'!$I$2:$I$6 = I80), 'Processed Non-zero TRI Data'!$V$2:$V$6), "N/A- Facility Does Not Report to TRI")</f>
        <v>N/A- Facility Does Not Report to TRI</v>
      </c>
      <c r="AE80" s="9" t="str">
        <f t="shared" si="41"/>
        <v>N/A - Facility Does Not Report to TRI</v>
      </c>
      <c r="AF80" s="9" t="str" cm="1">
        <f t="array" ref="AF80">IF(COUNTIF('Processed Non-zero TRI Data'!$I:$I,$I80)&gt;0,MEDIAN(IF('Processed Non-zero TRI Data'!$I:$I=I80,'Processed Non-zero TRI Data'!$V:$V)), "N/A - Facility Does Not Report to TRI")</f>
        <v>N/A - Facility Does Not Report to TRI</v>
      </c>
      <c r="AG80" s="9" t="str">
        <f t="shared" si="42"/>
        <v>N/A - Facility Does Not Report to TRI</v>
      </c>
      <c r="AH80" s="9" t="str">
        <f>IF(COUNTIF('Processed Non-zero TRI Data'!$I:$I,$I80)&gt;0,_xlfn.MAXIFS('Processed Non-zero TRI Data'!$V:$V,'Processed Non-zero TRI Data'!$I:$I,$I80), "N/A - Facility Does Not Report to TRI")</f>
        <v>N/A - Facility Does Not Report to TRI</v>
      </c>
      <c r="AI80" s="9" t="str">
        <f t="shared" si="43"/>
        <v>N/A - Facility Does Not Report to TRI</v>
      </c>
      <c r="AJ80" s="158" t="str" cm="1">
        <f t="array" ref="AJ80">IF(B80="TRI Form A",AC80,IF(AH80=0,"Facility has no transfers to POTWs between 2019-2023.",IF(COUNTIF('Processed Non-zero TRI Data'!$I:$I,$I80)&gt;0,INDEX('Processed Non-zero TRI Data'!$A:$A,MATCH(1,($I80='Processed Non-zero TRI Data'!$I:$I)*(AH80='Processed Non-zero TRI Data'!$V:$V),0)),"N/A - Facility Does Not Report to TRI")))</f>
        <v>N/A - Facility Does Not Report to TRI</v>
      </c>
      <c r="AK80" s="97" t="str" cm="1">
        <f t="array" ref="AK80">IFERROR(_xlfn.XLOOKUP(1,  (MAX(IF(I80 = 'Processed Non-zero TRI Data'!$I$2:$I$6,'Processed Non-zero TRI Data'!$A$2:$A$6)) = 'Processed Non-zero TRI Data'!$A$2:$A$6)*('Processed Non-zero TRI Data'!$I$2:$I$6 = I80), 'Processed Non-zero TRI Data'!$X$2:$X$6), "N/A- Facility Does Not Report to TRI")</f>
        <v>N/A- Facility Does Not Report to TRI</v>
      </c>
      <c r="AL80" s="9" t="str">
        <f t="shared" si="44"/>
        <v>N/A - Facility Does Not Report to TRI</v>
      </c>
      <c r="AM80" s="9" t="str" cm="1">
        <f t="array" ref="AM80">IF(COUNTIF('Processed Non-zero TRI Data'!$I:$I,$I80)&gt;0,MEDIAN(IF('Processed Non-zero TRI Data'!$I:$I=I80,'Processed Non-zero TRI Data'!$X:$X)), "N/A - Facility Does Not Report to TRI")</f>
        <v>N/A - Facility Does Not Report to TRI</v>
      </c>
      <c r="AN80" s="9" t="str">
        <f t="shared" si="45"/>
        <v>N/A - Facility Does Not Report to TRI</v>
      </c>
      <c r="AO80" s="9" t="str">
        <f>IF(COUNTIF('Processed Non-zero TRI Data'!$I:$I,$I80)&gt;0,_xlfn.MAXIFS('Processed Non-zero TRI Data'!$X:$X,'Processed Non-zero TRI Data'!$I:$I,$I80), "N/A - Facility Does Not Report to TRI")</f>
        <v>N/A - Facility Does Not Report to TRI</v>
      </c>
      <c r="AP80" s="9" t="str">
        <f t="shared" si="46"/>
        <v>N/A - Facility Does Not Report to TRI</v>
      </c>
      <c r="AQ80" s="251" t="str" cm="1">
        <f t="array" ref="AQ80">IF(B80="TRI Form A",AC80,IF(AO80=0,"Facility has no transfers to non-POTWs between 2019-2023.",IF(COUNTIF('Processed Non-zero TRI Data'!$I:$I,$I80)&gt;0,INDEX('Processed Non-zero TRI Data'!$A:$A,MATCH(1,($I80='Processed Non-zero TRI Data'!$I:$I)*(AO80='Processed Non-zero TRI Data'!$X:$X),0)),"N/A - Facility Does Not Report to TRI")))</f>
        <v>N/A - Facility Does Not Report to TRI</v>
      </c>
      <c r="AR80" s="260">
        <f t="shared" si="47"/>
        <v>0</v>
      </c>
      <c r="AS80" s="260">
        <f t="shared" si="48"/>
        <v>0.35673467543999998</v>
      </c>
    </row>
    <row r="81" spans="1:45" ht="30" x14ac:dyDescent="0.25">
      <c r="A81" s="12">
        <v>78</v>
      </c>
      <c r="B81" s="10" t="str">
        <f>IFERROR("TRI Form "&amp; VLOOKUP(I81, 'Processed Non-zero TRI Data'!$I$2:$K$6, 3, FALSE), "DMR")</f>
        <v>DMR</v>
      </c>
      <c r="C81" s="181" t="e">
        <f>VLOOKUP(D81,#REF!, 2, FALSE)</f>
        <v>#REF!</v>
      </c>
      <c r="D81" s="181" t="str">
        <f>IF(I81&lt;&gt;"",INDEX('Processed Non-zero TRI Data'!$O:$O,MATCH(I81,'Processed Non-zero TRI Data'!$I:$I,0)),INDEX('Processed Non-zero DMR Data'!$S:$S,MATCH(J81,'Processed Non-zero DMR Data'!$I:$I,0)))</f>
        <v>Processing as a reactant</v>
      </c>
      <c r="E81" s="181" t="str">
        <f>IF(I81&lt;&gt;"",INDEX('Processed Non-zero TRI Data'!$P:$P,MATCH(I81,'Processed Non-zero TRI Data'!$I:$I,0)),INDEX('Processed Non-zero DMR Data'!$T:$T,MATCH(J81,'Processed Non-zero DMR Data'!$I:$I,0)))</f>
        <v>Assumed processing as a reactant based on SIC and NAICS; this also matches 1,1,-DCA mapping.</v>
      </c>
      <c r="F81" s="9" t="str">
        <f>_xlfn.XLOOKUP(J81, 'Processed Non-zero DMR Data'!I:I, 'Processed Non-zero DMR Data'!B:B)</f>
        <v>FIRMENICH INCORPORATED</v>
      </c>
      <c r="G81" s="9" t="str">
        <f>_xlfn.XLOOKUP(J81, 'Processed Non-zero DMR Data'!I:I, 'Processed Non-zero DMR Data'!C:C)</f>
        <v>PLAINSBORO</v>
      </c>
      <c r="H81" s="9" t="str">
        <f>_xlfn.XLOOKUP(J81, 'Processed Non-zero DMR Data'!I:I, 'Processed Non-zero DMR Data'!E:E)</f>
        <v>NJ</v>
      </c>
      <c r="I81" s="12"/>
      <c r="J81" s="13">
        <v>110000321651</v>
      </c>
      <c r="K81" s="9" t="str">
        <f>IFERROR(INDEX('Raw Non-zero DMR Data'!$C:$C, MATCH(J81,'Raw Non-zero DMR Data'!$D:$D,0)),"")</f>
        <v>NJ0031445</v>
      </c>
      <c r="L81" s="9" t="str">
        <f>IFERROR(INDEX('Raw Non-zero DMR Data'!$U:$U, MATCH($J81,'Raw Non-zero DMR Data'!$D:$D,0)),"")</f>
        <v>Devils Brook</v>
      </c>
      <c r="M81" s="155" t="str">
        <f>IFERROR(INDEX('Raw Non-zero DMR Data'!$T:$T, MATCH($J81,'Raw Non-zero DMR Data'!$D:$D,0)),"")</f>
        <v>020301050306</v>
      </c>
      <c r="N81" s="155" t="str">
        <f>IFERROR(INDEX('Off-site Locations'!$E:$E,MATCH(I81,'Off-site Locations'!$B:$B,0)),"No offsite transfers")</f>
        <v>No offsite transfers</v>
      </c>
      <c r="O81" s="165">
        <f>INDEX('TRI and DMR OES Summary'!D:D,MATCH('Facility Discharge Summary'!D81,'TRI and DMR OES Summary'!A:A,0))</f>
        <v>350</v>
      </c>
      <c r="P81" s="17" cm="1">
        <f t="array" ref="P81">IFERROR(_xlfn.XLOOKUP(1,  (MAX(IF(J81 = 'Processed Non-zero DMR Data'!$I$2:$I$651,'Processed Non-zero DMR Data'!$A$2:$A$651)) = 'Processed Non-zero DMR Data'!$A$2:$A$651)*('Processed Non-zero DMR Data'!$I$2:$I$651 = J81),'Processed Non-zero DMR Data'!$W$2:$W$651), "N/A- Facility Does Not Report DMRs")</f>
        <v>3.0999999999999999E-3</v>
      </c>
      <c r="Q81" s="10">
        <f t="shared" si="35"/>
        <v>8.8571428571428566E-6</v>
      </c>
      <c r="R81" s="10" cm="1">
        <f t="array" ref="R81">IF(COUNTIF('Processed Non-zero DMR Data'!$I:$I,$J81)&gt;0,MEDIAN(IF('Processed Non-zero DMR Data'!$I:$I=J81,'Processed Non-zero DMR Data'!$W:$W)),"N/A - Facility Does Not Report DMRs")</f>
        <v>9.0500000000000008E-3</v>
      </c>
      <c r="S81" s="10">
        <f t="shared" si="36"/>
        <v>2.585714285714286E-5</v>
      </c>
      <c r="T81" s="10">
        <f>IF(COUNTIF('Processed Non-zero DMR Data'!$I:$I,$J81)&gt;0,_xlfn.MAXIFS('Processed Non-zero DMR Data'!$W:$W,'Processed Non-zero DMR Data'!$I:$I,$J81), "N/A - Facility Does Not Report DMRs")</f>
        <v>3.0695E-2</v>
      </c>
      <c r="U81" s="10">
        <f t="shared" si="37"/>
        <v>8.7700000000000004E-5</v>
      </c>
      <c r="V81" s="158" cm="1">
        <f t="array" ref="V81">IF(COUNTIF('Processed Non-zero DMR Data'!$I:$I,$J81)&gt;0,INDEX('Processed Non-zero DMR Data'!$A:$A,MATCH(1,($J81='Processed Non-zero DMR Data'!$I:$I)*($T81='Processed Non-zero DMR Data'!$W:$W),0)), "N/A - Facility Does Not Report DMRs")</f>
        <v>2022</v>
      </c>
      <c r="W81" s="17" t="str" cm="1">
        <f t="array" ref="W81">IFERROR(_xlfn.XLOOKUP(1,  (MAX(IF(I81 = 'Processed Non-zero TRI Data'!$I$2:$I$6,'Processed Non-zero TRI Data'!$A$2:$A$6)) = 'Processed Non-zero TRI Data'!$A$2:$A$6)*('Processed Non-zero TRI Data'!$I$2:$I$6 = I81), 'Processed Non-zero TRI Data'!$T$2:$T$6), "N/A- Facility Does Not Report to TRI")</f>
        <v>N/A- Facility Does Not Report to TRI</v>
      </c>
      <c r="X81" s="10" t="str">
        <f t="shared" si="38"/>
        <v>N/A - Facility Does Not Report to TRI</v>
      </c>
      <c r="Y81" s="10" t="str" cm="1">
        <f t="array" ref="Y81">IF(COUNTIF('Processed Non-zero TRI Data'!$I:$I,$I81)&gt;0,MEDIAN(IF('Processed Non-zero TRI Data'!$I:$I=I81,'Processed Non-zero TRI Data'!$T:$T)), "N/A - Facility Does Not Report to TRI")</f>
        <v>N/A - Facility Does Not Report to TRI</v>
      </c>
      <c r="Z81" s="10" t="str">
        <f t="shared" si="39"/>
        <v>N/A - Facility Does Not Report to TRI</v>
      </c>
      <c r="AA81" s="10" t="str">
        <f>IF(COUNTIF('Processed Non-zero TRI Data'!$I:$I,$I81)&gt;0,_xlfn.MAXIFS('Processed Non-zero TRI Data'!$T:$T,'Processed Non-zero TRI Data'!$I:$I,$I81), "N/A - Facility Does Not Report to TRI")</f>
        <v>N/A - Facility Does Not Report to TRI</v>
      </c>
      <c r="AB81" s="10" t="str">
        <f t="shared" si="40"/>
        <v>N/A - Facility Does Not Report to TRI</v>
      </c>
      <c r="AC81" s="158" t="str" cm="1">
        <f t="array" ref="AC81">IFERROR(IF(B81 = "TRI Form R", IF(AA81 = 0, "Facility has no on-site water discharges between 2017-2022.",  IF(COUNTIF('Processed Non-zero TRI Data'!$I:$I,$I81)&gt;0,INDEX('Processed Non-zero TRI Data'!$A:$A,MATCH(1,($I81='Processed Non-zero TRI Data'!$I:$I)*(AA81='Processed Non-zero TRI Data'!$T:$T),0)))), VLOOKUP(I81,#REF!, 2, FALSE)), ("N/A - Facility Does Not Report to TRI"))</f>
        <v>N/A - Facility Does Not Report to TRI</v>
      </c>
      <c r="AD81" s="97" t="str" cm="1">
        <f t="array" ref="AD81">IFERROR(_xlfn.XLOOKUP(1,  (MAX(IF(I81 = 'Processed Non-zero TRI Data'!$I$2:$I$6,'Processed Non-zero TRI Data'!$A$2:$A$6)) = 'Processed Non-zero TRI Data'!$A$2:$A$6)*('Processed Non-zero TRI Data'!$I$2:$I$6 = I81), 'Processed Non-zero TRI Data'!$V$2:$V$6), "N/A- Facility Does Not Report to TRI")</f>
        <v>N/A- Facility Does Not Report to TRI</v>
      </c>
      <c r="AE81" s="9" t="str">
        <f t="shared" si="41"/>
        <v>N/A - Facility Does Not Report to TRI</v>
      </c>
      <c r="AF81" s="9" t="str" cm="1">
        <f t="array" ref="AF81">IF(COUNTIF('Processed Non-zero TRI Data'!$I:$I,$I81)&gt;0,MEDIAN(IF('Processed Non-zero TRI Data'!$I:$I=I81,'Processed Non-zero TRI Data'!$V:$V)), "N/A - Facility Does Not Report to TRI")</f>
        <v>N/A - Facility Does Not Report to TRI</v>
      </c>
      <c r="AG81" s="9" t="str">
        <f t="shared" si="42"/>
        <v>N/A - Facility Does Not Report to TRI</v>
      </c>
      <c r="AH81" s="9" t="str">
        <f>IF(COUNTIF('Processed Non-zero TRI Data'!$I:$I,$I81)&gt;0,_xlfn.MAXIFS('Processed Non-zero TRI Data'!$V:$V,'Processed Non-zero TRI Data'!$I:$I,$I81), "N/A - Facility Does Not Report to TRI")</f>
        <v>N/A - Facility Does Not Report to TRI</v>
      </c>
      <c r="AI81" s="9" t="str">
        <f t="shared" si="43"/>
        <v>N/A - Facility Does Not Report to TRI</v>
      </c>
      <c r="AJ81" s="158" t="str" cm="1">
        <f t="array" ref="AJ81">IF(B81="TRI Form A",AC81,IF(AH81=0,"Facility has no transfers to POTWs between 2019-2023.",IF(COUNTIF('Processed Non-zero TRI Data'!$I:$I,$I81)&gt;0,INDEX('Processed Non-zero TRI Data'!$A:$A,MATCH(1,($I81='Processed Non-zero TRI Data'!$I:$I)*(AH81='Processed Non-zero TRI Data'!$V:$V),0)),"N/A - Facility Does Not Report to TRI")))</f>
        <v>N/A - Facility Does Not Report to TRI</v>
      </c>
      <c r="AK81" s="97" t="str" cm="1">
        <f t="array" ref="AK81">IFERROR(_xlfn.XLOOKUP(1,  (MAX(IF(I81 = 'Processed Non-zero TRI Data'!$I$2:$I$6,'Processed Non-zero TRI Data'!$A$2:$A$6)) = 'Processed Non-zero TRI Data'!$A$2:$A$6)*('Processed Non-zero TRI Data'!$I$2:$I$6 = I81), 'Processed Non-zero TRI Data'!$X$2:$X$6), "N/A- Facility Does Not Report to TRI")</f>
        <v>N/A- Facility Does Not Report to TRI</v>
      </c>
      <c r="AL81" s="9" t="str">
        <f t="shared" si="44"/>
        <v>N/A - Facility Does Not Report to TRI</v>
      </c>
      <c r="AM81" s="9" t="str" cm="1">
        <f t="array" ref="AM81">IF(COUNTIF('Processed Non-zero TRI Data'!$I:$I,$I81)&gt;0,MEDIAN(IF('Processed Non-zero TRI Data'!$I:$I=I81,'Processed Non-zero TRI Data'!$X:$X)), "N/A - Facility Does Not Report to TRI")</f>
        <v>N/A - Facility Does Not Report to TRI</v>
      </c>
      <c r="AN81" s="9" t="str">
        <f t="shared" si="45"/>
        <v>N/A - Facility Does Not Report to TRI</v>
      </c>
      <c r="AO81" s="9" t="str">
        <f>IF(COUNTIF('Processed Non-zero TRI Data'!$I:$I,$I81)&gt;0,_xlfn.MAXIFS('Processed Non-zero TRI Data'!$X:$X,'Processed Non-zero TRI Data'!$I:$I,$I81), "N/A - Facility Does Not Report to TRI")</f>
        <v>N/A - Facility Does Not Report to TRI</v>
      </c>
      <c r="AP81" s="9" t="str">
        <f t="shared" si="46"/>
        <v>N/A - Facility Does Not Report to TRI</v>
      </c>
      <c r="AQ81" s="251" t="str" cm="1">
        <f t="array" ref="AQ81">IF(B81="TRI Form A",AC81,IF(AO81=0,"Facility has no transfers to non-POTWs between 2019-2023.",IF(COUNTIF('Processed Non-zero TRI Data'!$I:$I,$I81)&gt;0,INDEX('Processed Non-zero TRI Data'!$A:$A,MATCH(1,($I81='Processed Non-zero TRI Data'!$I:$I)*(AO81='Processed Non-zero TRI Data'!$X:$X),0)),"N/A - Facility Does Not Report to TRI")))</f>
        <v>N/A - Facility Does Not Report to TRI</v>
      </c>
      <c r="AR81" s="260">
        <f t="shared" si="47"/>
        <v>0</v>
      </c>
      <c r="AS81" s="260">
        <f t="shared" si="48"/>
        <v>3.0695E-2</v>
      </c>
    </row>
    <row r="82" spans="1:45" ht="30" x14ac:dyDescent="0.25">
      <c r="A82" s="12">
        <v>79</v>
      </c>
      <c r="B82" s="10" t="str">
        <f>IFERROR("TRI Form "&amp; VLOOKUP(I82, 'Processed Non-zero TRI Data'!$I$2:$K$6, 3, FALSE), "DMR")</f>
        <v>DMR</v>
      </c>
      <c r="C82" s="181" t="e">
        <f>VLOOKUP(D82,#REF!, 2, FALSE)</f>
        <v>#REF!</v>
      </c>
      <c r="D82" s="181" t="str">
        <f>IF(I82&lt;&gt;"",INDEX('Processed Non-zero TRI Data'!$O:$O,MATCH(I82,'Processed Non-zero TRI Data'!$I:$I,0)),INDEX('Processed Non-zero DMR Data'!$S:$S,MATCH(J82,'Processed Non-zero DMR Data'!$I:$I,0)))</f>
        <v>Waste Handling, Disposal and Treatment (POTW)</v>
      </c>
      <c r="E82" s="181" t="str">
        <f>IF(I82&lt;&gt;"",INDEX('Processed Non-zero TRI Data'!$P:$P,MATCH(I82,'Processed Non-zero TRI Data'!$I:$I,0)),INDEX('Processed Non-zero DMR Data'!$T:$T,MATCH(J82,'Processed Non-zero DMR Data'!$I:$I,0)))</f>
        <v>POTW indicator in DMR</v>
      </c>
      <c r="F82" s="9" t="str">
        <f>_xlfn.XLOOKUP(J82, 'Processed Non-zero DMR Data'!I:I, 'Processed Non-zero DMR Data'!B:B)</f>
        <v>SFIA, MEL LEONG SANITARY AND INDUSTRIAL TREATMENT PLANTS</v>
      </c>
      <c r="G82" s="9" t="str">
        <f>_xlfn.XLOOKUP(J82, 'Processed Non-zero DMR Data'!I:I, 'Processed Non-zero DMR Data'!C:C)</f>
        <v>SAN FRANCISCO</v>
      </c>
      <c r="H82" s="9" t="str">
        <f>_xlfn.XLOOKUP(J82, 'Processed Non-zero DMR Data'!I:I, 'Processed Non-zero DMR Data'!E:E)</f>
        <v>CA</v>
      </c>
      <c r="I82" s="12"/>
      <c r="J82" s="13">
        <v>110064622519</v>
      </c>
      <c r="K82" s="9" t="str">
        <f>IFERROR(INDEX('Raw Non-zero DMR Data'!$C:$C, MATCH(J82,'Raw Non-zero DMR Data'!$D:$D,0)),"")</f>
        <v>CA0038318</v>
      </c>
      <c r="L82" s="9" t="str">
        <f>IFERROR(INDEX('Raw Non-zero DMR Data'!$U:$U, MATCH($J82,'Raw Non-zero DMR Data'!$D:$D,0)),"")</f>
        <v>San Francisco Bay Estuaries</v>
      </c>
      <c r="M82" s="155">
        <f>IFERROR(INDEX('Raw Non-zero DMR Data'!$T:$T, MATCH($J82,'Raw Non-zero DMR Data'!$D:$D,0)),"")</f>
        <v>180500041001</v>
      </c>
      <c r="N82" s="155" t="str">
        <f>IFERROR(INDEX('Off-site Locations'!$E:$E,MATCH(I82,'Off-site Locations'!$B:$B,0)),"No offsite transfers")</f>
        <v>No offsite transfers</v>
      </c>
      <c r="O82" s="165">
        <f>INDEX('TRI and DMR OES Summary'!D:D,MATCH('Facility Discharge Summary'!D82,'TRI and DMR OES Summary'!A:A,0))</f>
        <v>365</v>
      </c>
      <c r="P82" s="17" cm="1">
        <f t="array" ref="P82">IFERROR(_xlfn.XLOOKUP(1,  (MAX(IF(J82 = 'Processed Non-zero DMR Data'!$I$2:$I$651,'Processed Non-zero DMR Data'!$A$2:$A$651)) = 'Processed Non-zero DMR Data'!$A$2:$A$651)*('Processed Non-zero DMR Data'!$I$2:$I$651 = J82),'Processed Non-zero DMR Data'!$W$2:$W$651), "N/A- Facility Does Not Report DMRs")</f>
        <v>6.4240912499999997E-2</v>
      </c>
      <c r="Q82" s="10">
        <f t="shared" si="35"/>
        <v>1.7600249999999998E-4</v>
      </c>
      <c r="R82" s="10" cm="1">
        <f t="array" ref="R82">IF(COUNTIF('Processed Non-zero DMR Data'!$I:$I,$J82)&gt;0,MEDIAN(IF('Processed Non-zero DMR Data'!$I:$I=J82,'Processed Non-zero DMR Data'!$W:$W)),"N/A - Facility Does Not Report DMRs")</f>
        <v>6.4240912499999997E-2</v>
      </c>
      <c r="S82" s="10">
        <f t="shared" si="36"/>
        <v>1.7600249999999998E-4</v>
      </c>
      <c r="T82" s="10">
        <f>IF(COUNTIF('Processed Non-zero DMR Data'!$I:$I,$J82)&gt;0,_xlfn.MAXIFS('Processed Non-zero DMR Data'!$W:$W,'Processed Non-zero DMR Data'!$I:$I,$J82), "N/A - Facility Does Not Report DMRs")</f>
        <v>6.4240912499999997E-2</v>
      </c>
      <c r="U82" s="10">
        <f t="shared" si="37"/>
        <v>1.7600249999999998E-4</v>
      </c>
      <c r="V82" s="158" cm="1">
        <f t="array" ref="V82">IF(COUNTIF('Processed Non-zero DMR Data'!$I:$I,$J82)&gt;0,INDEX('Processed Non-zero DMR Data'!$A:$A,MATCH(1,($J82='Processed Non-zero DMR Data'!$I:$I)*($T82='Processed Non-zero DMR Data'!$W:$W),0)), "N/A - Facility Does Not Report DMRs")</f>
        <v>2019</v>
      </c>
      <c r="W82" s="17" t="str" cm="1">
        <f t="array" ref="W82">IFERROR(_xlfn.XLOOKUP(1,  (MAX(IF(I82 = 'Processed Non-zero TRI Data'!$I$2:$I$6,'Processed Non-zero TRI Data'!$A$2:$A$6)) = 'Processed Non-zero TRI Data'!$A$2:$A$6)*('Processed Non-zero TRI Data'!$I$2:$I$6 = I82), 'Processed Non-zero TRI Data'!$T$2:$T$6), "N/A- Facility Does Not Report to TRI")</f>
        <v>N/A- Facility Does Not Report to TRI</v>
      </c>
      <c r="X82" s="10" t="str">
        <f t="shared" si="38"/>
        <v>N/A - Facility Does Not Report to TRI</v>
      </c>
      <c r="Y82" s="10" t="str" cm="1">
        <f t="array" ref="Y82">IF(COUNTIF('Processed Non-zero TRI Data'!$I:$I,$I82)&gt;0,MEDIAN(IF('Processed Non-zero TRI Data'!$I:$I=I82,'Processed Non-zero TRI Data'!$T:$T)), "N/A - Facility Does Not Report to TRI")</f>
        <v>N/A - Facility Does Not Report to TRI</v>
      </c>
      <c r="Z82" s="10" t="str">
        <f t="shared" si="39"/>
        <v>N/A - Facility Does Not Report to TRI</v>
      </c>
      <c r="AA82" s="10" t="str">
        <f>IF(COUNTIF('Processed Non-zero TRI Data'!$I:$I,$I82)&gt;0,_xlfn.MAXIFS('Processed Non-zero TRI Data'!$T:$T,'Processed Non-zero TRI Data'!$I:$I,$I82), "N/A - Facility Does Not Report to TRI")</f>
        <v>N/A - Facility Does Not Report to TRI</v>
      </c>
      <c r="AB82" s="10" t="str">
        <f t="shared" si="40"/>
        <v>N/A - Facility Does Not Report to TRI</v>
      </c>
      <c r="AC82" s="158" t="str" cm="1">
        <f t="array" ref="AC82">IFERROR(IF(B82 = "TRI Form R", IF(AA82 = 0, "Facility has no on-site water discharges between 2017-2022.",  IF(COUNTIF('Processed Non-zero TRI Data'!$I:$I,$I82)&gt;0,INDEX('Processed Non-zero TRI Data'!$A:$A,MATCH(1,($I82='Processed Non-zero TRI Data'!$I:$I)*(AA82='Processed Non-zero TRI Data'!$T:$T),0)))), VLOOKUP(I82,#REF!, 2, FALSE)), ("N/A - Facility Does Not Report to TRI"))</f>
        <v>N/A - Facility Does Not Report to TRI</v>
      </c>
      <c r="AD82" s="97" t="str" cm="1">
        <f t="array" ref="AD82">IFERROR(_xlfn.XLOOKUP(1,  (MAX(IF(I82 = 'Processed Non-zero TRI Data'!$I$2:$I$6,'Processed Non-zero TRI Data'!$A$2:$A$6)) = 'Processed Non-zero TRI Data'!$A$2:$A$6)*('Processed Non-zero TRI Data'!$I$2:$I$6 = I82), 'Processed Non-zero TRI Data'!$V$2:$V$6), "N/A- Facility Does Not Report to TRI")</f>
        <v>N/A- Facility Does Not Report to TRI</v>
      </c>
      <c r="AE82" s="9" t="str">
        <f t="shared" si="41"/>
        <v>N/A - Facility Does Not Report to TRI</v>
      </c>
      <c r="AF82" s="9" t="str" cm="1">
        <f t="array" ref="AF82">IF(COUNTIF('Processed Non-zero TRI Data'!$I:$I,$I82)&gt;0,MEDIAN(IF('Processed Non-zero TRI Data'!$I:$I=I82,'Processed Non-zero TRI Data'!$V:$V)), "N/A - Facility Does Not Report to TRI")</f>
        <v>N/A - Facility Does Not Report to TRI</v>
      </c>
      <c r="AG82" s="9" t="str">
        <f t="shared" si="42"/>
        <v>N/A - Facility Does Not Report to TRI</v>
      </c>
      <c r="AH82" s="9" t="str">
        <f>IF(COUNTIF('Processed Non-zero TRI Data'!$I:$I,$I82)&gt;0,_xlfn.MAXIFS('Processed Non-zero TRI Data'!$V:$V,'Processed Non-zero TRI Data'!$I:$I,$I82), "N/A - Facility Does Not Report to TRI")</f>
        <v>N/A - Facility Does Not Report to TRI</v>
      </c>
      <c r="AI82" s="9" t="str">
        <f t="shared" si="43"/>
        <v>N/A - Facility Does Not Report to TRI</v>
      </c>
      <c r="AJ82" s="158" t="str" cm="1">
        <f t="array" ref="AJ82">IF(B82="TRI Form A",AC82,IF(AH82=0,"Facility has no transfers to POTWs between 2019-2023.",IF(COUNTIF('Processed Non-zero TRI Data'!$I:$I,$I82)&gt;0,INDEX('Processed Non-zero TRI Data'!$A:$A,MATCH(1,($I82='Processed Non-zero TRI Data'!$I:$I)*(AH82='Processed Non-zero TRI Data'!$V:$V),0)),"N/A - Facility Does Not Report to TRI")))</f>
        <v>N/A - Facility Does Not Report to TRI</v>
      </c>
      <c r="AK82" s="97" t="str" cm="1">
        <f t="array" ref="AK82">IFERROR(_xlfn.XLOOKUP(1,  (MAX(IF(I82 = 'Processed Non-zero TRI Data'!$I$2:$I$6,'Processed Non-zero TRI Data'!$A$2:$A$6)) = 'Processed Non-zero TRI Data'!$A$2:$A$6)*('Processed Non-zero TRI Data'!$I$2:$I$6 = I82), 'Processed Non-zero TRI Data'!$X$2:$X$6), "N/A- Facility Does Not Report to TRI")</f>
        <v>N/A- Facility Does Not Report to TRI</v>
      </c>
      <c r="AL82" s="9" t="str">
        <f t="shared" si="44"/>
        <v>N/A - Facility Does Not Report to TRI</v>
      </c>
      <c r="AM82" s="9" t="str" cm="1">
        <f t="array" ref="AM82">IF(COUNTIF('Processed Non-zero TRI Data'!$I:$I,$I82)&gt;0,MEDIAN(IF('Processed Non-zero TRI Data'!$I:$I=I82,'Processed Non-zero TRI Data'!$X:$X)), "N/A - Facility Does Not Report to TRI")</f>
        <v>N/A - Facility Does Not Report to TRI</v>
      </c>
      <c r="AN82" s="9" t="str">
        <f t="shared" si="45"/>
        <v>N/A - Facility Does Not Report to TRI</v>
      </c>
      <c r="AO82" s="9" t="str">
        <f>IF(COUNTIF('Processed Non-zero TRI Data'!$I:$I,$I82)&gt;0,_xlfn.MAXIFS('Processed Non-zero TRI Data'!$X:$X,'Processed Non-zero TRI Data'!$I:$I,$I82), "N/A - Facility Does Not Report to TRI")</f>
        <v>N/A - Facility Does Not Report to TRI</v>
      </c>
      <c r="AP82" s="9" t="str">
        <f t="shared" si="46"/>
        <v>N/A - Facility Does Not Report to TRI</v>
      </c>
      <c r="AQ82" s="251" t="str" cm="1">
        <f t="array" ref="AQ82">IF(B82="TRI Form A",AC82,IF(AO82=0,"Facility has no transfers to non-POTWs between 2019-2023.",IF(COUNTIF('Processed Non-zero TRI Data'!$I:$I,$I82)&gt;0,INDEX('Processed Non-zero TRI Data'!$A:$A,MATCH(1,($I82='Processed Non-zero TRI Data'!$I:$I)*(AO82='Processed Non-zero TRI Data'!$X:$X),0)),"N/A - Facility Does Not Report to TRI")))</f>
        <v>N/A - Facility Does Not Report to TRI</v>
      </c>
      <c r="AR82" s="260">
        <f t="shared" si="47"/>
        <v>0</v>
      </c>
      <c r="AS82" s="260">
        <f t="shared" si="48"/>
        <v>6.4240912499999997E-2</v>
      </c>
    </row>
    <row r="83" spans="1:45" ht="30" x14ac:dyDescent="0.25">
      <c r="A83" s="12">
        <v>80</v>
      </c>
      <c r="B83" s="10" t="str">
        <f>IFERROR("TRI Form "&amp; VLOOKUP(I83, 'Processed Non-zero TRI Data'!$I$2:$K$6, 3, FALSE), "DMR")</f>
        <v>DMR</v>
      </c>
      <c r="C83" s="181" t="e">
        <f>VLOOKUP(D83,#REF!, 2, FALSE)</f>
        <v>#REF!</v>
      </c>
      <c r="D83" s="181" t="str">
        <f>IF(I83&lt;&gt;"",INDEX('Processed Non-zero TRI Data'!$O:$O,MATCH(I83,'Processed Non-zero TRI Data'!$I:$I,0)),INDEX('Processed Non-zero DMR Data'!$S:$S,MATCH(J83,'Processed Non-zero DMR Data'!$I:$I,0)))</f>
        <v>Waste Handling, Disposal and Treatment (POTW)</v>
      </c>
      <c r="E83" s="181" t="str">
        <f>IF(I83&lt;&gt;"",INDEX('Processed Non-zero TRI Data'!$P:$P,MATCH(I83,'Processed Non-zero TRI Data'!$I:$I,0)),INDEX('Processed Non-zero DMR Data'!$T:$T,MATCH(J83,'Processed Non-zero DMR Data'!$I:$I,0)))</f>
        <v>POTW indicator in DMR</v>
      </c>
      <c r="F83" s="9" t="str">
        <f>_xlfn.XLOOKUP(J83, 'Processed Non-zero DMR Data'!I:I, 'Processed Non-zero DMR Data'!B:B)</f>
        <v>OWENSBORO EAST WWTP</v>
      </c>
      <c r="G83" s="9" t="str">
        <f>_xlfn.XLOOKUP(J83, 'Processed Non-zero DMR Data'!I:I, 'Processed Non-zero DMR Data'!C:C)</f>
        <v>OWENSBORO</v>
      </c>
      <c r="H83" s="9" t="str">
        <f>_xlfn.XLOOKUP(J83, 'Processed Non-zero DMR Data'!I:I, 'Processed Non-zero DMR Data'!E:E)</f>
        <v>KY</v>
      </c>
      <c r="I83" s="12"/>
      <c r="J83" s="13">
        <v>110043734983</v>
      </c>
      <c r="K83" s="9" t="str">
        <f>IFERROR(INDEX('Raw Non-zero DMR Data'!$C:$C, MATCH(J83,'Raw Non-zero DMR Data'!$D:$D,0)),"")</f>
        <v>KY0073377</v>
      </c>
      <c r="L83" s="9" t="str">
        <f>IFERROR(INDEX('Raw Non-zero DMR Data'!$U:$U, MATCH($J83,'Raw Non-zero DMR Data'!$D:$D,0)),"")</f>
        <v>Yellow Creek</v>
      </c>
      <c r="M83" s="155" t="str">
        <f>IFERROR(INDEX('Raw Non-zero DMR Data'!$T:$T, MATCH($J83,'Raw Non-zero DMR Data'!$D:$D,0)),"")</f>
        <v>051402011201</v>
      </c>
      <c r="N83" s="155" t="str">
        <f>IFERROR(INDEX('Off-site Locations'!$E:$E,MATCH(I83,'Off-site Locations'!$B:$B,0)),"No offsite transfers")</f>
        <v>No offsite transfers</v>
      </c>
      <c r="O83" s="165">
        <f>INDEX('TRI and DMR OES Summary'!D:D,MATCH('Facility Discharge Summary'!D83,'TRI and DMR OES Summary'!A:A,0))</f>
        <v>365</v>
      </c>
      <c r="P83" s="17" cm="1">
        <f t="array" ref="P83">IFERROR(_xlfn.XLOOKUP(1,  (MAX(IF(J83 = 'Processed Non-zero DMR Data'!$I$2:$I$651,'Processed Non-zero DMR Data'!$A$2:$A$651)) = 'Processed Non-zero DMR Data'!$A$2:$A$651)*('Processed Non-zero DMR Data'!$I$2:$I$651 = J83),'Processed Non-zero DMR Data'!$W$2:$W$651), "N/A- Facility Does Not Report DMRs")</f>
        <v>4.7248155000000001</v>
      </c>
      <c r="Q83" s="10">
        <f t="shared" si="35"/>
        <v>1.29447E-2</v>
      </c>
      <c r="R83" s="10" cm="1">
        <f t="array" ref="R83">IF(COUNTIF('Processed Non-zero DMR Data'!$I:$I,$J83)&gt;0,MEDIAN(IF('Processed Non-zero DMR Data'!$I:$I=J83,'Processed Non-zero DMR Data'!$W:$W)),"N/A - Facility Does Not Report DMRs")</f>
        <v>14.333321874999999</v>
      </c>
      <c r="S83" s="10">
        <f t="shared" si="36"/>
        <v>3.9269374999999995E-2</v>
      </c>
      <c r="T83" s="10">
        <f>IF(COUNTIF('Processed Non-zero DMR Data'!$I:$I,$J83)&gt;0,_xlfn.MAXIFS('Processed Non-zero DMR Data'!$W:$W,'Processed Non-zero DMR Data'!$I:$I,$J83), "N/A - Facility Does Not Report DMRs")</f>
        <v>29.9790925</v>
      </c>
      <c r="U83" s="10">
        <f t="shared" si="37"/>
        <v>8.2134499999999999E-2</v>
      </c>
      <c r="V83" s="158" cm="1">
        <f t="array" ref="V83">IF(COUNTIF('Processed Non-zero DMR Data'!$I:$I,$J83)&gt;0,INDEX('Processed Non-zero DMR Data'!$A:$A,MATCH(1,($J83='Processed Non-zero DMR Data'!$I:$I)*($T83='Processed Non-zero DMR Data'!$W:$W),0)), "N/A - Facility Does Not Report DMRs")</f>
        <v>2020</v>
      </c>
      <c r="W83" s="17" t="str" cm="1">
        <f t="array" ref="W83">IFERROR(_xlfn.XLOOKUP(1,  (MAX(IF(I83 = 'Processed Non-zero TRI Data'!$I$2:$I$6,'Processed Non-zero TRI Data'!$A$2:$A$6)) = 'Processed Non-zero TRI Data'!$A$2:$A$6)*('Processed Non-zero TRI Data'!$I$2:$I$6 = I83), 'Processed Non-zero TRI Data'!$T$2:$T$6), "N/A- Facility Does Not Report to TRI")</f>
        <v>N/A- Facility Does Not Report to TRI</v>
      </c>
      <c r="X83" s="10" t="str">
        <f t="shared" si="38"/>
        <v>N/A - Facility Does Not Report to TRI</v>
      </c>
      <c r="Y83" s="10" t="str" cm="1">
        <f t="array" ref="Y83">IF(COUNTIF('Processed Non-zero TRI Data'!$I:$I,$I83)&gt;0,MEDIAN(IF('Processed Non-zero TRI Data'!$I:$I=I83,'Processed Non-zero TRI Data'!$T:$T)), "N/A - Facility Does Not Report to TRI")</f>
        <v>N/A - Facility Does Not Report to TRI</v>
      </c>
      <c r="Z83" s="10" t="str">
        <f t="shared" si="39"/>
        <v>N/A - Facility Does Not Report to TRI</v>
      </c>
      <c r="AA83" s="10" t="str">
        <f>IF(COUNTIF('Processed Non-zero TRI Data'!$I:$I,$I83)&gt;0,_xlfn.MAXIFS('Processed Non-zero TRI Data'!$T:$T,'Processed Non-zero TRI Data'!$I:$I,$I83), "N/A - Facility Does Not Report to TRI")</f>
        <v>N/A - Facility Does Not Report to TRI</v>
      </c>
      <c r="AB83" s="10" t="str">
        <f t="shared" si="40"/>
        <v>N/A - Facility Does Not Report to TRI</v>
      </c>
      <c r="AC83" s="158" t="str" cm="1">
        <f t="array" ref="AC83">IFERROR(IF(B83 = "TRI Form R", IF(AA83 = 0, "Facility has no on-site water discharges between 2017-2022.",  IF(COUNTIF('Processed Non-zero TRI Data'!$I:$I,$I83)&gt;0,INDEX('Processed Non-zero TRI Data'!$A:$A,MATCH(1,($I83='Processed Non-zero TRI Data'!$I:$I)*(AA83='Processed Non-zero TRI Data'!$T:$T),0)))), VLOOKUP(I83,#REF!, 2, FALSE)), ("N/A - Facility Does Not Report to TRI"))</f>
        <v>N/A - Facility Does Not Report to TRI</v>
      </c>
      <c r="AD83" s="97" t="str" cm="1">
        <f t="array" ref="AD83">IFERROR(_xlfn.XLOOKUP(1,  (MAX(IF(I83 = 'Processed Non-zero TRI Data'!$I$2:$I$6,'Processed Non-zero TRI Data'!$A$2:$A$6)) = 'Processed Non-zero TRI Data'!$A$2:$A$6)*('Processed Non-zero TRI Data'!$I$2:$I$6 = I83), 'Processed Non-zero TRI Data'!$V$2:$V$6), "N/A- Facility Does Not Report to TRI")</f>
        <v>N/A- Facility Does Not Report to TRI</v>
      </c>
      <c r="AE83" s="9" t="str">
        <f t="shared" si="41"/>
        <v>N/A - Facility Does Not Report to TRI</v>
      </c>
      <c r="AF83" s="9" t="str" cm="1">
        <f t="array" ref="AF83">IF(COUNTIF('Processed Non-zero TRI Data'!$I:$I,$I83)&gt;0,MEDIAN(IF('Processed Non-zero TRI Data'!$I:$I=I83,'Processed Non-zero TRI Data'!$V:$V)), "N/A - Facility Does Not Report to TRI")</f>
        <v>N/A - Facility Does Not Report to TRI</v>
      </c>
      <c r="AG83" s="9" t="str">
        <f t="shared" si="42"/>
        <v>N/A - Facility Does Not Report to TRI</v>
      </c>
      <c r="AH83" s="9" t="str">
        <f>IF(COUNTIF('Processed Non-zero TRI Data'!$I:$I,$I83)&gt;0,_xlfn.MAXIFS('Processed Non-zero TRI Data'!$V:$V,'Processed Non-zero TRI Data'!$I:$I,$I83), "N/A - Facility Does Not Report to TRI")</f>
        <v>N/A - Facility Does Not Report to TRI</v>
      </c>
      <c r="AI83" s="9" t="str">
        <f t="shared" si="43"/>
        <v>N/A - Facility Does Not Report to TRI</v>
      </c>
      <c r="AJ83" s="158" t="str" cm="1">
        <f t="array" ref="AJ83">IF(B83="TRI Form A",AC83,IF(AH83=0,"Facility has no transfers to POTWs between 2019-2023.",IF(COUNTIF('Processed Non-zero TRI Data'!$I:$I,$I83)&gt;0,INDEX('Processed Non-zero TRI Data'!$A:$A,MATCH(1,($I83='Processed Non-zero TRI Data'!$I:$I)*(AH83='Processed Non-zero TRI Data'!$V:$V),0)),"N/A - Facility Does Not Report to TRI")))</f>
        <v>N/A - Facility Does Not Report to TRI</v>
      </c>
      <c r="AK83" s="97" t="str" cm="1">
        <f t="array" ref="AK83">IFERROR(_xlfn.XLOOKUP(1,  (MAX(IF(I83 = 'Processed Non-zero TRI Data'!$I$2:$I$6,'Processed Non-zero TRI Data'!$A$2:$A$6)) = 'Processed Non-zero TRI Data'!$A$2:$A$6)*('Processed Non-zero TRI Data'!$I$2:$I$6 = I83), 'Processed Non-zero TRI Data'!$X$2:$X$6), "N/A- Facility Does Not Report to TRI")</f>
        <v>N/A- Facility Does Not Report to TRI</v>
      </c>
      <c r="AL83" s="9" t="str">
        <f t="shared" si="44"/>
        <v>N/A - Facility Does Not Report to TRI</v>
      </c>
      <c r="AM83" s="9" t="str" cm="1">
        <f t="array" ref="AM83">IF(COUNTIF('Processed Non-zero TRI Data'!$I:$I,$I83)&gt;0,MEDIAN(IF('Processed Non-zero TRI Data'!$I:$I=I83,'Processed Non-zero TRI Data'!$X:$X)), "N/A - Facility Does Not Report to TRI")</f>
        <v>N/A - Facility Does Not Report to TRI</v>
      </c>
      <c r="AN83" s="9" t="str">
        <f t="shared" si="45"/>
        <v>N/A - Facility Does Not Report to TRI</v>
      </c>
      <c r="AO83" s="9" t="str">
        <f>IF(COUNTIF('Processed Non-zero TRI Data'!$I:$I,$I83)&gt;0,_xlfn.MAXIFS('Processed Non-zero TRI Data'!$X:$X,'Processed Non-zero TRI Data'!$I:$I,$I83), "N/A - Facility Does Not Report to TRI")</f>
        <v>N/A - Facility Does Not Report to TRI</v>
      </c>
      <c r="AP83" s="9" t="str">
        <f t="shared" si="46"/>
        <v>N/A - Facility Does Not Report to TRI</v>
      </c>
      <c r="AQ83" s="251" t="str" cm="1">
        <f t="array" ref="AQ83">IF(B83="TRI Form A",AC83,IF(AO83=0,"Facility has no transfers to non-POTWs between 2019-2023.",IF(COUNTIF('Processed Non-zero TRI Data'!$I:$I,$I83)&gt;0,INDEX('Processed Non-zero TRI Data'!$A:$A,MATCH(1,($I83='Processed Non-zero TRI Data'!$I:$I)*(AO83='Processed Non-zero TRI Data'!$X:$X),0)),"N/A - Facility Does Not Report to TRI")))</f>
        <v>N/A - Facility Does Not Report to TRI</v>
      </c>
      <c r="AR83" s="260">
        <f t="shared" si="47"/>
        <v>0</v>
      </c>
      <c r="AS83" s="260">
        <f t="shared" si="48"/>
        <v>29.9790925</v>
      </c>
    </row>
    <row r="84" spans="1:45" ht="45" x14ac:dyDescent="0.25">
      <c r="A84" s="12">
        <v>81</v>
      </c>
      <c r="B84" s="10" t="str">
        <f>IFERROR("TRI Form "&amp; VLOOKUP(I84, 'Processed Non-zero TRI Data'!$I$2:$K$6, 3, FALSE), "DMR")</f>
        <v>DMR</v>
      </c>
      <c r="C84" s="181" t="e">
        <f>VLOOKUP(D84,#REF!, 2, FALSE)</f>
        <v>#REF!</v>
      </c>
      <c r="D84" s="181" t="str">
        <f>IF(I84&lt;&gt;"",INDEX('Processed Non-zero TRI Data'!$O:$O,MATCH(I84,'Processed Non-zero TRI Data'!$I:$I,0)),INDEX('Processed Non-zero DMR Data'!$S:$S,MATCH(J84,'Processed Non-zero DMR Data'!$I:$I,0)))</f>
        <v>Impurity in Plastics</v>
      </c>
      <c r="E84" s="181" t="str">
        <f>IF(I84&lt;&gt;"",INDEX('Processed Non-zero TRI Data'!$P:$P,MATCH(I84,'Processed Non-zero TRI Data'!$I:$I,0)),INDEX('Processed Non-zero DMR Data'!$T:$T,MATCH(J84,'Processed Non-zero DMR Data'!$I:$I,0)))</f>
        <v>Plastics SIC/NAICS - EPA-HQ-OPPT-2018-0428-0011 indicates 1,2-dichloropropane can be a residual/byproduct in PVC plastics or a flame retardant plasticizer.</v>
      </c>
      <c r="F84" s="9" t="str">
        <f>_xlfn.XLOOKUP(J84, 'Processed Non-zero DMR Data'!I:I, 'Processed Non-zero DMR Data'!B:B)</f>
        <v>DDP SPECIALTY ELECTRONIC MATERIALS US LLC</v>
      </c>
      <c r="G84" s="9" t="str">
        <f>_xlfn.XLOOKUP(J84, 'Processed Non-zero DMR Data'!I:I, 'Processed Non-zero DMR Data'!C:C)</f>
        <v>DALTON</v>
      </c>
      <c r="H84" s="9" t="str">
        <f>_xlfn.XLOOKUP(J84, 'Processed Non-zero DMR Data'!I:I, 'Processed Non-zero DMR Data'!E:E)</f>
        <v>GA</v>
      </c>
      <c r="I84" s="12"/>
      <c r="J84" s="13">
        <v>110000611703</v>
      </c>
      <c r="K84" s="9" t="str">
        <f>IFERROR(INDEX('Raw Non-zero DMR Data'!$C:$C, MATCH(J84,'Raw Non-zero DMR Data'!$D:$D,0)),"")</f>
        <v>GA0000426</v>
      </c>
      <c r="L84" s="9" t="str">
        <f>IFERROR(INDEX('Raw Non-zero DMR Data'!$U:$U, MATCH($J84,'Raw Non-zero DMR Data'!$D:$D,0)),"")</f>
        <v>Jobs Creek-Conasauga River</v>
      </c>
      <c r="M84" s="155" t="str">
        <f>IFERROR(INDEX('Raw Non-zero DMR Data'!$T:$T, MATCH($J84,'Raw Non-zero DMR Data'!$D:$D,0)),"")</f>
        <v>031501010504</v>
      </c>
      <c r="N84" s="155" t="str">
        <f>IFERROR(INDEX('Off-site Locations'!$E:$E,MATCH(I84,'Off-site Locations'!$B:$B,0)),"No offsite transfers")</f>
        <v>No offsite transfers</v>
      </c>
      <c r="O84" s="165">
        <f>INDEX('TRI and DMR OES Summary'!D:D,MATCH('Facility Discharge Summary'!D84,'TRI and DMR OES Summary'!A:A,0))</f>
        <v>350</v>
      </c>
      <c r="P84" s="17" cm="1">
        <f t="array" ref="P84">IFERROR(_xlfn.XLOOKUP(1,  (MAX(IF(J84 = 'Processed Non-zero DMR Data'!$I$2:$I$651,'Processed Non-zero DMR Data'!$A$2:$A$651)) = 'Processed Non-zero DMR Data'!$A$2:$A$651)*('Processed Non-zero DMR Data'!$I$2:$I$651 = J84),'Processed Non-zero DMR Data'!$W$2:$W$651), "N/A- Facility Does Not Report DMRs")</f>
        <v>7.0369999999999999E-3</v>
      </c>
      <c r="Q84" s="10">
        <f t="shared" si="35"/>
        <v>2.0105714285714284E-5</v>
      </c>
      <c r="R84" s="10" cm="1">
        <f t="array" ref="R84">IF(COUNTIF('Processed Non-zero DMR Data'!$I:$I,$J84)&gt;0,MEDIAN(IF('Processed Non-zero DMR Data'!$I:$I=J84,'Processed Non-zero DMR Data'!$W:$W)),"N/A - Facility Does Not Report DMRs")</f>
        <v>2.1111000000000001E-2</v>
      </c>
      <c r="S84" s="10">
        <f t="shared" si="36"/>
        <v>6.0317142857142862E-5</v>
      </c>
      <c r="T84" s="10">
        <f>IF(COUNTIF('Processed Non-zero DMR Data'!$I:$I,$J84)&gt;0,_xlfn.MAXIFS('Processed Non-zero DMR Data'!$W:$W,'Processed Non-zero DMR Data'!$I:$I,$J84), "N/A - Facility Does Not Report DMRs")</f>
        <v>2.8147999999999999E-2</v>
      </c>
      <c r="U84" s="10">
        <f t="shared" si="37"/>
        <v>8.0422857142857136E-5</v>
      </c>
      <c r="V84" s="158" cm="1">
        <f t="array" ref="V84">IF(COUNTIF('Processed Non-zero DMR Data'!$I:$I,$J84)&gt;0,INDEX('Processed Non-zero DMR Data'!$A:$A,MATCH(1,($J84='Processed Non-zero DMR Data'!$I:$I)*($T84='Processed Non-zero DMR Data'!$W:$W),0)), "N/A - Facility Does Not Report DMRs")</f>
        <v>2020</v>
      </c>
      <c r="W84" s="17" t="str" cm="1">
        <f t="array" ref="W84">IFERROR(_xlfn.XLOOKUP(1,  (MAX(IF(I84 = 'Processed Non-zero TRI Data'!$I$2:$I$6,'Processed Non-zero TRI Data'!$A$2:$A$6)) = 'Processed Non-zero TRI Data'!$A$2:$A$6)*('Processed Non-zero TRI Data'!$I$2:$I$6 = I84), 'Processed Non-zero TRI Data'!$T$2:$T$6), "N/A- Facility Does Not Report to TRI")</f>
        <v>N/A- Facility Does Not Report to TRI</v>
      </c>
      <c r="X84" s="10" t="str">
        <f t="shared" si="38"/>
        <v>N/A - Facility Does Not Report to TRI</v>
      </c>
      <c r="Y84" s="10" t="str" cm="1">
        <f t="array" ref="Y84">IF(COUNTIF('Processed Non-zero TRI Data'!$I:$I,$I84)&gt;0,MEDIAN(IF('Processed Non-zero TRI Data'!$I:$I=I84,'Processed Non-zero TRI Data'!$T:$T)), "N/A - Facility Does Not Report to TRI")</f>
        <v>N/A - Facility Does Not Report to TRI</v>
      </c>
      <c r="Z84" s="10" t="str">
        <f t="shared" si="39"/>
        <v>N/A - Facility Does Not Report to TRI</v>
      </c>
      <c r="AA84" s="10" t="str">
        <f>IF(COUNTIF('Processed Non-zero TRI Data'!$I:$I,$I84)&gt;0,_xlfn.MAXIFS('Processed Non-zero TRI Data'!$T:$T,'Processed Non-zero TRI Data'!$I:$I,$I84), "N/A - Facility Does Not Report to TRI")</f>
        <v>N/A - Facility Does Not Report to TRI</v>
      </c>
      <c r="AB84" s="10" t="str">
        <f t="shared" si="40"/>
        <v>N/A - Facility Does Not Report to TRI</v>
      </c>
      <c r="AC84" s="158" t="str" cm="1">
        <f t="array" ref="AC84">IFERROR(IF(B84 = "TRI Form R", IF(AA84 = 0, "Facility has no on-site water discharges between 2017-2022.",  IF(COUNTIF('Processed Non-zero TRI Data'!$I:$I,$I84)&gt;0,INDEX('Processed Non-zero TRI Data'!$A:$A,MATCH(1,($I84='Processed Non-zero TRI Data'!$I:$I)*(AA84='Processed Non-zero TRI Data'!$T:$T),0)))), VLOOKUP(I84,#REF!, 2, FALSE)), ("N/A - Facility Does Not Report to TRI"))</f>
        <v>N/A - Facility Does Not Report to TRI</v>
      </c>
      <c r="AD84" s="97" t="str" cm="1">
        <f t="array" ref="AD84">IFERROR(_xlfn.XLOOKUP(1,  (MAX(IF(I84 = 'Processed Non-zero TRI Data'!$I$2:$I$6,'Processed Non-zero TRI Data'!$A$2:$A$6)) = 'Processed Non-zero TRI Data'!$A$2:$A$6)*('Processed Non-zero TRI Data'!$I$2:$I$6 = I84), 'Processed Non-zero TRI Data'!$V$2:$V$6), "N/A- Facility Does Not Report to TRI")</f>
        <v>N/A- Facility Does Not Report to TRI</v>
      </c>
      <c r="AE84" s="9" t="str">
        <f t="shared" si="41"/>
        <v>N/A - Facility Does Not Report to TRI</v>
      </c>
      <c r="AF84" s="9" t="str" cm="1">
        <f t="array" ref="AF84">IF(COUNTIF('Processed Non-zero TRI Data'!$I:$I,$I84)&gt;0,MEDIAN(IF('Processed Non-zero TRI Data'!$I:$I=I84,'Processed Non-zero TRI Data'!$V:$V)), "N/A - Facility Does Not Report to TRI")</f>
        <v>N/A - Facility Does Not Report to TRI</v>
      </c>
      <c r="AG84" s="9" t="str">
        <f t="shared" si="42"/>
        <v>N/A - Facility Does Not Report to TRI</v>
      </c>
      <c r="AH84" s="9" t="str">
        <f>IF(COUNTIF('Processed Non-zero TRI Data'!$I:$I,$I84)&gt;0,_xlfn.MAXIFS('Processed Non-zero TRI Data'!$V:$V,'Processed Non-zero TRI Data'!$I:$I,$I84), "N/A - Facility Does Not Report to TRI")</f>
        <v>N/A - Facility Does Not Report to TRI</v>
      </c>
      <c r="AI84" s="9" t="str">
        <f t="shared" si="43"/>
        <v>N/A - Facility Does Not Report to TRI</v>
      </c>
      <c r="AJ84" s="158" t="str" cm="1">
        <f t="array" ref="AJ84">IF(B84="TRI Form A",AC84,IF(AH84=0,"Facility has no transfers to POTWs between 2019-2023.",IF(COUNTIF('Processed Non-zero TRI Data'!$I:$I,$I84)&gt;0,INDEX('Processed Non-zero TRI Data'!$A:$A,MATCH(1,($I84='Processed Non-zero TRI Data'!$I:$I)*(AH84='Processed Non-zero TRI Data'!$V:$V),0)),"N/A - Facility Does Not Report to TRI")))</f>
        <v>N/A - Facility Does Not Report to TRI</v>
      </c>
      <c r="AK84" s="97" t="str" cm="1">
        <f t="array" ref="AK84">IFERROR(_xlfn.XLOOKUP(1,  (MAX(IF(I84 = 'Processed Non-zero TRI Data'!$I$2:$I$6,'Processed Non-zero TRI Data'!$A$2:$A$6)) = 'Processed Non-zero TRI Data'!$A$2:$A$6)*('Processed Non-zero TRI Data'!$I$2:$I$6 = I84), 'Processed Non-zero TRI Data'!$X$2:$X$6), "N/A- Facility Does Not Report to TRI")</f>
        <v>N/A- Facility Does Not Report to TRI</v>
      </c>
      <c r="AL84" s="9" t="str">
        <f t="shared" si="44"/>
        <v>N/A - Facility Does Not Report to TRI</v>
      </c>
      <c r="AM84" s="9" t="str" cm="1">
        <f t="array" ref="AM84">IF(COUNTIF('Processed Non-zero TRI Data'!$I:$I,$I84)&gt;0,MEDIAN(IF('Processed Non-zero TRI Data'!$I:$I=I84,'Processed Non-zero TRI Data'!$X:$X)), "N/A - Facility Does Not Report to TRI")</f>
        <v>N/A - Facility Does Not Report to TRI</v>
      </c>
      <c r="AN84" s="9" t="str">
        <f t="shared" si="45"/>
        <v>N/A - Facility Does Not Report to TRI</v>
      </c>
      <c r="AO84" s="9" t="str">
        <f>IF(COUNTIF('Processed Non-zero TRI Data'!$I:$I,$I84)&gt;0,_xlfn.MAXIFS('Processed Non-zero TRI Data'!$X:$X,'Processed Non-zero TRI Data'!$I:$I,$I84), "N/A - Facility Does Not Report to TRI")</f>
        <v>N/A - Facility Does Not Report to TRI</v>
      </c>
      <c r="AP84" s="9" t="str">
        <f t="shared" si="46"/>
        <v>N/A - Facility Does Not Report to TRI</v>
      </c>
      <c r="AQ84" s="251" t="str" cm="1">
        <f t="array" ref="AQ84">IF(B84="TRI Form A",AC84,IF(AO84=0,"Facility has no transfers to non-POTWs between 2019-2023.",IF(COUNTIF('Processed Non-zero TRI Data'!$I:$I,$I84)&gt;0,INDEX('Processed Non-zero TRI Data'!$A:$A,MATCH(1,($I84='Processed Non-zero TRI Data'!$I:$I)*(AO84='Processed Non-zero TRI Data'!$X:$X),0)),"N/A - Facility Does Not Report to TRI")))</f>
        <v>N/A - Facility Does Not Report to TRI</v>
      </c>
      <c r="AR84" s="260">
        <f t="shared" si="47"/>
        <v>0</v>
      </c>
      <c r="AS84" s="260">
        <f t="shared" si="48"/>
        <v>2.8147999999999999E-2</v>
      </c>
    </row>
    <row r="85" spans="1:45" ht="45" x14ac:dyDescent="0.25">
      <c r="A85" s="12">
        <v>82</v>
      </c>
      <c r="B85" s="10" t="str">
        <f>IFERROR("TRI Form "&amp; VLOOKUP(I85, 'Processed Non-zero TRI Data'!$I$2:$K$6, 3, FALSE), "DMR")</f>
        <v>DMR</v>
      </c>
      <c r="C85" s="181" t="e">
        <f>VLOOKUP(D85,#REF!, 2, FALSE)</f>
        <v>#REF!</v>
      </c>
      <c r="D85" s="181" t="str">
        <f>IF(I85&lt;&gt;"",INDEX('Processed Non-zero TRI Data'!$O:$O,MATCH(I85,'Processed Non-zero TRI Data'!$I:$I,0)),INDEX('Processed Non-zero DMR Data'!$S:$S,MATCH(J85,'Processed Non-zero DMR Data'!$I:$I,0)))</f>
        <v>Impurity in Plastics</v>
      </c>
      <c r="E85" s="181" t="str">
        <f>IF(I85&lt;&gt;"",INDEX('Processed Non-zero TRI Data'!$P:$P,MATCH(I85,'Processed Non-zero TRI Data'!$I:$I,0)),INDEX('Processed Non-zero DMR Data'!$T:$T,MATCH(J85,'Processed Non-zero DMR Data'!$I:$I,0)))</f>
        <v>Plastics SIC/NAICS - EPA-HQ-OPPT-2018-0428-0011 indicates 1,2-dichloropropane can be a residual/byproduct in PVC plastics or a flame retardant plasticizer.</v>
      </c>
      <c r="F85" s="9" t="str">
        <f>_xlfn.XLOOKUP(J85, 'Processed Non-zero DMR Data'!I:I, 'Processed Non-zero DMR Data'!B:B)</f>
        <v>SABIC INNOVATIVE PLASTICS - MT. VERNON</v>
      </c>
      <c r="G85" s="9" t="str">
        <f>_xlfn.XLOOKUP(J85, 'Processed Non-zero DMR Data'!I:I, 'Processed Non-zero DMR Data'!C:C)</f>
        <v>MT. VERNON</v>
      </c>
      <c r="H85" s="9" t="str">
        <f>_xlfn.XLOOKUP(J85, 'Processed Non-zero DMR Data'!I:I, 'Processed Non-zero DMR Data'!E:E)</f>
        <v>IN</v>
      </c>
      <c r="I85" s="12"/>
      <c r="J85" s="13">
        <v>110000403670</v>
      </c>
      <c r="K85" s="9" t="str">
        <f>IFERROR(INDEX('Raw Non-zero DMR Data'!$C:$C, MATCH(J85,'Raw Non-zero DMR Data'!$D:$D,0)),"")</f>
        <v>IN0002101</v>
      </c>
      <c r="L85" s="9" t="str">
        <f>IFERROR(INDEX('Raw Non-zero DMR Data'!$U:$U, MATCH($J85,'Raw Non-zero DMR Data'!$D:$D,0)),"")</f>
        <v>Beaverdam Creek-Ohio River</v>
      </c>
      <c r="M85" s="155" t="str">
        <f>IFERROR(INDEX('Raw Non-zero DMR Data'!$T:$T, MATCH($J85,'Raw Non-zero DMR Data'!$D:$D,0)),"")</f>
        <v>051402020605</v>
      </c>
      <c r="N85" s="155" t="str">
        <f>IFERROR(INDEX('Off-site Locations'!$E:$E,MATCH(I85,'Off-site Locations'!$B:$B,0)),"No offsite transfers")</f>
        <v>No offsite transfers</v>
      </c>
      <c r="O85" s="165">
        <f>INDEX('TRI and DMR OES Summary'!D:D,MATCH('Facility Discharge Summary'!D85,'TRI and DMR OES Summary'!A:A,0))</f>
        <v>350</v>
      </c>
      <c r="P85" s="17" cm="1">
        <f t="array" ref="P85">IFERROR(_xlfn.XLOOKUP(1,  (MAX(IF(J85 = 'Processed Non-zero DMR Data'!$I$2:$I$651,'Processed Non-zero DMR Data'!$A$2:$A$651)) = 'Processed Non-zero DMR Data'!$A$2:$A$651)*('Processed Non-zero DMR Data'!$I$2:$I$651 = J85),'Processed Non-zero DMR Data'!$W$2:$W$651), "N/A- Facility Does Not Report DMRs")</f>
        <v>3.34144</v>
      </c>
      <c r="Q85" s="10">
        <f t="shared" si="35"/>
        <v>9.5469714285714279E-3</v>
      </c>
      <c r="R85" s="10" cm="1">
        <f t="array" ref="R85">IF(COUNTIF('Processed Non-zero DMR Data'!$I:$I,$J85)&gt;0,MEDIAN(IF('Processed Non-zero DMR Data'!$I:$I=J85,'Processed Non-zero DMR Data'!$W:$W)),"N/A - Facility Does Not Report DMRs")</f>
        <v>7.5182399999999996</v>
      </c>
      <c r="S85" s="10">
        <f t="shared" si="36"/>
        <v>2.1480685714285713E-2</v>
      </c>
      <c r="T85" s="10">
        <f>IF(COUNTIF('Processed Non-zero DMR Data'!$I:$I,$J85)&gt;0,_xlfn.MAXIFS('Processed Non-zero DMR Data'!$W:$W,'Processed Non-zero DMR Data'!$I:$I,$J85), "N/A - Facility Does Not Report DMRs")</f>
        <v>10.859680000000001</v>
      </c>
      <c r="U85" s="10">
        <f t="shared" si="37"/>
        <v>3.1027657142857146E-2</v>
      </c>
      <c r="V85" s="158" cm="1">
        <f t="array" ref="V85">IF(COUNTIF('Processed Non-zero DMR Data'!$I:$I,$J85)&gt;0,INDEX('Processed Non-zero DMR Data'!$A:$A,MATCH(1,($J85='Processed Non-zero DMR Data'!$I:$I)*($T85='Processed Non-zero DMR Data'!$W:$W),0)), "N/A - Facility Does Not Report DMRs")</f>
        <v>2019</v>
      </c>
      <c r="W85" s="17" t="str" cm="1">
        <f t="array" ref="W85">IFERROR(_xlfn.XLOOKUP(1,  (MAX(IF(I85 = 'Processed Non-zero TRI Data'!$I$2:$I$6,'Processed Non-zero TRI Data'!$A$2:$A$6)) = 'Processed Non-zero TRI Data'!$A$2:$A$6)*('Processed Non-zero TRI Data'!$I$2:$I$6 = I85), 'Processed Non-zero TRI Data'!$T$2:$T$6), "N/A- Facility Does Not Report to TRI")</f>
        <v>N/A- Facility Does Not Report to TRI</v>
      </c>
      <c r="X85" s="10" t="str">
        <f t="shared" si="38"/>
        <v>N/A - Facility Does Not Report to TRI</v>
      </c>
      <c r="Y85" s="10" t="str" cm="1">
        <f t="array" ref="Y85">IF(COUNTIF('Processed Non-zero TRI Data'!$I:$I,$I85)&gt;0,MEDIAN(IF('Processed Non-zero TRI Data'!$I:$I=I85,'Processed Non-zero TRI Data'!$T:$T)), "N/A - Facility Does Not Report to TRI")</f>
        <v>N/A - Facility Does Not Report to TRI</v>
      </c>
      <c r="Z85" s="10" t="str">
        <f t="shared" si="39"/>
        <v>N/A - Facility Does Not Report to TRI</v>
      </c>
      <c r="AA85" s="10" t="str">
        <f>IF(COUNTIF('Processed Non-zero TRI Data'!$I:$I,$I85)&gt;0,_xlfn.MAXIFS('Processed Non-zero TRI Data'!$T:$T,'Processed Non-zero TRI Data'!$I:$I,$I85), "N/A - Facility Does Not Report to TRI")</f>
        <v>N/A - Facility Does Not Report to TRI</v>
      </c>
      <c r="AB85" s="10" t="str">
        <f t="shared" si="40"/>
        <v>N/A - Facility Does Not Report to TRI</v>
      </c>
      <c r="AC85" s="158" t="str" cm="1">
        <f t="array" ref="AC85">IFERROR(IF(B85 = "TRI Form R", IF(AA85 = 0, "Facility has no on-site water discharges between 2017-2022.",  IF(COUNTIF('Processed Non-zero TRI Data'!$I:$I,$I85)&gt;0,INDEX('Processed Non-zero TRI Data'!$A:$A,MATCH(1,($I85='Processed Non-zero TRI Data'!$I:$I)*(AA85='Processed Non-zero TRI Data'!$T:$T),0)))), VLOOKUP(I85,#REF!, 2, FALSE)), ("N/A - Facility Does Not Report to TRI"))</f>
        <v>N/A - Facility Does Not Report to TRI</v>
      </c>
      <c r="AD85" s="97" t="str" cm="1">
        <f t="array" ref="AD85">IFERROR(_xlfn.XLOOKUP(1,  (MAX(IF(I85 = 'Processed Non-zero TRI Data'!$I$2:$I$6,'Processed Non-zero TRI Data'!$A$2:$A$6)) = 'Processed Non-zero TRI Data'!$A$2:$A$6)*('Processed Non-zero TRI Data'!$I$2:$I$6 = I85), 'Processed Non-zero TRI Data'!$V$2:$V$6), "N/A- Facility Does Not Report to TRI")</f>
        <v>N/A- Facility Does Not Report to TRI</v>
      </c>
      <c r="AE85" s="9" t="str">
        <f t="shared" si="41"/>
        <v>N/A - Facility Does Not Report to TRI</v>
      </c>
      <c r="AF85" s="9" t="str" cm="1">
        <f t="array" ref="AF85">IF(COUNTIF('Processed Non-zero TRI Data'!$I:$I,$I85)&gt;0,MEDIAN(IF('Processed Non-zero TRI Data'!$I:$I=I85,'Processed Non-zero TRI Data'!$V:$V)), "N/A - Facility Does Not Report to TRI")</f>
        <v>N/A - Facility Does Not Report to TRI</v>
      </c>
      <c r="AG85" s="9" t="str">
        <f t="shared" si="42"/>
        <v>N/A - Facility Does Not Report to TRI</v>
      </c>
      <c r="AH85" s="9" t="str">
        <f>IF(COUNTIF('Processed Non-zero TRI Data'!$I:$I,$I85)&gt;0,_xlfn.MAXIFS('Processed Non-zero TRI Data'!$V:$V,'Processed Non-zero TRI Data'!$I:$I,$I85), "N/A - Facility Does Not Report to TRI")</f>
        <v>N/A - Facility Does Not Report to TRI</v>
      </c>
      <c r="AI85" s="9" t="str">
        <f t="shared" si="43"/>
        <v>N/A - Facility Does Not Report to TRI</v>
      </c>
      <c r="AJ85" s="158" t="str" cm="1">
        <f t="array" ref="AJ85">IF(B85="TRI Form A",AC85,IF(AH85=0,"Facility has no transfers to POTWs between 2019-2023.",IF(COUNTIF('Processed Non-zero TRI Data'!$I:$I,$I85)&gt;0,INDEX('Processed Non-zero TRI Data'!$A:$A,MATCH(1,($I85='Processed Non-zero TRI Data'!$I:$I)*(AH85='Processed Non-zero TRI Data'!$V:$V),0)),"N/A - Facility Does Not Report to TRI")))</f>
        <v>N/A - Facility Does Not Report to TRI</v>
      </c>
      <c r="AK85" s="97" t="str" cm="1">
        <f t="array" ref="AK85">IFERROR(_xlfn.XLOOKUP(1,  (MAX(IF(I85 = 'Processed Non-zero TRI Data'!$I$2:$I$6,'Processed Non-zero TRI Data'!$A$2:$A$6)) = 'Processed Non-zero TRI Data'!$A$2:$A$6)*('Processed Non-zero TRI Data'!$I$2:$I$6 = I85), 'Processed Non-zero TRI Data'!$X$2:$X$6), "N/A- Facility Does Not Report to TRI")</f>
        <v>N/A- Facility Does Not Report to TRI</v>
      </c>
      <c r="AL85" s="9" t="str">
        <f t="shared" si="44"/>
        <v>N/A - Facility Does Not Report to TRI</v>
      </c>
      <c r="AM85" s="9" t="str" cm="1">
        <f t="array" ref="AM85">IF(COUNTIF('Processed Non-zero TRI Data'!$I:$I,$I85)&gt;0,MEDIAN(IF('Processed Non-zero TRI Data'!$I:$I=I85,'Processed Non-zero TRI Data'!$X:$X)), "N/A - Facility Does Not Report to TRI")</f>
        <v>N/A - Facility Does Not Report to TRI</v>
      </c>
      <c r="AN85" s="9" t="str">
        <f t="shared" si="45"/>
        <v>N/A - Facility Does Not Report to TRI</v>
      </c>
      <c r="AO85" s="9" t="str">
        <f>IF(COUNTIF('Processed Non-zero TRI Data'!$I:$I,$I85)&gt;0,_xlfn.MAXIFS('Processed Non-zero TRI Data'!$X:$X,'Processed Non-zero TRI Data'!$I:$I,$I85), "N/A - Facility Does Not Report to TRI")</f>
        <v>N/A - Facility Does Not Report to TRI</v>
      </c>
      <c r="AP85" s="9" t="str">
        <f t="shared" si="46"/>
        <v>N/A - Facility Does Not Report to TRI</v>
      </c>
      <c r="AQ85" s="251" t="str" cm="1">
        <f t="array" ref="AQ85">IF(B85="TRI Form A",AC85,IF(AO85=0,"Facility has no transfers to non-POTWs between 2019-2023.",IF(COUNTIF('Processed Non-zero TRI Data'!$I:$I,$I85)&gt;0,INDEX('Processed Non-zero TRI Data'!$A:$A,MATCH(1,($I85='Processed Non-zero TRI Data'!$I:$I)*(AO85='Processed Non-zero TRI Data'!$X:$X),0)),"N/A - Facility Does Not Report to TRI")))</f>
        <v>N/A - Facility Does Not Report to TRI</v>
      </c>
      <c r="AR85" s="260">
        <f t="shared" si="47"/>
        <v>0</v>
      </c>
      <c r="AS85" s="260">
        <f t="shared" si="48"/>
        <v>10.859680000000001</v>
      </c>
    </row>
    <row r="86" spans="1:45" ht="30" x14ac:dyDescent="0.25">
      <c r="A86" s="12">
        <v>83</v>
      </c>
      <c r="B86" s="10" t="str">
        <f>IFERROR("TRI Form "&amp; VLOOKUP(I86, 'Processed Non-zero TRI Data'!$I$2:$K$6, 3, FALSE), "DMR")</f>
        <v>DMR</v>
      </c>
      <c r="C86" s="181" t="e">
        <f>VLOOKUP(D86,#REF!, 2, FALSE)</f>
        <v>#REF!</v>
      </c>
      <c r="D86" s="181" t="str">
        <f>IF(I86&lt;&gt;"",INDEX('Processed Non-zero TRI Data'!$O:$O,MATCH(I86,'Processed Non-zero TRI Data'!$I:$I,0)),INDEX('Processed Non-zero DMR Data'!$S:$S,MATCH(J86,'Processed Non-zero DMR Data'!$I:$I,0)))</f>
        <v>Waste Handling, Disposal and Treatment (POTW)</v>
      </c>
      <c r="E86" s="181" t="str">
        <f>IF(I86&lt;&gt;"",INDEX('Processed Non-zero TRI Data'!$P:$P,MATCH(I86,'Processed Non-zero TRI Data'!$I:$I,0)),INDEX('Processed Non-zero DMR Data'!$T:$T,MATCH(J86,'Processed Non-zero DMR Data'!$I:$I,0)))</f>
        <v>POTW indicator in DMR</v>
      </c>
      <c r="F86" s="9" t="str">
        <f>_xlfn.XLOOKUP(J86, 'Processed Non-zero DMR Data'!I:I, 'Processed Non-zero DMR Data'!B:B)</f>
        <v>MOREHEAD WWTP</v>
      </c>
      <c r="G86" s="9" t="str">
        <f>_xlfn.XLOOKUP(J86, 'Processed Non-zero DMR Data'!I:I, 'Processed Non-zero DMR Data'!C:C)</f>
        <v>MOREHEAD</v>
      </c>
      <c r="H86" s="9" t="str">
        <f>_xlfn.XLOOKUP(J86, 'Processed Non-zero DMR Data'!I:I, 'Processed Non-zero DMR Data'!E:E)</f>
        <v>KY</v>
      </c>
      <c r="I86" s="12"/>
      <c r="J86" s="13">
        <v>110045085457</v>
      </c>
      <c r="K86" s="9" t="str">
        <f>IFERROR(INDEX('Raw Non-zero DMR Data'!$C:$C, MATCH(J86,'Raw Non-zero DMR Data'!$D:$D,0)),"")</f>
        <v>KY0052752</v>
      </c>
      <c r="L86" s="9" t="str">
        <f>IFERROR(INDEX('Raw Non-zero DMR Data'!$U:$U, MATCH($J86,'Raw Non-zero DMR Data'!$D:$D,0)),"")</f>
        <v>Lower North Fork Triplett Creek</v>
      </c>
      <c r="M86" s="155" t="str">
        <f>IFERROR(INDEX('Raw Non-zero DMR Data'!$T:$T, MATCH($J86,'Raw Non-zero DMR Data'!$D:$D,0)),"")</f>
        <v>051001010603</v>
      </c>
      <c r="N86" s="155" t="str">
        <f>IFERROR(INDEX('Off-site Locations'!$E:$E,MATCH(I86,'Off-site Locations'!$B:$B,0)),"No offsite transfers")</f>
        <v>No offsite transfers</v>
      </c>
      <c r="O86" s="165">
        <f>INDEX('TRI and DMR OES Summary'!D:D,MATCH('Facility Discharge Summary'!D86,'TRI and DMR OES Summary'!A:A,0))</f>
        <v>365</v>
      </c>
      <c r="P86" s="17" cm="1">
        <f t="array" ref="P86">IFERROR(_xlfn.XLOOKUP(1,  (MAX(IF(J86 = 'Processed Non-zero DMR Data'!$I$2:$I$651,'Processed Non-zero DMR Data'!$A$2:$A$651)) = 'Processed Non-zero DMR Data'!$A$2:$A$651)*('Processed Non-zero DMR Data'!$I$2:$I$651 = J86),'Processed Non-zero DMR Data'!$W$2:$W$651), "N/A- Facility Does Not Report DMRs")</f>
        <v>2.6352589375000002</v>
      </c>
      <c r="Q86" s="10">
        <f t="shared" si="35"/>
        <v>7.2198875000000001E-3</v>
      </c>
      <c r="R86" s="10" cm="1">
        <f t="array" ref="R86">IF(COUNTIF('Processed Non-zero DMR Data'!$I:$I,$J86)&gt;0,MEDIAN(IF('Processed Non-zero DMR Data'!$I:$I=J86,'Processed Non-zero DMR Data'!$W:$W)),"N/A - Facility Does Not Report DMRs")</f>
        <v>2.5133393562500004</v>
      </c>
      <c r="S86" s="10">
        <f t="shared" si="36"/>
        <v>6.8858612500000008E-3</v>
      </c>
      <c r="T86" s="10">
        <f>IF(COUNTIF('Processed Non-zero DMR Data'!$I:$I,$J86)&gt;0,_xlfn.MAXIFS('Processed Non-zero DMR Data'!$W:$W,'Processed Non-zero DMR Data'!$I:$I,$J86), "N/A - Facility Does Not Report DMRs")</f>
        <v>2.6352589375000002</v>
      </c>
      <c r="U86" s="10">
        <f t="shared" si="37"/>
        <v>7.2198875000000001E-3</v>
      </c>
      <c r="V86" s="158" cm="1">
        <f t="array" ref="V86">IF(COUNTIF('Processed Non-zero DMR Data'!$I:$I,$J86)&gt;0,INDEX('Processed Non-zero DMR Data'!$A:$A,MATCH(1,($J86='Processed Non-zero DMR Data'!$I:$I)*($T86='Processed Non-zero DMR Data'!$W:$W),0)), "N/A - Facility Does Not Report DMRs")</f>
        <v>2020</v>
      </c>
      <c r="W86" s="17" t="str" cm="1">
        <f t="array" ref="W86">IFERROR(_xlfn.XLOOKUP(1,  (MAX(IF(I86 = 'Processed Non-zero TRI Data'!$I$2:$I$6,'Processed Non-zero TRI Data'!$A$2:$A$6)) = 'Processed Non-zero TRI Data'!$A$2:$A$6)*('Processed Non-zero TRI Data'!$I$2:$I$6 = I86), 'Processed Non-zero TRI Data'!$T$2:$T$6), "N/A- Facility Does Not Report to TRI")</f>
        <v>N/A- Facility Does Not Report to TRI</v>
      </c>
      <c r="X86" s="10" t="str">
        <f t="shared" si="38"/>
        <v>N/A - Facility Does Not Report to TRI</v>
      </c>
      <c r="Y86" s="10" t="str" cm="1">
        <f t="array" ref="Y86">IF(COUNTIF('Processed Non-zero TRI Data'!$I:$I,$I86)&gt;0,MEDIAN(IF('Processed Non-zero TRI Data'!$I:$I=I86,'Processed Non-zero TRI Data'!$T:$T)), "N/A - Facility Does Not Report to TRI")</f>
        <v>N/A - Facility Does Not Report to TRI</v>
      </c>
      <c r="Z86" s="10" t="str">
        <f t="shared" si="39"/>
        <v>N/A - Facility Does Not Report to TRI</v>
      </c>
      <c r="AA86" s="10" t="str">
        <f>IF(COUNTIF('Processed Non-zero TRI Data'!$I:$I,$I86)&gt;0,_xlfn.MAXIFS('Processed Non-zero TRI Data'!$T:$T,'Processed Non-zero TRI Data'!$I:$I,$I86), "N/A - Facility Does Not Report to TRI")</f>
        <v>N/A - Facility Does Not Report to TRI</v>
      </c>
      <c r="AB86" s="10" t="str">
        <f t="shared" si="40"/>
        <v>N/A - Facility Does Not Report to TRI</v>
      </c>
      <c r="AC86" s="158" t="str" cm="1">
        <f t="array" ref="AC86">IFERROR(IF(B86 = "TRI Form R", IF(AA86 = 0, "Facility has no on-site water discharges between 2017-2022.",  IF(COUNTIF('Processed Non-zero TRI Data'!$I:$I,$I86)&gt;0,INDEX('Processed Non-zero TRI Data'!$A:$A,MATCH(1,($I86='Processed Non-zero TRI Data'!$I:$I)*(AA86='Processed Non-zero TRI Data'!$T:$T),0)))), VLOOKUP(I86,#REF!, 2, FALSE)), ("N/A - Facility Does Not Report to TRI"))</f>
        <v>N/A - Facility Does Not Report to TRI</v>
      </c>
      <c r="AD86" s="97" t="str" cm="1">
        <f t="array" ref="AD86">IFERROR(_xlfn.XLOOKUP(1,  (MAX(IF(I86 = 'Processed Non-zero TRI Data'!$I$2:$I$6,'Processed Non-zero TRI Data'!$A$2:$A$6)) = 'Processed Non-zero TRI Data'!$A$2:$A$6)*('Processed Non-zero TRI Data'!$I$2:$I$6 = I86), 'Processed Non-zero TRI Data'!$V$2:$V$6), "N/A- Facility Does Not Report to TRI")</f>
        <v>N/A- Facility Does Not Report to TRI</v>
      </c>
      <c r="AE86" s="9" t="str">
        <f t="shared" si="41"/>
        <v>N/A - Facility Does Not Report to TRI</v>
      </c>
      <c r="AF86" s="9" t="str" cm="1">
        <f t="array" ref="AF86">IF(COUNTIF('Processed Non-zero TRI Data'!$I:$I,$I86)&gt;0,MEDIAN(IF('Processed Non-zero TRI Data'!$I:$I=I86,'Processed Non-zero TRI Data'!$V:$V)), "N/A - Facility Does Not Report to TRI")</f>
        <v>N/A - Facility Does Not Report to TRI</v>
      </c>
      <c r="AG86" s="9" t="str">
        <f t="shared" si="42"/>
        <v>N/A - Facility Does Not Report to TRI</v>
      </c>
      <c r="AH86" s="9" t="str">
        <f>IF(COUNTIF('Processed Non-zero TRI Data'!$I:$I,$I86)&gt;0,_xlfn.MAXIFS('Processed Non-zero TRI Data'!$V:$V,'Processed Non-zero TRI Data'!$I:$I,$I86), "N/A - Facility Does Not Report to TRI")</f>
        <v>N/A - Facility Does Not Report to TRI</v>
      </c>
      <c r="AI86" s="9" t="str">
        <f t="shared" si="43"/>
        <v>N/A - Facility Does Not Report to TRI</v>
      </c>
      <c r="AJ86" s="158" t="str" cm="1">
        <f t="array" ref="AJ86">IF(B86="TRI Form A",AC86,IF(AH86=0,"Facility has no transfers to POTWs between 2019-2023.",IF(COUNTIF('Processed Non-zero TRI Data'!$I:$I,$I86)&gt;0,INDEX('Processed Non-zero TRI Data'!$A:$A,MATCH(1,($I86='Processed Non-zero TRI Data'!$I:$I)*(AH86='Processed Non-zero TRI Data'!$V:$V),0)),"N/A - Facility Does Not Report to TRI")))</f>
        <v>N/A - Facility Does Not Report to TRI</v>
      </c>
      <c r="AK86" s="97" t="str" cm="1">
        <f t="array" ref="AK86">IFERROR(_xlfn.XLOOKUP(1,  (MAX(IF(I86 = 'Processed Non-zero TRI Data'!$I$2:$I$6,'Processed Non-zero TRI Data'!$A$2:$A$6)) = 'Processed Non-zero TRI Data'!$A$2:$A$6)*('Processed Non-zero TRI Data'!$I$2:$I$6 = I86), 'Processed Non-zero TRI Data'!$X$2:$X$6), "N/A- Facility Does Not Report to TRI")</f>
        <v>N/A- Facility Does Not Report to TRI</v>
      </c>
      <c r="AL86" s="9" t="str">
        <f t="shared" si="44"/>
        <v>N/A - Facility Does Not Report to TRI</v>
      </c>
      <c r="AM86" s="9" t="str" cm="1">
        <f t="array" ref="AM86">IF(COUNTIF('Processed Non-zero TRI Data'!$I:$I,$I86)&gt;0,MEDIAN(IF('Processed Non-zero TRI Data'!$I:$I=I86,'Processed Non-zero TRI Data'!$X:$X)), "N/A - Facility Does Not Report to TRI")</f>
        <v>N/A - Facility Does Not Report to TRI</v>
      </c>
      <c r="AN86" s="9" t="str">
        <f t="shared" si="45"/>
        <v>N/A - Facility Does Not Report to TRI</v>
      </c>
      <c r="AO86" s="9" t="str">
        <f>IF(COUNTIF('Processed Non-zero TRI Data'!$I:$I,$I86)&gt;0,_xlfn.MAXIFS('Processed Non-zero TRI Data'!$X:$X,'Processed Non-zero TRI Data'!$I:$I,$I86), "N/A - Facility Does Not Report to TRI")</f>
        <v>N/A - Facility Does Not Report to TRI</v>
      </c>
      <c r="AP86" s="9" t="str">
        <f t="shared" si="46"/>
        <v>N/A - Facility Does Not Report to TRI</v>
      </c>
      <c r="AQ86" s="251" t="str" cm="1">
        <f t="array" ref="AQ86">IF(B86="TRI Form A",AC86,IF(AO86=0,"Facility has no transfers to non-POTWs between 2019-2023.",IF(COUNTIF('Processed Non-zero TRI Data'!$I:$I,$I86)&gt;0,INDEX('Processed Non-zero TRI Data'!$A:$A,MATCH(1,($I86='Processed Non-zero TRI Data'!$I:$I)*(AO86='Processed Non-zero TRI Data'!$X:$X),0)),"N/A - Facility Does Not Report to TRI")))</f>
        <v>N/A - Facility Does Not Report to TRI</v>
      </c>
      <c r="AR86" s="260">
        <f t="shared" si="47"/>
        <v>0</v>
      </c>
      <c r="AS86" s="260">
        <f t="shared" si="48"/>
        <v>2.6352589375000002</v>
      </c>
    </row>
    <row r="87" spans="1:45" ht="30" x14ac:dyDescent="0.25">
      <c r="A87" s="12">
        <v>84</v>
      </c>
      <c r="B87" s="10" t="str">
        <f>IFERROR("TRI Form "&amp; VLOOKUP(I87, 'Processed Non-zero TRI Data'!$I$2:$K$6, 3, FALSE), "DMR")</f>
        <v>DMR</v>
      </c>
      <c r="C87" s="181" t="e">
        <f>VLOOKUP(D87,#REF!, 2, FALSE)</f>
        <v>#REF!</v>
      </c>
      <c r="D87" s="181" t="str">
        <f>IF(I87&lt;&gt;"",INDEX('Processed Non-zero TRI Data'!$O:$O,MATCH(I87,'Processed Non-zero TRI Data'!$I:$I,0)),INDEX('Processed Non-zero DMR Data'!$S:$S,MATCH(J87,'Processed Non-zero DMR Data'!$I:$I,0)))</f>
        <v>Waste Handling, Disposal and Treatment (POTW)</v>
      </c>
      <c r="E87" s="181" t="str">
        <f>IF(I87&lt;&gt;"",INDEX('Processed Non-zero TRI Data'!$P:$P,MATCH(I87,'Processed Non-zero TRI Data'!$I:$I,0)),INDEX('Processed Non-zero DMR Data'!$T:$T,MATCH(J87,'Processed Non-zero DMR Data'!$I:$I,0)))</f>
        <v>POTW indicator in DMR</v>
      </c>
      <c r="F87" s="9" t="str">
        <f>_xlfn.XLOOKUP(J87, 'Processed Non-zero DMR Data'!I:I, 'Processed Non-zero DMR Data'!B:B)</f>
        <v>DEREK R GUTHRIE WQTC MSD</v>
      </c>
      <c r="G87" s="9" t="str">
        <f>_xlfn.XLOOKUP(J87, 'Processed Non-zero DMR Data'!I:I, 'Processed Non-zero DMR Data'!C:C)</f>
        <v>LOUISVILLE</v>
      </c>
      <c r="H87" s="9" t="str">
        <f>_xlfn.XLOOKUP(J87, 'Processed Non-zero DMR Data'!I:I, 'Processed Non-zero DMR Data'!E:E)</f>
        <v>KY</v>
      </c>
      <c r="I87" s="12"/>
      <c r="J87" s="13">
        <v>110000732379</v>
      </c>
      <c r="K87" s="9" t="str">
        <f>IFERROR(INDEX('Raw Non-zero DMR Data'!$C:$C, MATCH(J87,'Raw Non-zero DMR Data'!$D:$D,0)),"")</f>
        <v>KY0078956</v>
      </c>
      <c r="L87" s="9" t="str">
        <f>IFERROR(INDEX('Raw Non-zero DMR Data'!$U:$U, MATCH($J87,'Raw Non-zero DMR Data'!$D:$D,0)),"")</f>
        <v>Fall Run-Ohio River</v>
      </c>
      <c r="M87" s="155" t="str">
        <f>IFERROR(INDEX('Raw Non-zero DMR Data'!$T:$T, MATCH($J87,'Raw Non-zero DMR Data'!$D:$D,0)),"")</f>
        <v>051401010904</v>
      </c>
      <c r="N87" s="155" t="str">
        <f>IFERROR(INDEX('Off-site Locations'!$E:$E,MATCH(I87,'Off-site Locations'!$B:$B,0)),"No offsite transfers")</f>
        <v>No offsite transfers</v>
      </c>
      <c r="O87" s="165">
        <f>INDEX('TRI and DMR OES Summary'!D:D,MATCH('Facility Discharge Summary'!D87,'TRI and DMR OES Summary'!A:A,0))</f>
        <v>365</v>
      </c>
      <c r="P87" s="17" cm="1">
        <f t="array" ref="P87">IFERROR(_xlfn.XLOOKUP(1,  (MAX(IF(J87 = 'Processed Non-zero DMR Data'!$I$2:$I$651,'Processed Non-zero DMR Data'!$A$2:$A$651)) = 'Processed Non-zero DMR Data'!$A$2:$A$651)*('Processed Non-zero DMR Data'!$I$2:$I$651 = J87),'Processed Non-zero DMR Data'!$W$2:$W$651), "N/A- Facility Does Not Report DMRs")</f>
        <v>87.896074312500005</v>
      </c>
      <c r="Q87" s="10">
        <f t="shared" si="35"/>
        <v>0.24081116250000001</v>
      </c>
      <c r="R87" s="10" cm="1">
        <f t="array" ref="R87">IF(COUNTIF('Processed Non-zero DMR Data'!$I:$I,$J87)&gt;0,MEDIAN(IF('Processed Non-zero DMR Data'!$I:$I=J87,'Processed Non-zero DMR Data'!$W:$W)),"N/A - Facility Does Not Report DMRs")</f>
        <v>123.61194937499999</v>
      </c>
      <c r="S87" s="10">
        <f t="shared" si="36"/>
        <v>0.33866287499999997</v>
      </c>
      <c r="T87" s="10">
        <f>IF(COUNTIF('Processed Non-zero DMR Data'!$I:$I,$J87)&gt;0,_xlfn.MAXIFS('Processed Non-zero DMR Data'!$W:$W,'Processed Non-zero DMR Data'!$I:$I,$J87), "N/A - Facility Does Not Report DMRs")</f>
        <v>212.68922756250001</v>
      </c>
      <c r="U87" s="10">
        <f t="shared" si="37"/>
        <v>0.58271021249999999</v>
      </c>
      <c r="V87" s="158" cm="1">
        <f t="array" ref="V87">IF(COUNTIF('Processed Non-zero DMR Data'!$I:$I,$J87)&gt;0,INDEX('Processed Non-zero DMR Data'!$A:$A,MATCH(1,($J87='Processed Non-zero DMR Data'!$I:$I)*($T87='Processed Non-zero DMR Data'!$W:$W),0)), "N/A - Facility Does Not Report DMRs")</f>
        <v>2019</v>
      </c>
      <c r="W87" s="17" t="str" cm="1">
        <f t="array" ref="W87">IFERROR(_xlfn.XLOOKUP(1,  (MAX(IF(I87 = 'Processed Non-zero TRI Data'!$I$2:$I$6,'Processed Non-zero TRI Data'!$A$2:$A$6)) = 'Processed Non-zero TRI Data'!$A$2:$A$6)*('Processed Non-zero TRI Data'!$I$2:$I$6 = I87), 'Processed Non-zero TRI Data'!$T$2:$T$6), "N/A- Facility Does Not Report to TRI")</f>
        <v>N/A- Facility Does Not Report to TRI</v>
      </c>
      <c r="X87" s="10" t="str">
        <f t="shared" si="38"/>
        <v>N/A - Facility Does Not Report to TRI</v>
      </c>
      <c r="Y87" s="10" t="str" cm="1">
        <f t="array" ref="Y87">IF(COUNTIF('Processed Non-zero TRI Data'!$I:$I,$I87)&gt;0,MEDIAN(IF('Processed Non-zero TRI Data'!$I:$I=I87,'Processed Non-zero TRI Data'!$T:$T)), "N/A - Facility Does Not Report to TRI")</f>
        <v>N/A - Facility Does Not Report to TRI</v>
      </c>
      <c r="Z87" s="10" t="str">
        <f t="shared" si="39"/>
        <v>N/A - Facility Does Not Report to TRI</v>
      </c>
      <c r="AA87" s="10" t="str">
        <f>IF(COUNTIF('Processed Non-zero TRI Data'!$I:$I,$I87)&gt;0,_xlfn.MAXIFS('Processed Non-zero TRI Data'!$T:$T,'Processed Non-zero TRI Data'!$I:$I,$I87), "N/A - Facility Does Not Report to TRI")</f>
        <v>N/A - Facility Does Not Report to TRI</v>
      </c>
      <c r="AB87" s="10" t="str">
        <f t="shared" si="40"/>
        <v>N/A - Facility Does Not Report to TRI</v>
      </c>
      <c r="AC87" s="158" t="str" cm="1">
        <f t="array" ref="AC87">IFERROR(IF(B87 = "TRI Form R", IF(AA87 = 0, "Facility has no on-site water discharges between 2017-2022.",  IF(COUNTIF('Processed Non-zero TRI Data'!$I:$I,$I87)&gt;0,INDEX('Processed Non-zero TRI Data'!$A:$A,MATCH(1,($I87='Processed Non-zero TRI Data'!$I:$I)*(AA87='Processed Non-zero TRI Data'!$T:$T),0)))), VLOOKUP(I87,#REF!, 2, FALSE)), ("N/A - Facility Does Not Report to TRI"))</f>
        <v>N/A - Facility Does Not Report to TRI</v>
      </c>
      <c r="AD87" s="97" t="str" cm="1">
        <f t="array" ref="AD87">IFERROR(_xlfn.XLOOKUP(1,  (MAX(IF(I87 = 'Processed Non-zero TRI Data'!$I$2:$I$6,'Processed Non-zero TRI Data'!$A$2:$A$6)) = 'Processed Non-zero TRI Data'!$A$2:$A$6)*('Processed Non-zero TRI Data'!$I$2:$I$6 = I87), 'Processed Non-zero TRI Data'!$V$2:$V$6), "N/A- Facility Does Not Report to TRI")</f>
        <v>N/A- Facility Does Not Report to TRI</v>
      </c>
      <c r="AE87" s="9" t="str">
        <f t="shared" si="41"/>
        <v>N/A - Facility Does Not Report to TRI</v>
      </c>
      <c r="AF87" s="9" t="str" cm="1">
        <f t="array" ref="AF87">IF(COUNTIF('Processed Non-zero TRI Data'!$I:$I,$I87)&gt;0,MEDIAN(IF('Processed Non-zero TRI Data'!$I:$I=I87,'Processed Non-zero TRI Data'!$V:$V)), "N/A - Facility Does Not Report to TRI")</f>
        <v>N/A - Facility Does Not Report to TRI</v>
      </c>
      <c r="AG87" s="9" t="str">
        <f t="shared" si="42"/>
        <v>N/A - Facility Does Not Report to TRI</v>
      </c>
      <c r="AH87" s="9" t="str">
        <f>IF(COUNTIF('Processed Non-zero TRI Data'!$I:$I,$I87)&gt;0,_xlfn.MAXIFS('Processed Non-zero TRI Data'!$V:$V,'Processed Non-zero TRI Data'!$I:$I,$I87), "N/A - Facility Does Not Report to TRI")</f>
        <v>N/A - Facility Does Not Report to TRI</v>
      </c>
      <c r="AI87" s="9" t="str">
        <f t="shared" si="43"/>
        <v>N/A - Facility Does Not Report to TRI</v>
      </c>
      <c r="AJ87" s="158" t="str" cm="1">
        <f t="array" ref="AJ87">IF(B87="TRI Form A",AC87,IF(AH87=0,"Facility has no transfers to POTWs between 2019-2023.",IF(COUNTIF('Processed Non-zero TRI Data'!$I:$I,$I87)&gt;0,INDEX('Processed Non-zero TRI Data'!$A:$A,MATCH(1,($I87='Processed Non-zero TRI Data'!$I:$I)*(AH87='Processed Non-zero TRI Data'!$V:$V),0)),"N/A - Facility Does Not Report to TRI")))</f>
        <v>N/A - Facility Does Not Report to TRI</v>
      </c>
      <c r="AK87" s="97" t="str" cm="1">
        <f t="array" ref="AK87">IFERROR(_xlfn.XLOOKUP(1,  (MAX(IF(I87 = 'Processed Non-zero TRI Data'!$I$2:$I$6,'Processed Non-zero TRI Data'!$A$2:$A$6)) = 'Processed Non-zero TRI Data'!$A$2:$A$6)*('Processed Non-zero TRI Data'!$I$2:$I$6 = I87), 'Processed Non-zero TRI Data'!$X$2:$X$6), "N/A- Facility Does Not Report to TRI")</f>
        <v>N/A- Facility Does Not Report to TRI</v>
      </c>
      <c r="AL87" s="9" t="str">
        <f t="shared" si="44"/>
        <v>N/A - Facility Does Not Report to TRI</v>
      </c>
      <c r="AM87" s="9" t="str" cm="1">
        <f t="array" ref="AM87">IF(COUNTIF('Processed Non-zero TRI Data'!$I:$I,$I87)&gt;0,MEDIAN(IF('Processed Non-zero TRI Data'!$I:$I=I87,'Processed Non-zero TRI Data'!$X:$X)), "N/A - Facility Does Not Report to TRI")</f>
        <v>N/A - Facility Does Not Report to TRI</v>
      </c>
      <c r="AN87" s="9" t="str">
        <f t="shared" si="45"/>
        <v>N/A - Facility Does Not Report to TRI</v>
      </c>
      <c r="AO87" s="9" t="str">
        <f>IF(COUNTIF('Processed Non-zero TRI Data'!$I:$I,$I87)&gt;0,_xlfn.MAXIFS('Processed Non-zero TRI Data'!$X:$X,'Processed Non-zero TRI Data'!$I:$I,$I87), "N/A - Facility Does Not Report to TRI")</f>
        <v>N/A - Facility Does Not Report to TRI</v>
      </c>
      <c r="AP87" s="9" t="str">
        <f t="shared" si="46"/>
        <v>N/A - Facility Does Not Report to TRI</v>
      </c>
      <c r="AQ87" s="251" t="str" cm="1">
        <f t="array" ref="AQ87">IF(B87="TRI Form A",AC87,IF(AO87=0,"Facility has no transfers to non-POTWs between 2019-2023.",IF(COUNTIF('Processed Non-zero TRI Data'!$I:$I,$I87)&gt;0,INDEX('Processed Non-zero TRI Data'!$A:$A,MATCH(1,($I87='Processed Non-zero TRI Data'!$I:$I)*(AO87='Processed Non-zero TRI Data'!$X:$X),0)),"N/A - Facility Does Not Report to TRI")))</f>
        <v>N/A - Facility Does Not Report to TRI</v>
      </c>
      <c r="AR87" s="260">
        <f t="shared" si="47"/>
        <v>0</v>
      </c>
      <c r="AS87" s="260">
        <f t="shared" si="48"/>
        <v>212.68922756250001</v>
      </c>
    </row>
    <row r="88" spans="1:45" ht="45" x14ac:dyDescent="0.25">
      <c r="A88" s="12">
        <v>85</v>
      </c>
      <c r="B88" s="10" t="str">
        <f>IFERROR("TRI Form "&amp; VLOOKUP(I88, 'Processed Non-zero TRI Data'!$I$2:$K$6, 3, FALSE), "DMR")</f>
        <v>DMR</v>
      </c>
      <c r="C88" s="181" t="e">
        <f>VLOOKUP(D88,#REF!, 2, FALSE)</f>
        <v>#REF!</v>
      </c>
      <c r="D88" s="181" t="str">
        <f>IF(I88&lt;&gt;"",INDEX('Processed Non-zero TRI Data'!$O:$O,MATCH(I88,'Processed Non-zero TRI Data'!$I:$I,0)),INDEX('Processed Non-zero DMR Data'!$S:$S,MATCH(J88,'Processed Non-zero DMR Data'!$I:$I,0)))</f>
        <v>Impurity in Plastics</v>
      </c>
      <c r="E88" s="181" t="str">
        <f>IF(I88&lt;&gt;"",INDEX('Processed Non-zero TRI Data'!$P:$P,MATCH(I88,'Processed Non-zero TRI Data'!$I:$I,0)),INDEX('Processed Non-zero DMR Data'!$T:$T,MATCH(J88,'Processed Non-zero DMR Data'!$I:$I,0)))</f>
        <v>Plastics SIC/NAICS - EPA-HQ-OPPT-2018-0428-0011 indicates 1,2-dichloropropane can be a residual/byproduct in PVC plastics or a flame retardant plasticizer.</v>
      </c>
      <c r="F88" s="9" t="str">
        <f>_xlfn.XLOOKUP(J88, 'Processed Non-zero DMR Data'!I:I, 'Processed Non-zero DMR Data'!B:B)</f>
        <v>HB FULLER CO</v>
      </c>
      <c r="G88" s="9" t="str">
        <f>_xlfn.XLOOKUP(J88, 'Processed Non-zero DMR Data'!I:I, 'Processed Non-zero DMR Data'!C:C)</f>
        <v>MORRIS</v>
      </c>
      <c r="H88" s="9" t="str">
        <f>_xlfn.XLOOKUP(J88, 'Processed Non-zero DMR Data'!I:I, 'Processed Non-zero DMR Data'!E:E)</f>
        <v>IL</v>
      </c>
      <c r="I88" s="12"/>
      <c r="J88" s="13">
        <v>110000433022</v>
      </c>
      <c r="K88" s="9" t="str">
        <f>IFERROR(INDEX('Raw Non-zero DMR Data'!$C:$C, MATCH(J88,'Raw Non-zero DMR Data'!$D:$D,0)),"")</f>
        <v>IL0079758</v>
      </c>
      <c r="L88" s="9" t="str">
        <f>IFERROR(INDEX('Raw Non-zero DMR Data'!$U:$U, MATCH($J88,'Raw Non-zero DMR Data'!$D:$D,0)),"")</f>
        <v>Bills Run-Illinois River</v>
      </c>
      <c r="M88" s="155" t="str">
        <f>IFERROR(INDEX('Raw Non-zero DMR Data'!$T:$T, MATCH($J88,'Raw Non-zero DMR Data'!$D:$D,0)),"")</f>
        <v>071200050705</v>
      </c>
      <c r="N88" s="155" t="str">
        <f>IFERROR(INDEX('Off-site Locations'!$E:$E,MATCH(I88,'Off-site Locations'!$B:$B,0)),"No offsite transfers")</f>
        <v>No offsite transfers</v>
      </c>
      <c r="O88" s="165">
        <f>INDEX('TRI and DMR OES Summary'!D:D,MATCH('Facility Discharge Summary'!D88,'TRI and DMR OES Summary'!A:A,0))</f>
        <v>350</v>
      </c>
      <c r="P88" s="17" cm="1">
        <f t="array" ref="P88">IFERROR(_xlfn.XLOOKUP(1,  (MAX(IF(J88 = 'Processed Non-zero DMR Data'!$I$2:$I$651,'Processed Non-zero DMR Data'!$A$2:$A$651)) = 'Processed Non-zero DMR Data'!$A$2:$A$651)*('Processed Non-zero DMR Data'!$I$2:$I$651 = J88),'Processed Non-zero DMR Data'!$W$2:$W$651), "N/A- Facility Does Not Report DMRs")</f>
        <v>3.7533314999999998E-2</v>
      </c>
      <c r="Q88" s="10">
        <f t="shared" si="35"/>
        <v>1.0723804285714285E-4</v>
      </c>
      <c r="R88" s="10" cm="1">
        <f t="array" ref="R88">IF(COUNTIF('Processed Non-zero DMR Data'!$I:$I,$J88)&gt;0,MEDIAN(IF('Processed Non-zero DMR Data'!$I:$I=J88,'Processed Non-zero DMR Data'!$W:$W)),"N/A - Facility Does Not Report DMRs")</f>
        <v>6.4544044999999994E-2</v>
      </c>
      <c r="S88" s="10">
        <f t="shared" si="36"/>
        <v>1.8441155714285712E-4</v>
      </c>
      <c r="T88" s="10">
        <f>IF(COUNTIF('Processed Non-zero DMR Data'!$I:$I,$J88)&gt;0,_xlfn.MAXIFS('Processed Non-zero DMR Data'!$W:$W,'Processed Non-zero DMR Data'!$I:$I,$J88), "N/A - Facility Does Not Report DMRs")</f>
        <v>0.20465185</v>
      </c>
      <c r="U88" s="10">
        <f t="shared" si="37"/>
        <v>5.8471957142857138E-4</v>
      </c>
      <c r="V88" s="158" cm="1">
        <f t="array" ref="V88">IF(COUNTIF('Processed Non-zero DMR Data'!$I:$I,$J88)&gt;0,INDEX('Processed Non-zero DMR Data'!$A:$A,MATCH(1,($J88='Processed Non-zero DMR Data'!$I:$I)*($T88='Processed Non-zero DMR Data'!$W:$W),0)), "N/A - Facility Does Not Report DMRs")</f>
        <v>2020</v>
      </c>
      <c r="W88" s="17" t="str" cm="1">
        <f t="array" ref="W88">IFERROR(_xlfn.XLOOKUP(1,  (MAX(IF(I88 = 'Processed Non-zero TRI Data'!$I$2:$I$6,'Processed Non-zero TRI Data'!$A$2:$A$6)) = 'Processed Non-zero TRI Data'!$A$2:$A$6)*('Processed Non-zero TRI Data'!$I$2:$I$6 = I88), 'Processed Non-zero TRI Data'!$T$2:$T$6), "N/A- Facility Does Not Report to TRI")</f>
        <v>N/A- Facility Does Not Report to TRI</v>
      </c>
      <c r="X88" s="10" t="str">
        <f t="shared" si="38"/>
        <v>N/A - Facility Does Not Report to TRI</v>
      </c>
      <c r="Y88" s="10" t="str" cm="1">
        <f t="array" ref="Y88">IF(COUNTIF('Processed Non-zero TRI Data'!$I:$I,$I88)&gt;0,MEDIAN(IF('Processed Non-zero TRI Data'!$I:$I=I88,'Processed Non-zero TRI Data'!$T:$T)), "N/A - Facility Does Not Report to TRI")</f>
        <v>N/A - Facility Does Not Report to TRI</v>
      </c>
      <c r="Z88" s="10" t="str">
        <f t="shared" si="39"/>
        <v>N/A - Facility Does Not Report to TRI</v>
      </c>
      <c r="AA88" s="10" t="str">
        <f>IF(COUNTIF('Processed Non-zero TRI Data'!$I:$I,$I88)&gt;0,_xlfn.MAXIFS('Processed Non-zero TRI Data'!$T:$T,'Processed Non-zero TRI Data'!$I:$I,$I88), "N/A - Facility Does Not Report to TRI")</f>
        <v>N/A - Facility Does Not Report to TRI</v>
      </c>
      <c r="AB88" s="10" t="str">
        <f t="shared" si="40"/>
        <v>N/A - Facility Does Not Report to TRI</v>
      </c>
      <c r="AC88" s="158" t="str" cm="1">
        <f t="array" ref="AC88">IFERROR(IF(B88 = "TRI Form R", IF(AA88 = 0, "Facility has no on-site water discharges between 2017-2022.",  IF(COUNTIF('Processed Non-zero TRI Data'!$I:$I,$I88)&gt;0,INDEX('Processed Non-zero TRI Data'!$A:$A,MATCH(1,($I88='Processed Non-zero TRI Data'!$I:$I)*(AA88='Processed Non-zero TRI Data'!$T:$T),0)))), VLOOKUP(I88,#REF!, 2, FALSE)), ("N/A - Facility Does Not Report to TRI"))</f>
        <v>N/A - Facility Does Not Report to TRI</v>
      </c>
      <c r="AD88" s="97" t="str" cm="1">
        <f t="array" ref="AD88">IFERROR(_xlfn.XLOOKUP(1,  (MAX(IF(I88 = 'Processed Non-zero TRI Data'!$I$2:$I$6,'Processed Non-zero TRI Data'!$A$2:$A$6)) = 'Processed Non-zero TRI Data'!$A$2:$A$6)*('Processed Non-zero TRI Data'!$I$2:$I$6 = I88), 'Processed Non-zero TRI Data'!$V$2:$V$6), "N/A- Facility Does Not Report to TRI")</f>
        <v>N/A- Facility Does Not Report to TRI</v>
      </c>
      <c r="AE88" s="9" t="str">
        <f t="shared" si="41"/>
        <v>N/A - Facility Does Not Report to TRI</v>
      </c>
      <c r="AF88" s="9" t="str" cm="1">
        <f t="array" ref="AF88">IF(COUNTIF('Processed Non-zero TRI Data'!$I:$I,$I88)&gt;0,MEDIAN(IF('Processed Non-zero TRI Data'!$I:$I=I88,'Processed Non-zero TRI Data'!$V:$V)), "N/A - Facility Does Not Report to TRI")</f>
        <v>N/A - Facility Does Not Report to TRI</v>
      </c>
      <c r="AG88" s="9" t="str">
        <f t="shared" si="42"/>
        <v>N/A - Facility Does Not Report to TRI</v>
      </c>
      <c r="AH88" s="9" t="str">
        <f>IF(COUNTIF('Processed Non-zero TRI Data'!$I:$I,$I88)&gt;0,_xlfn.MAXIFS('Processed Non-zero TRI Data'!$V:$V,'Processed Non-zero TRI Data'!$I:$I,$I88), "N/A - Facility Does Not Report to TRI")</f>
        <v>N/A - Facility Does Not Report to TRI</v>
      </c>
      <c r="AI88" s="9" t="str">
        <f t="shared" si="43"/>
        <v>N/A - Facility Does Not Report to TRI</v>
      </c>
      <c r="AJ88" s="158" t="str" cm="1">
        <f t="array" ref="AJ88">IF(B88="TRI Form A",AC88,IF(AH88=0,"Facility has no transfers to POTWs between 2019-2023.",IF(COUNTIF('Processed Non-zero TRI Data'!$I:$I,$I88)&gt;0,INDEX('Processed Non-zero TRI Data'!$A:$A,MATCH(1,($I88='Processed Non-zero TRI Data'!$I:$I)*(AH88='Processed Non-zero TRI Data'!$V:$V),0)),"N/A - Facility Does Not Report to TRI")))</f>
        <v>N/A - Facility Does Not Report to TRI</v>
      </c>
      <c r="AK88" s="97" t="str" cm="1">
        <f t="array" ref="AK88">IFERROR(_xlfn.XLOOKUP(1,  (MAX(IF(I88 = 'Processed Non-zero TRI Data'!$I$2:$I$6,'Processed Non-zero TRI Data'!$A$2:$A$6)) = 'Processed Non-zero TRI Data'!$A$2:$A$6)*('Processed Non-zero TRI Data'!$I$2:$I$6 = I88), 'Processed Non-zero TRI Data'!$X$2:$X$6), "N/A- Facility Does Not Report to TRI")</f>
        <v>N/A- Facility Does Not Report to TRI</v>
      </c>
      <c r="AL88" s="9" t="str">
        <f t="shared" si="44"/>
        <v>N/A - Facility Does Not Report to TRI</v>
      </c>
      <c r="AM88" s="9" t="str" cm="1">
        <f t="array" ref="AM88">IF(COUNTIF('Processed Non-zero TRI Data'!$I:$I,$I88)&gt;0,MEDIAN(IF('Processed Non-zero TRI Data'!$I:$I=I88,'Processed Non-zero TRI Data'!$X:$X)), "N/A - Facility Does Not Report to TRI")</f>
        <v>N/A - Facility Does Not Report to TRI</v>
      </c>
      <c r="AN88" s="9" t="str">
        <f t="shared" si="45"/>
        <v>N/A - Facility Does Not Report to TRI</v>
      </c>
      <c r="AO88" s="9" t="str">
        <f>IF(COUNTIF('Processed Non-zero TRI Data'!$I:$I,$I88)&gt;0,_xlfn.MAXIFS('Processed Non-zero TRI Data'!$X:$X,'Processed Non-zero TRI Data'!$I:$I,$I88), "N/A - Facility Does Not Report to TRI")</f>
        <v>N/A - Facility Does Not Report to TRI</v>
      </c>
      <c r="AP88" s="9" t="str">
        <f t="shared" si="46"/>
        <v>N/A - Facility Does Not Report to TRI</v>
      </c>
      <c r="AQ88" s="251" t="str" cm="1">
        <f t="array" ref="AQ88">IF(B88="TRI Form A",AC88,IF(AO88=0,"Facility has no transfers to non-POTWs between 2019-2023.",IF(COUNTIF('Processed Non-zero TRI Data'!$I:$I,$I88)&gt;0,INDEX('Processed Non-zero TRI Data'!$A:$A,MATCH(1,($I88='Processed Non-zero TRI Data'!$I:$I)*(AO88='Processed Non-zero TRI Data'!$X:$X),0)),"N/A - Facility Does Not Report to TRI")))</f>
        <v>N/A - Facility Does Not Report to TRI</v>
      </c>
      <c r="AR88" s="260">
        <f t="shared" si="47"/>
        <v>0</v>
      </c>
      <c r="AS88" s="260">
        <f t="shared" si="48"/>
        <v>0.20465185</v>
      </c>
    </row>
    <row r="89" spans="1:45" ht="30" x14ac:dyDescent="0.25">
      <c r="A89" s="12">
        <v>86</v>
      </c>
      <c r="B89" s="10" t="str">
        <f>IFERROR("TRI Form "&amp; VLOOKUP(I89, 'Processed Non-zero TRI Data'!$I$2:$K$6, 3, FALSE), "DMR")</f>
        <v>DMR</v>
      </c>
      <c r="C89" s="181" t="e">
        <f>VLOOKUP(D89,#REF!, 2, FALSE)</f>
        <v>#REF!</v>
      </c>
      <c r="D89" s="181" t="str">
        <f>IF(I89&lt;&gt;"",INDEX('Processed Non-zero TRI Data'!$O:$O,MATCH(I89,'Processed Non-zero TRI Data'!$I:$I,0)),INDEX('Processed Non-zero DMR Data'!$S:$S,MATCH(J89,'Processed Non-zero DMR Data'!$I:$I,0)))</f>
        <v>Waste Handling, Disposal and Treatment (POTW)</v>
      </c>
      <c r="E89" s="181" t="str">
        <f>IF(I89&lt;&gt;"",INDEX('Processed Non-zero TRI Data'!$P:$P,MATCH(I89,'Processed Non-zero TRI Data'!$I:$I,0)),INDEX('Processed Non-zero DMR Data'!$T:$T,MATCH(J89,'Processed Non-zero DMR Data'!$I:$I,0)))</f>
        <v>POTW indicator in DMR</v>
      </c>
      <c r="F89" s="9" t="str">
        <f>_xlfn.XLOOKUP(J89, 'Processed Non-zero DMR Data'!I:I, 'Processed Non-zero DMR Data'!B:B)</f>
        <v>RICHMOND SILVER CREEK STP</v>
      </c>
      <c r="G89" s="9" t="str">
        <f>_xlfn.XLOOKUP(J89, 'Processed Non-zero DMR Data'!I:I, 'Processed Non-zero DMR Data'!C:C)</f>
        <v>BEREA</v>
      </c>
      <c r="H89" s="9" t="str">
        <f>_xlfn.XLOOKUP(J89, 'Processed Non-zero DMR Data'!I:I, 'Processed Non-zero DMR Data'!E:E)</f>
        <v>KY</v>
      </c>
      <c r="I89" s="12"/>
      <c r="J89" s="13">
        <v>110009933484</v>
      </c>
      <c r="K89" s="9" t="str">
        <f>IFERROR(INDEX('Raw Non-zero DMR Data'!$C:$C, MATCH(J89,'Raw Non-zero DMR Data'!$D:$D,0)),"")</f>
        <v>KY0103357</v>
      </c>
      <c r="L89" s="9" t="str">
        <f>IFERROR(INDEX('Raw Non-zero DMR Data'!$U:$U, MATCH($J89,'Raw Non-zero DMR Data'!$D:$D,0)),"")</f>
        <v>Ballard Branch-Silver Creek</v>
      </c>
      <c r="M89" s="155" t="str">
        <f>IFERROR(INDEX('Raw Non-zero DMR Data'!$T:$T, MATCH($J89,'Raw Non-zero DMR Data'!$D:$D,0)),"")</f>
        <v>051002050204</v>
      </c>
      <c r="N89" s="155" t="str">
        <f>IFERROR(INDEX('Off-site Locations'!$E:$E,MATCH(I89,'Off-site Locations'!$B:$B,0)),"No offsite transfers")</f>
        <v>No offsite transfers</v>
      </c>
      <c r="O89" s="165">
        <f>INDEX('TRI and DMR OES Summary'!D:D,MATCH('Facility Discharge Summary'!D89,'TRI and DMR OES Summary'!A:A,0))</f>
        <v>365</v>
      </c>
      <c r="P89" s="17" cm="1">
        <f t="array" ref="P89">IFERROR(_xlfn.XLOOKUP(1,  (MAX(IF(J89 = 'Processed Non-zero DMR Data'!$I$2:$I$651,'Processed Non-zero DMR Data'!$A$2:$A$651)) = 'Processed Non-zero DMR Data'!$A$2:$A$651)*('Processed Non-zero DMR Data'!$I$2:$I$651 = J89),'Processed Non-zero DMR Data'!$W$2:$W$651), "N/A- Facility Does Not Report DMRs")</f>
        <v>2.5420060000000002</v>
      </c>
      <c r="Q89" s="10">
        <f t="shared" si="35"/>
        <v>6.9644000000000008E-3</v>
      </c>
      <c r="R89" s="10" cm="1">
        <f t="array" ref="R89">IF(COUNTIF('Processed Non-zero DMR Data'!$I:$I,$J89)&gt;0,MEDIAN(IF('Processed Non-zero DMR Data'!$I:$I=J89,'Processed Non-zero DMR Data'!$W:$W)),"N/A - Facility Does Not Report DMRs")</f>
        <v>2.8873872500000002</v>
      </c>
      <c r="S89" s="10">
        <f t="shared" si="36"/>
        <v>7.91065E-3</v>
      </c>
      <c r="T89" s="10">
        <f>IF(COUNTIF('Processed Non-zero DMR Data'!$I:$I,$J89)&gt;0,_xlfn.MAXIFS('Processed Non-zero DMR Data'!$W:$W,'Processed Non-zero DMR Data'!$I:$I,$J89), "N/A - Facility Does Not Report DMRs")</f>
        <v>3.2327685000000002</v>
      </c>
      <c r="U89" s="10">
        <f t="shared" si="37"/>
        <v>8.8569000000000009E-3</v>
      </c>
      <c r="V89" s="158" cm="1">
        <f t="array" ref="V89">IF(COUNTIF('Processed Non-zero DMR Data'!$I:$I,$J89)&gt;0,INDEX('Processed Non-zero DMR Data'!$A:$A,MATCH(1,($J89='Processed Non-zero DMR Data'!$I:$I)*($T89='Processed Non-zero DMR Data'!$W:$W),0)), "N/A - Facility Does Not Report DMRs")</f>
        <v>2019</v>
      </c>
      <c r="W89" s="17" t="str" cm="1">
        <f t="array" ref="W89">IFERROR(_xlfn.XLOOKUP(1,  (MAX(IF(I89 = 'Processed Non-zero TRI Data'!$I$2:$I$6,'Processed Non-zero TRI Data'!$A$2:$A$6)) = 'Processed Non-zero TRI Data'!$A$2:$A$6)*('Processed Non-zero TRI Data'!$I$2:$I$6 = I89), 'Processed Non-zero TRI Data'!$T$2:$T$6), "N/A- Facility Does Not Report to TRI")</f>
        <v>N/A- Facility Does Not Report to TRI</v>
      </c>
      <c r="X89" s="10" t="str">
        <f t="shared" si="38"/>
        <v>N/A - Facility Does Not Report to TRI</v>
      </c>
      <c r="Y89" s="10" t="str" cm="1">
        <f t="array" ref="Y89">IF(COUNTIF('Processed Non-zero TRI Data'!$I:$I,$I89)&gt;0,MEDIAN(IF('Processed Non-zero TRI Data'!$I:$I=I89,'Processed Non-zero TRI Data'!$T:$T)), "N/A - Facility Does Not Report to TRI")</f>
        <v>N/A - Facility Does Not Report to TRI</v>
      </c>
      <c r="Z89" s="10" t="str">
        <f t="shared" si="39"/>
        <v>N/A - Facility Does Not Report to TRI</v>
      </c>
      <c r="AA89" s="10" t="str">
        <f>IF(COUNTIF('Processed Non-zero TRI Data'!$I:$I,$I89)&gt;0,_xlfn.MAXIFS('Processed Non-zero TRI Data'!$T:$T,'Processed Non-zero TRI Data'!$I:$I,$I89), "N/A - Facility Does Not Report to TRI")</f>
        <v>N/A - Facility Does Not Report to TRI</v>
      </c>
      <c r="AB89" s="10" t="str">
        <f t="shared" si="40"/>
        <v>N/A - Facility Does Not Report to TRI</v>
      </c>
      <c r="AC89" s="158" t="str" cm="1">
        <f t="array" ref="AC89">IFERROR(IF(B89 = "TRI Form R", IF(AA89 = 0, "Facility has no on-site water discharges between 2017-2022.",  IF(COUNTIF('Processed Non-zero TRI Data'!$I:$I,$I89)&gt;0,INDEX('Processed Non-zero TRI Data'!$A:$A,MATCH(1,($I89='Processed Non-zero TRI Data'!$I:$I)*(AA89='Processed Non-zero TRI Data'!$T:$T),0)))), VLOOKUP(I89,#REF!, 2, FALSE)), ("N/A - Facility Does Not Report to TRI"))</f>
        <v>N/A - Facility Does Not Report to TRI</v>
      </c>
      <c r="AD89" s="97" t="str" cm="1">
        <f t="array" ref="AD89">IFERROR(_xlfn.XLOOKUP(1,  (MAX(IF(I89 = 'Processed Non-zero TRI Data'!$I$2:$I$6,'Processed Non-zero TRI Data'!$A$2:$A$6)) = 'Processed Non-zero TRI Data'!$A$2:$A$6)*('Processed Non-zero TRI Data'!$I$2:$I$6 = I89), 'Processed Non-zero TRI Data'!$V$2:$V$6), "N/A- Facility Does Not Report to TRI")</f>
        <v>N/A- Facility Does Not Report to TRI</v>
      </c>
      <c r="AE89" s="9" t="str">
        <f t="shared" si="41"/>
        <v>N/A - Facility Does Not Report to TRI</v>
      </c>
      <c r="AF89" s="9" t="str" cm="1">
        <f t="array" ref="AF89">IF(COUNTIF('Processed Non-zero TRI Data'!$I:$I,$I89)&gt;0,MEDIAN(IF('Processed Non-zero TRI Data'!$I:$I=I89,'Processed Non-zero TRI Data'!$V:$V)), "N/A - Facility Does Not Report to TRI")</f>
        <v>N/A - Facility Does Not Report to TRI</v>
      </c>
      <c r="AG89" s="9" t="str">
        <f t="shared" si="42"/>
        <v>N/A - Facility Does Not Report to TRI</v>
      </c>
      <c r="AH89" s="9" t="str">
        <f>IF(COUNTIF('Processed Non-zero TRI Data'!$I:$I,$I89)&gt;0,_xlfn.MAXIFS('Processed Non-zero TRI Data'!$V:$V,'Processed Non-zero TRI Data'!$I:$I,$I89), "N/A - Facility Does Not Report to TRI")</f>
        <v>N/A - Facility Does Not Report to TRI</v>
      </c>
      <c r="AI89" s="9" t="str">
        <f t="shared" si="43"/>
        <v>N/A - Facility Does Not Report to TRI</v>
      </c>
      <c r="AJ89" s="158" t="str" cm="1">
        <f t="array" ref="AJ89">IF(B89="TRI Form A",AC89,IF(AH89=0,"Facility has no transfers to POTWs between 2019-2023.",IF(COUNTIF('Processed Non-zero TRI Data'!$I:$I,$I89)&gt;0,INDEX('Processed Non-zero TRI Data'!$A:$A,MATCH(1,($I89='Processed Non-zero TRI Data'!$I:$I)*(AH89='Processed Non-zero TRI Data'!$V:$V),0)),"N/A - Facility Does Not Report to TRI")))</f>
        <v>N/A - Facility Does Not Report to TRI</v>
      </c>
      <c r="AK89" s="97" t="str" cm="1">
        <f t="array" ref="AK89">IFERROR(_xlfn.XLOOKUP(1,  (MAX(IF(I89 = 'Processed Non-zero TRI Data'!$I$2:$I$6,'Processed Non-zero TRI Data'!$A$2:$A$6)) = 'Processed Non-zero TRI Data'!$A$2:$A$6)*('Processed Non-zero TRI Data'!$I$2:$I$6 = I89), 'Processed Non-zero TRI Data'!$X$2:$X$6), "N/A- Facility Does Not Report to TRI")</f>
        <v>N/A- Facility Does Not Report to TRI</v>
      </c>
      <c r="AL89" s="9" t="str">
        <f t="shared" si="44"/>
        <v>N/A - Facility Does Not Report to TRI</v>
      </c>
      <c r="AM89" s="9" t="str" cm="1">
        <f t="array" ref="AM89">IF(COUNTIF('Processed Non-zero TRI Data'!$I:$I,$I89)&gt;0,MEDIAN(IF('Processed Non-zero TRI Data'!$I:$I=I89,'Processed Non-zero TRI Data'!$X:$X)), "N/A - Facility Does Not Report to TRI")</f>
        <v>N/A - Facility Does Not Report to TRI</v>
      </c>
      <c r="AN89" s="9" t="str">
        <f t="shared" si="45"/>
        <v>N/A - Facility Does Not Report to TRI</v>
      </c>
      <c r="AO89" s="9" t="str">
        <f>IF(COUNTIF('Processed Non-zero TRI Data'!$I:$I,$I89)&gt;0,_xlfn.MAXIFS('Processed Non-zero TRI Data'!$X:$X,'Processed Non-zero TRI Data'!$I:$I,$I89), "N/A - Facility Does Not Report to TRI")</f>
        <v>N/A - Facility Does Not Report to TRI</v>
      </c>
      <c r="AP89" s="9" t="str">
        <f t="shared" si="46"/>
        <v>N/A - Facility Does Not Report to TRI</v>
      </c>
      <c r="AQ89" s="251" t="str" cm="1">
        <f t="array" ref="AQ89">IF(B89="TRI Form A",AC89,IF(AO89=0,"Facility has no transfers to non-POTWs between 2019-2023.",IF(COUNTIF('Processed Non-zero TRI Data'!$I:$I,$I89)&gt;0,INDEX('Processed Non-zero TRI Data'!$A:$A,MATCH(1,($I89='Processed Non-zero TRI Data'!$I:$I)*(AO89='Processed Non-zero TRI Data'!$X:$X),0)),"N/A - Facility Does Not Report to TRI")))</f>
        <v>N/A - Facility Does Not Report to TRI</v>
      </c>
      <c r="AR89" s="260">
        <f t="shared" si="47"/>
        <v>0</v>
      </c>
      <c r="AS89" s="260">
        <f t="shared" si="48"/>
        <v>3.2327685000000002</v>
      </c>
    </row>
    <row r="90" spans="1:45" ht="30" x14ac:dyDescent="0.25">
      <c r="A90" s="12">
        <v>87</v>
      </c>
      <c r="B90" s="10" t="str">
        <f>IFERROR("TRI Form "&amp; VLOOKUP(I90, 'Processed Non-zero TRI Data'!$I$2:$K$6, 3, FALSE), "DMR")</f>
        <v>DMR</v>
      </c>
      <c r="C90" s="181" t="e">
        <f>VLOOKUP(D90,#REF!, 2, FALSE)</f>
        <v>#REF!</v>
      </c>
      <c r="D90" s="181" t="str">
        <f>IF(I90&lt;&gt;"",INDEX('Processed Non-zero TRI Data'!$O:$O,MATCH(I90,'Processed Non-zero TRI Data'!$I:$I,0)),INDEX('Processed Non-zero DMR Data'!$S:$S,MATCH(J90,'Processed Non-zero DMR Data'!$I:$I,0)))</f>
        <v>Waste Handling, Disposal and Treatment (Landfill)</v>
      </c>
      <c r="E90" s="181" t="str">
        <f>IF(I90&lt;&gt;"",INDEX('Processed Non-zero TRI Data'!$P:$P,MATCH(I90,'Processed Non-zero TRI Data'!$I:$I,0)),INDEX('Processed Non-zero DMR Data'!$T:$T,MATCH(J90,'Processed Non-zero DMR Data'!$I:$I,0)))</f>
        <v>Facility provides waste management services via Chrin Brothers Sanitary Landfill.</v>
      </c>
      <c r="F90" s="9" t="str">
        <f>_xlfn.XLOOKUP(J90, 'Processed Non-zero DMR Data'!I:I, 'Processed Non-zero DMR Data'!B:B)</f>
        <v>CHRIN BROTHERS INC</v>
      </c>
      <c r="G90" s="9" t="str">
        <f>_xlfn.XLOOKUP(J90, 'Processed Non-zero DMR Data'!I:I, 'Processed Non-zero DMR Data'!C:C)</f>
        <v>EASTON</v>
      </c>
      <c r="H90" s="9" t="str">
        <f>_xlfn.XLOOKUP(J90, 'Processed Non-zero DMR Data'!I:I, 'Processed Non-zero DMR Data'!E:E)</f>
        <v>PA</v>
      </c>
      <c r="I90" s="12"/>
      <c r="J90" s="13">
        <v>110001075345</v>
      </c>
      <c r="K90" s="9" t="str">
        <f>IFERROR(INDEX('Raw Non-zero DMR Data'!$C:$C, MATCH(J90,'Raw Non-zero DMR Data'!$D:$D,0)),"")</f>
        <v>PA0063142</v>
      </c>
      <c r="L90" s="9" t="str">
        <f>IFERROR(INDEX('Raw Non-zero DMR Data'!$U:$U, MATCH($J90,'Raw Non-zero DMR Data'!$D:$D,0)),"")</f>
        <v>Lower Bushkill Creek</v>
      </c>
      <c r="M90" s="155" t="str">
        <f>IFERROR(INDEX('Raw Non-zero DMR Data'!$T:$T, MATCH($J90,'Raw Non-zero DMR Data'!$D:$D,0)),"")</f>
        <v>020401050303</v>
      </c>
      <c r="N90" s="155" t="str">
        <f>IFERROR(INDEX('Off-site Locations'!$E:$E,MATCH(I90,'Off-site Locations'!$B:$B,0)),"No offsite transfers")</f>
        <v>No offsite transfers</v>
      </c>
      <c r="O90" s="165">
        <f>INDEX('TRI and DMR OES Summary'!D:D,MATCH('Facility Discharge Summary'!D90,'TRI and DMR OES Summary'!A:A,0))</f>
        <v>250</v>
      </c>
      <c r="P90" s="17" cm="1">
        <f t="array" ref="P90">IFERROR(_xlfn.XLOOKUP(1,  (MAX(IF(J90 = 'Processed Non-zero DMR Data'!$I$2:$I$651,'Processed Non-zero DMR Data'!$A$2:$A$651)) = 'Processed Non-zero DMR Data'!$A$2:$A$651)*('Processed Non-zero DMR Data'!$I$2:$I$651 = J90),'Processed Non-zero DMR Data'!$W$2:$W$651), "N/A- Facility Does Not Report DMRs")</f>
        <v>6.5348781999999994E-2</v>
      </c>
      <c r="Q90" s="10">
        <f t="shared" si="35"/>
        <v>2.6139512799999996E-4</v>
      </c>
      <c r="R90" s="10" cm="1">
        <f t="array" ref="R90">IF(COUNTIF('Processed Non-zero DMR Data'!$I:$I,$J90)&gt;0,MEDIAN(IF('Processed Non-zero DMR Data'!$I:$I=J90,'Processed Non-zero DMR Data'!$W:$W)),"N/A - Facility Does Not Report DMRs")</f>
        <v>6.5348781999999994E-2</v>
      </c>
      <c r="S90" s="10">
        <f t="shared" si="36"/>
        <v>2.6139512799999996E-4</v>
      </c>
      <c r="T90" s="10">
        <f>IF(COUNTIF('Processed Non-zero DMR Data'!$I:$I,$J90)&gt;0,_xlfn.MAXIFS('Processed Non-zero DMR Data'!$W:$W,'Processed Non-zero DMR Data'!$I:$I,$J90), "N/A - Facility Does Not Report DMRs")</f>
        <v>6.8386622999999994E-2</v>
      </c>
      <c r="U90" s="10">
        <f t="shared" si="37"/>
        <v>2.7354649199999999E-4</v>
      </c>
      <c r="V90" s="158" cm="1">
        <f t="array" ref="V90">IF(COUNTIF('Processed Non-zero DMR Data'!$I:$I,$J90)&gt;0,INDEX('Processed Non-zero DMR Data'!$A:$A,MATCH(1,($J90='Processed Non-zero DMR Data'!$I:$I)*($T90='Processed Non-zero DMR Data'!$W:$W),0)), "N/A - Facility Does Not Report DMRs")</f>
        <v>2021</v>
      </c>
      <c r="W90" s="17" t="str" cm="1">
        <f t="array" ref="W90">IFERROR(_xlfn.XLOOKUP(1,  (MAX(IF(I90 = 'Processed Non-zero TRI Data'!$I$2:$I$6,'Processed Non-zero TRI Data'!$A$2:$A$6)) = 'Processed Non-zero TRI Data'!$A$2:$A$6)*('Processed Non-zero TRI Data'!$I$2:$I$6 = I90), 'Processed Non-zero TRI Data'!$T$2:$T$6), "N/A- Facility Does Not Report to TRI")</f>
        <v>N/A- Facility Does Not Report to TRI</v>
      </c>
      <c r="X90" s="10" t="str">
        <f t="shared" si="38"/>
        <v>N/A - Facility Does Not Report to TRI</v>
      </c>
      <c r="Y90" s="10" t="str" cm="1">
        <f t="array" ref="Y90">IF(COUNTIF('Processed Non-zero TRI Data'!$I:$I,$I90)&gt;0,MEDIAN(IF('Processed Non-zero TRI Data'!$I:$I=I90,'Processed Non-zero TRI Data'!$T:$T)), "N/A - Facility Does Not Report to TRI")</f>
        <v>N/A - Facility Does Not Report to TRI</v>
      </c>
      <c r="Z90" s="10" t="str">
        <f t="shared" si="39"/>
        <v>N/A - Facility Does Not Report to TRI</v>
      </c>
      <c r="AA90" s="10" t="str">
        <f>IF(COUNTIF('Processed Non-zero TRI Data'!$I:$I,$I90)&gt;0,_xlfn.MAXIFS('Processed Non-zero TRI Data'!$T:$T,'Processed Non-zero TRI Data'!$I:$I,$I90), "N/A - Facility Does Not Report to TRI")</f>
        <v>N/A - Facility Does Not Report to TRI</v>
      </c>
      <c r="AB90" s="10" t="str">
        <f t="shared" si="40"/>
        <v>N/A - Facility Does Not Report to TRI</v>
      </c>
      <c r="AC90" s="158" t="str" cm="1">
        <f t="array" ref="AC90">IFERROR(IF(B90 = "TRI Form R", IF(AA90 = 0, "Facility has no on-site water discharges between 2017-2022.",  IF(COUNTIF('Processed Non-zero TRI Data'!$I:$I,$I90)&gt;0,INDEX('Processed Non-zero TRI Data'!$A:$A,MATCH(1,($I90='Processed Non-zero TRI Data'!$I:$I)*(AA90='Processed Non-zero TRI Data'!$T:$T),0)))), VLOOKUP(I90,#REF!, 2, FALSE)), ("N/A - Facility Does Not Report to TRI"))</f>
        <v>N/A - Facility Does Not Report to TRI</v>
      </c>
      <c r="AD90" s="97" t="str" cm="1">
        <f t="array" ref="AD90">IFERROR(_xlfn.XLOOKUP(1,  (MAX(IF(I90 = 'Processed Non-zero TRI Data'!$I$2:$I$6,'Processed Non-zero TRI Data'!$A$2:$A$6)) = 'Processed Non-zero TRI Data'!$A$2:$A$6)*('Processed Non-zero TRI Data'!$I$2:$I$6 = I90), 'Processed Non-zero TRI Data'!$V$2:$V$6), "N/A- Facility Does Not Report to TRI")</f>
        <v>N/A- Facility Does Not Report to TRI</v>
      </c>
      <c r="AE90" s="9" t="str">
        <f t="shared" si="41"/>
        <v>N/A - Facility Does Not Report to TRI</v>
      </c>
      <c r="AF90" s="9" t="str" cm="1">
        <f t="array" ref="AF90">IF(COUNTIF('Processed Non-zero TRI Data'!$I:$I,$I90)&gt;0,MEDIAN(IF('Processed Non-zero TRI Data'!$I:$I=I90,'Processed Non-zero TRI Data'!$V:$V)), "N/A - Facility Does Not Report to TRI")</f>
        <v>N/A - Facility Does Not Report to TRI</v>
      </c>
      <c r="AG90" s="9" t="str">
        <f t="shared" si="42"/>
        <v>N/A - Facility Does Not Report to TRI</v>
      </c>
      <c r="AH90" s="9" t="str">
        <f>IF(COUNTIF('Processed Non-zero TRI Data'!$I:$I,$I90)&gt;0,_xlfn.MAXIFS('Processed Non-zero TRI Data'!$V:$V,'Processed Non-zero TRI Data'!$I:$I,$I90), "N/A - Facility Does Not Report to TRI")</f>
        <v>N/A - Facility Does Not Report to TRI</v>
      </c>
      <c r="AI90" s="9" t="str">
        <f t="shared" si="43"/>
        <v>N/A - Facility Does Not Report to TRI</v>
      </c>
      <c r="AJ90" s="158" t="str" cm="1">
        <f t="array" ref="AJ90">IF(B90="TRI Form A",AC90,IF(AH90=0,"Facility has no transfers to POTWs between 2019-2023.",IF(COUNTIF('Processed Non-zero TRI Data'!$I:$I,$I90)&gt;0,INDEX('Processed Non-zero TRI Data'!$A:$A,MATCH(1,($I90='Processed Non-zero TRI Data'!$I:$I)*(AH90='Processed Non-zero TRI Data'!$V:$V),0)),"N/A - Facility Does Not Report to TRI")))</f>
        <v>N/A - Facility Does Not Report to TRI</v>
      </c>
      <c r="AK90" s="97" t="str" cm="1">
        <f t="array" ref="AK90">IFERROR(_xlfn.XLOOKUP(1,  (MAX(IF(I90 = 'Processed Non-zero TRI Data'!$I$2:$I$6,'Processed Non-zero TRI Data'!$A$2:$A$6)) = 'Processed Non-zero TRI Data'!$A$2:$A$6)*('Processed Non-zero TRI Data'!$I$2:$I$6 = I90), 'Processed Non-zero TRI Data'!$X$2:$X$6), "N/A- Facility Does Not Report to TRI")</f>
        <v>N/A- Facility Does Not Report to TRI</v>
      </c>
      <c r="AL90" s="9" t="str">
        <f t="shared" si="44"/>
        <v>N/A - Facility Does Not Report to TRI</v>
      </c>
      <c r="AM90" s="9" t="str" cm="1">
        <f t="array" ref="AM90">IF(COUNTIF('Processed Non-zero TRI Data'!$I:$I,$I90)&gt;0,MEDIAN(IF('Processed Non-zero TRI Data'!$I:$I=I90,'Processed Non-zero TRI Data'!$X:$X)), "N/A - Facility Does Not Report to TRI")</f>
        <v>N/A - Facility Does Not Report to TRI</v>
      </c>
      <c r="AN90" s="9" t="str">
        <f t="shared" si="45"/>
        <v>N/A - Facility Does Not Report to TRI</v>
      </c>
      <c r="AO90" s="9" t="str">
        <f>IF(COUNTIF('Processed Non-zero TRI Data'!$I:$I,$I90)&gt;0,_xlfn.MAXIFS('Processed Non-zero TRI Data'!$X:$X,'Processed Non-zero TRI Data'!$I:$I,$I90), "N/A - Facility Does Not Report to TRI")</f>
        <v>N/A - Facility Does Not Report to TRI</v>
      </c>
      <c r="AP90" s="9" t="str">
        <f t="shared" si="46"/>
        <v>N/A - Facility Does Not Report to TRI</v>
      </c>
      <c r="AQ90" s="251" t="str" cm="1">
        <f t="array" ref="AQ90">IF(B90="TRI Form A",AC90,IF(AO90=0,"Facility has no transfers to non-POTWs between 2019-2023.",IF(COUNTIF('Processed Non-zero TRI Data'!$I:$I,$I90)&gt;0,INDEX('Processed Non-zero TRI Data'!$A:$A,MATCH(1,($I90='Processed Non-zero TRI Data'!$I:$I)*(AO90='Processed Non-zero TRI Data'!$X:$X),0)),"N/A - Facility Does Not Report to TRI")))</f>
        <v>N/A - Facility Does Not Report to TRI</v>
      </c>
      <c r="AR90" s="260">
        <f t="shared" si="47"/>
        <v>0</v>
      </c>
      <c r="AS90" s="260">
        <f t="shared" si="48"/>
        <v>6.8386622999999994E-2</v>
      </c>
    </row>
    <row r="91" spans="1:45" ht="30" x14ac:dyDescent="0.25">
      <c r="A91" s="12">
        <v>88</v>
      </c>
      <c r="B91" s="10" t="str">
        <f>IFERROR("TRI Form "&amp; VLOOKUP(I91, 'Processed Non-zero TRI Data'!$I$2:$K$6, 3, FALSE), "DMR")</f>
        <v>DMR</v>
      </c>
      <c r="C91" s="181" t="e">
        <f>VLOOKUP(D91,#REF!, 2, FALSE)</f>
        <v>#REF!</v>
      </c>
      <c r="D91" s="181" t="str">
        <f>IF(I91&lt;&gt;"",INDEX('Processed Non-zero TRI Data'!$O:$O,MATCH(I91,'Processed Non-zero TRI Data'!$I:$I,0)),INDEX('Processed Non-zero DMR Data'!$S:$S,MATCH(J91,'Processed Non-zero DMR Data'!$I:$I,0)))</f>
        <v>Unknown</v>
      </c>
      <c r="E91" s="181" t="str">
        <f>IF(I91&lt;&gt;"",INDEX('Processed Non-zero TRI Data'!$P:$P,MATCH(I91,'Processed Non-zero TRI Data'!$I:$I,0)),INDEX('Processed Non-zero DMR Data'!$T:$T,MATCH(J91,'Processed Non-zero DMR Data'!$I:$I,0)))</f>
        <v>Apartment complex; no OES to map to.</v>
      </c>
      <c r="F91" s="9" t="str">
        <f>_xlfn.XLOOKUP(J91, 'Processed Non-zero DMR Data'!I:I, 'Processed Non-zero DMR Data'!B:B)</f>
        <v>MARYLAND VILLAS APARTMENT COMPLEX</v>
      </c>
      <c r="G91" s="9" t="str">
        <f>_xlfn.XLOOKUP(J91, 'Processed Non-zero DMR Data'!I:I, 'Processed Non-zero DMR Data'!C:C)</f>
        <v>LAS VEGAS</v>
      </c>
      <c r="H91" s="9" t="str">
        <f>_xlfn.XLOOKUP(J91, 'Processed Non-zero DMR Data'!I:I, 'Processed Non-zero DMR Data'!E:E)</f>
        <v>NV</v>
      </c>
      <c r="I91" s="12"/>
      <c r="J91" s="13">
        <v>110008995490</v>
      </c>
      <c r="K91" s="9" t="str">
        <f>IFERROR(INDEX('Raw Non-zero DMR Data'!$C:$C, MATCH(J91,'Raw Non-zero DMR Data'!$D:$D,0)),"")</f>
        <v>NV0023043</v>
      </c>
      <c r="L91" s="9" t="str">
        <f>IFERROR(INDEX('Raw Non-zero DMR Data'!$U:$U, MATCH($J91,'Raw Non-zero DMR Data'!$D:$D,0)),"")</f>
        <v>City of Las Vegas-Las Vegas Wash</v>
      </c>
      <c r="M91" s="155">
        <f>IFERROR(INDEX('Raw Non-zero DMR Data'!$T:$T, MATCH($J91,'Raw Non-zero DMR Data'!$D:$D,0)),"")</f>
        <v>150100150604</v>
      </c>
      <c r="N91" s="155" t="str">
        <f>IFERROR(INDEX('Off-site Locations'!$E:$E,MATCH(I91,'Off-site Locations'!$B:$B,0)),"No offsite transfers")</f>
        <v>No offsite transfers</v>
      </c>
      <c r="O91" s="165">
        <f>INDEX('TRI and DMR OES Summary'!D:D,MATCH('Facility Discharge Summary'!D91,'TRI and DMR OES Summary'!A:A,0))</f>
        <v>250</v>
      </c>
      <c r="P91" s="17" cm="1">
        <f t="array" ref="P91">IFERROR(_xlfn.XLOOKUP(1,  (MAX(IF(J91 = 'Processed Non-zero DMR Data'!$I$2:$I$651,'Processed Non-zero DMR Data'!$A$2:$A$651)) = 'Processed Non-zero DMR Data'!$A$2:$A$651)*('Processed Non-zero DMR Data'!$I$2:$I$651 = J91),'Processed Non-zero DMR Data'!$W$2:$W$651), "N/A- Facility Does Not Report DMRs")</f>
        <v>0.25150662624999998</v>
      </c>
      <c r="Q91" s="10">
        <f t="shared" si="35"/>
        <v>1.0060265049999999E-3</v>
      </c>
      <c r="R91" s="10" cm="1">
        <f t="array" ref="R91">IF(COUNTIF('Processed Non-zero DMR Data'!$I:$I,$J91)&gt;0,MEDIAN(IF('Processed Non-zero DMR Data'!$I:$I=J91,'Processed Non-zero DMR Data'!$W:$W)),"N/A - Facility Does Not Report DMRs")</f>
        <v>5.9291599187500002E-2</v>
      </c>
      <c r="S91" s="10">
        <f t="shared" si="36"/>
        <v>2.3716639675000001E-4</v>
      </c>
      <c r="T91" s="10">
        <f>IF(COUNTIF('Processed Non-zero DMR Data'!$I:$I,$J91)&gt;0,_xlfn.MAXIFS('Processed Non-zero DMR Data'!$W:$W,'Processed Non-zero DMR Data'!$I:$I,$J91), "N/A - Facility Does Not Report DMRs")</f>
        <v>0.25150662624999998</v>
      </c>
      <c r="U91" s="10">
        <f t="shared" si="37"/>
        <v>1.0060265049999999E-3</v>
      </c>
      <c r="V91" s="158" cm="1">
        <f t="array" ref="V91">IF(COUNTIF('Processed Non-zero DMR Data'!$I:$I,$J91)&gt;0,INDEX('Processed Non-zero DMR Data'!$A:$A,MATCH(1,($J91='Processed Non-zero DMR Data'!$I:$I)*($T91='Processed Non-zero DMR Data'!$W:$W),0)), "N/A - Facility Does Not Report DMRs")</f>
        <v>2023</v>
      </c>
      <c r="W91" s="17" t="str" cm="1">
        <f t="array" ref="W91">IFERROR(_xlfn.XLOOKUP(1,  (MAX(IF(I91 = 'Processed Non-zero TRI Data'!$I$2:$I$6,'Processed Non-zero TRI Data'!$A$2:$A$6)) = 'Processed Non-zero TRI Data'!$A$2:$A$6)*('Processed Non-zero TRI Data'!$I$2:$I$6 = I91), 'Processed Non-zero TRI Data'!$T$2:$T$6), "N/A- Facility Does Not Report to TRI")</f>
        <v>N/A- Facility Does Not Report to TRI</v>
      </c>
      <c r="X91" s="10" t="str">
        <f t="shared" si="38"/>
        <v>N/A - Facility Does Not Report to TRI</v>
      </c>
      <c r="Y91" s="10" t="str" cm="1">
        <f t="array" ref="Y91">IF(COUNTIF('Processed Non-zero TRI Data'!$I:$I,$I91)&gt;0,MEDIAN(IF('Processed Non-zero TRI Data'!$I:$I=I91,'Processed Non-zero TRI Data'!$T:$T)), "N/A - Facility Does Not Report to TRI")</f>
        <v>N/A - Facility Does Not Report to TRI</v>
      </c>
      <c r="Z91" s="10" t="str">
        <f t="shared" si="39"/>
        <v>N/A - Facility Does Not Report to TRI</v>
      </c>
      <c r="AA91" s="10" t="str">
        <f>IF(COUNTIF('Processed Non-zero TRI Data'!$I:$I,$I91)&gt;0,_xlfn.MAXIFS('Processed Non-zero TRI Data'!$T:$T,'Processed Non-zero TRI Data'!$I:$I,$I91), "N/A - Facility Does Not Report to TRI")</f>
        <v>N/A - Facility Does Not Report to TRI</v>
      </c>
      <c r="AB91" s="10" t="str">
        <f t="shared" si="40"/>
        <v>N/A - Facility Does Not Report to TRI</v>
      </c>
      <c r="AC91" s="158" t="str" cm="1">
        <f t="array" ref="AC91">IFERROR(IF(B91 = "TRI Form R", IF(AA91 = 0, "Facility has no on-site water discharges between 2017-2022.",  IF(COUNTIF('Processed Non-zero TRI Data'!$I:$I,$I91)&gt;0,INDEX('Processed Non-zero TRI Data'!$A:$A,MATCH(1,($I91='Processed Non-zero TRI Data'!$I:$I)*(AA91='Processed Non-zero TRI Data'!$T:$T),0)))), VLOOKUP(I91,#REF!, 2, FALSE)), ("N/A - Facility Does Not Report to TRI"))</f>
        <v>N/A - Facility Does Not Report to TRI</v>
      </c>
      <c r="AD91" s="97" t="str" cm="1">
        <f t="array" ref="AD91">IFERROR(_xlfn.XLOOKUP(1,  (MAX(IF(I91 = 'Processed Non-zero TRI Data'!$I$2:$I$6,'Processed Non-zero TRI Data'!$A$2:$A$6)) = 'Processed Non-zero TRI Data'!$A$2:$A$6)*('Processed Non-zero TRI Data'!$I$2:$I$6 = I91), 'Processed Non-zero TRI Data'!$V$2:$V$6), "N/A- Facility Does Not Report to TRI")</f>
        <v>N/A- Facility Does Not Report to TRI</v>
      </c>
      <c r="AE91" s="9" t="str">
        <f t="shared" si="41"/>
        <v>N/A - Facility Does Not Report to TRI</v>
      </c>
      <c r="AF91" s="9" t="str" cm="1">
        <f t="array" ref="AF91">IF(COUNTIF('Processed Non-zero TRI Data'!$I:$I,$I91)&gt;0,MEDIAN(IF('Processed Non-zero TRI Data'!$I:$I=I91,'Processed Non-zero TRI Data'!$V:$V)), "N/A - Facility Does Not Report to TRI")</f>
        <v>N/A - Facility Does Not Report to TRI</v>
      </c>
      <c r="AG91" s="9" t="str">
        <f t="shared" si="42"/>
        <v>N/A - Facility Does Not Report to TRI</v>
      </c>
      <c r="AH91" s="9" t="str">
        <f>IF(COUNTIF('Processed Non-zero TRI Data'!$I:$I,$I91)&gt;0,_xlfn.MAXIFS('Processed Non-zero TRI Data'!$V:$V,'Processed Non-zero TRI Data'!$I:$I,$I91), "N/A - Facility Does Not Report to TRI")</f>
        <v>N/A - Facility Does Not Report to TRI</v>
      </c>
      <c r="AI91" s="9" t="str">
        <f t="shared" si="43"/>
        <v>N/A - Facility Does Not Report to TRI</v>
      </c>
      <c r="AJ91" s="158" t="str" cm="1">
        <f t="array" ref="AJ91">IF(B91="TRI Form A",AC91,IF(AH91=0,"Facility has no transfers to POTWs between 2019-2023.",IF(COUNTIF('Processed Non-zero TRI Data'!$I:$I,$I91)&gt;0,INDEX('Processed Non-zero TRI Data'!$A:$A,MATCH(1,($I91='Processed Non-zero TRI Data'!$I:$I)*(AH91='Processed Non-zero TRI Data'!$V:$V),0)),"N/A - Facility Does Not Report to TRI")))</f>
        <v>N/A - Facility Does Not Report to TRI</v>
      </c>
      <c r="AK91" s="97" t="str" cm="1">
        <f t="array" ref="AK91">IFERROR(_xlfn.XLOOKUP(1,  (MAX(IF(I91 = 'Processed Non-zero TRI Data'!$I$2:$I$6,'Processed Non-zero TRI Data'!$A$2:$A$6)) = 'Processed Non-zero TRI Data'!$A$2:$A$6)*('Processed Non-zero TRI Data'!$I$2:$I$6 = I91), 'Processed Non-zero TRI Data'!$X$2:$X$6), "N/A- Facility Does Not Report to TRI")</f>
        <v>N/A- Facility Does Not Report to TRI</v>
      </c>
      <c r="AL91" s="9" t="str">
        <f t="shared" si="44"/>
        <v>N/A - Facility Does Not Report to TRI</v>
      </c>
      <c r="AM91" s="9" t="str" cm="1">
        <f t="array" ref="AM91">IF(COUNTIF('Processed Non-zero TRI Data'!$I:$I,$I91)&gt;0,MEDIAN(IF('Processed Non-zero TRI Data'!$I:$I=I91,'Processed Non-zero TRI Data'!$X:$X)), "N/A - Facility Does Not Report to TRI")</f>
        <v>N/A - Facility Does Not Report to TRI</v>
      </c>
      <c r="AN91" s="9" t="str">
        <f t="shared" si="45"/>
        <v>N/A - Facility Does Not Report to TRI</v>
      </c>
      <c r="AO91" s="9" t="str">
        <f>IF(COUNTIF('Processed Non-zero TRI Data'!$I:$I,$I91)&gt;0,_xlfn.MAXIFS('Processed Non-zero TRI Data'!$X:$X,'Processed Non-zero TRI Data'!$I:$I,$I91), "N/A - Facility Does Not Report to TRI")</f>
        <v>N/A - Facility Does Not Report to TRI</v>
      </c>
      <c r="AP91" s="9" t="str">
        <f t="shared" si="46"/>
        <v>N/A - Facility Does Not Report to TRI</v>
      </c>
      <c r="AQ91" s="251" t="str" cm="1">
        <f t="array" ref="AQ91">IF(B91="TRI Form A",AC91,IF(AO91=0,"Facility has no transfers to non-POTWs between 2019-2023.",IF(COUNTIF('Processed Non-zero TRI Data'!$I:$I,$I91)&gt;0,INDEX('Processed Non-zero TRI Data'!$A:$A,MATCH(1,($I91='Processed Non-zero TRI Data'!$I:$I)*(AO91='Processed Non-zero TRI Data'!$X:$X),0)),"N/A - Facility Does Not Report to TRI")))</f>
        <v>N/A - Facility Does Not Report to TRI</v>
      </c>
      <c r="AR91" s="260">
        <f t="shared" si="47"/>
        <v>0</v>
      </c>
      <c r="AS91" s="260">
        <f t="shared" si="48"/>
        <v>0.25150662624999998</v>
      </c>
    </row>
    <row r="92" spans="1:45" ht="30" x14ac:dyDescent="0.25">
      <c r="A92" s="12">
        <v>89</v>
      </c>
      <c r="B92" s="10" t="str">
        <f>IFERROR("TRI Form "&amp; VLOOKUP(I92, 'Processed Non-zero TRI Data'!$I$2:$K$6, 3, FALSE), "DMR")</f>
        <v>DMR</v>
      </c>
      <c r="C92" s="181" t="e">
        <f>VLOOKUP(D92,#REF!, 2, FALSE)</f>
        <v>#REF!</v>
      </c>
      <c r="D92" s="181" t="str">
        <f>IF(I92&lt;&gt;"",INDEX('Processed Non-zero TRI Data'!$O:$O,MATCH(I92,'Processed Non-zero TRI Data'!$I:$I,0)),INDEX('Processed Non-zero DMR Data'!$S:$S,MATCH(J92,'Processed Non-zero DMR Data'!$I:$I,0)))</f>
        <v>Processing as a reactant</v>
      </c>
      <c r="E92" s="181" t="str">
        <f>IF(I92&lt;&gt;"",INDEX('Processed Non-zero TRI Data'!$P:$P,MATCH(I92,'Processed Non-zero TRI Data'!$I:$I,0)),INDEX('Processed Non-zero DMR Data'!$T:$T,MATCH(J92,'Processed Non-zero DMR Data'!$I:$I,0)))</f>
        <v>Assumed processing as a reactant based on SIC and NAICS; this also matches 1,1,-DCA mapping.</v>
      </c>
      <c r="F92" s="9" t="str">
        <f>_xlfn.XLOOKUP(J92, 'Processed Non-zero DMR Data'!I:I, 'Processed Non-zero DMR Data'!B:B)</f>
        <v>ENTERPRISE PASADENA PLANT</v>
      </c>
      <c r="G92" s="9" t="str">
        <f>_xlfn.XLOOKUP(J92, 'Processed Non-zero DMR Data'!I:I, 'Processed Non-zero DMR Data'!C:C)</f>
        <v>PASADENA</v>
      </c>
      <c r="H92" s="9" t="str">
        <f>_xlfn.XLOOKUP(J92, 'Processed Non-zero DMR Data'!I:I, 'Processed Non-zero DMR Data'!E:E)</f>
        <v>TX</v>
      </c>
      <c r="I92" s="12"/>
      <c r="J92" s="13">
        <v>110060340162</v>
      </c>
      <c r="K92" s="9" t="str">
        <f>IFERROR(INDEX('Raw Non-zero DMR Data'!$C:$C, MATCH(J92,'Raw Non-zero DMR Data'!$D:$D,0)),"")</f>
        <v>TX0131768</v>
      </c>
      <c r="L92" s="9" t="str">
        <f>IFERROR(INDEX('Raw Non-zero DMR Data'!$U:$U, MATCH($J92,'Raw Non-zero DMR Data'!$D:$D,0)),"")</f>
        <v>Vince Bayou-Buffalo Bayou</v>
      </c>
      <c r="M92" s="155">
        <f>IFERROR(INDEX('Raw Non-zero DMR Data'!$T:$T, MATCH($J92,'Raw Non-zero DMR Data'!$D:$D,0)),"")</f>
        <v>120401040703</v>
      </c>
      <c r="N92" s="155" t="str">
        <f>IFERROR(INDEX('Off-site Locations'!$E:$E,MATCH(I92,'Off-site Locations'!$B:$B,0)),"No offsite transfers")</f>
        <v>No offsite transfers</v>
      </c>
      <c r="O92" s="165">
        <f>INDEX('TRI and DMR OES Summary'!D:D,MATCH('Facility Discharge Summary'!D92,'TRI and DMR OES Summary'!A:A,0))</f>
        <v>350</v>
      </c>
      <c r="P92" s="17" cm="1">
        <f t="array" ref="P92">IFERROR(_xlfn.XLOOKUP(1,  (MAX(IF(J92 = 'Processed Non-zero DMR Data'!$I$2:$I$651,'Processed Non-zero DMR Data'!$A$2:$A$651)) = 'Processed Non-zero DMR Data'!$A$2:$A$651)*('Processed Non-zero DMR Data'!$I$2:$I$651 = J92),'Processed Non-zero DMR Data'!$W$2:$W$651), "N/A- Facility Does Not Report DMRs")</f>
        <v>6.4240912499999997E-2</v>
      </c>
      <c r="Q92" s="10">
        <f t="shared" si="35"/>
        <v>1.8354546428571428E-4</v>
      </c>
      <c r="R92" s="10" cm="1">
        <f t="array" ref="R92">IF(COUNTIF('Processed Non-zero DMR Data'!$I:$I,$J92)&gt;0,MEDIAN(IF('Processed Non-zero DMR Data'!$I:$I=J92,'Processed Non-zero DMR Data'!$W:$W)),"N/A - Facility Does Not Report DMRs")</f>
        <v>0.71839299999999995</v>
      </c>
      <c r="S92" s="10">
        <f t="shared" si="36"/>
        <v>2.0525514285714285E-3</v>
      </c>
      <c r="T92" s="10">
        <f>IF(COUNTIF('Processed Non-zero DMR Data'!$I:$I,$J92)&gt;0,_xlfn.MAXIFS('Processed Non-zero DMR Data'!$W:$W,'Processed Non-zero DMR Data'!$I:$I,$J92), "N/A - Facility Does Not Report DMRs")</f>
        <v>0.82891499999999996</v>
      </c>
      <c r="U92" s="10">
        <f t="shared" si="37"/>
        <v>2.3683285714285714E-3</v>
      </c>
      <c r="V92" s="158" cm="1">
        <f t="array" ref="V92">IF(COUNTIF('Processed Non-zero DMR Data'!$I:$I,$J92)&gt;0,INDEX('Processed Non-zero DMR Data'!$A:$A,MATCH(1,($J92='Processed Non-zero DMR Data'!$I:$I)*($T92='Processed Non-zero DMR Data'!$W:$W),0)), "N/A - Facility Does Not Report DMRs")</f>
        <v>2019</v>
      </c>
      <c r="W92" s="17" t="str" cm="1">
        <f t="array" ref="W92">IFERROR(_xlfn.XLOOKUP(1,  (MAX(IF(I92 = 'Processed Non-zero TRI Data'!$I$2:$I$6,'Processed Non-zero TRI Data'!$A$2:$A$6)) = 'Processed Non-zero TRI Data'!$A$2:$A$6)*('Processed Non-zero TRI Data'!$I$2:$I$6 = I92), 'Processed Non-zero TRI Data'!$T$2:$T$6), "N/A- Facility Does Not Report to TRI")</f>
        <v>N/A- Facility Does Not Report to TRI</v>
      </c>
      <c r="X92" s="10" t="str">
        <f t="shared" si="38"/>
        <v>N/A - Facility Does Not Report to TRI</v>
      </c>
      <c r="Y92" s="10" t="str" cm="1">
        <f t="array" ref="Y92">IF(COUNTIF('Processed Non-zero TRI Data'!$I:$I,$I92)&gt;0,MEDIAN(IF('Processed Non-zero TRI Data'!$I:$I=I92,'Processed Non-zero TRI Data'!$T:$T)), "N/A - Facility Does Not Report to TRI")</f>
        <v>N/A - Facility Does Not Report to TRI</v>
      </c>
      <c r="Z92" s="10" t="str">
        <f t="shared" si="39"/>
        <v>N/A - Facility Does Not Report to TRI</v>
      </c>
      <c r="AA92" s="10" t="str">
        <f>IF(COUNTIF('Processed Non-zero TRI Data'!$I:$I,$I92)&gt;0,_xlfn.MAXIFS('Processed Non-zero TRI Data'!$T:$T,'Processed Non-zero TRI Data'!$I:$I,$I92), "N/A - Facility Does Not Report to TRI")</f>
        <v>N/A - Facility Does Not Report to TRI</v>
      </c>
      <c r="AB92" s="10" t="str">
        <f t="shared" si="40"/>
        <v>N/A - Facility Does Not Report to TRI</v>
      </c>
      <c r="AC92" s="158" t="str" cm="1">
        <f t="array" ref="AC92">IFERROR(IF(B92 = "TRI Form R", IF(AA92 = 0, "Facility has no on-site water discharges between 2017-2022.",  IF(COUNTIF('Processed Non-zero TRI Data'!$I:$I,$I92)&gt;0,INDEX('Processed Non-zero TRI Data'!$A:$A,MATCH(1,($I92='Processed Non-zero TRI Data'!$I:$I)*(AA92='Processed Non-zero TRI Data'!$T:$T),0)))), VLOOKUP(I92,#REF!, 2, FALSE)), ("N/A - Facility Does Not Report to TRI"))</f>
        <v>N/A - Facility Does Not Report to TRI</v>
      </c>
      <c r="AD92" s="97" t="str" cm="1">
        <f t="array" ref="AD92">IFERROR(_xlfn.XLOOKUP(1,  (MAX(IF(I92 = 'Processed Non-zero TRI Data'!$I$2:$I$6,'Processed Non-zero TRI Data'!$A$2:$A$6)) = 'Processed Non-zero TRI Data'!$A$2:$A$6)*('Processed Non-zero TRI Data'!$I$2:$I$6 = I92), 'Processed Non-zero TRI Data'!$V$2:$V$6), "N/A- Facility Does Not Report to TRI")</f>
        <v>N/A- Facility Does Not Report to TRI</v>
      </c>
      <c r="AE92" s="9" t="str">
        <f t="shared" si="41"/>
        <v>N/A - Facility Does Not Report to TRI</v>
      </c>
      <c r="AF92" s="9" t="str" cm="1">
        <f t="array" ref="AF92">IF(COUNTIF('Processed Non-zero TRI Data'!$I:$I,$I92)&gt;0,MEDIAN(IF('Processed Non-zero TRI Data'!$I:$I=I92,'Processed Non-zero TRI Data'!$V:$V)), "N/A - Facility Does Not Report to TRI")</f>
        <v>N/A - Facility Does Not Report to TRI</v>
      </c>
      <c r="AG92" s="9" t="str">
        <f t="shared" si="42"/>
        <v>N/A - Facility Does Not Report to TRI</v>
      </c>
      <c r="AH92" s="9" t="str">
        <f>IF(COUNTIF('Processed Non-zero TRI Data'!$I:$I,$I92)&gt;0,_xlfn.MAXIFS('Processed Non-zero TRI Data'!$V:$V,'Processed Non-zero TRI Data'!$I:$I,$I92), "N/A - Facility Does Not Report to TRI")</f>
        <v>N/A - Facility Does Not Report to TRI</v>
      </c>
      <c r="AI92" s="9" t="str">
        <f t="shared" si="43"/>
        <v>N/A - Facility Does Not Report to TRI</v>
      </c>
      <c r="AJ92" s="158" t="str" cm="1">
        <f t="array" ref="AJ92">IF(B92="TRI Form A",AC92,IF(AH92=0,"Facility has no transfers to POTWs between 2019-2023.",IF(COUNTIF('Processed Non-zero TRI Data'!$I:$I,$I92)&gt;0,INDEX('Processed Non-zero TRI Data'!$A:$A,MATCH(1,($I92='Processed Non-zero TRI Data'!$I:$I)*(AH92='Processed Non-zero TRI Data'!$V:$V),0)),"N/A - Facility Does Not Report to TRI")))</f>
        <v>N/A - Facility Does Not Report to TRI</v>
      </c>
      <c r="AK92" s="97" t="str" cm="1">
        <f t="array" ref="AK92">IFERROR(_xlfn.XLOOKUP(1,  (MAX(IF(I92 = 'Processed Non-zero TRI Data'!$I$2:$I$6,'Processed Non-zero TRI Data'!$A$2:$A$6)) = 'Processed Non-zero TRI Data'!$A$2:$A$6)*('Processed Non-zero TRI Data'!$I$2:$I$6 = I92), 'Processed Non-zero TRI Data'!$X$2:$X$6), "N/A- Facility Does Not Report to TRI")</f>
        <v>N/A- Facility Does Not Report to TRI</v>
      </c>
      <c r="AL92" s="9" t="str">
        <f t="shared" si="44"/>
        <v>N/A - Facility Does Not Report to TRI</v>
      </c>
      <c r="AM92" s="9" t="str" cm="1">
        <f t="array" ref="AM92">IF(COUNTIF('Processed Non-zero TRI Data'!$I:$I,$I92)&gt;0,MEDIAN(IF('Processed Non-zero TRI Data'!$I:$I=I92,'Processed Non-zero TRI Data'!$X:$X)), "N/A - Facility Does Not Report to TRI")</f>
        <v>N/A - Facility Does Not Report to TRI</v>
      </c>
      <c r="AN92" s="9" t="str">
        <f t="shared" si="45"/>
        <v>N/A - Facility Does Not Report to TRI</v>
      </c>
      <c r="AO92" s="9" t="str">
        <f>IF(COUNTIF('Processed Non-zero TRI Data'!$I:$I,$I92)&gt;0,_xlfn.MAXIFS('Processed Non-zero TRI Data'!$X:$X,'Processed Non-zero TRI Data'!$I:$I,$I92), "N/A - Facility Does Not Report to TRI")</f>
        <v>N/A - Facility Does Not Report to TRI</v>
      </c>
      <c r="AP92" s="9" t="str">
        <f t="shared" si="46"/>
        <v>N/A - Facility Does Not Report to TRI</v>
      </c>
      <c r="AQ92" s="251" t="str" cm="1">
        <f t="array" ref="AQ92">IF(B92="TRI Form A",AC92,IF(AO92=0,"Facility has no transfers to non-POTWs between 2019-2023.",IF(COUNTIF('Processed Non-zero TRI Data'!$I:$I,$I92)&gt;0,INDEX('Processed Non-zero TRI Data'!$A:$A,MATCH(1,($I92='Processed Non-zero TRI Data'!$I:$I)*(AO92='Processed Non-zero TRI Data'!$X:$X),0)),"N/A - Facility Does Not Report to TRI")))</f>
        <v>N/A - Facility Does Not Report to TRI</v>
      </c>
      <c r="AR92" s="260">
        <f t="shared" si="47"/>
        <v>0</v>
      </c>
      <c r="AS92" s="260">
        <f t="shared" si="48"/>
        <v>0.82891499999999996</v>
      </c>
    </row>
    <row r="93" spans="1:45" ht="30" x14ac:dyDescent="0.25">
      <c r="A93" s="12">
        <v>90</v>
      </c>
      <c r="B93" s="10" t="str">
        <f>IFERROR("TRI Form "&amp; VLOOKUP(I93, 'Processed Non-zero TRI Data'!$I$2:$K$6, 3, FALSE), "DMR")</f>
        <v>DMR</v>
      </c>
      <c r="C93" s="181" t="e">
        <f>VLOOKUP(D93,#REF!, 2, FALSE)</f>
        <v>#REF!</v>
      </c>
      <c r="D93" s="181" t="str">
        <f>IF(I93&lt;&gt;"",INDEX('Processed Non-zero TRI Data'!$O:$O,MATCH(I93,'Processed Non-zero TRI Data'!$I:$I,0)),INDEX('Processed Non-zero DMR Data'!$S:$S,MATCH(J93,'Processed Non-zero DMR Data'!$I:$I,0)))</f>
        <v>Waste Handling, Disposal and Treatment (POTW)</v>
      </c>
      <c r="E93" s="181" t="str">
        <f>IF(I93&lt;&gt;"",INDEX('Processed Non-zero TRI Data'!$P:$P,MATCH(I93,'Processed Non-zero TRI Data'!$I:$I,0)),INDEX('Processed Non-zero DMR Data'!$T:$T,MATCH(J93,'Processed Non-zero DMR Data'!$I:$I,0)))</f>
        <v>POTW indicator in DMR</v>
      </c>
      <c r="F93" s="9" t="str">
        <f>_xlfn.XLOOKUP(J93, 'Processed Non-zero DMR Data'!I:I, 'Processed Non-zero DMR Data'!B:B)</f>
        <v>EDDYVILLE STP</v>
      </c>
      <c r="G93" s="9" t="str">
        <f>_xlfn.XLOOKUP(J93, 'Processed Non-zero DMR Data'!I:I, 'Processed Non-zero DMR Data'!C:C)</f>
        <v>EDDYVILLE</v>
      </c>
      <c r="H93" s="9" t="str">
        <f>_xlfn.XLOOKUP(J93, 'Processed Non-zero DMR Data'!I:I, 'Processed Non-zero DMR Data'!E:E)</f>
        <v>KY</v>
      </c>
      <c r="I93" s="12"/>
      <c r="J93" s="13">
        <v>110009938719</v>
      </c>
      <c r="K93" s="9" t="str">
        <f>IFERROR(INDEX('Raw Non-zero DMR Data'!$C:$C, MATCH(J93,'Raw Non-zero DMR Data'!$D:$D,0)),"")</f>
        <v>KY0027979</v>
      </c>
      <c r="L93" s="9" t="str">
        <f>IFERROR(INDEX('Raw Non-zero DMR Data'!$U:$U, MATCH($J93,'Raw Non-zero DMR Data'!$D:$D,0)),"")</f>
        <v>McNabb Creek-Cumberland River</v>
      </c>
      <c r="M93" s="155" t="str">
        <f>IFERROR(INDEX('Raw Non-zero DMR Data'!$T:$T, MATCH($J93,'Raw Non-zero DMR Data'!$D:$D,0)),"")</f>
        <v>051302050707</v>
      </c>
      <c r="N93" s="155" t="str">
        <f>IFERROR(INDEX('Off-site Locations'!$E:$E,MATCH(I93,'Off-site Locations'!$B:$B,0)),"No offsite transfers")</f>
        <v>No offsite transfers</v>
      </c>
      <c r="O93" s="165">
        <f>INDEX('TRI and DMR OES Summary'!D:D,MATCH('Facility Discharge Summary'!D93,'TRI and DMR OES Summary'!A:A,0))</f>
        <v>365</v>
      </c>
      <c r="P93" s="17" cm="1">
        <f t="array" ref="P93">IFERROR(_xlfn.XLOOKUP(1,  (MAX(IF(J93 = 'Processed Non-zero DMR Data'!$I$2:$I$651,'Processed Non-zero DMR Data'!$A$2:$A$651)) = 'Processed Non-zero DMR Data'!$A$2:$A$651)*('Processed Non-zero DMR Data'!$I$2:$I$651 = J93),'Processed Non-zero DMR Data'!$W$2:$W$651), "N/A- Facility Does Not Report DMRs")</f>
        <v>1.8616049374999999</v>
      </c>
      <c r="Q93" s="10">
        <f t="shared" si="35"/>
        <v>5.1002875E-3</v>
      </c>
      <c r="R93" s="10" cm="1">
        <f t="array" ref="R93">IF(COUNTIF('Processed Non-zero DMR Data'!$I:$I,$J93)&gt;0,MEDIAN(IF('Processed Non-zero DMR Data'!$I:$I=J93,'Processed Non-zero DMR Data'!$W:$W)),"N/A - Facility Does Not Report DMRs")</f>
        <v>1.8616049374999999</v>
      </c>
      <c r="S93" s="10">
        <f t="shared" si="36"/>
        <v>5.1002875E-3</v>
      </c>
      <c r="T93" s="10">
        <f>IF(COUNTIF('Processed Non-zero DMR Data'!$I:$I,$J93)&gt;0,_xlfn.MAXIFS('Processed Non-zero DMR Data'!$W:$W,'Processed Non-zero DMR Data'!$I:$I,$J93), "N/A - Facility Does Not Report DMRs")</f>
        <v>1.8616049374999999</v>
      </c>
      <c r="U93" s="10">
        <f t="shared" si="37"/>
        <v>5.1002875E-3</v>
      </c>
      <c r="V93" s="158" cm="1">
        <f t="array" ref="V93">IF(COUNTIF('Processed Non-zero DMR Data'!$I:$I,$J93)&gt;0,INDEX('Processed Non-zero DMR Data'!$A:$A,MATCH(1,($J93='Processed Non-zero DMR Data'!$I:$I)*($T93='Processed Non-zero DMR Data'!$W:$W),0)), "N/A - Facility Does Not Report DMRs")</f>
        <v>2019</v>
      </c>
      <c r="W93" s="17" t="str" cm="1">
        <f t="array" ref="W93">IFERROR(_xlfn.XLOOKUP(1,  (MAX(IF(I93 = 'Processed Non-zero TRI Data'!$I$2:$I$6,'Processed Non-zero TRI Data'!$A$2:$A$6)) = 'Processed Non-zero TRI Data'!$A$2:$A$6)*('Processed Non-zero TRI Data'!$I$2:$I$6 = I93), 'Processed Non-zero TRI Data'!$T$2:$T$6), "N/A- Facility Does Not Report to TRI")</f>
        <v>N/A- Facility Does Not Report to TRI</v>
      </c>
      <c r="X93" s="10" t="str">
        <f t="shared" si="38"/>
        <v>N/A - Facility Does Not Report to TRI</v>
      </c>
      <c r="Y93" s="10" t="str" cm="1">
        <f t="array" ref="Y93">IF(COUNTIF('Processed Non-zero TRI Data'!$I:$I,$I93)&gt;0,MEDIAN(IF('Processed Non-zero TRI Data'!$I:$I=I93,'Processed Non-zero TRI Data'!$T:$T)), "N/A - Facility Does Not Report to TRI")</f>
        <v>N/A - Facility Does Not Report to TRI</v>
      </c>
      <c r="Z93" s="10" t="str">
        <f t="shared" si="39"/>
        <v>N/A - Facility Does Not Report to TRI</v>
      </c>
      <c r="AA93" s="10" t="str">
        <f>IF(COUNTIF('Processed Non-zero TRI Data'!$I:$I,$I93)&gt;0,_xlfn.MAXIFS('Processed Non-zero TRI Data'!$T:$T,'Processed Non-zero TRI Data'!$I:$I,$I93), "N/A - Facility Does Not Report to TRI")</f>
        <v>N/A - Facility Does Not Report to TRI</v>
      </c>
      <c r="AB93" s="10" t="str">
        <f t="shared" si="40"/>
        <v>N/A - Facility Does Not Report to TRI</v>
      </c>
      <c r="AC93" s="158" t="str" cm="1">
        <f t="array" ref="AC93">IFERROR(IF(B93 = "TRI Form R", IF(AA93 = 0, "Facility has no on-site water discharges between 2017-2022.",  IF(COUNTIF('Processed Non-zero TRI Data'!$I:$I,$I93)&gt;0,INDEX('Processed Non-zero TRI Data'!$A:$A,MATCH(1,($I93='Processed Non-zero TRI Data'!$I:$I)*(AA93='Processed Non-zero TRI Data'!$T:$T),0)))), VLOOKUP(I93,#REF!, 2, FALSE)), ("N/A - Facility Does Not Report to TRI"))</f>
        <v>N/A - Facility Does Not Report to TRI</v>
      </c>
      <c r="AD93" s="97" t="str" cm="1">
        <f t="array" ref="AD93">IFERROR(_xlfn.XLOOKUP(1,  (MAX(IF(I93 = 'Processed Non-zero TRI Data'!$I$2:$I$6,'Processed Non-zero TRI Data'!$A$2:$A$6)) = 'Processed Non-zero TRI Data'!$A$2:$A$6)*('Processed Non-zero TRI Data'!$I$2:$I$6 = I93), 'Processed Non-zero TRI Data'!$V$2:$V$6), "N/A- Facility Does Not Report to TRI")</f>
        <v>N/A- Facility Does Not Report to TRI</v>
      </c>
      <c r="AE93" s="9" t="str">
        <f t="shared" si="41"/>
        <v>N/A - Facility Does Not Report to TRI</v>
      </c>
      <c r="AF93" s="9" t="str" cm="1">
        <f t="array" ref="AF93">IF(COUNTIF('Processed Non-zero TRI Data'!$I:$I,$I93)&gt;0,MEDIAN(IF('Processed Non-zero TRI Data'!$I:$I=I93,'Processed Non-zero TRI Data'!$V:$V)), "N/A - Facility Does Not Report to TRI")</f>
        <v>N/A - Facility Does Not Report to TRI</v>
      </c>
      <c r="AG93" s="9" t="str">
        <f t="shared" si="42"/>
        <v>N/A - Facility Does Not Report to TRI</v>
      </c>
      <c r="AH93" s="9" t="str">
        <f>IF(COUNTIF('Processed Non-zero TRI Data'!$I:$I,$I93)&gt;0,_xlfn.MAXIFS('Processed Non-zero TRI Data'!$V:$V,'Processed Non-zero TRI Data'!$I:$I,$I93), "N/A - Facility Does Not Report to TRI")</f>
        <v>N/A - Facility Does Not Report to TRI</v>
      </c>
      <c r="AI93" s="9" t="str">
        <f t="shared" si="43"/>
        <v>N/A - Facility Does Not Report to TRI</v>
      </c>
      <c r="AJ93" s="158" t="str" cm="1">
        <f t="array" ref="AJ93">IF(B93="TRI Form A",AC93,IF(AH93=0,"Facility has no transfers to POTWs between 2019-2023.",IF(COUNTIF('Processed Non-zero TRI Data'!$I:$I,$I93)&gt;0,INDEX('Processed Non-zero TRI Data'!$A:$A,MATCH(1,($I93='Processed Non-zero TRI Data'!$I:$I)*(AH93='Processed Non-zero TRI Data'!$V:$V),0)),"N/A - Facility Does Not Report to TRI")))</f>
        <v>N/A - Facility Does Not Report to TRI</v>
      </c>
      <c r="AK93" s="97" t="str" cm="1">
        <f t="array" ref="AK93">IFERROR(_xlfn.XLOOKUP(1,  (MAX(IF(I93 = 'Processed Non-zero TRI Data'!$I$2:$I$6,'Processed Non-zero TRI Data'!$A$2:$A$6)) = 'Processed Non-zero TRI Data'!$A$2:$A$6)*('Processed Non-zero TRI Data'!$I$2:$I$6 = I93), 'Processed Non-zero TRI Data'!$X$2:$X$6), "N/A- Facility Does Not Report to TRI")</f>
        <v>N/A- Facility Does Not Report to TRI</v>
      </c>
      <c r="AL93" s="9" t="str">
        <f t="shared" si="44"/>
        <v>N/A - Facility Does Not Report to TRI</v>
      </c>
      <c r="AM93" s="9" t="str" cm="1">
        <f t="array" ref="AM93">IF(COUNTIF('Processed Non-zero TRI Data'!$I:$I,$I93)&gt;0,MEDIAN(IF('Processed Non-zero TRI Data'!$I:$I=I93,'Processed Non-zero TRI Data'!$X:$X)), "N/A - Facility Does Not Report to TRI")</f>
        <v>N/A - Facility Does Not Report to TRI</v>
      </c>
      <c r="AN93" s="9" t="str">
        <f t="shared" si="45"/>
        <v>N/A - Facility Does Not Report to TRI</v>
      </c>
      <c r="AO93" s="9" t="str">
        <f>IF(COUNTIF('Processed Non-zero TRI Data'!$I:$I,$I93)&gt;0,_xlfn.MAXIFS('Processed Non-zero TRI Data'!$X:$X,'Processed Non-zero TRI Data'!$I:$I,$I93), "N/A - Facility Does Not Report to TRI")</f>
        <v>N/A - Facility Does Not Report to TRI</v>
      </c>
      <c r="AP93" s="9" t="str">
        <f t="shared" si="46"/>
        <v>N/A - Facility Does Not Report to TRI</v>
      </c>
      <c r="AQ93" s="251" t="str" cm="1">
        <f t="array" ref="AQ93">IF(B93="TRI Form A",AC93,IF(AO93=0,"Facility has no transfers to non-POTWs between 2019-2023.",IF(COUNTIF('Processed Non-zero TRI Data'!$I:$I,$I93)&gt;0,INDEX('Processed Non-zero TRI Data'!$A:$A,MATCH(1,($I93='Processed Non-zero TRI Data'!$I:$I)*(AO93='Processed Non-zero TRI Data'!$X:$X),0)),"N/A - Facility Does Not Report to TRI")))</f>
        <v>N/A - Facility Does Not Report to TRI</v>
      </c>
      <c r="AR93" s="260">
        <f t="shared" si="47"/>
        <v>0</v>
      </c>
      <c r="AS93" s="260">
        <f t="shared" si="48"/>
        <v>1.8616049374999999</v>
      </c>
    </row>
    <row r="94" spans="1:45" ht="30" x14ac:dyDescent="0.25">
      <c r="A94" s="12">
        <v>91</v>
      </c>
      <c r="B94" s="10" t="str">
        <f>IFERROR("TRI Form "&amp; VLOOKUP(I94, 'Processed Non-zero TRI Data'!$I$2:$K$6, 3, FALSE), "DMR")</f>
        <v>DMR</v>
      </c>
      <c r="C94" s="181" t="e">
        <f>VLOOKUP(D94,#REF!, 2, FALSE)</f>
        <v>#REF!</v>
      </c>
      <c r="D94" s="181" t="str">
        <f>IF(I94&lt;&gt;"",INDEX('Processed Non-zero TRI Data'!$O:$O,MATCH(I94,'Processed Non-zero TRI Data'!$I:$I,0)),INDEX('Processed Non-zero DMR Data'!$S:$S,MATCH(J94,'Processed Non-zero DMR Data'!$I:$I,0)))</f>
        <v>Waste Handling, Disposal and Treatment (POTW)</v>
      </c>
      <c r="E94" s="181" t="str">
        <f>IF(I94&lt;&gt;"",INDEX('Processed Non-zero TRI Data'!$P:$P,MATCH(I94,'Processed Non-zero TRI Data'!$I:$I,0)),INDEX('Processed Non-zero DMR Data'!$T:$T,MATCH(J94,'Processed Non-zero DMR Data'!$I:$I,0)))</f>
        <v>POTW indicator in DMR</v>
      </c>
      <c r="F94" s="9" t="str">
        <f>_xlfn.XLOOKUP(J94, 'Processed Non-zero DMR Data'!I:I, 'Processed Non-zero DMR Data'!B:B)</f>
        <v>WEST COUNTY AGENCY COMMON OUTFALL</v>
      </c>
      <c r="G94" s="9" t="str">
        <f>_xlfn.XLOOKUP(J94, 'Processed Non-zero DMR Data'!I:I, 'Processed Non-zero DMR Data'!C:C)</f>
        <v>RICHMOND</v>
      </c>
      <c r="H94" s="9" t="str">
        <f>_xlfn.XLOOKUP(J94, 'Processed Non-zero DMR Data'!I:I, 'Processed Non-zero DMR Data'!E:E)</f>
        <v>CA</v>
      </c>
      <c r="I94" s="12"/>
      <c r="J94" s="13">
        <v>110064252419</v>
      </c>
      <c r="K94" s="9" t="str">
        <f>IFERROR(INDEX('Raw Non-zero DMR Data'!$C:$C, MATCH(J94,'Raw Non-zero DMR Data'!$D:$D,0)),"")</f>
        <v>CA0038539</v>
      </c>
      <c r="L94" s="9" t="str">
        <f>IFERROR(INDEX('Raw Non-zero DMR Data'!$U:$U, MATCH($J94,'Raw Non-zero DMR Data'!$D:$D,0)),"")</f>
        <v>Pinole Creek-Frontal San Pablo Bay Estuaries</v>
      </c>
      <c r="M94" s="155">
        <f>IFERROR(INDEX('Raw Non-zero DMR Data'!$T:$T, MATCH($J94,'Raw Non-zero DMR Data'!$D:$D,0)),"")</f>
        <v>180500020702</v>
      </c>
      <c r="N94" s="155" t="str">
        <f>IFERROR(INDEX('Off-site Locations'!$E:$E,MATCH(I94,'Off-site Locations'!$B:$B,0)),"No offsite transfers")</f>
        <v>No offsite transfers</v>
      </c>
      <c r="O94" s="165">
        <f>INDEX('TRI and DMR OES Summary'!D:D,MATCH('Facility Discharge Summary'!D94,'TRI and DMR OES Summary'!A:A,0))</f>
        <v>365</v>
      </c>
      <c r="P94" s="17" cm="1">
        <f t="array" ref="P94">IFERROR(_xlfn.XLOOKUP(1,  (MAX(IF(J94 = 'Processed Non-zero DMR Data'!$I$2:$I$651,'Processed Non-zero DMR Data'!$A$2:$A$651)) = 'Processed Non-zero DMR Data'!$A$2:$A$651)*('Processed Non-zero DMR Data'!$I$2:$I$651 = J94),'Processed Non-zero DMR Data'!$W$2:$W$651), "N/A- Facility Does Not Report DMRs")</f>
        <v>3.1705998750000002</v>
      </c>
      <c r="Q94" s="10">
        <f t="shared" si="35"/>
        <v>8.6865750000000002E-3</v>
      </c>
      <c r="R94" s="10" cm="1">
        <f t="array" ref="R94">IF(COUNTIF('Processed Non-zero DMR Data'!$I:$I,$J94)&gt;0,MEDIAN(IF('Processed Non-zero DMR Data'!$I:$I=J94,'Processed Non-zero DMR Data'!$W:$W)),"N/A - Facility Does Not Report DMRs")</f>
        <v>3.4676277500000001</v>
      </c>
      <c r="S94" s="10">
        <f t="shared" si="36"/>
        <v>9.5003500000000012E-3</v>
      </c>
      <c r="T94" s="10">
        <f>IF(COUNTIF('Processed Non-zero DMR Data'!$I:$I,$J94)&gt;0,_xlfn.MAXIFS('Processed Non-zero DMR Data'!$W:$W,'Processed Non-zero DMR Data'!$I:$I,$J94), "N/A - Facility Does Not Report DMRs")</f>
        <v>3.7646556250000001</v>
      </c>
      <c r="U94" s="10">
        <f t="shared" si="37"/>
        <v>1.0314125E-2</v>
      </c>
      <c r="V94" s="158" cm="1">
        <f t="array" ref="V94">IF(COUNTIF('Processed Non-zero DMR Data'!$I:$I,$J94)&gt;0,INDEX('Processed Non-zero DMR Data'!$A:$A,MATCH(1,($J94='Processed Non-zero DMR Data'!$I:$I)*($T94='Processed Non-zero DMR Data'!$W:$W),0)), "N/A - Facility Does Not Report DMRs")</f>
        <v>2019</v>
      </c>
      <c r="W94" s="17" t="str" cm="1">
        <f t="array" ref="W94">IFERROR(_xlfn.XLOOKUP(1,  (MAX(IF(I94 = 'Processed Non-zero TRI Data'!$I$2:$I$6,'Processed Non-zero TRI Data'!$A$2:$A$6)) = 'Processed Non-zero TRI Data'!$A$2:$A$6)*('Processed Non-zero TRI Data'!$I$2:$I$6 = I94), 'Processed Non-zero TRI Data'!$T$2:$T$6), "N/A- Facility Does Not Report to TRI")</f>
        <v>N/A- Facility Does Not Report to TRI</v>
      </c>
      <c r="X94" s="10" t="str">
        <f t="shared" si="38"/>
        <v>N/A - Facility Does Not Report to TRI</v>
      </c>
      <c r="Y94" s="10" t="str" cm="1">
        <f t="array" ref="Y94">IF(COUNTIF('Processed Non-zero TRI Data'!$I:$I,$I94)&gt;0,MEDIAN(IF('Processed Non-zero TRI Data'!$I:$I=I94,'Processed Non-zero TRI Data'!$T:$T)), "N/A - Facility Does Not Report to TRI")</f>
        <v>N/A - Facility Does Not Report to TRI</v>
      </c>
      <c r="Z94" s="10" t="str">
        <f t="shared" si="39"/>
        <v>N/A - Facility Does Not Report to TRI</v>
      </c>
      <c r="AA94" s="10" t="str">
        <f>IF(COUNTIF('Processed Non-zero TRI Data'!$I:$I,$I94)&gt;0,_xlfn.MAXIFS('Processed Non-zero TRI Data'!$T:$T,'Processed Non-zero TRI Data'!$I:$I,$I94), "N/A - Facility Does Not Report to TRI")</f>
        <v>N/A - Facility Does Not Report to TRI</v>
      </c>
      <c r="AB94" s="10" t="str">
        <f t="shared" si="40"/>
        <v>N/A - Facility Does Not Report to TRI</v>
      </c>
      <c r="AC94" s="158" t="str" cm="1">
        <f t="array" ref="AC94">IFERROR(IF(B94 = "TRI Form R", IF(AA94 = 0, "Facility has no on-site water discharges between 2017-2022.",  IF(COUNTIF('Processed Non-zero TRI Data'!$I:$I,$I94)&gt;0,INDEX('Processed Non-zero TRI Data'!$A:$A,MATCH(1,($I94='Processed Non-zero TRI Data'!$I:$I)*(AA94='Processed Non-zero TRI Data'!$T:$T),0)))), VLOOKUP(I94,#REF!, 2, FALSE)), ("N/A - Facility Does Not Report to TRI"))</f>
        <v>N/A - Facility Does Not Report to TRI</v>
      </c>
      <c r="AD94" s="97" t="str" cm="1">
        <f t="array" ref="AD94">IFERROR(_xlfn.XLOOKUP(1,  (MAX(IF(I94 = 'Processed Non-zero TRI Data'!$I$2:$I$6,'Processed Non-zero TRI Data'!$A$2:$A$6)) = 'Processed Non-zero TRI Data'!$A$2:$A$6)*('Processed Non-zero TRI Data'!$I$2:$I$6 = I94), 'Processed Non-zero TRI Data'!$V$2:$V$6), "N/A- Facility Does Not Report to TRI")</f>
        <v>N/A- Facility Does Not Report to TRI</v>
      </c>
      <c r="AE94" s="9" t="str">
        <f t="shared" si="41"/>
        <v>N/A - Facility Does Not Report to TRI</v>
      </c>
      <c r="AF94" s="9" t="str" cm="1">
        <f t="array" ref="AF94">IF(COUNTIF('Processed Non-zero TRI Data'!$I:$I,$I94)&gt;0,MEDIAN(IF('Processed Non-zero TRI Data'!$I:$I=I94,'Processed Non-zero TRI Data'!$V:$V)), "N/A - Facility Does Not Report to TRI")</f>
        <v>N/A - Facility Does Not Report to TRI</v>
      </c>
      <c r="AG94" s="9" t="str">
        <f t="shared" si="42"/>
        <v>N/A - Facility Does Not Report to TRI</v>
      </c>
      <c r="AH94" s="9" t="str">
        <f>IF(COUNTIF('Processed Non-zero TRI Data'!$I:$I,$I94)&gt;0,_xlfn.MAXIFS('Processed Non-zero TRI Data'!$V:$V,'Processed Non-zero TRI Data'!$I:$I,$I94), "N/A - Facility Does Not Report to TRI")</f>
        <v>N/A - Facility Does Not Report to TRI</v>
      </c>
      <c r="AI94" s="9" t="str">
        <f t="shared" si="43"/>
        <v>N/A - Facility Does Not Report to TRI</v>
      </c>
      <c r="AJ94" s="158" t="str" cm="1">
        <f t="array" ref="AJ94">IF(B94="TRI Form A",AC94,IF(AH94=0,"Facility has no transfers to POTWs between 2019-2023.",IF(COUNTIF('Processed Non-zero TRI Data'!$I:$I,$I94)&gt;0,INDEX('Processed Non-zero TRI Data'!$A:$A,MATCH(1,($I94='Processed Non-zero TRI Data'!$I:$I)*(AH94='Processed Non-zero TRI Data'!$V:$V),0)),"N/A - Facility Does Not Report to TRI")))</f>
        <v>N/A - Facility Does Not Report to TRI</v>
      </c>
      <c r="AK94" s="97" t="str" cm="1">
        <f t="array" ref="AK94">IFERROR(_xlfn.XLOOKUP(1,  (MAX(IF(I94 = 'Processed Non-zero TRI Data'!$I$2:$I$6,'Processed Non-zero TRI Data'!$A$2:$A$6)) = 'Processed Non-zero TRI Data'!$A$2:$A$6)*('Processed Non-zero TRI Data'!$I$2:$I$6 = I94), 'Processed Non-zero TRI Data'!$X$2:$X$6), "N/A- Facility Does Not Report to TRI")</f>
        <v>N/A- Facility Does Not Report to TRI</v>
      </c>
      <c r="AL94" s="9" t="str">
        <f t="shared" si="44"/>
        <v>N/A - Facility Does Not Report to TRI</v>
      </c>
      <c r="AM94" s="9" t="str" cm="1">
        <f t="array" ref="AM94">IF(COUNTIF('Processed Non-zero TRI Data'!$I:$I,$I94)&gt;0,MEDIAN(IF('Processed Non-zero TRI Data'!$I:$I=I94,'Processed Non-zero TRI Data'!$X:$X)), "N/A - Facility Does Not Report to TRI")</f>
        <v>N/A - Facility Does Not Report to TRI</v>
      </c>
      <c r="AN94" s="9" t="str">
        <f t="shared" si="45"/>
        <v>N/A - Facility Does Not Report to TRI</v>
      </c>
      <c r="AO94" s="9" t="str">
        <f>IF(COUNTIF('Processed Non-zero TRI Data'!$I:$I,$I94)&gt;0,_xlfn.MAXIFS('Processed Non-zero TRI Data'!$X:$X,'Processed Non-zero TRI Data'!$I:$I,$I94), "N/A - Facility Does Not Report to TRI")</f>
        <v>N/A - Facility Does Not Report to TRI</v>
      </c>
      <c r="AP94" s="9" t="str">
        <f t="shared" si="46"/>
        <v>N/A - Facility Does Not Report to TRI</v>
      </c>
      <c r="AQ94" s="251" t="str" cm="1">
        <f t="array" ref="AQ94">IF(B94="TRI Form A",AC94,IF(AO94=0,"Facility has no transfers to non-POTWs between 2019-2023.",IF(COUNTIF('Processed Non-zero TRI Data'!$I:$I,$I94)&gt;0,INDEX('Processed Non-zero TRI Data'!$A:$A,MATCH(1,($I94='Processed Non-zero TRI Data'!$I:$I)*(AO94='Processed Non-zero TRI Data'!$X:$X),0)),"N/A - Facility Does Not Report to TRI")))</f>
        <v>N/A - Facility Does Not Report to TRI</v>
      </c>
      <c r="AR94" s="260">
        <f t="shared" si="47"/>
        <v>0</v>
      </c>
      <c r="AS94" s="260">
        <f t="shared" si="48"/>
        <v>3.7646556250000001</v>
      </c>
    </row>
    <row r="95" spans="1:45" ht="30" x14ac:dyDescent="0.25">
      <c r="A95" s="12">
        <v>92</v>
      </c>
      <c r="B95" s="10" t="str">
        <f>IFERROR("TRI Form "&amp; VLOOKUP(I95, 'Processed Non-zero TRI Data'!$I$2:$K$6, 3, FALSE), "DMR")</f>
        <v>DMR</v>
      </c>
      <c r="C95" s="181" t="e">
        <f>VLOOKUP(D95,#REF!, 2, FALSE)</f>
        <v>#REF!</v>
      </c>
      <c r="D95" s="181" t="str">
        <f>IF(I95&lt;&gt;"",INDEX('Processed Non-zero TRI Data'!$O:$O,MATCH(I95,'Processed Non-zero TRI Data'!$I:$I,0)),INDEX('Processed Non-zero DMR Data'!$S:$S,MATCH(J95,'Processed Non-zero DMR Data'!$I:$I,0)))</f>
        <v>Processing as a reactant</v>
      </c>
      <c r="E95" s="181" t="str">
        <f>IF(I95&lt;&gt;"",INDEX('Processed Non-zero TRI Data'!$P:$P,MATCH(I95,'Processed Non-zero TRI Data'!$I:$I,0)),INDEX('Processed Non-zero DMR Data'!$T:$T,MATCH(J95,'Processed Non-zero DMR Data'!$I:$I,0)))</f>
        <v>Assumed processing as a reactant based on SIC and NAICS; this also matches 1,1,-DCA mapping.</v>
      </c>
      <c r="F95" s="9" t="str">
        <f>_xlfn.XLOOKUP(J95, 'Processed Non-zero DMR Data'!I:I, 'Processed Non-zero DMR Data'!B:B)</f>
        <v>EASTMAN CHEMICAL COMPANY</v>
      </c>
      <c r="G95" s="9" t="str">
        <f>_xlfn.XLOOKUP(J95, 'Processed Non-zero DMR Data'!I:I, 'Processed Non-zero DMR Data'!C:C)</f>
        <v>KINGSPORT</v>
      </c>
      <c r="H95" s="9" t="str">
        <f>_xlfn.XLOOKUP(J95, 'Processed Non-zero DMR Data'!I:I, 'Processed Non-zero DMR Data'!E:E)</f>
        <v>TN</v>
      </c>
      <c r="I95" s="12"/>
      <c r="J95" s="13">
        <v>110000574423</v>
      </c>
      <c r="K95" s="9" t="str">
        <f>IFERROR(INDEX('Raw Non-zero DMR Data'!$C:$C, MATCH(J95,'Raw Non-zero DMR Data'!$D:$D,0)),"")</f>
        <v>TN0002640</v>
      </c>
      <c r="L95" s="9" t="str">
        <f>IFERROR(INDEX('Raw Non-zero DMR Data'!$U:$U, MATCH($J95,'Raw Non-zero DMR Data'!$D:$D,0)),"")</f>
        <v>Kendrick Creek-South Fork Holston River</v>
      </c>
      <c r="M95" s="155" t="str">
        <f>IFERROR(INDEX('Raw Non-zero DMR Data'!$T:$T, MATCH($J95,'Raw Non-zero DMR Data'!$D:$D,0)),"")</f>
        <v>060101020704</v>
      </c>
      <c r="N95" s="155" t="str">
        <f>IFERROR(INDEX('Off-site Locations'!$E:$E,MATCH(I95,'Off-site Locations'!$B:$B,0)),"No offsite transfers")</f>
        <v>No offsite transfers</v>
      </c>
      <c r="O95" s="165">
        <f>INDEX('TRI and DMR OES Summary'!D:D,MATCH('Facility Discharge Summary'!D95,'TRI and DMR OES Summary'!A:A,0))</f>
        <v>350</v>
      </c>
      <c r="P95" s="17" cm="1">
        <f t="array" ref="P95">IFERROR(_xlfn.XLOOKUP(1,  (MAX(IF(J95 = 'Processed Non-zero DMR Data'!$I$2:$I$651,'Processed Non-zero DMR Data'!$A$2:$A$651)) = 'Processed Non-zero DMR Data'!$A$2:$A$651)*('Processed Non-zero DMR Data'!$I$2:$I$651 = J95),'Processed Non-zero DMR Data'!$W$2:$W$651), "N/A- Facility Does Not Report DMRs")</f>
        <v>0.21579420499999999</v>
      </c>
      <c r="Q95" s="10">
        <f t="shared" si="35"/>
        <v>6.165548714285714E-4</v>
      </c>
      <c r="R95" s="10" cm="1">
        <f t="array" ref="R95">IF(COUNTIF('Processed Non-zero DMR Data'!$I:$I,$J95)&gt;0,MEDIAN(IF('Processed Non-zero DMR Data'!$I:$I=J95,'Processed Non-zero DMR Data'!$W:$W)),"N/A - Facility Does Not Report DMRs")</f>
        <v>0.44782927724999999</v>
      </c>
      <c r="S95" s="10">
        <f t="shared" si="36"/>
        <v>1.2795122207142856E-3</v>
      </c>
      <c r="T95" s="10">
        <f>IF(COUNTIF('Processed Non-zero DMR Data'!$I:$I,$J95)&gt;0,_xlfn.MAXIFS('Processed Non-zero DMR Data'!$W:$W,'Processed Non-zero DMR Data'!$I:$I,$J95), "N/A - Facility Does Not Report DMRs")</f>
        <v>8.6997750000000007</v>
      </c>
      <c r="U95" s="10">
        <f t="shared" si="37"/>
        <v>2.4856500000000004E-2</v>
      </c>
      <c r="V95" s="158" cm="1">
        <f t="array" ref="V95">IF(COUNTIF('Processed Non-zero DMR Data'!$I:$I,$J95)&gt;0,INDEX('Processed Non-zero DMR Data'!$A:$A,MATCH(1,($J95='Processed Non-zero DMR Data'!$I:$I)*($T95='Processed Non-zero DMR Data'!$W:$W),0)), "N/A - Facility Does Not Report DMRs")</f>
        <v>2023</v>
      </c>
      <c r="W95" s="17" t="str" cm="1">
        <f t="array" ref="W95">IFERROR(_xlfn.XLOOKUP(1,  (MAX(IF(I95 = 'Processed Non-zero TRI Data'!$I$2:$I$6,'Processed Non-zero TRI Data'!$A$2:$A$6)) = 'Processed Non-zero TRI Data'!$A$2:$A$6)*('Processed Non-zero TRI Data'!$I$2:$I$6 = I95), 'Processed Non-zero TRI Data'!$T$2:$T$6), "N/A- Facility Does Not Report to TRI")</f>
        <v>N/A- Facility Does Not Report to TRI</v>
      </c>
      <c r="X95" s="10" t="str">
        <f t="shared" si="38"/>
        <v>N/A - Facility Does Not Report to TRI</v>
      </c>
      <c r="Y95" s="10" t="str" cm="1">
        <f t="array" ref="Y95">IF(COUNTIF('Processed Non-zero TRI Data'!$I:$I,$I95)&gt;0,MEDIAN(IF('Processed Non-zero TRI Data'!$I:$I=I95,'Processed Non-zero TRI Data'!$T:$T)), "N/A - Facility Does Not Report to TRI")</f>
        <v>N/A - Facility Does Not Report to TRI</v>
      </c>
      <c r="Z95" s="10" t="str">
        <f t="shared" si="39"/>
        <v>N/A - Facility Does Not Report to TRI</v>
      </c>
      <c r="AA95" s="10" t="str">
        <f>IF(COUNTIF('Processed Non-zero TRI Data'!$I:$I,$I95)&gt;0,_xlfn.MAXIFS('Processed Non-zero TRI Data'!$T:$T,'Processed Non-zero TRI Data'!$I:$I,$I95), "N/A - Facility Does Not Report to TRI")</f>
        <v>N/A - Facility Does Not Report to TRI</v>
      </c>
      <c r="AB95" s="10" t="str">
        <f t="shared" si="40"/>
        <v>N/A - Facility Does Not Report to TRI</v>
      </c>
      <c r="AC95" s="158" t="str" cm="1">
        <f t="array" ref="AC95">IFERROR(IF(B95 = "TRI Form R", IF(AA95 = 0, "Facility has no on-site water discharges between 2017-2022.",  IF(COUNTIF('Processed Non-zero TRI Data'!$I:$I,$I95)&gt;0,INDEX('Processed Non-zero TRI Data'!$A:$A,MATCH(1,($I95='Processed Non-zero TRI Data'!$I:$I)*(AA95='Processed Non-zero TRI Data'!$T:$T),0)))), VLOOKUP(I95,#REF!, 2, FALSE)), ("N/A - Facility Does Not Report to TRI"))</f>
        <v>N/A - Facility Does Not Report to TRI</v>
      </c>
      <c r="AD95" s="97" t="str" cm="1">
        <f t="array" ref="AD95">IFERROR(_xlfn.XLOOKUP(1,  (MAX(IF(I95 = 'Processed Non-zero TRI Data'!$I$2:$I$6,'Processed Non-zero TRI Data'!$A$2:$A$6)) = 'Processed Non-zero TRI Data'!$A$2:$A$6)*('Processed Non-zero TRI Data'!$I$2:$I$6 = I95), 'Processed Non-zero TRI Data'!$V$2:$V$6), "N/A- Facility Does Not Report to TRI")</f>
        <v>N/A- Facility Does Not Report to TRI</v>
      </c>
      <c r="AE95" s="9" t="str">
        <f t="shared" si="41"/>
        <v>N/A - Facility Does Not Report to TRI</v>
      </c>
      <c r="AF95" s="9" t="str" cm="1">
        <f t="array" ref="AF95">IF(COUNTIF('Processed Non-zero TRI Data'!$I:$I,$I95)&gt;0,MEDIAN(IF('Processed Non-zero TRI Data'!$I:$I=I95,'Processed Non-zero TRI Data'!$V:$V)), "N/A - Facility Does Not Report to TRI")</f>
        <v>N/A - Facility Does Not Report to TRI</v>
      </c>
      <c r="AG95" s="9" t="str">
        <f t="shared" si="42"/>
        <v>N/A - Facility Does Not Report to TRI</v>
      </c>
      <c r="AH95" s="9" t="str">
        <f>IF(COUNTIF('Processed Non-zero TRI Data'!$I:$I,$I95)&gt;0,_xlfn.MAXIFS('Processed Non-zero TRI Data'!$V:$V,'Processed Non-zero TRI Data'!$I:$I,$I95), "N/A - Facility Does Not Report to TRI")</f>
        <v>N/A - Facility Does Not Report to TRI</v>
      </c>
      <c r="AI95" s="9" t="str">
        <f t="shared" si="43"/>
        <v>N/A - Facility Does Not Report to TRI</v>
      </c>
      <c r="AJ95" s="158" t="str" cm="1">
        <f t="array" ref="AJ95">IF(B95="TRI Form A",AC95,IF(AH95=0,"Facility has no transfers to POTWs between 2019-2023.",IF(COUNTIF('Processed Non-zero TRI Data'!$I:$I,$I95)&gt;0,INDEX('Processed Non-zero TRI Data'!$A:$A,MATCH(1,($I95='Processed Non-zero TRI Data'!$I:$I)*(AH95='Processed Non-zero TRI Data'!$V:$V),0)),"N/A - Facility Does Not Report to TRI")))</f>
        <v>N/A - Facility Does Not Report to TRI</v>
      </c>
      <c r="AK95" s="97" t="str" cm="1">
        <f t="array" ref="AK95">IFERROR(_xlfn.XLOOKUP(1,  (MAX(IF(I95 = 'Processed Non-zero TRI Data'!$I$2:$I$6,'Processed Non-zero TRI Data'!$A$2:$A$6)) = 'Processed Non-zero TRI Data'!$A$2:$A$6)*('Processed Non-zero TRI Data'!$I$2:$I$6 = I95), 'Processed Non-zero TRI Data'!$X$2:$X$6), "N/A- Facility Does Not Report to TRI")</f>
        <v>N/A- Facility Does Not Report to TRI</v>
      </c>
      <c r="AL95" s="9" t="str">
        <f t="shared" si="44"/>
        <v>N/A - Facility Does Not Report to TRI</v>
      </c>
      <c r="AM95" s="9" t="str" cm="1">
        <f t="array" ref="AM95">IF(COUNTIF('Processed Non-zero TRI Data'!$I:$I,$I95)&gt;0,MEDIAN(IF('Processed Non-zero TRI Data'!$I:$I=I95,'Processed Non-zero TRI Data'!$X:$X)), "N/A - Facility Does Not Report to TRI")</f>
        <v>N/A - Facility Does Not Report to TRI</v>
      </c>
      <c r="AN95" s="9" t="str">
        <f t="shared" si="45"/>
        <v>N/A - Facility Does Not Report to TRI</v>
      </c>
      <c r="AO95" s="9" t="str">
        <f>IF(COUNTIF('Processed Non-zero TRI Data'!$I:$I,$I95)&gt;0,_xlfn.MAXIFS('Processed Non-zero TRI Data'!$X:$X,'Processed Non-zero TRI Data'!$I:$I,$I95), "N/A - Facility Does Not Report to TRI")</f>
        <v>N/A - Facility Does Not Report to TRI</v>
      </c>
      <c r="AP95" s="9" t="str">
        <f t="shared" si="46"/>
        <v>N/A - Facility Does Not Report to TRI</v>
      </c>
      <c r="AQ95" s="251" t="str" cm="1">
        <f t="array" ref="AQ95">IF(B95="TRI Form A",AC95,IF(AO95=0,"Facility has no transfers to non-POTWs between 2019-2023.",IF(COUNTIF('Processed Non-zero TRI Data'!$I:$I,$I95)&gt;0,INDEX('Processed Non-zero TRI Data'!$A:$A,MATCH(1,($I95='Processed Non-zero TRI Data'!$I:$I)*(AO95='Processed Non-zero TRI Data'!$X:$X),0)),"N/A - Facility Does Not Report to TRI")))</f>
        <v>N/A - Facility Does Not Report to TRI</v>
      </c>
      <c r="AR95" s="260">
        <f t="shared" si="47"/>
        <v>0</v>
      </c>
      <c r="AS95" s="260">
        <f t="shared" si="48"/>
        <v>8.6997750000000007</v>
      </c>
    </row>
    <row r="96" spans="1:45" ht="30" x14ac:dyDescent="0.25">
      <c r="A96" s="12">
        <v>93</v>
      </c>
      <c r="B96" s="10" t="str">
        <f>IFERROR("TRI Form "&amp; VLOOKUP(I96, 'Processed Non-zero TRI Data'!$I$2:$K$6, 3, FALSE), "DMR")</f>
        <v>DMR</v>
      </c>
      <c r="C96" s="181" t="e">
        <f>VLOOKUP(D96,#REF!, 2, FALSE)</f>
        <v>#REF!</v>
      </c>
      <c r="D96" s="181" t="str">
        <f>IF(I96&lt;&gt;"",INDEX('Processed Non-zero TRI Data'!$O:$O,MATCH(I96,'Processed Non-zero TRI Data'!$I:$I,0)),INDEX('Processed Non-zero DMR Data'!$S:$S,MATCH(J96,'Processed Non-zero DMR Data'!$I:$I,0)))</f>
        <v>Processing as a reactant</v>
      </c>
      <c r="E96" s="181" t="str">
        <f>IF(I96&lt;&gt;"",INDEX('Processed Non-zero TRI Data'!$P:$P,MATCH(I96,'Processed Non-zero TRI Data'!$I:$I,0)),INDEX('Processed Non-zero DMR Data'!$T:$T,MATCH(J96,'Processed Non-zero DMR Data'!$I:$I,0)))</f>
        <v>Petroleum refinery; assumed processing as a reactant.</v>
      </c>
      <c r="F96" s="9" t="str">
        <f>_xlfn.XLOOKUP(J96, 'Processed Non-zero DMR Data'!I:I, 'Processed Non-zero DMR Data'!B:B)</f>
        <v>PHILLIPS 66 BAYWAY REFINERY</v>
      </c>
      <c r="G96" s="9" t="str">
        <f>_xlfn.XLOOKUP(J96, 'Processed Non-zero DMR Data'!I:I, 'Processed Non-zero DMR Data'!C:C)</f>
        <v>LINDEN</v>
      </c>
      <c r="H96" s="9" t="str">
        <f>_xlfn.XLOOKUP(J96, 'Processed Non-zero DMR Data'!I:I, 'Processed Non-zero DMR Data'!E:E)</f>
        <v>NJ</v>
      </c>
      <c r="I96" s="12"/>
      <c r="J96" s="13">
        <v>110041133163</v>
      </c>
      <c r="K96" s="9" t="str">
        <f>IFERROR(INDEX('Raw Non-zero DMR Data'!$C:$C, MATCH(J96,'Raw Non-zero DMR Data'!$D:$D,0)),"")</f>
        <v>NJ0001511</v>
      </c>
      <c r="L96" s="9" t="str">
        <f>IFERROR(INDEX('Raw Non-zero DMR Data'!$U:$U, MATCH($J96,'Raw Non-zero DMR Data'!$D:$D,0)),"")</f>
        <v>Morses Creek-Arthur Kill</v>
      </c>
      <c r="M96" s="155" t="str">
        <f>IFERROR(INDEX('Raw Non-zero DMR Data'!$T:$T, MATCH($J96,'Raw Non-zero DMR Data'!$D:$D,0)),"")</f>
        <v>020301040204</v>
      </c>
      <c r="N96" s="155" t="str">
        <f>IFERROR(INDEX('Off-site Locations'!$E:$E,MATCH(I96,'Off-site Locations'!$B:$B,0)),"No offsite transfers")</f>
        <v>No offsite transfers</v>
      </c>
      <c r="O96" s="165">
        <f>INDEX('TRI and DMR OES Summary'!D:D,MATCH('Facility Discharge Summary'!D96,'TRI and DMR OES Summary'!A:A,0))</f>
        <v>350</v>
      </c>
      <c r="P96" s="17" cm="1">
        <f t="array" ref="P96">IFERROR(_xlfn.XLOOKUP(1,  (MAX(IF(J96 = 'Processed Non-zero DMR Data'!$I$2:$I$651,'Processed Non-zero DMR Data'!$A$2:$A$651)) = 'Processed Non-zero DMR Data'!$A$2:$A$651)*('Processed Non-zero DMR Data'!$I$2:$I$651 = J96),'Processed Non-zero DMR Data'!$W$2:$W$651), "N/A- Facility Does Not Report DMRs")</f>
        <v>2.3050000000000002</v>
      </c>
      <c r="Q96" s="10">
        <f t="shared" si="35"/>
        <v>6.5857142857142859E-3</v>
      </c>
      <c r="R96" s="10" cm="1">
        <f t="array" ref="R96">IF(COUNTIF('Processed Non-zero DMR Data'!$I:$I,$J96)&gt;0,MEDIAN(IF('Processed Non-zero DMR Data'!$I:$I=J96,'Processed Non-zero DMR Data'!$W:$W)),"N/A - Facility Does Not Report DMRs")</f>
        <v>2</v>
      </c>
      <c r="S96" s="10">
        <f t="shared" si="36"/>
        <v>5.7142857142857143E-3</v>
      </c>
      <c r="T96" s="10">
        <f>IF(COUNTIF('Processed Non-zero DMR Data'!$I:$I,$J96)&gt;0,_xlfn.MAXIFS('Processed Non-zero DMR Data'!$W:$W,'Processed Non-zero DMR Data'!$I:$I,$J96), "N/A - Facility Does Not Report DMRs")</f>
        <v>2.3050000000000002</v>
      </c>
      <c r="U96" s="10">
        <f t="shared" si="37"/>
        <v>6.5857142857142859E-3</v>
      </c>
      <c r="V96" s="158" cm="1">
        <f t="array" ref="V96">IF(COUNTIF('Processed Non-zero DMR Data'!$I:$I,$J96)&gt;0,INDEX('Processed Non-zero DMR Data'!$A:$A,MATCH(1,($J96='Processed Non-zero DMR Data'!$I:$I)*($T96='Processed Non-zero DMR Data'!$W:$W),0)), "N/A - Facility Does Not Report DMRs")</f>
        <v>2020</v>
      </c>
      <c r="W96" s="17" t="str" cm="1">
        <f t="array" ref="W96">IFERROR(_xlfn.XLOOKUP(1,  (MAX(IF(I96 = 'Processed Non-zero TRI Data'!$I$2:$I$6,'Processed Non-zero TRI Data'!$A$2:$A$6)) = 'Processed Non-zero TRI Data'!$A$2:$A$6)*('Processed Non-zero TRI Data'!$I$2:$I$6 = I96), 'Processed Non-zero TRI Data'!$T$2:$T$6), "N/A- Facility Does Not Report to TRI")</f>
        <v>N/A- Facility Does Not Report to TRI</v>
      </c>
      <c r="X96" s="10" t="str">
        <f t="shared" si="38"/>
        <v>N/A - Facility Does Not Report to TRI</v>
      </c>
      <c r="Y96" s="10" t="str" cm="1">
        <f t="array" ref="Y96">IF(COUNTIF('Processed Non-zero TRI Data'!$I:$I,$I96)&gt;0,MEDIAN(IF('Processed Non-zero TRI Data'!$I:$I=I96,'Processed Non-zero TRI Data'!$T:$T)), "N/A - Facility Does Not Report to TRI")</f>
        <v>N/A - Facility Does Not Report to TRI</v>
      </c>
      <c r="Z96" s="10" t="str">
        <f t="shared" si="39"/>
        <v>N/A - Facility Does Not Report to TRI</v>
      </c>
      <c r="AA96" s="10" t="str">
        <f>IF(COUNTIF('Processed Non-zero TRI Data'!$I:$I,$I96)&gt;0,_xlfn.MAXIFS('Processed Non-zero TRI Data'!$T:$T,'Processed Non-zero TRI Data'!$I:$I,$I96), "N/A - Facility Does Not Report to TRI")</f>
        <v>N/A - Facility Does Not Report to TRI</v>
      </c>
      <c r="AB96" s="10" t="str">
        <f t="shared" si="40"/>
        <v>N/A - Facility Does Not Report to TRI</v>
      </c>
      <c r="AC96" s="158" t="str" cm="1">
        <f t="array" ref="AC96">IFERROR(IF(B96 = "TRI Form R", IF(AA96 = 0, "Facility has no on-site water discharges between 2017-2022.",  IF(COUNTIF('Processed Non-zero TRI Data'!$I:$I,$I96)&gt;0,INDEX('Processed Non-zero TRI Data'!$A:$A,MATCH(1,($I96='Processed Non-zero TRI Data'!$I:$I)*(AA96='Processed Non-zero TRI Data'!$T:$T),0)))), VLOOKUP(I96,#REF!, 2, FALSE)), ("N/A - Facility Does Not Report to TRI"))</f>
        <v>N/A - Facility Does Not Report to TRI</v>
      </c>
      <c r="AD96" s="97" t="str" cm="1">
        <f t="array" ref="AD96">IFERROR(_xlfn.XLOOKUP(1,  (MAX(IF(I96 = 'Processed Non-zero TRI Data'!$I$2:$I$6,'Processed Non-zero TRI Data'!$A$2:$A$6)) = 'Processed Non-zero TRI Data'!$A$2:$A$6)*('Processed Non-zero TRI Data'!$I$2:$I$6 = I96), 'Processed Non-zero TRI Data'!$V$2:$V$6), "N/A- Facility Does Not Report to TRI")</f>
        <v>N/A- Facility Does Not Report to TRI</v>
      </c>
      <c r="AE96" s="9" t="str">
        <f t="shared" si="41"/>
        <v>N/A - Facility Does Not Report to TRI</v>
      </c>
      <c r="AF96" s="9" t="str" cm="1">
        <f t="array" ref="AF96">IF(COUNTIF('Processed Non-zero TRI Data'!$I:$I,$I96)&gt;0,MEDIAN(IF('Processed Non-zero TRI Data'!$I:$I=I96,'Processed Non-zero TRI Data'!$V:$V)), "N/A - Facility Does Not Report to TRI")</f>
        <v>N/A - Facility Does Not Report to TRI</v>
      </c>
      <c r="AG96" s="9" t="str">
        <f t="shared" si="42"/>
        <v>N/A - Facility Does Not Report to TRI</v>
      </c>
      <c r="AH96" s="9" t="str">
        <f>IF(COUNTIF('Processed Non-zero TRI Data'!$I:$I,$I96)&gt;0,_xlfn.MAXIFS('Processed Non-zero TRI Data'!$V:$V,'Processed Non-zero TRI Data'!$I:$I,$I96), "N/A - Facility Does Not Report to TRI")</f>
        <v>N/A - Facility Does Not Report to TRI</v>
      </c>
      <c r="AI96" s="9" t="str">
        <f t="shared" si="43"/>
        <v>N/A - Facility Does Not Report to TRI</v>
      </c>
      <c r="AJ96" s="158" t="str" cm="1">
        <f t="array" ref="AJ96">IF(B96="TRI Form A",AC96,IF(AH96=0,"Facility has no transfers to POTWs between 2019-2023.",IF(COUNTIF('Processed Non-zero TRI Data'!$I:$I,$I96)&gt;0,INDEX('Processed Non-zero TRI Data'!$A:$A,MATCH(1,($I96='Processed Non-zero TRI Data'!$I:$I)*(AH96='Processed Non-zero TRI Data'!$V:$V),0)),"N/A - Facility Does Not Report to TRI")))</f>
        <v>N/A - Facility Does Not Report to TRI</v>
      </c>
      <c r="AK96" s="97" t="str" cm="1">
        <f t="array" ref="AK96">IFERROR(_xlfn.XLOOKUP(1,  (MAX(IF(I96 = 'Processed Non-zero TRI Data'!$I$2:$I$6,'Processed Non-zero TRI Data'!$A$2:$A$6)) = 'Processed Non-zero TRI Data'!$A$2:$A$6)*('Processed Non-zero TRI Data'!$I$2:$I$6 = I96), 'Processed Non-zero TRI Data'!$X$2:$X$6), "N/A- Facility Does Not Report to TRI")</f>
        <v>N/A- Facility Does Not Report to TRI</v>
      </c>
      <c r="AL96" s="9" t="str">
        <f t="shared" si="44"/>
        <v>N/A - Facility Does Not Report to TRI</v>
      </c>
      <c r="AM96" s="9" t="str" cm="1">
        <f t="array" ref="AM96">IF(COUNTIF('Processed Non-zero TRI Data'!$I:$I,$I96)&gt;0,MEDIAN(IF('Processed Non-zero TRI Data'!$I:$I=I96,'Processed Non-zero TRI Data'!$X:$X)), "N/A - Facility Does Not Report to TRI")</f>
        <v>N/A - Facility Does Not Report to TRI</v>
      </c>
      <c r="AN96" s="9" t="str">
        <f t="shared" si="45"/>
        <v>N/A - Facility Does Not Report to TRI</v>
      </c>
      <c r="AO96" s="9" t="str">
        <f>IF(COUNTIF('Processed Non-zero TRI Data'!$I:$I,$I96)&gt;0,_xlfn.MAXIFS('Processed Non-zero TRI Data'!$X:$X,'Processed Non-zero TRI Data'!$I:$I,$I96), "N/A - Facility Does Not Report to TRI")</f>
        <v>N/A - Facility Does Not Report to TRI</v>
      </c>
      <c r="AP96" s="9" t="str">
        <f t="shared" si="46"/>
        <v>N/A - Facility Does Not Report to TRI</v>
      </c>
      <c r="AQ96" s="251" t="str" cm="1">
        <f t="array" ref="AQ96">IF(B96="TRI Form A",AC96,IF(AO96=0,"Facility has no transfers to non-POTWs between 2019-2023.",IF(COUNTIF('Processed Non-zero TRI Data'!$I:$I,$I96)&gt;0,INDEX('Processed Non-zero TRI Data'!$A:$A,MATCH(1,($I96='Processed Non-zero TRI Data'!$I:$I)*(AO96='Processed Non-zero TRI Data'!$X:$X),0)),"N/A - Facility Does Not Report to TRI")))</f>
        <v>N/A - Facility Does Not Report to TRI</v>
      </c>
      <c r="AR96" s="260">
        <f t="shared" si="47"/>
        <v>0</v>
      </c>
      <c r="AS96" s="260">
        <f t="shared" si="48"/>
        <v>2.3050000000000002</v>
      </c>
    </row>
    <row r="97" spans="1:45" ht="30" x14ac:dyDescent="0.25">
      <c r="A97" s="12">
        <v>94</v>
      </c>
      <c r="B97" s="10" t="str">
        <f>IFERROR("TRI Form "&amp; VLOOKUP(I97, 'Processed Non-zero TRI Data'!$I$2:$K$6, 3, FALSE), "DMR")</f>
        <v>DMR</v>
      </c>
      <c r="C97" s="181" t="e">
        <f>VLOOKUP(D97,#REF!, 2, FALSE)</f>
        <v>#REF!</v>
      </c>
      <c r="D97" s="181" t="str">
        <f>IF(I97&lt;&gt;"",INDEX('Processed Non-zero TRI Data'!$O:$O,MATCH(I97,'Processed Non-zero TRI Data'!$I:$I,0)),INDEX('Processed Non-zero DMR Data'!$S:$S,MATCH(J97,'Processed Non-zero DMR Data'!$I:$I,0)))</f>
        <v>Processing as a reactant</v>
      </c>
      <c r="E97" s="181" t="str">
        <f>IF(I97&lt;&gt;"",INDEX('Processed Non-zero TRI Data'!$P:$P,MATCH(I97,'Processed Non-zero TRI Data'!$I:$I,0)),INDEX('Processed Non-zero DMR Data'!$T:$T,MATCH(J97,'Processed Non-zero DMR Data'!$I:$I,0)))</f>
        <v>Facility is a chemical manufacturer.</v>
      </c>
      <c r="F97" s="9" t="str">
        <f>_xlfn.XLOOKUP(J97, 'Processed Non-zero DMR Data'!I:I, 'Processed Non-zero DMR Data'!B:B)</f>
        <v>ECO SERVICES OPERATIONS HOUSTON</v>
      </c>
      <c r="G97" s="9" t="str">
        <f>_xlfn.XLOOKUP(J97, 'Processed Non-zero DMR Data'!I:I, 'Processed Non-zero DMR Data'!C:C)</f>
        <v>HOUSTON</v>
      </c>
      <c r="H97" s="9" t="str">
        <f>_xlfn.XLOOKUP(J97, 'Processed Non-zero DMR Data'!I:I, 'Processed Non-zero DMR Data'!E:E)</f>
        <v>TX</v>
      </c>
      <c r="I97" s="12"/>
      <c r="J97" s="13">
        <v>110000460901</v>
      </c>
      <c r="K97" s="9" t="str">
        <f>IFERROR(INDEX('Raw Non-zero DMR Data'!$C:$C, MATCH(J97,'Raw Non-zero DMR Data'!$D:$D,0)),"")</f>
        <v>TX0007072</v>
      </c>
      <c r="L97" s="9" t="str">
        <f>IFERROR(INDEX('Raw Non-zero DMR Data'!$U:$U, MATCH($J97,'Raw Non-zero DMR Data'!$D:$D,0)),"")</f>
        <v>Lower Sims Bayou</v>
      </c>
      <c r="M97" s="155">
        <f>IFERROR(INDEX('Raw Non-zero DMR Data'!$T:$T, MATCH($J97,'Raw Non-zero DMR Data'!$D:$D,0)),"")</f>
        <v>120401040502</v>
      </c>
      <c r="N97" s="155" t="str">
        <f>IFERROR(INDEX('Off-site Locations'!$E:$E,MATCH(I97,'Off-site Locations'!$B:$B,0)),"No offsite transfers")</f>
        <v>No offsite transfers</v>
      </c>
      <c r="O97" s="165">
        <f>INDEX('TRI and DMR OES Summary'!D:D,MATCH('Facility Discharge Summary'!D97,'TRI and DMR OES Summary'!A:A,0))</f>
        <v>350</v>
      </c>
      <c r="P97" s="17" cm="1">
        <f t="array" ref="P97">IFERROR(_xlfn.XLOOKUP(1,  (MAX(IF(J97 = 'Processed Non-zero DMR Data'!$I$2:$I$651,'Processed Non-zero DMR Data'!$A$2:$A$651)) = 'Processed Non-zero DMR Data'!$A$2:$A$651)*('Processed Non-zero DMR Data'!$I$2:$I$651 = J97),'Processed Non-zero DMR Data'!$W$2:$W$651), "N/A- Facility Does Not Report DMRs")</f>
        <v>12.42144</v>
      </c>
      <c r="Q97" s="10">
        <f t="shared" si="35"/>
        <v>3.5489828571428572E-2</v>
      </c>
      <c r="R97" s="10" cm="1">
        <f t="array" ref="R97">IF(COUNTIF('Processed Non-zero DMR Data'!$I:$I,$J97)&gt;0,MEDIAN(IF('Processed Non-zero DMR Data'!$I:$I=J97,'Processed Non-zero DMR Data'!$W:$W)),"N/A - Facility Does Not Report DMRs")</f>
        <v>11.962900000000001</v>
      </c>
      <c r="S97" s="10">
        <f t="shared" si="36"/>
        <v>3.4179714285714292E-2</v>
      </c>
      <c r="T97" s="10">
        <f>IF(COUNTIF('Processed Non-zero DMR Data'!$I:$I,$J97)&gt;0,_xlfn.MAXIFS('Processed Non-zero DMR Data'!$W:$W,'Processed Non-zero DMR Data'!$I:$I,$J97), "N/A - Facility Does Not Report DMRs")</f>
        <v>14.064920000000001</v>
      </c>
      <c r="U97" s="10">
        <f t="shared" si="37"/>
        <v>4.0185485714285714E-2</v>
      </c>
      <c r="V97" s="158" cm="1">
        <f t="array" ref="V97">IF(COUNTIF('Processed Non-zero DMR Data'!$I:$I,$J97)&gt;0,INDEX('Processed Non-zero DMR Data'!$A:$A,MATCH(1,($J97='Processed Non-zero DMR Data'!$I:$I)*($T97='Processed Non-zero DMR Data'!$W:$W),0)), "N/A - Facility Does Not Report DMRs")</f>
        <v>2021</v>
      </c>
      <c r="W97" s="17" t="str" cm="1">
        <f t="array" ref="W97">IFERROR(_xlfn.XLOOKUP(1,  (MAX(IF(I97 = 'Processed Non-zero TRI Data'!$I$2:$I$6,'Processed Non-zero TRI Data'!$A$2:$A$6)) = 'Processed Non-zero TRI Data'!$A$2:$A$6)*('Processed Non-zero TRI Data'!$I$2:$I$6 = I97), 'Processed Non-zero TRI Data'!$T$2:$T$6), "N/A- Facility Does Not Report to TRI")</f>
        <v>N/A- Facility Does Not Report to TRI</v>
      </c>
      <c r="X97" s="10" t="str">
        <f t="shared" si="38"/>
        <v>N/A - Facility Does Not Report to TRI</v>
      </c>
      <c r="Y97" s="10" t="str" cm="1">
        <f t="array" ref="Y97">IF(COUNTIF('Processed Non-zero TRI Data'!$I:$I,$I97)&gt;0,MEDIAN(IF('Processed Non-zero TRI Data'!$I:$I=I97,'Processed Non-zero TRI Data'!$T:$T)), "N/A - Facility Does Not Report to TRI")</f>
        <v>N/A - Facility Does Not Report to TRI</v>
      </c>
      <c r="Z97" s="10" t="str">
        <f t="shared" si="39"/>
        <v>N/A - Facility Does Not Report to TRI</v>
      </c>
      <c r="AA97" s="10" t="str">
        <f>IF(COUNTIF('Processed Non-zero TRI Data'!$I:$I,$I97)&gt;0,_xlfn.MAXIFS('Processed Non-zero TRI Data'!$T:$T,'Processed Non-zero TRI Data'!$I:$I,$I97), "N/A - Facility Does Not Report to TRI")</f>
        <v>N/A - Facility Does Not Report to TRI</v>
      </c>
      <c r="AB97" s="10" t="str">
        <f t="shared" si="40"/>
        <v>N/A - Facility Does Not Report to TRI</v>
      </c>
      <c r="AC97" s="158" t="str" cm="1">
        <f t="array" ref="AC97">IFERROR(IF(B97 = "TRI Form R", IF(AA97 = 0, "Facility has no on-site water discharges between 2017-2022.",  IF(COUNTIF('Processed Non-zero TRI Data'!$I:$I,$I97)&gt;0,INDEX('Processed Non-zero TRI Data'!$A:$A,MATCH(1,($I97='Processed Non-zero TRI Data'!$I:$I)*(AA97='Processed Non-zero TRI Data'!$T:$T),0)))), VLOOKUP(I97,#REF!, 2, FALSE)), ("N/A - Facility Does Not Report to TRI"))</f>
        <v>N/A - Facility Does Not Report to TRI</v>
      </c>
      <c r="AD97" s="97" t="str" cm="1">
        <f t="array" ref="AD97">IFERROR(_xlfn.XLOOKUP(1,  (MAX(IF(I97 = 'Processed Non-zero TRI Data'!$I$2:$I$6,'Processed Non-zero TRI Data'!$A$2:$A$6)) = 'Processed Non-zero TRI Data'!$A$2:$A$6)*('Processed Non-zero TRI Data'!$I$2:$I$6 = I97), 'Processed Non-zero TRI Data'!$V$2:$V$6), "N/A- Facility Does Not Report to TRI")</f>
        <v>N/A- Facility Does Not Report to TRI</v>
      </c>
      <c r="AE97" s="9" t="str">
        <f t="shared" si="41"/>
        <v>N/A - Facility Does Not Report to TRI</v>
      </c>
      <c r="AF97" s="9" t="str" cm="1">
        <f t="array" ref="AF97">IF(COUNTIF('Processed Non-zero TRI Data'!$I:$I,$I97)&gt;0,MEDIAN(IF('Processed Non-zero TRI Data'!$I:$I=I97,'Processed Non-zero TRI Data'!$V:$V)), "N/A - Facility Does Not Report to TRI")</f>
        <v>N/A - Facility Does Not Report to TRI</v>
      </c>
      <c r="AG97" s="9" t="str">
        <f t="shared" si="42"/>
        <v>N/A - Facility Does Not Report to TRI</v>
      </c>
      <c r="AH97" s="9" t="str">
        <f>IF(COUNTIF('Processed Non-zero TRI Data'!$I:$I,$I97)&gt;0,_xlfn.MAXIFS('Processed Non-zero TRI Data'!$V:$V,'Processed Non-zero TRI Data'!$I:$I,$I97), "N/A - Facility Does Not Report to TRI")</f>
        <v>N/A - Facility Does Not Report to TRI</v>
      </c>
      <c r="AI97" s="9" t="str">
        <f t="shared" si="43"/>
        <v>N/A - Facility Does Not Report to TRI</v>
      </c>
      <c r="AJ97" s="158" t="str" cm="1">
        <f t="array" ref="AJ97">IF(B97="TRI Form A",AC97,IF(AH97=0,"Facility has no transfers to POTWs between 2019-2023.",IF(COUNTIF('Processed Non-zero TRI Data'!$I:$I,$I97)&gt;0,INDEX('Processed Non-zero TRI Data'!$A:$A,MATCH(1,($I97='Processed Non-zero TRI Data'!$I:$I)*(AH97='Processed Non-zero TRI Data'!$V:$V),0)),"N/A - Facility Does Not Report to TRI")))</f>
        <v>N/A - Facility Does Not Report to TRI</v>
      </c>
      <c r="AK97" s="97" t="str" cm="1">
        <f t="array" ref="AK97">IFERROR(_xlfn.XLOOKUP(1,  (MAX(IF(I97 = 'Processed Non-zero TRI Data'!$I$2:$I$6,'Processed Non-zero TRI Data'!$A$2:$A$6)) = 'Processed Non-zero TRI Data'!$A$2:$A$6)*('Processed Non-zero TRI Data'!$I$2:$I$6 = I97), 'Processed Non-zero TRI Data'!$X$2:$X$6), "N/A- Facility Does Not Report to TRI")</f>
        <v>N/A- Facility Does Not Report to TRI</v>
      </c>
      <c r="AL97" s="9" t="str">
        <f t="shared" si="44"/>
        <v>N/A - Facility Does Not Report to TRI</v>
      </c>
      <c r="AM97" s="9" t="str" cm="1">
        <f t="array" ref="AM97">IF(COUNTIF('Processed Non-zero TRI Data'!$I:$I,$I97)&gt;0,MEDIAN(IF('Processed Non-zero TRI Data'!$I:$I=I97,'Processed Non-zero TRI Data'!$X:$X)), "N/A - Facility Does Not Report to TRI")</f>
        <v>N/A - Facility Does Not Report to TRI</v>
      </c>
      <c r="AN97" s="9" t="str">
        <f t="shared" si="45"/>
        <v>N/A - Facility Does Not Report to TRI</v>
      </c>
      <c r="AO97" s="9" t="str">
        <f>IF(COUNTIF('Processed Non-zero TRI Data'!$I:$I,$I97)&gt;0,_xlfn.MAXIFS('Processed Non-zero TRI Data'!$X:$X,'Processed Non-zero TRI Data'!$I:$I,$I97), "N/A - Facility Does Not Report to TRI")</f>
        <v>N/A - Facility Does Not Report to TRI</v>
      </c>
      <c r="AP97" s="9" t="str">
        <f t="shared" si="46"/>
        <v>N/A - Facility Does Not Report to TRI</v>
      </c>
      <c r="AQ97" s="251" t="str" cm="1">
        <f t="array" ref="AQ97">IF(B97="TRI Form A",AC97,IF(AO97=0,"Facility has no transfers to non-POTWs between 2019-2023.",IF(COUNTIF('Processed Non-zero TRI Data'!$I:$I,$I97)&gt;0,INDEX('Processed Non-zero TRI Data'!$A:$A,MATCH(1,($I97='Processed Non-zero TRI Data'!$I:$I)*(AO97='Processed Non-zero TRI Data'!$X:$X),0)),"N/A - Facility Does Not Report to TRI")))</f>
        <v>N/A - Facility Does Not Report to TRI</v>
      </c>
      <c r="AR97" s="260">
        <f t="shared" si="47"/>
        <v>0</v>
      </c>
      <c r="AS97" s="260">
        <f t="shared" si="48"/>
        <v>14.064920000000001</v>
      </c>
    </row>
    <row r="98" spans="1:45" ht="30" x14ac:dyDescent="0.25">
      <c r="A98" s="12">
        <v>95</v>
      </c>
      <c r="B98" s="10" t="str">
        <f>IFERROR("TRI Form "&amp; VLOOKUP(I98, 'Processed Non-zero TRI Data'!$I$2:$K$6, 3, FALSE), "DMR")</f>
        <v>DMR</v>
      </c>
      <c r="C98" s="181" t="e">
        <f>VLOOKUP(D98,#REF!, 2, FALSE)</f>
        <v>#REF!</v>
      </c>
      <c r="D98" s="181" t="str">
        <f>IF(I98&lt;&gt;"",INDEX('Processed Non-zero TRI Data'!$O:$O,MATCH(I98,'Processed Non-zero TRI Data'!$I:$I,0)),INDEX('Processed Non-zero DMR Data'!$S:$S,MATCH(J98,'Processed Non-zero DMR Data'!$I:$I,0)))</f>
        <v>Waste Handling, Disposal and Treatment (POTW)</v>
      </c>
      <c r="E98" s="181" t="str">
        <f>IF(I98&lt;&gt;"",INDEX('Processed Non-zero TRI Data'!$P:$P,MATCH(I98,'Processed Non-zero TRI Data'!$I:$I,0)),INDEX('Processed Non-zero DMR Data'!$T:$T,MATCH(J98,'Processed Non-zero DMR Data'!$I:$I,0)))</f>
        <v>POTW indicator in DMR</v>
      </c>
      <c r="F98" s="9" t="str">
        <f>_xlfn.XLOOKUP(J98, 'Processed Non-zero DMR Data'!I:I, 'Processed Non-zero DMR Data'!B:B)</f>
        <v>WINCHESTER MUNICIPAL UTILITIES</v>
      </c>
      <c r="G98" s="9" t="str">
        <f>_xlfn.XLOOKUP(J98, 'Processed Non-zero DMR Data'!I:I, 'Processed Non-zero DMR Data'!C:C)</f>
        <v>WINCHESTER</v>
      </c>
      <c r="H98" s="9" t="str">
        <f>_xlfn.XLOOKUP(J98, 'Processed Non-zero DMR Data'!I:I, 'Processed Non-zero DMR Data'!E:E)</f>
        <v>KY</v>
      </c>
      <c r="I98" s="12"/>
      <c r="J98" s="13">
        <v>110064596361</v>
      </c>
      <c r="K98" s="9" t="str">
        <f>IFERROR(INDEX('Raw Non-zero DMR Data'!$C:$C, MATCH(J98,'Raw Non-zero DMR Data'!$D:$D,0)),"")</f>
        <v>KY0108740</v>
      </c>
      <c r="L98" s="9" t="str">
        <f>IFERROR(INDEX('Raw Non-zero DMR Data'!$U:$U, MATCH($J98,'Raw Non-zero DMR Data'!$D:$D,0)),"")</f>
        <v>Twomile Creek-Kentucky River</v>
      </c>
      <c r="M98" s="155" t="str">
        <f>IFERROR(INDEX('Raw Non-zero DMR Data'!$T:$T, MATCH($J98,'Raw Non-zero DMR Data'!$D:$D,0)),"")</f>
        <v>051002050107</v>
      </c>
      <c r="N98" s="155" t="str">
        <f>IFERROR(INDEX('Off-site Locations'!$E:$E,MATCH(I98,'Off-site Locations'!$B:$B,0)),"No offsite transfers")</f>
        <v>No offsite transfers</v>
      </c>
      <c r="O98" s="165">
        <f>INDEX('TRI and DMR OES Summary'!D:D,MATCH('Facility Discharge Summary'!D98,'TRI and DMR OES Summary'!A:A,0))</f>
        <v>365</v>
      </c>
      <c r="P98" s="17" cm="1">
        <f t="array" ref="P98">IFERROR(_xlfn.XLOOKUP(1,  (MAX(IF(J98 = 'Processed Non-zero DMR Data'!$I$2:$I$651,'Processed Non-zero DMR Data'!$A$2:$A$651)) = 'Processed Non-zero DMR Data'!$A$2:$A$651)*('Processed Non-zero DMR Data'!$I$2:$I$651 = J98),'Processed Non-zero DMR Data'!$W$2:$W$651), "N/A- Facility Does Not Report DMRs")</f>
        <v>9.3943700000000003</v>
      </c>
      <c r="Q98" s="10">
        <f t="shared" si="35"/>
        <v>2.5738E-2</v>
      </c>
      <c r="R98" s="10" cm="1">
        <f t="array" ref="R98">IF(COUNTIF('Processed Non-zero DMR Data'!$I:$I,$J98)&gt;0,MEDIAN(IF('Processed Non-zero DMR Data'!$I:$I=J98,'Processed Non-zero DMR Data'!$W:$W)),"N/A - Facility Does Not Report DMRs")</f>
        <v>8.1889894375000001</v>
      </c>
      <c r="S98" s="10">
        <f t="shared" si="36"/>
        <v>2.24355875E-2</v>
      </c>
      <c r="T98" s="10">
        <f>IF(COUNTIF('Processed Non-zero DMR Data'!$I:$I,$J98)&gt;0,_xlfn.MAXIFS('Processed Non-zero DMR Data'!$W:$W,'Processed Non-zero DMR Data'!$I:$I,$J98), "N/A - Facility Does Not Report DMRs")</f>
        <v>9.3943700000000003</v>
      </c>
      <c r="U98" s="10">
        <f t="shared" si="37"/>
        <v>2.5738E-2</v>
      </c>
      <c r="V98" s="158" cm="1">
        <f t="array" ref="V98">IF(COUNTIF('Processed Non-zero DMR Data'!$I:$I,$J98)&gt;0,INDEX('Processed Non-zero DMR Data'!$A:$A,MATCH(1,($J98='Processed Non-zero DMR Data'!$I:$I)*($T98='Processed Non-zero DMR Data'!$W:$W),0)), "N/A - Facility Does Not Report DMRs")</f>
        <v>2020</v>
      </c>
      <c r="W98" s="17" t="str" cm="1">
        <f t="array" ref="W98">IFERROR(_xlfn.XLOOKUP(1,  (MAX(IF(I98 = 'Processed Non-zero TRI Data'!$I$2:$I$6,'Processed Non-zero TRI Data'!$A$2:$A$6)) = 'Processed Non-zero TRI Data'!$A$2:$A$6)*('Processed Non-zero TRI Data'!$I$2:$I$6 = I98), 'Processed Non-zero TRI Data'!$T$2:$T$6), "N/A- Facility Does Not Report to TRI")</f>
        <v>N/A- Facility Does Not Report to TRI</v>
      </c>
      <c r="X98" s="10" t="str">
        <f t="shared" si="38"/>
        <v>N/A - Facility Does Not Report to TRI</v>
      </c>
      <c r="Y98" s="10" t="str" cm="1">
        <f t="array" ref="Y98">IF(COUNTIF('Processed Non-zero TRI Data'!$I:$I,$I98)&gt;0,MEDIAN(IF('Processed Non-zero TRI Data'!$I:$I=I98,'Processed Non-zero TRI Data'!$T:$T)), "N/A - Facility Does Not Report to TRI")</f>
        <v>N/A - Facility Does Not Report to TRI</v>
      </c>
      <c r="Z98" s="10" t="str">
        <f t="shared" si="39"/>
        <v>N/A - Facility Does Not Report to TRI</v>
      </c>
      <c r="AA98" s="10" t="str">
        <f>IF(COUNTIF('Processed Non-zero TRI Data'!$I:$I,$I98)&gt;0,_xlfn.MAXIFS('Processed Non-zero TRI Data'!$T:$T,'Processed Non-zero TRI Data'!$I:$I,$I98), "N/A - Facility Does Not Report to TRI")</f>
        <v>N/A - Facility Does Not Report to TRI</v>
      </c>
      <c r="AB98" s="10" t="str">
        <f t="shared" si="40"/>
        <v>N/A - Facility Does Not Report to TRI</v>
      </c>
      <c r="AC98" s="158" t="str" cm="1">
        <f t="array" ref="AC98">IFERROR(IF(B98 = "TRI Form R", IF(AA98 = 0, "Facility has no on-site water discharges between 2017-2022.",  IF(COUNTIF('Processed Non-zero TRI Data'!$I:$I,$I98)&gt;0,INDEX('Processed Non-zero TRI Data'!$A:$A,MATCH(1,($I98='Processed Non-zero TRI Data'!$I:$I)*(AA98='Processed Non-zero TRI Data'!$T:$T),0)))), VLOOKUP(I98,#REF!, 2, FALSE)), ("N/A - Facility Does Not Report to TRI"))</f>
        <v>N/A - Facility Does Not Report to TRI</v>
      </c>
      <c r="AD98" s="97" t="str" cm="1">
        <f t="array" ref="AD98">IFERROR(_xlfn.XLOOKUP(1,  (MAX(IF(I98 = 'Processed Non-zero TRI Data'!$I$2:$I$6,'Processed Non-zero TRI Data'!$A$2:$A$6)) = 'Processed Non-zero TRI Data'!$A$2:$A$6)*('Processed Non-zero TRI Data'!$I$2:$I$6 = I98), 'Processed Non-zero TRI Data'!$V$2:$V$6), "N/A- Facility Does Not Report to TRI")</f>
        <v>N/A- Facility Does Not Report to TRI</v>
      </c>
      <c r="AE98" s="9" t="str">
        <f t="shared" si="41"/>
        <v>N/A - Facility Does Not Report to TRI</v>
      </c>
      <c r="AF98" s="9" t="str" cm="1">
        <f t="array" ref="AF98">IF(COUNTIF('Processed Non-zero TRI Data'!$I:$I,$I98)&gt;0,MEDIAN(IF('Processed Non-zero TRI Data'!$I:$I=I98,'Processed Non-zero TRI Data'!$V:$V)), "N/A - Facility Does Not Report to TRI")</f>
        <v>N/A - Facility Does Not Report to TRI</v>
      </c>
      <c r="AG98" s="9" t="str">
        <f t="shared" si="42"/>
        <v>N/A - Facility Does Not Report to TRI</v>
      </c>
      <c r="AH98" s="9" t="str">
        <f>IF(COUNTIF('Processed Non-zero TRI Data'!$I:$I,$I98)&gt;0,_xlfn.MAXIFS('Processed Non-zero TRI Data'!$V:$V,'Processed Non-zero TRI Data'!$I:$I,$I98), "N/A - Facility Does Not Report to TRI")</f>
        <v>N/A - Facility Does Not Report to TRI</v>
      </c>
      <c r="AI98" s="9" t="str">
        <f t="shared" si="43"/>
        <v>N/A - Facility Does Not Report to TRI</v>
      </c>
      <c r="AJ98" s="158" t="str" cm="1">
        <f t="array" ref="AJ98">IF(B98="TRI Form A",AC98,IF(AH98=0,"Facility has no transfers to POTWs between 2019-2023.",IF(COUNTIF('Processed Non-zero TRI Data'!$I:$I,$I98)&gt;0,INDEX('Processed Non-zero TRI Data'!$A:$A,MATCH(1,($I98='Processed Non-zero TRI Data'!$I:$I)*(AH98='Processed Non-zero TRI Data'!$V:$V),0)),"N/A - Facility Does Not Report to TRI")))</f>
        <v>N/A - Facility Does Not Report to TRI</v>
      </c>
      <c r="AK98" s="97" t="str" cm="1">
        <f t="array" ref="AK98">IFERROR(_xlfn.XLOOKUP(1,  (MAX(IF(I98 = 'Processed Non-zero TRI Data'!$I$2:$I$6,'Processed Non-zero TRI Data'!$A$2:$A$6)) = 'Processed Non-zero TRI Data'!$A$2:$A$6)*('Processed Non-zero TRI Data'!$I$2:$I$6 = I98), 'Processed Non-zero TRI Data'!$X$2:$X$6), "N/A- Facility Does Not Report to TRI")</f>
        <v>N/A- Facility Does Not Report to TRI</v>
      </c>
      <c r="AL98" s="9" t="str">
        <f t="shared" si="44"/>
        <v>N/A - Facility Does Not Report to TRI</v>
      </c>
      <c r="AM98" s="9" t="str" cm="1">
        <f t="array" ref="AM98">IF(COUNTIF('Processed Non-zero TRI Data'!$I:$I,$I98)&gt;0,MEDIAN(IF('Processed Non-zero TRI Data'!$I:$I=I98,'Processed Non-zero TRI Data'!$X:$X)), "N/A - Facility Does Not Report to TRI")</f>
        <v>N/A - Facility Does Not Report to TRI</v>
      </c>
      <c r="AN98" s="9" t="str">
        <f t="shared" si="45"/>
        <v>N/A - Facility Does Not Report to TRI</v>
      </c>
      <c r="AO98" s="9" t="str">
        <f>IF(COUNTIF('Processed Non-zero TRI Data'!$I:$I,$I98)&gt;0,_xlfn.MAXIFS('Processed Non-zero TRI Data'!$X:$X,'Processed Non-zero TRI Data'!$I:$I,$I98), "N/A - Facility Does Not Report to TRI")</f>
        <v>N/A - Facility Does Not Report to TRI</v>
      </c>
      <c r="AP98" s="9" t="str">
        <f t="shared" si="46"/>
        <v>N/A - Facility Does Not Report to TRI</v>
      </c>
      <c r="AQ98" s="251" t="str" cm="1">
        <f t="array" ref="AQ98">IF(B98="TRI Form A",AC98,IF(AO98=0,"Facility has no transfers to non-POTWs between 2019-2023.",IF(COUNTIF('Processed Non-zero TRI Data'!$I:$I,$I98)&gt;0,INDEX('Processed Non-zero TRI Data'!$A:$A,MATCH(1,($I98='Processed Non-zero TRI Data'!$I:$I)*(AO98='Processed Non-zero TRI Data'!$X:$X),0)),"N/A - Facility Does Not Report to TRI")))</f>
        <v>N/A - Facility Does Not Report to TRI</v>
      </c>
      <c r="AR98" s="260">
        <f t="shared" si="47"/>
        <v>0</v>
      </c>
      <c r="AS98" s="260">
        <f t="shared" si="48"/>
        <v>9.3943700000000003</v>
      </c>
    </row>
    <row r="99" spans="1:45" ht="30" x14ac:dyDescent="0.25">
      <c r="A99" s="12">
        <v>96</v>
      </c>
      <c r="B99" s="10" t="str">
        <f>IFERROR("TRI Form "&amp; VLOOKUP(I99, 'Processed Non-zero TRI Data'!$I$2:$K$6, 3, FALSE), "DMR")</f>
        <v>DMR</v>
      </c>
      <c r="C99" s="181" t="e">
        <f>VLOOKUP(D99,#REF!, 2, FALSE)</f>
        <v>#REF!</v>
      </c>
      <c r="D99" s="181" t="str">
        <f>IF(I99&lt;&gt;"",INDEX('Processed Non-zero TRI Data'!$O:$O,MATCH(I99,'Processed Non-zero TRI Data'!$I:$I,0)),INDEX('Processed Non-zero DMR Data'!$S:$S,MATCH(J99,'Processed Non-zero DMR Data'!$I:$I,0)))</f>
        <v>Waste Handling, Disposal and Treatment (POTW)</v>
      </c>
      <c r="E99" s="181" t="str">
        <f>IF(I99&lt;&gt;"",INDEX('Processed Non-zero TRI Data'!$P:$P,MATCH(I99,'Processed Non-zero TRI Data'!$I:$I,0)),INDEX('Processed Non-zero DMR Data'!$T:$T,MATCH(J99,'Processed Non-zero DMR Data'!$I:$I,0)))</f>
        <v>POTW indicator in DMR</v>
      </c>
      <c r="F99" s="9" t="str">
        <f>_xlfn.XLOOKUP(J99, 'Processed Non-zero DMR Data'!I:I, 'Processed Non-zero DMR Data'!B:B)</f>
        <v>RWRA MAX RHOADS WWTP</v>
      </c>
      <c r="G99" s="9" t="str">
        <f>_xlfn.XLOOKUP(J99, 'Processed Non-zero DMR Data'!I:I, 'Processed Non-zero DMR Data'!C:C)</f>
        <v>OWENSBORO</v>
      </c>
      <c r="H99" s="9" t="str">
        <f>_xlfn.XLOOKUP(J99, 'Processed Non-zero DMR Data'!I:I, 'Processed Non-zero DMR Data'!E:E)</f>
        <v>KY</v>
      </c>
      <c r="I99" s="12"/>
      <c r="J99" s="13">
        <v>110039998214</v>
      </c>
      <c r="K99" s="9" t="str">
        <f>IFERROR(INDEX('Raw Non-zero DMR Data'!$C:$C, MATCH(J99,'Raw Non-zero DMR Data'!$D:$D,0)),"")</f>
        <v>KY0020095</v>
      </c>
      <c r="L99" s="9" t="str">
        <f>IFERROR(INDEX('Raw Non-zero DMR Data'!$U:$U, MATCH($J99,'Raw Non-zero DMR Data'!$D:$D,0)),"")</f>
        <v>Jackson Creek-Ohio River</v>
      </c>
      <c r="M99" s="155" t="str">
        <f>IFERROR(INDEX('Raw Non-zero DMR Data'!$T:$T, MATCH($J99,'Raw Non-zero DMR Data'!$D:$D,0)),"")</f>
        <v>051402011202</v>
      </c>
      <c r="N99" s="155" t="str">
        <f>IFERROR(INDEX('Off-site Locations'!$E:$E,MATCH(I99,'Off-site Locations'!$B:$B,0)),"No offsite transfers")</f>
        <v>No offsite transfers</v>
      </c>
      <c r="O99" s="165">
        <f>INDEX('TRI and DMR OES Summary'!D:D,MATCH('Facility Discharge Summary'!D99,'TRI and DMR OES Summary'!A:A,0))</f>
        <v>365</v>
      </c>
      <c r="P99" s="17" cm="1">
        <f t="array" ref="P99">IFERROR(_xlfn.XLOOKUP(1,  (MAX(IF(J99 = 'Processed Non-zero DMR Data'!$I$2:$I$651,'Processed Non-zero DMR Data'!$A$2:$A$651)) = 'Processed Non-zero DMR Data'!$A$2:$A$651)*('Processed Non-zero DMR Data'!$I$2:$I$651 = J99),'Processed Non-zero DMR Data'!$W$2:$W$651), "N/A- Facility Does Not Report DMRs")</f>
        <v>9.6015987500000008</v>
      </c>
      <c r="Q99" s="10">
        <f t="shared" si="35"/>
        <v>2.6305750000000003E-2</v>
      </c>
      <c r="R99" s="10" cm="1">
        <f t="array" ref="R99">IF(COUNTIF('Processed Non-zero DMR Data'!$I:$I,$J99)&gt;0,MEDIAN(IF('Processed Non-zero DMR Data'!$I:$I=J99,'Processed Non-zero DMR Data'!$W:$W)),"N/A - Facility Does Not Report DMRs")</f>
        <v>18.809462875000001</v>
      </c>
      <c r="S99" s="10">
        <f t="shared" si="36"/>
        <v>5.1532775000000003E-2</v>
      </c>
      <c r="T99" s="10">
        <f>IF(COUNTIF('Processed Non-zero DMR Data'!$I:$I,$J99)&gt;0,_xlfn.MAXIFS('Processed Non-zero DMR Data'!$W:$W,'Processed Non-zero DMR Data'!$I:$I,$J99), "N/A - Facility Does Not Report DMRs")</f>
        <v>49.955944000000002</v>
      </c>
      <c r="U99" s="10">
        <f t="shared" si="37"/>
        <v>0.1368656</v>
      </c>
      <c r="V99" s="158" cm="1">
        <f t="array" ref="V99">IF(COUNTIF('Processed Non-zero DMR Data'!$I:$I,$J99)&gt;0,INDEX('Processed Non-zero DMR Data'!$A:$A,MATCH(1,($J99='Processed Non-zero DMR Data'!$I:$I)*($T99='Processed Non-zero DMR Data'!$W:$W),0)), "N/A - Facility Does Not Report DMRs")</f>
        <v>2020</v>
      </c>
      <c r="W99" s="17" t="str" cm="1">
        <f t="array" ref="W99">IFERROR(_xlfn.XLOOKUP(1,  (MAX(IF(I99 = 'Processed Non-zero TRI Data'!$I$2:$I$6,'Processed Non-zero TRI Data'!$A$2:$A$6)) = 'Processed Non-zero TRI Data'!$A$2:$A$6)*('Processed Non-zero TRI Data'!$I$2:$I$6 = I99), 'Processed Non-zero TRI Data'!$T$2:$T$6), "N/A- Facility Does Not Report to TRI")</f>
        <v>N/A- Facility Does Not Report to TRI</v>
      </c>
      <c r="X99" s="10" t="str">
        <f t="shared" si="38"/>
        <v>N/A - Facility Does Not Report to TRI</v>
      </c>
      <c r="Y99" s="10" t="str" cm="1">
        <f t="array" ref="Y99">IF(COUNTIF('Processed Non-zero TRI Data'!$I:$I,$I99)&gt;0,MEDIAN(IF('Processed Non-zero TRI Data'!$I:$I=I99,'Processed Non-zero TRI Data'!$T:$T)), "N/A - Facility Does Not Report to TRI")</f>
        <v>N/A - Facility Does Not Report to TRI</v>
      </c>
      <c r="Z99" s="10" t="str">
        <f t="shared" si="39"/>
        <v>N/A - Facility Does Not Report to TRI</v>
      </c>
      <c r="AA99" s="10" t="str">
        <f>IF(COUNTIF('Processed Non-zero TRI Data'!$I:$I,$I99)&gt;0,_xlfn.MAXIFS('Processed Non-zero TRI Data'!$T:$T,'Processed Non-zero TRI Data'!$I:$I,$I99), "N/A - Facility Does Not Report to TRI")</f>
        <v>N/A - Facility Does Not Report to TRI</v>
      </c>
      <c r="AB99" s="10" t="str">
        <f t="shared" si="40"/>
        <v>N/A - Facility Does Not Report to TRI</v>
      </c>
      <c r="AC99" s="158" t="str" cm="1">
        <f t="array" ref="AC99">IFERROR(IF(B99 = "TRI Form R", IF(AA99 = 0, "Facility has no on-site water discharges between 2017-2022.",  IF(COUNTIF('Processed Non-zero TRI Data'!$I:$I,$I99)&gt;0,INDEX('Processed Non-zero TRI Data'!$A:$A,MATCH(1,($I99='Processed Non-zero TRI Data'!$I:$I)*(AA99='Processed Non-zero TRI Data'!$T:$T),0)))), VLOOKUP(I99,#REF!, 2, FALSE)), ("N/A - Facility Does Not Report to TRI"))</f>
        <v>N/A - Facility Does Not Report to TRI</v>
      </c>
      <c r="AD99" s="97" t="str" cm="1">
        <f t="array" ref="AD99">IFERROR(_xlfn.XLOOKUP(1,  (MAX(IF(I99 = 'Processed Non-zero TRI Data'!$I$2:$I$6,'Processed Non-zero TRI Data'!$A$2:$A$6)) = 'Processed Non-zero TRI Data'!$A$2:$A$6)*('Processed Non-zero TRI Data'!$I$2:$I$6 = I99), 'Processed Non-zero TRI Data'!$V$2:$V$6), "N/A- Facility Does Not Report to TRI")</f>
        <v>N/A- Facility Does Not Report to TRI</v>
      </c>
      <c r="AE99" s="9" t="str">
        <f t="shared" si="41"/>
        <v>N/A - Facility Does Not Report to TRI</v>
      </c>
      <c r="AF99" s="9" t="str" cm="1">
        <f t="array" ref="AF99">IF(COUNTIF('Processed Non-zero TRI Data'!$I:$I,$I99)&gt;0,MEDIAN(IF('Processed Non-zero TRI Data'!$I:$I=I99,'Processed Non-zero TRI Data'!$V:$V)), "N/A - Facility Does Not Report to TRI")</f>
        <v>N/A - Facility Does Not Report to TRI</v>
      </c>
      <c r="AG99" s="9" t="str">
        <f t="shared" si="42"/>
        <v>N/A - Facility Does Not Report to TRI</v>
      </c>
      <c r="AH99" s="9" t="str">
        <f>IF(COUNTIF('Processed Non-zero TRI Data'!$I:$I,$I99)&gt;0,_xlfn.MAXIFS('Processed Non-zero TRI Data'!$V:$V,'Processed Non-zero TRI Data'!$I:$I,$I99), "N/A - Facility Does Not Report to TRI")</f>
        <v>N/A - Facility Does Not Report to TRI</v>
      </c>
      <c r="AI99" s="9" t="str">
        <f t="shared" si="43"/>
        <v>N/A - Facility Does Not Report to TRI</v>
      </c>
      <c r="AJ99" s="158" t="str" cm="1">
        <f t="array" ref="AJ99">IF(B99="TRI Form A",AC99,IF(AH99=0,"Facility has no transfers to POTWs between 2019-2023.",IF(COUNTIF('Processed Non-zero TRI Data'!$I:$I,$I99)&gt;0,INDEX('Processed Non-zero TRI Data'!$A:$A,MATCH(1,($I99='Processed Non-zero TRI Data'!$I:$I)*(AH99='Processed Non-zero TRI Data'!$V:$V),0)),"N/A - Facility Does Not Report to TRI")))</f>
        <v>N/A - Facility Does Not Report to TRI</v>
      </c>
      <c r="AK99" s="97" t="str" cm="1">
        <f t="array" ref="AK99">IFERROR(_xlfn.XLOOKUP(1,  (MAX(IF(I99 = 'Processed Non-zero TRI Data'!$I$2:$I$6,'Processed Non-zero TRI Data'!$A$2:$A$6)) = 'Processed Non-zero TRI Data'!$A$2:$A$6)*('Processed Non-zero TRI Data'!$I$2:$I$6 = I99), 'Processed Non-zero TRI Data'!$X$2:$X$6), "N/A- Facility Does Not Report to TRI")</f>
        <v>N/A- Facility Does Not Report to TRI</v>
      </c>
      <c r="AL99" s="9" t="str">
        <f t="shared" si="44"/>
        <v>N/A - Facility Does Not Report to TRI</v>
      </c>
      <c r="AM99" s="9" t="str" cm="1">
        <f t="array" ref="AM99">IF(COUNTIF('Processed Non-zero TRI Data'!$I:$I,$I99)&gt;0,MEDIAN(IF('Processed Non-zero TRI Data'!$I:$I=I99,'Processed Non-zero TRI Data'!$X:$X)), "N/A - Facility Does Not Report to TRI")</f>
        <v>N/A - Facility Does Not Report to TRI</v>
      </c>
      <c r="AN99" s="9" t="str">
        <f t="shared" si="45"/>
        <v>N/A - Facility Does Not Report to TRI</v>
      </c>
      <c r="AO99" s="9" t="str">
        <f>IF(COUNTIF('Processed Non-zero TRI Data'!$I:$I,$I99)&gt;0,_xlfn.MAXIFS('Processed Non-zero TRI Data'!$X:$X,'Processed Non-zero TRI Data'!$I:$I,$I99), "N/A - Facility Does Not Report to TRI")</f>
        <v>N/A - Facility Does Not Report to TRI</v>
      </c>
      <c r="AP99" s="9" t="str">
        <f t="shared" si="46"/>
        <v>N/A - Facility Does Not Report to TRI</v>
      </c>
      <c r="AQ99" s="251" t="str" cm="1">
        <f t="array" ref="AQ99">IF(B99="TRI Form A",AC99,IF(AO99=0,"Facility has no transfers to non-POTWs between 2019-2023.",IF(COUNTIF('Processed Non-zero TRI Data'!$I:$I,$I99)&gt;0,INDEX('Processed Non-zero TRI Data'!$A:$A,MATCH(1,($I99='Processed Non-zero TRI Data'!$I:$I)*(AO99='Processed Non-zero TRI Data'!$X:$X),0)),"N/A - Facility Does Not Report to TRI")))</f>
        <v>N/A - Facility Does Not Report to TRI</v>
      </c>
      <c r="AR99" s="260">
        <f t="shared" si="47"/>
        <v>0</v>
      </c>
      <c r="AS99" s="260">
        <f t="shared" si="48"/>
        <v>49.955944000000002</v>
      </c>
    </row>
    <row r="100" spans="1:45" ht="30" x14ac:dyDescent="0.25">
      <c r="A100" s="12">
        <v>97</v>
      </c>
      <c r="B100" s="10" t="str">
        <f>IFERROR("TRI Form "&amp; VLOOKUP(I100, 'Processed Non-zero TRI Data'!$I$2:$K$6, 3, FALSE), "DMR")</f>
        <v>DMR</v>
      </c>
      <c r="C100" s="181" t="e">
        <f>VLOOKUP(D100,#REF!, 2, FALSE)</f>
        <v>#REF!</v>
      </c>
      <c r="D100" s="181" t="str">
        <f>IF(I100&lt;&gt;"",INDEX('Processed Non-zero TRI Data'!$O:$O,MATCH(I100,'Processed Non-zero TRI Data'!$I:$I,0)),INDEX('Processed Non-zero DMR Data'!$S:$S,MATCH(J100,'Processed Non-zero DMR Data'!$I:$I,0)))</f>
        <v>Waste Handling, Disposal and Treatment (POTW)</v>
      </c>
      <c r="E100" s="181" t="str">
        <f>IF(I100&lt;&gt;"",INDEX('Processed Non-zero TRI Data'!$P:$P,MATCH(I100,'Processed Non-zero TRI Data'!$I:$I,0)),INDEX('Processed Non-zero DMR Data'!$T:$T,MATCH(J100,'Processed Non-zero DMR Data'!$I:$I,0)))</f>
        <v>POTW indicator in DMR</v>
      </c>
      <c r="F100" s="9" t="str">
        <f>_xlfn.XLOOKUP(J100, 'Processed Non-zero DMR Data'!I:I, 'Processed Non-zero DMR Data'!B:B)</f>
        <v>WILLIAMSBURG STP</v>
      </c>
      <c r="G100" s="9" t="str">
        <f>_xlfn.XLOOKUP(J100, 'Processed Non-zero DMR Data'!I:I, 'Processed Non-zero DMR Data'!C:C)</f>
        <v>WILLIAMSBURG</v>
      </c>
      <c r="H100" s="9" t="str">
        <f>_xlfn.XLOOKUP(J100, 'Processed Non-zero DMR Data'!I:I, 'Processed Non-zero DMR Data'!E:E)</f>
        <v>KY</v>
      </c>
      <c r="I100" s="12"/>
      <c r="J100" s="13">
        <v>110006751737</v>
      </c>
      <c r="K100" s="9" t="str">
        <f>IFERROR(INDEX('Raw Non-zero DMR Data'!$C:$C, MATCH(J100,'Raw Non-zero DMR Data'!$D:$D,0)),"")</f>
        <v>KY0028347</v>
      </c>
      <c r="L100" s="9" t="str">
        <f>IFERROR(INDEX('Raw Non-zero DMR Data'!$U:$U, MATCH($J100,'Raw Non-zero DMR Data'!$D:$D,0)),"")</f>
        <v>Youngs Creek-Cumberland River</v>
      </c>
      <c r="M100" s="155" t="str">
        <f>IFERROR(INDEX('Raw Non-zero DMR Data'!$T:$T, MATCH($J100,'Raw Non-zero DMR Data'!$D:$D,0)),"")</f>
        <v>051301010704</v>
      </c>
      <c r="N100" s="155" t="str">
        <f>IFERROR(INDEX('Off-site Locations'!$E:$E,MATCH(I100,'Off-site Locations'!$B:$B,0)),"No offsite transfers")</f>
        <v>No offsite transfers</v>
      </c>
      <c r="O100" s="165">
        <f>INDEX('TRI and DMR OES Summary'!D:D,MATCH('Facility Discharge Summary'!D100,'TRI and DMR OES Summary'!A:A,0))</f>
        <v>365</v>
      </c>
      <c r="P100" s="17" cm="1">
        <f t="array" ref="P100">IFERROR(_xlfn.XLOOKUP(1,  (MAX(IF(J100 = 'Processed Non-zero DMR Data'!$I$2:$I$651,'Processed Non-zero DMR Data'!$A$2:$A$651)) = 'Processed Non-zero DMR Data'!$A$2:$A$651)*('Processed Non-zero DMR Data'!$I$2:$I$651 = J100),'Processed Non-zero DMR Data'!$W$2:$W$651), "N/A- Facility Does Not Report DMRs")</f>
        <v>4.3379884999999998</v>
      </c>
      <c r="Q100" s="10">
        <f t="shared" si="35"/>
        <v>1.18849E-2</v>
      </c>
      <c r="R100" s="10" cm="1">
        <f t="array" ref="R100">IF(COUNTIF('Processed Non-zero DMR Data'!$I:$I,$J100)&gt;0,MEDIAN(IF('Processed Non-zero DMR Data'!$I:$I=J100,'Processed Non-zero DMR Data'!$W:$W)),"N/A - Facility Does Not Report DMRs")</f>
        <v>5.1530882499999997</v>
      </c>
      <c r="S100" s="10">
        <f t="shared" si="36"/>
        <v>1.411805E-2</v>
      </c>
      <c r="T100" s="10">
        <f>IF(COUNTIF('Processed Non-zero DMR Data'!$I:$I,$J100)&gt;0,_xlfn.MAXIFS('Processed Non-zero DMR Data'!$W:$W,'Processed Non-zero DMR Data'!$I:$I,$J100), "N/A - Facility Does Not Report DMRs")</f>
        <v>5.4673851874999997</v>
      </c>
      <c r="U100" s="10">
        <f t="shared" si="37"/>
        <v>1.49791375E-2</v>
      </c>
      <c r="V100" s="158" cm="1">
        <f t="array" ref="V100">IF(COUNTIF('Processed Non-zero DMR Data'!$I:$I,$J100)&gt;0,INDEX('Processed Non-zero DMR Data'!$A:$A,MATCH(1,($J100='Processed Non-zero DMR Data'!$I:$I)*($T100='Processed Non-zero DMR Data'!$W:$W),0)), "N/A - Facility Does Not Report DMRs")</f>
        <v>2020</v>
      </c>
      <c r="W100" s="17" t="str" cm="1">
        <f t="array" ref="W100">IFERROR(_xlfn.XLOOKUP(1,  (MAX(IF(I100 = 'Processed Non-zero TRI Data'!$I$2:$I$6,'Processed Non-zero TRI Data'!$A$2:$A$6)) = 'Processed Non-zero TRI Data'!$A$2:$A$6)*('Processed Non-zero TRI Data'!$I$2:$I$6 = I100), 'Processed Non-zero TRI Data'!$T$2:$T$6), "N/A- Facility Does Not Report to TRI")</f>
        <v>N/A- Facility Does Not Report to TRI</v>
      </c>
      <c r="X100" s="10" t="str">
        <f t="shared" si="38"/>
        <v>N/A - Facility Does Not Report to TRI</v>
      </c>
      <c r="Y100" s="10" t="str" cm="1">
        <f t="array" ref="Y100">IF(COUNTIF('Processed Non-zero TRI Data'!$I:$I,$I100)&gt;0,MEDIAN(IF('Processed Non-zero TRI Data'!$I:$I=I100,'Processed Non-zero TRI Data'!$T:$T)), "N/A - Facility Does Not Report to TRI")</f>
        <v>N/A - Facility Does Not Report to TRI</v>
      </c>
      <c r="Z100" s="10" t="str">
        <f t="shared" si="39"/>
        <v>N/A - Facility Does Not Report to TRI</v>
      </c>
      <c r="AA100" s="10" t="str">
        <f>IF(COUNTIF('Processed Non-zero TRI Data'!$I:$I,$I100)&gt;0,_xlfn.MAXIFS('Processed Non-zero TRI Data'!$T:$T,'Processed Non-zero TRI Data'!$I:$I,$I100), "N/A - Facility Does Not Report to TRI")</f>
        <v>N/A - Facility Does Not Report to TRI</v>
      </c>
      <c r="AB100" s="10" t="str">
        <f t="shared" si="40"/>
        <v>N/A - Facility Does Not Report to TRI</v>
      </c>
      <c r="AC100" s="158" t="str" cm="1">
        <f t="array" ref="AC100">IFERROR(IF(B100 = "TRI Form R", IF(AA100 = 0, "Facility has no on-site water discharges between 2017-2022.",  IF(COUNTIF('Processed Non-zero TRI Data'!$I:$I,$I100)&gt;0,INDEX('Processed Non-zero TRI Data'!$A:$A,MATCH(1,($I100='Processed Non-zero TRI Data'!$I:$I)*(AA100='Processed Non-zero TRI Data'!$T:$T),0)))), VLOOKUP(I100,#REF!, 2, FALSE)), ("N/A - Facility Does Not Report to TRI"))</f>
        <v>N/A - Facility Does Not Report to TRI</v>
      </c>
      <c r="AD100" s="97" t="str" cm="1">
        <f t="array" ref="AD100">IFERROR(_xlfn.XLOOKUP(1,  (MAX(IF(I100 = 'Processed Non-zero TRI Data'!$I$2:$I$6,'Processed Non-zero TRI Data'!$A$2:$A$6)) = 'Processed Non-zero TRI Data'!$A$2:$A$6)*('Processed Non-zero TRI Data'!$I$2:$I$6 = I100), 'Processed Non-zero TRI Data'!$V$2:$V$6), "N/A- Facility Does Not Report to TRI")</f>
        <v>N/A- Facility Does Not Report to TRI</v>
      </c>
      <c r="AE100" s="9" t="str">
        <f t="shared" si="41"/>
        <v>N/A - Facility Does Not Report to TRI</v>
      </c>
      <c r="AF100" s="9" t="str" cm="1">
        <f t="array" ref="AF100">IF(COUNTIF('Processed Non-zero TRI Data'!$I:$I,$I100)&gt;0,MEDIAN(IF('Processed Non-zero TRI Data'!$I:$I=I100,'Processed Non-zero TRI Data'!$V:$V)), "N/A - Facility Does Not Report to TRI")</f>
        <v>N/A - Facility Does Not Report to TRI</v>
      </c>
      <c r="AG100" s="9" t="str">
        <f t="shared" si="42"/>
        <v>N/A - Facility Does Not Report to TRI</v>
      </c>
      <c r="AH100" s="9" t="str">
        <f>IF(COUNTIF('Processed Non-zero TRI Data'!$I:$I,$I100)&gt;0,_xlfn.MAXIFS('Processed Non-zero TRI Data'!$V:$V,'Processed Non-zero TRI Data'!$I:$I,$I100), "N/A - Facility Does Not Report to TRI")</f>
        <v>N/A - Facility Does Not Report to TRI</v>
      </c>
      <c r="AI100" s="9" t="str">
        <f t="shared" si="43"/>
        <v>N/A - Facility Does Not Report to TRI</v>
      </c>
      <c r="AJ100" s="158" t="str" cm="1">
        <f t="array" ref="AJ100">IF(B100="TRI Form A",AC100,IF(AH100=0,"Facility has no transfers to POTWs between 2019-2023.",IF(COUNTIF('Processed Non-zero TRI Data'!$I:$I,$I100)&gt;0,INDEX('Processed Non-zero TRI Data'!$A:$A,MATCH(1,($I100='Processed Non-zero TRI Data'!$I:$I)*(AH100='Processed Non-zero TRI Data'!$V:$V),0)),"N/A - Facility Does Not Report to TRI")))</f>
        <v>N/A - Facility Does Not Report to TRI</v>
      </c>
      <c r="AK100" s="97" t="str" cm="1">
        <f t="array" ref="AK100">IFERROR(_xlfn.XLOOKUP(1,  (MAX(IF(I100 = 'Processed Non-zero TRI Data'!$I$2:$I$6,'Processed Non-zero TRI Data'!$A$2:$A$6)) = 'Processed Non-zero TRI Data'!$A$2:$A$6)*('Processed Non-zero TRI Data'!$I$2:$I$6 = I100), 'Processed Non-zero TRI Data'!$X$2:$X$6), "N/A- Facility Does Not Report to TRI")</f>
        <v>N/A- Facility Does Not Report to TRI</v>
      </c>
      <c r="AL100" s="9" t="str">
        <f t="shared" si="44"/>
        <v>N/A - Facility Does Not Report to TRI</v>
      </c>
      <c r="AM100" s="9" t="str" cm="1">
        <f t="array" ref="AM100">IF(COUNTIF('Processed Non-zero TRI Data'!$I:$I,$I100)&gt;0,MEDIAN(IF('Processed Non-zero TRI Data'!$I:$I=I100,'Processed Non-zero TRI Data'!$X:$X)), "N/A - Facility Does Not Report to TRI")</f>
        <v>N/A - Facility Does Not Report to TRI</v>
      </c>
      <c r="AN100" s="9" t="str">
        <f t="shared" si="45"/>
        <v>N/A - Facility Does Not Report to TRI</v>
      </c>
      <c r="AO100" s="9" t="str">
        <f>IF(COUNTIF('Processed Non-zero TRI Data'!$I:$I,$I100)&gt;0,_xlfn.MAXIFS('Processed Non-zero TRI Data'!$X:$X,'Processed Non-zero TRI Data'!$I:$I,$I100), "N/A - Facility Does Not Report to TRI")</f>
        <v>N/A - Facility Does Not Report to TRI</v>
      </c>
      <c r="AP100" s="9" t="str">
        <f t="shared" si="46"/>
        <v>N/A - Facility Does Not Report to TRI</v>
      </c>
      <c r="AQ100" s="251" t="str" cm="1">
        <f t="array" ref="AQ100">IF(B100="TRI Form A",AC100,IF(AO100=0,"Facility has no transfers to non-POTWs between 2019-2023.",IF(COUNTIF('Processed Non-zero TRI Data'!$I:$I,$I100)&gt;0,INDEX('Processed Non-zero TRI Data'!$A:$A,MATCH(1,($I100='Processed Non-zero TRI Data'!$I:$I)*(AO100='Processed Non-zero TRI Data'!$X:$X),0)),"N/A - Facility Does Not Report to TRI")))</f>
        <v>N/A - Facility Does Not Report to TRI</v>
      </c>
      <c r="AR100" s="260">
        <f t="shared" si="47"/>
        <v>0</v>
      </c>
      <c r="AS100" s="260">
        <f t="shared" si="48"/>
        <v>5.4673851874999997</v>
      </c>
    </row>
    <row r="101" spans="1:45" ht="30" x14ac:dyDescent="0.25">
      <c r="A101" s="12">
        <v>98</v>
      </c>
      <c r="B101" s="10" t="str">
        <f>IFERROR("TRI Form "&amp; VLOOKUP(I101, 'Processed Non-zero TRI Data'!$I$2:$K$6, 3, FALSE), "DMR")</f>
        <v>DMR</v>
      </c>
      <c r="C101" s="181" t="e">
        <f>VLOOKUP(D101,#REF!, 2, FALSE)</f>
        <v>#REF!</v>
      </c>
      <c r="D101" s="181" t="str">
        <f>IF(I101&lt;&gt;"",INDEX('Processed Non-zero TRI Data'!$O:$O,MATCH(I101,'Processed Non-zero TRI Data'!$I:$I,0)),INDEX('Processed Non-zero DMR Data'!$S:$S,MATCH(J101,'Processed Non-zero DMR Data'!$I:$I,0)))</f>
        <v>Waste Handling, Disposal and Treatment (POTW)</v>
      </c>
      <c r="E101" s="181" t="str">
        <f>IF(I101&lt;&gt;"",INDEX('Processed Non-zero TRI Data'!$P:$P,MATCH(I101,'Processed Non-zero TRI Data'!$I:$I,0)),INDEX('Processed Non-zero DMR Data'!$T:$T,MATCH(J101,'Processed Non-zero DMR Data'!$I:$I,0)))</f>
        <v>POTW indicator in DMR</v>
      </c>
      <c r="F101" s="9" t="str">
        <f>_xlfn.XLOOKUP(J101, 'Processed Non-zero DMR Data'!I:I, 'Processed Non-zero DMR Data'!B:B)</f>
        <v>PORTOLA WWTP</v>
      </c>
      <c r="G101" s="9" t="str">
        <f>_xlfn.XLOOKUP(J101, 'Processed Non-zero DMR Data'!I:I, 'Processed Non-zero DMR Data'!C:C)</f>
        <v>PORTOLA</v>
      </c>
      <c r="H101" s="9" t="str">
        <f>_xlfn.XLOOKUP(J101, 'Processed Non-zero DMR Data'!I:I, 'Processed Non-zero DMR Data'!E:E)</f>
        <v>CA</v>
      </c>
      <c r="I101" s="12"/>
      <c r="J101" s="13">
        <v>110010058757</v>
      </c>
      <c r="K101" s="9" t="str">
        <f>IFERROR(INDEX('Raw Non-zero DMR Data'!$C:$C, MATCH(J101,'Raw Non-zero DMR Data'!$D:$D,0)),"")</f>
        <v>CA0077844</v>
      </c>
      <c r="L101" s="9" t="str">
        <f>IFERROR(INDEX('Raw Non-zero DMR Data'!$U:$U, MATCH($J101,'Raw Non-zero DMR Data'!$D:$D,0)),"")</f>
        <v>Humbug Creek-Middle Fork Feather River</v>
      </c>
      <c r="M101" s="155">
        <f>IFERROR(INDEX('Raw Non-zero DMR Data'!$T:$T, MATCH($J101,'Raw Non-zero DMR Data'!$D:$D,0)),"")</f>
        <v>180201230404</v>
      </c>
      <c r="N101" s="155" t="str">
        <f>IFERROR(INDEX('Off-site Locations'!$E:$E,MATCH(I101,'Off-site Locations'!$B:$B,0)),"No offsite transfers")</f>
        <v>No offsite transfers</v>
      </c>
      <c r="O101" s="165">
        <f>INDEX('TRI and DMR OES Summary'!D:D,MATCH('Facility Discharge Summary'!D101,'TRI and DMR OES Summary'!A:A,0))</f>
        <v>365</v>
      </c>
      <c r="P101" s="17" cm="1">
        <f t="array" ref="P101">IFERROR(_xlfn.XLOOKUP(1,  (MAX(IF(J101 = 'Processed Non-zero DMR Data'!$I$2:$I$651,'Processed Non-zero DMR Data'!$A$2:$A$651)) = 'Processed Non-zero DMR Data'!$A$2:$A$651)*('Processed Non-zero DMR Data'!$I$2:$I$651 = J101),'Processed Non-zero DMR Data'!$W$2:$W$651), "N/A- Facility Does Not Report DMRs")</f>
        <v>8.0819212500000005E-3</v>
      </c>
      <c r="Q101" s="10">
        <f t="shared" si="35"/>
        <v>2.214225E-5</v>
      </c>
      <c r="R101" s="10" cm="1">
        <f t="array" ref="R101">IF(COUNTIF('Processed Non-zero DMR Data'!$I:$I,$J101)&gt;0,MEDIAN(IF('Processed Non-zero DMR Data'!$I:$I=J101,'Processed Non-zero DMR Data'!$W:$W)),"N/A - Facility Does Not Report DMRs")</f>
        <v>8.0819212500000005E-3</v>
      </c>
      <c r="S101" s="10">
        <f t="shared" si="36"/>
        <v>2.214225E-5</v>
      </c>
      <c r="T101" s="10">
        <f>IF(COUNTIF('Processed Non-zero DMR Data'!$I:$I,$J101)&gt;0,_xlfn.MAXIFS('Processed Non-zero DMR Data'!$W:$W,'Processed Non-zero DMR Data'!$I:$I,$J101), "N/A - Facility Does Not Report DMRs")</f>
        <v>8.0819212500000005E-3</v>
      </c>
      <c r="U101" s="10">
        <f t="shared" si="37"/>
        <v>2.214225E-5</v>
      </c>
      <c r="V101" s="158" cm="1">
        <f t="array" ref="V101">IF(COUNTIF('Processed Non-zero DMR Data'!$I:$I,$J101)&gt;0,INDEX('Processed Non-zero DMR Data'!$A:$A,MATCH(1,($J101='Processed Non-zero DMR Data'!$I:$I)*($T101='Processed Non-zero DMR Data'!$W:$W),0)), "N/A - Facility Does Not Report DMRs")</f>
        <v>2019</v>
      </c>
      <c r="W101" s="17" t="str" cm="1">
        <f t="array" ref="W101">IFERROR(_xlfn.XLOOKUP(1,  (MAX(IF(I101 = 'Processed Non-zero TRI Data'!$I$2:$I$6,'Processed Non-zero TRI Data'!$A$2:$A$6)) = 'Processed Non-zero TRI Data'!$A$2:$A$6)*('Processed Non-zero TRI Data'!$I$2:$I$6 = I101), 'Processed Non-zero TRI Data'!$T$2:$T$6), "N/A- Facility Does Not Report to TRI")</f>
        <v>N/A- Facility Does Not Report to TRI</v>
      </c>
      <c r="X101" s="10" t="str">
        <f t="shared" si="38"/>
        <v>N/A - Facility Does Not Report to TRI</v>
      </c>
      <c r="Y101" s="10" t="str" cm="1">
        <f t="array" ref="Y101">IF(COUNTIF('Processed Non-zero TRI Data'!$I:$I,$I101)&gt;0,MEDIAN(IF('Processed Non-zero TRI Data'!$I:$I=I101,'Processed Non-zero TRI Data'!$T:$T)), "N/A - Facility Does Not Report to TRI")</f>
        <v>N/A - Facility Does Not Report to TRI</v>
      </c>
      <c r="Z101" s="10" t="str">
        <f t="shared" si="39"/>
        <v>N/A - Facility Does Not Report to TRI</v>
      </c>
      <c r="AA101" s="10" t="str">
        <f>IF(COUNTIF('Processed Non-zero TRI Data'!$I:$I,$I101)&gt;0,_xlfn.MAXIFS('Processed Non-zero TRI Data'!$T:$T,'Processed Non-zero TRI Data'!$I:$I,$I101), "N/A - Facility Does Not Report to TRI")</f>
        <v>N/A - Facility Does Not Report to TRI</v>
      </c>
      <c r="AB101" s="10" t="str">
        <f t="shared" si="40"/>
        <v>N/A - Facility Does Not Report to TRI</v>
      </c>
      <c r="AC101" s="158" t="str" cm="1">
        <f t="array" ref="AC101">IFERROR(IF(B101 = "TRI Form R", IF(AA101 = 0, "Facility has no on-site water discharges between 2017-2022.",  IF(COUNTIF('Processed Non-zero TRI Data'!$I:$I,$I101)&gt;0,INDEX('Processed Non-zero TRI Data'!$A:$A,MATCH(1,($I101='Processed Non-zero TRI Data'!$I:$I)*(AA101='Processed Non-zero TRI Data'!$T:$T),0)))), VLOOKUP(I101,#REF!, 2, FALSE)), ("N/A - Facility Does Not Report to TRI"))</f>
        <v>N/A - Facility Does Not Report to TRI</v>
      </c>
      <c r="AD101" s="97" t="str" cm="1">
        <f t="array" ref="AD101">IFERROR(_xlfn.XLOOKUP(1,  (MAX(IF(I101 = 'Processed Non-zero TRI Data'!$I$2:$I$6,'Processed Non-zero TRI Data'!$A$2:$A$6)) = 'Processed Non-zero TRI Data'!$A$2:$A$6)*('Processed Non-zero TRI Data'!$I$2:$I$6 = I101), 'Processed Non-zero TRI Data'!$V$2:$V$6), "N/A- Facility Does Not Report to TRI")</f>
        <v>N/A- Facility Does Not Report to TRI</v>
      </c>
      <c r="AE101" s="9" t="str">
        <f t="shared" si="41"/>
        <v>N/A - Facility Does Not Report to TRI</v>
      </c>
      <c r="AF101" s="9" t="str" cm="1">
        <f t="array" ref="AF101">IF(COUNTIF('Processed Non-zero TRI Data'!$I:$I,$I101)&gt;0,MEDIAN(IF('Processed Non-zero TRI Data'!$I:$I=I101,'Processed Non-zero TRI Data'!$V:$V)), "N/A - Facility Does Not Report to TRI")</f>
        <v>N/A - Facility Does Not Report to TRI</v>
      </c>
      <c r="AG101" s="9" t="str">
        <f t="shared" si="42"/>
        <v>N/A - Facility Does Not Report to TRI</v>
      </c>
      <c r="AH101" s="9" t="str">
        <f>IF(COUNTIF('Processed Non-zero TRI Data'!$I:$I,$I101)&gt;0,_xlfn.MAXIFS('Processed Non-zero TRI Data'!$V:$V,'Processed Non-zero TRI Data'!$I:$I,$I101), "N/A - Facility Does Not Report to TRI")</f>
        <v>N/A - Facility Does Not Report to TRI</v>
      </c>
      <c r="AI101" s="9" t="str">
        <f t="shared" si="43"/>
        <v>N/A - Facility Does Not Report to TRI</v>
      </c>
      <c r="AJ101" s="158" t="str" cm="1">
        <f t="array" ref="AJ101">IF(B101="TRI Form A",AC101,IF(AH101=0,"Facility has no transfers to POTWs between 2019-2023.",IF(COUNTIF('Processed Non-zero TRI Data'!$I:$I,$I101)&gt;0,INDEX('Processed Non-zero TRI Data'!$A:$A,MATCH(1,($I101='Processed Non-zero TRI Data'!$I:$I)*(AH101='Processed Non-zero TRI Data'!$V:$V),0)),"N/A - Facility Does Not Report to TRI")))</f>
        <v>N/A - Facility Does Not Report to TRI</v>
      </c>
      <c r="AK101" s="97" t="str" cm="1">
        <f t="array" ref="AK101">IFERROR(_xlfn.XLOOKUP(1,  (MAX(IF(I101 = 'Processed Non-zero TRI Data'!$I$2:$I$6,'Processed Non-zero TRI Data'!$A$2:$A$6)) = 'Processed Non-zero TRI Data'!$A$2:$A$6)*('Processed Non-zero TRI Data'!$I$2:$I$6 = I101), 'Processed Non-zero TRI Data'!$X$2:$X$6), "N/A- Facility Does Not Report to TRI")</f>
        <v>N/A- Facility Does Not Report to TRI</v>
      </c>
      <c r="AL101" s="9" t="str">
        <f t="shared" si="44"/>
        <v>N/A - Facility Does Not Report to TRI</v>
      </c>
      <c r="AM101" s="9" t="str" cm="1">
        <f t="array" ref="AM101">IF(COUNTIF('Processed Non-zero TRI Data'!$I:$I,$I101)&gt;0,MEDIAN(IF('Processed Non-zero TRI Data'!$I:$I=I101,'Processed Non-zero TRI Data'!$X:$X)), "N/A - Facility Does Not Report to TRI")</f>
        <v>N/A - Facility Does Not Report to TRI</v>
      </c>
      <c r="AN101" s="9" t="str">
        <f t="shared" si="45"/>
        <v>N/A - Facility Does Not Report to TRI</v>
      </c>
      <c r="AO101" s="9" t="str">
        <f>IF(COUNTIF('Processed Non-zero TRI Data'!$I:$I,$I101)&gt;0,_xlfn.MAXIFS('Processed Non-zero TRI Data'!$X:$X,'Processed Non-zero TRI Data'!$I:$I,$I101), "N/A - Facility Does Not Report to TRI")</f>
        <v>N/A - Facility Does Not Report to TRI</v>
      </c>
      <c r="AP101" s="9" t="str">
        <f t="shared" si="46"/>
        <v>N/A - Facility Does Not Report to TRI</v>
      </c>
      <c r="AQ101" s="251" t="str" cm="1">
        <f t="array" ref="AQ101">IF(B101="TRI Form A",AC101,IF(AO101=0,"Facility has no transfers to non-POTWs between 2019-2023.",IF(COUNTIF('Processed Non-zero TRI Data'!$I:$I,$I101)&gt;0,INDEX('Processed Non-zero TRI Data'!$A:$A,MATCH(1,($I101='Processed Non-zero TRI Data'!$I:$I)*(AO101='Processed Non-zero TRI Data'!$X:$X),0)),"N/A - Facility Does Not Report to TRI")))</f>
        <v>N/A - Facility Does Not Report to TRI</v>
      </c>
      <c r="AR101" s="260">
        <f t="shared" si="47"/>
        <v>0</v>
      </c>
      <c r="AS101" s="260">
        <f t="shared" si="48"/>
        <v>8.0819212500000005E-3</v>
      </c>
    </row>
    <row r="102" spans="1:45" ht="30" x14ac:dyDescent="0.25">
      <c r="A102" s="12">
        <v>99</v>
      </c>
      <c r="B102" s="10" t="str">
        <f>IFERROR("TRI Form "&amp; VLOOKUP(I102, 'Processed Non-zero TRI Data'!$I$2:$K$6, 3, FALSE), "DMR")</f>
        <v>DMR</v>
      </c>
      <c r="C102" s="181" t="e">
        <f>VLOOKUP(D102,#REF!, 2, FALSE)</f>
        <v>#REF!</v>
      </c>
      <c r="D102" s="181" t="str">
        <f>IF(I102&lt;&gt;"",INDEX('Processed Non-zero TRI Data'!$O:$O,MATCH(I102,'Processed Non-zero TRI Data'!$I:$I,0)),INDEX('Processed Non-zero DMR Data'!$S:$S,MATCH(J102,'Processed Non-zero DMR Data'!$I:$I,0)))</f>
        <v>Waste Handling, Disposal and Treatment (non-POTW WWT)</v>
      </c>
      <c r="E102" s="181" t="str">
        <f>IF(I102&lt;&gt;"",INDEX('Processed Non-zero TRI Data'!$P:$P,MATCH(I102,'Processed Non-zero TRI Data'!$I:$I,0)),INDEX('Processed Non-zero DMR Data'!$T:$T,MATCH(J102,'Processed Non-zero DMR Data'!$I:$I,0)))</f>
        <v>WWT (consistent with 1,1-DCA); per facility type flag, this is a non-POTW so classified as non-POTW WWT.</v>
      </c>
      <c r="F102" s="9" t="str">
        <f>_xlfn.XLOOKUP(J102, 'Processed Non-zero DMR Data'!I:I, 'Processed Non-zero DMR Data'!B:B)</f>
        <v>KENTUCKY AMERICAN WATER CO - NORTHERN STP</v>
      </c>
      <c r="G102" s="9" t="str">
        <f>_xlfn.XLOOKUP(J102, 'Processed Non-zero DMR Data'!I:I, 'Processed Non-zero DMR Data'!C:C)</f>
        <v>OWENTON</v>
      </c>
      <c r="H102" s="9" t="str">
        <f>_xlfn.XLOOKUP(J102, 'Processed Non-zero DMR Data'!I:I, 'Processed Non-zero DMR Data'!E:E)</f>
        <v>KY</v>
      </c>
      <c r="I102" s="12"/>
      <c r="J102" s="13">
        <v>110009938737</v>
      </c>
      <c r="K102" s="9" t="str">
        <f>IFERROR(INDEX('Raw Non-zero DMR Data'!$C:$C, MATCH(J102,'Raw Non-zero DMR Data'!$D:$D,0)),"")</f>
        <v>KY0028312</v>
      </c>
      <c r="L102" s="9" t="str">
        <f>IFERROR(INDEX('Raw Non-zero DMR Data'!$U:$U, MATCH($J102,'Raw Non-zero DMR Data'!$D:$D,0)),"")</f>
        <v>Stevens Creek</v>
      </c>
      <c r="M102" s="155" t="str">
        <f>IFERROR(INDEX('Raw Non-zero DMR Data'!$T:$T, MATCH($J102,'Raw Non-zero DMR Data'!$D:$D,0)),"")</f>
        <v>051002051307</v>
      </c>
      <c r="N102" s="155" t="str">
        <f>IFERROR(INDEX('Off-site Locations'!$E:$E,MATCH(I102,'Off-site Locations'!$B:$B,0)),"No offsite transfers")</f>
        <v>No offsite transfers</v>
      </c>
      <c r="O102" s="165">
        <f>INDEX('TRI and DMR OES Summary'!D:D,MATCH('Facility Discharge Summary'!D102,'TRI and DMR OES Summary'!A:A,0))</f>
        <v>250</v>
      </c>
      <c r="P102" s="17" cm="1">
        <f t="array" ref="P102">IFERROR(_xlfn.XLOOKUP(1,  (MAX(IF(J102 = 'Processed Non-zero DMR Data'!$I$2:$I$651,'Processed Non-zero DMR Data'!$A$2:$A$651)) = 'Processed Non-zero DMR Data'!$A$2:$A$651)*('Processed Non-zero DMR Data'!$I$2:$I$651 = J102),'Processed Non-zero DMR Data'!$W$2:$W$651), "N/A- Facility Does Not Report DMRs")</f>
        <v>0.65795128125000002</v>
      </c>
      <c r="Q102" s="10">
        <f t="shared" si="35"/>
        <v>2.631805125E-3</v>
      </c>
      <c r="R102" s="10" cm="1">
        <f t="array" ref="R102">IF(COUNTIF('Processed Non-zero DMR Data'!$I:$I,$J102)&gt;0,MEDIAN(IF('Processed Non-zero DMR Data'!$I:$I=J102,'Processed Non-zero DMR Data'!$W:$W)),"N/A - Facility Does Not Report DMRs")</f>
        <v>0.65795128125000002</v>
      </c>
      <c r="S102" s="10">
        <f t="shared" si="36"/>
        <v>2.631805125E-3</v>
      </c>
      <c r="T102" s="10">
        <f>IF(COUNTIF('Processed Non-zero DMR Data'!$I:$I,$J102)&gt;0,_xlfn.MAXIFS('Processed Non-zero DMR Data'!$W:$W,'Processed Non-zero DMR Data'!$I:$I,$J102), "N/A - Facility Does Not Report DMRs")</f>
        <v>0.65795128125000002</v>
      </c>
      <c r="U102" s="10">
        <f t="shared" si="37"/>
        <v>2.631805125E-3</v>
      </c>
      <c r="V102" s="158" cm="1">
        <f t="array" ref="V102">IF(COUNTIF('Processed Non-zero DMR Data'!$I:$I,$J102)&gt;0,INDEX('Processed Non-zero DMR Data'!$A:$A,MATCH(1,($J102='Processed Non-zero DMR Data'!$I:$I)*($T102='Processed Non-zero DMR Data'!$W:$W),0)), "N/A - Facility Does Not Report DMRs")</f>
        <v>2019</v>
      </c>
      <c r="W102" s="17" t="str" cm="1">
        <f t="array" ref="W102">IFERROR(_xlfn.XLOOKUP(1,  (MAX(IF(I102 = 'Processed Non-zero TRI Data'!$I$2:$I$6,'Processed Non-zero TRI Data'!$A$2:$A$6)) = 'Processed Non-zero TRI Data'!$A$2:$A$6)*('Processed Non-zero TRI Data'!$I$2:$I$6 = I102), 'Processed Non-zero TRI Data'!$T$2:$T$6), "N/A- Facility Does Not Report to TRI")</f>
        <v>N/A- Facility Does Not Report to TRI</v>
      </c>
      <c r="X102" s="10" t="str">
        <f t="shared" si="38"/>
        <v>N/A - Facility Does Not Report to TRI</v>
      </c>
      <c r="Y102" s="10" t="str" cm="1">
        <f t="array" ref="Y102">IF(COUNTIF('Processed Non-zero TRI Data'!$I:$I,$I102)&gt;0,MEDIAN(IF('Processed Non-zero TRI Data'!$I:$I=I102,'Processed Non-zero TRI Data'!$T:$T)), "N/A - Facility Does Not Report to TRI")</f>
        <v>N/A - Facility Does Not Report to TRI</v>
      </c>
      <c r="Z102" s="10" t="str">
        <f t="shared" si="39"/>
        <v>N/A - Facility Does Not Report to TRI</v>
      </c>
      <c r="AA102" s="10" t="str">
        <f>IF(COUNTIF('Processed Non-zero TRI Data'!$I:$I,$I102)&gt;0,_xlfn.MAXIFS('Processed Non-zero TRI Data'!$T:$T,'Processed Non-zero TRI Data'!$I:$I,$I102), "N/A - Facility Does Not Report to TRI")</f>
        <v>N/A - Facility Does Not Report to TRI</v>
      </c>
      <c r="AB102" s="10" t="str">
        <f t="shared" si="40"/>
        <v>N/A - Facility Does Not Report to TRI</v>
      </c>
      <c r="AC102" s="158" t="str" cm="1">
        <f t="array" ref="AC102">IFERROR(IF(B102 = "TRI Form R", IF(AA102 = 0, "Facility has no on-site water discharges between 2017-2022.",  IF(COUNTIF('Processed Non-zero TRI Data'!$I:$I,$I102)&gt;0,INDEX('Processed Non-zero TRI Data'!$A:$A,MATCH(1,($I102='Processed Non-zero TRI Data'!$I:$I)*(AA102='Processed Non-zero TRI Data'!$T:$T),0)))), VLOOKUP(I102,#REF!, 2, FALSE)), ("N/A - Facility Does Not Report to TRI"))</f>
        <v>N/A - Facility Does Not Report to TRI</v>
      </c>
      <c r="AD102" s="97" t="str" cm="1">
        <f t="array" ref="AD102">IFERROR(_xlfn.XLOOKUP(1,  (MAX(IF(I102 = 'Processed Non-zero TRI Data'!$I$2:$I$6,'Processed Non-zero TRI Data'!$A$2:$A$6)) = 'Processed Non-zero TRI Data'!$A$2:$A$6)*('Processed Non-zero TRI Data'!$I$2:$I$6 = I102), 'Processed Non-zero TRI Data'!$V$2:$V$6), "N/A- Facility Does Not Report to TRI")</f>
        <v>N/A- Facility Does Not Report to TRI</v>
      </c>
      <c r="AE102" s="9" t="str">
        <f t="shared" si="41"/>
        <v>N/A - Facility Does Not Report to TRI</v>
      </c>
      <c r="AF102" s="9" t="str" cm="1">
        <f t="array" ref="AF102">IF(COUNTIF('Processed Non-zero TRI Data'!$I:$I,$I102)&gt;0,MEDIAN(IF('Processed Non-zero TRI Data'!$I:$I=I102,'Processed Non-zero TRI Data'!$V:$V)), "N/A - Facility Does Not Report to TRI")</f>
        <v>N/A - Facility Does Not Report to TRI</v>
      </c>
      <c r="AG102" s="9" t="str">
        <f t="shared" si="42"/>
        <v>N/A - Facility Does Not Report to TRI</v>
      </c>
      <c r="AH102" s="9" t="str">
        <f>IF(COUNTIF('Processed Non-zero TRI Data'!$I:$I,$I102)&gt;0,_xlfn.MAXIFS('Processed Non-zero TRI Data'!$V:$V,'Processed Non-zero TRI Data'!$I:$I,$I102), "N/A - Facility Does Not Report to TRI")</f>
        <v>N/A - Facility Does Not Report to TRI</v>
      </c>
      <c r="AI102" s="9" t="str">
        <f t="shared" si="43"/>
        <v>N/A - Facility Does Not Report to TRI</v>
      </c>
      <c r="AJ102" s="158" t="str" cm="1">
        <f t="array" ref="AJ102">IF(B102="TRI Form A",AC102,IF(AH102=0,"Facility has no transfers to POTWs between 2019-2023.",IF(COUNTIF('Processed Non-zero TRI Data'!$I:$I,$I102)&gt;0,INDEX('Processed Non-zero TRI Data'!$A:$A,MATCH(1,($I102='Processed Non-zero TRI Data'!$I:$I)*(AH102='Processed Non-zero TRI Data'!$V:$V),0)),"N/A - Facility Does Not Report to TRI")))</f>
        <v>N/A - Facility Does Not Report to TRI</v>
      </c>
      <c r="AK102" s="97" t="str" cm="1">
        <f t="array" ref="AK102">IFERROR(_xlfn.XLOOKUP(1,  (MAX(IF(I102 = 'Processed Non-zero TRI Data'!$I$2:$I$6,'Processed Non-zero TRI Data'!$A$2:$A$6)) = 'Processed Non-zero TRI Data'!$A$2:$A$6)*('Processed Non-zero TRI Data'!$I$2:$I$6 = I102), 'Processed Non-zero TRI Data'!$X$2:$X$6), "N/A- Facility Does Not Report to TRI")</f>
        <v>N/A- Facility Does Not Report to TRI</v>
      </c>
      <c r="AL102" s="9" t="str">
        <f t="shared" si="44"/>
        <v>N/A - Facility Does Not Report to TRI</v>
      </c>
      <c r="AM102" s="9" t="str" cm="1">
        <f t="array" ref="AM102">IF(COUNTIF('Processed Non-zero TRI Data'!$I:$I,$I102)&gt;0,MEDIAN(IF('Processed Non-zero TRI Data'!$I:$I=I102,'Processed Non-zero TRI Data'!$X:$X)), "N/A - Facility Does Not Report to TRI")</f>
        <v>N/A - Facility Does Not Report to TRI</v>
      </c>
      <c r="AN102" s="9" t="str">
        <f t="shared" si="45"/>
        <v>N/A - Facility Does Not Report to TRI</v>
      </c>
      <c r="AO102" s="9" t="str">
        <f>IF(COUNTIF('Processed Non-zero TRI Data'!$I:$I,$I102)&gt;0,_xlfn.MAXIFS('Processed Non-zero TRI Data'!$X:$X,'Processed Non-zero TRI Data'!$I:$I,$I102), "N/A - Facility Does Not Report to TRI")</f>
        <v>N/A - Facility Does Not Report to TRI</v>
      </c>
      <c r="AP102" s="9" t="str">
        <f t="shared" si="46"/>
        <v>N/A - Facility Does Not Report to TRI</v>
      </c>
      <c r="AQ102" s="251" t="str" cm="1">
        <f t="array" ref="AQ102">IF(B102="TRI Form A",AC102,IF(AO102=0,"Facility has no transfers to non-POTWs between 2019-2023.",IF(COUNTIF('Processed Non-zero TRI Data'!$I:$I,$I102)&gt;0,INDEX('Processed Non-zero TRI Data'!$A:$A,MATCH(1,($I102='Processed Non-zero TRI Data'!$I:$I)*(AO102='Processed Non-zero TRI Data'!$X:$X),0)),"N/A - Facility Does Not Report to TRI")))</f>
        <v>N/A - Facility Does Not Report to TRI</v>
      </c>
      <c r="AR102" s="260">
        <f t="shared" si="47"/>
        <v>0</v>
      </c>
      <c r="AS102" s="260">
        <f t="shared" si="48"/>
        <v>0.65795128125000002</v>
      </c>
    </row>
    <row r="103" spans="1:45" ht="30" x14ac:dyDescent="0.25">
      <c r="A103" s="12">
        <v>100</v>
      </c>
      <c r="B103" s="10" t="str">
        <f>IFERROR("TRI Form "&amp; VLOOKUP(I103, 'Processed Non-zero TRI Data'!$I$2:$K$6, 3, FALSE), "DMR")</f>
        <v>DMR</v>
      </c>
      <c r="C103" s="181" t="e">
        <f>VLOOKUP(D103,#REF!, 2, FALSE)</f>
        <v>#REF!</v>
      </c>
      <c r="D103" s="181" t="str">
        <f>IF(I103&lt;&gt;"",INDEX('Processed Non-zero TRI Data'!$O:$O,MATCH(I103,'Processed Non-zero TRI Data'!$I:$I,0)),INDEX('Processed Non-zero DMR Data'!$S:$S,MATCH(J103,'Processed Non-zero DMR Data'!$I:$I,0)))</f>
        <v>Waste Handling, Disposal and Treatment (POTW)</v>
      </c>
      <c r="E103" s="181" t="str">
        <f>IF(I103&lt;&gt;"",INDEX('Processed Non-zero TRI Data'!$P:$P,MATCH(I103,'Processed Non-zero TRI Data'!$I:$I,0)),INDEX('Processed Non-zero DMR Data'!$T:$T,MATCH(J103,'Processed Non-zero DMR Data'!$I:$I,0)))</f>
        <v>POTW indicator in DMR</v>
      </c>
      <c r="F103" s="9" t="str">
        <f>_xlfn.XLOOKUP(J103, 'Processed Non-zero DMR Data'!I:I, 'Processed Non-zero DMR Data'!B:B)</f>
        <v>COLUMBIA/ADAIR COUNTY STP</v>
      </c>
      <c r="G103" s="9" t="str">
        <f>_xlfn.XLOOKUP(J103, 'Processed Non-zero DMR Data'!I:I, 'Processed Non-zero DMR Data'!C:C)</f>
        <v>COLUMBIA</v>
      </c>
      <c r="H103" s="9" t="str">
        <f>_xlfn.XLOOKUP(J103, 'Processed Non-zero DMR Data'!I:I, 'Processed Non-zero DMR Data'!E:E)</f>
        <v>KY</v>
      </c>
      <c r="I103" s="12"/>
      <c r="J103" s="13">
        <v>110009696356</v>
      </c>
      <c r="K103" s="9" t="str">
        <f>IFERROR(INDEX('Raw Non-zero DMR Data'!$C:$C, MATCH(J103,'Raw Non-zero DMR Data'!$D:$D,0)),"")</f>
        <v>KY0024317</v>
      </c>
      <c r="L103" s="9" t="str">
        <f>IFERROR(INDEX('Raw Non-zero DMR Data'!$U:$U, MATCH($J103,'Raw Non-zero DMR Data'!$D:$D,0)),"")</f>
        <v>Butler Branch-Russell Creek</v>
      </c>
      <c r="M103" s="155" t="str">
        <f>IFERROR(INDEX('Raw Non-zero DMR Data'!$T:$T, MATCH($J103,'Raw Non-zero DMR Data'!$D:$D,0)),"")</f>
        <v>051100010407</v>
      </c>
      <c r="N103" s="155" t="str">
        <f>IFERROR(INDEX('Off-site Locations'!$E:$E,MATCH(I103,'Off-site Locations'!$B:$B,0)),"No offsite transfers")</f>
        <v>No offsite transfers</v>
      </c>
      <c r="O103" s="165">
        <f>INDEX('TRI and DMR OES Summary'!D:D,MATCH('Facility Discharge Summary'!D103,'TRI and DMR OES Summary'!A:A,0))</f>
        <v>365</v>
      </c>
      <c r="P103" s="17" cm="1">
        <f t="array" ref="P103">IFERROR(_xlfn.XLOOKUP(1,  (MAX(IF(J103 = 'Processed Non-zero DMR Data'!$I$2:$I$651,'Processed Non-zero DMR Data'!$A$2:$A$651)) = 'Processed Non-zero DMR Data'!$A$2:$A$651)*('Processed Non-zero DMR Data'!$I$2:$I$651 = J103),'Processed Non-zero DMR Data'!$W$2:$W$651), "N/A- Facility Does Not Report DMRs")</f>
        <v>1.90477759375</v>
      </c>
      <c r="Q103" s="10">
        <f t="shared" si="35"/>
        <v>5.2185687500000003E-3</v>
      </c>
      <c r="R103" s="10" cm="1">
        <f t="array" ref="R103">IF(COUNTIF('Processed Non-zero DMR Data'!$I:$I,$J103)&gt;0,MEDIAN(IF('Processed Non-zero DMR Data'!$I:$I=J103,'Processed Non-zero DMR Data'!$W:$W)),"N/A - Facility Does Not Report DMRs")</f>
        <v>2.4763835625000001</v>
      </c>
      <c r="S103" s="10">
        <f t="shared" si="36"/>
        <v>6.7846125000000004E-3</v>
      </c>
      <c r="T103" s="10">
        <f>IF(COUNTIF('Processed Non-zero DMR Data'!$I:$I,$J103)&gt;0,_xlfn.MAXIFS('Processed Non-zero DMR Data'!$W:$W,'Processed Non-zero DMR Data'!$I:$I,$J103), "N/A - Facility Does Not Report DMRs")</f>
        <v>4.6419240000000004</v>
      </c>
      <c r="U103" s="10">
        <f t="shared" si="37"/>
        <v>1.2717600000000001E-2</v>
      </c>
      <c r="V103" s="158" cm="1">
        <f t="array" ref="V103">IF(COUNTIF('Processed Non-zero DMR Data'!$I:$I,$J103)&gt;0,INDEX('Processed Non-zero DMR Data'!$A:$A,MATCH(1,($J103='Processed Non-zero DMR Data'!$I:$I)*($T103='Processed Non-zero DMR Data'!$W:$W),0)), "N/A - Facility Does Not Report DMRs")</f>
        <v>2019</v>
      </c>
      <c r="W103" s="17" t="str" cm="1">
        <f t="array" ref="W103">IFERROR(_xlfn.XLOOKUP(1,  (MAX(IF(I103 = 'Processed Non-zero TRI Data'!$I$2:$I$6,'Processed Non-zero TRI Data'!$A$2:$A$6)) = 'Processed Non-zero TRI Data'!$A$2:$A$6)*('Processed Non-zero TRI Data'!$I$2:$I$6 = I103), 'Processed Non-zero TRI Data'!$T$2:$T$6), "N/A- Facility Does Not Report to TRI")</f>
        <v>N/A- Facility Does Not Report to TRI</v>
      </c>
      <c r="X103" s="10" t="str">
        <f t="shared" si="38"/>
        <v>N/A - Facility Does Not Report to TRI</v>
      </c>
      <c r="Y103" s="10" t="str" cm="1">
        <f t="array" ref="Y103">IF(COUNTIF('Processed Non-zero TRI Data'!$I:$I,$I103)&gt;0,MEDIAN(IF('Processed Non-zero TRI Data'!$I:$I=I103,'Processed Non-zero TRI Data'!$T:$T)), "N/A - Facility Does Not Report to TRI")</f>
        <v>N/A - Facility Does Not Report to TRI</v>
      </c>
      <c r="Z103" s="10" t="str">
        <f t="shared" si="39"/>
        <v>N/A - Facility Does Not Report to TRI</v>
      </c>
      <c r="AA103" s="10" t="str">
        <f>IF(COUNTIF('Processed Non-zero TRI Data'!$I:$I,$I103)&gt;0,_xlfn.MAXIFS('Processed Non-zero TRI Data'!$T:$T,'Processed Non-zero TRI Data'!$I:$I,$I103), "N/A - Facility Does Not Report to TRI")</f>
        <v>N/A - Facility Does Not Report to TRI</v>
      </c>
      <c r="AB103" s="10" t="str">
        <f t="shared" si="40"/>
        <v>N/A - Facility Does Not Report to TRI</v>
      </c>
      <c r="AC103" s="158" t="str" cm="1">
        <f t="array" ref="AC103">IFERROR(IF(B103 = "TRI Form R", IF(AA103 = 0, "Facility has no on-site water discharges between 2017-2022.",  IF(COUNTIF('Processed Non-zero TRI Data'!$I:$I,$I103)&gt;0,INDEX('Processed Non-zero TRI Data'!$A:$A,MATCH(1,($I103='Processed Non-zero TRI Data'!$I:$I)*(AA103='Processed Non-zero TRI Data'!$T:$T),0)))), VLOOKUP(I103,#REF!, 2, FALSE)), ("N/A - Facility Does Not Report to TRI"))</f>
        <v>N/A - Facility Does Not Report to TRI</v>
      </c>
      <c r="AD103" s="97" t="str" cm="1">
        <f t="array" ref="AD103">IFERROR(_xlfn.XLOOKUP(1,  (MAX(IF(I103 = 'Processed Non-zero TRI Data'!$I$2:$I$6,'Processed Non-zero TRI Data'!$A$2:$A$6)) = 'Processed Non-zero TRI Data'!$A$2:$A$6)*('Processed Non-zero TRI Data'!$I$2:$I$6 = I103), 'Processed Non-zero TRI Data'!$V$2:$V$6), "N/A- Facility Does Not Report to TRI")</f>
        <v>N/A- Facility Does Not Report to TRI</v>
      </c>
      <c r="AE103" s="9" t="str">
        <f t="shared" si="41"/>
        <v>N/A - Facility Does Not Report to TRI</v>
      </c>
      <c r="AF103" s="9" t="str" cm="1">
        <f t="array" ref="AF103">IF(COUNTIF('Processed Non-zero TRI Data'!$I:$I,$I103)&gt;0,MEDIAN(IF('Processed Non-zero TRI Data'!$I:$I=I103,'Processed Non-zero TRI Data'!$V:$V)), "N/A - Facility Does Not Report to TRI")</f>
        <v>N/A - Facility Does Not Report to TRI</v>
      </c>
      <c r="AG103" s="9" t="str">
        <f t="shared" si="42"/>
        <v>N/A - Facility Does Not Report to TRI</v>
      </c>
      <c r="AH103" s="9" t="str">
        <f>IF(COUNTIF('Processed Non-zero TRI Data'!$I:$I,$I103)&gt;0,_xlfn.MAXIFS('Processed Non-zero TRI Data'!$V:$V,'Processed Non-zero TRI Data'!$I:$I,$I103), "N/A - Facility Does Not Report to TRI")</f>
        <v>N/A - Facility Does Not Report to TRI</v>
      </c>
      <c r="AI103" s="9" t="str">
        <f t="shared" si="43"/>
        <v>N/A - Facility Does Not Report to TRI</v>
      </c>
      <c r="AJ103" s="158" t="str" cm="1">
        <f t="array" ref="AJ103">IF(B103="TRI Form A",AC103,IF(AH103=0,"Facility has no transfers to POTWs between 2019-2023.",IF(COUNTIF('Processed Non-zero TRI Data'!$I:$I,$I103)&gt;0,INDEX('Processed Non-zero TRI Data'!$A:$A,MATCH(1,($I103='Processed Non-zero TRI Data'!$I:$I)*(AH103='Processed Non-zero TRI Data'!$V:$V),0)),"N/A - Facility Does Not Report to TRI")))</f>
        <v>N/A - Facility Does Not Report to TRI</v>
      </c>
      <c r="AK103" s="97" t="str" cm="1">
        <f t="array" ref="AK103">IFERROR(_xlfn.XLOOKUP(1,  (MAX(IF(I103 = 'Processed Non-zero TRI Data'!$I$2:$I$6,'Processed Non-zero TRI Data'!$A$2:$A$6)) = 'Processed Non-zero TRI Data'!$A$2:$A$6)*('Processed Non-zero TRI Data'!$I$2:$I$6 = I103), 'Processed Non-zero TRI Data'!$X$2:$X$6), "N/A- Facility Does Not Report to TRI")</f>
        <v>N/A- Facility Does Not Report to TRI</v>
      </c>
      <c r="AL103" s="9" t="str">
        <f t="shared" si="44"/>
        <v>N/A - Facility Does Not Report to TRI</v>
      </c>
      <c r="AM103" s="9" t="str" cm="1">
        <f t="array" ref="AM103">IF(COUNTIF('Processed Non-zero TRI Data'!$I:$I,$I103)&gt;0,MEDIAN(IF('Processed Non-zero TRI Data'!$I:$I=I103,'Processed Non-zero TRI Data'!$X:$X)), "N/A - Facility Does Not Report to TRI")</f>
        <v>N/A - Facility Does Not Report to TRI</v>
      </c>
      <c r="AN103" s="9" t="str">
        <f t="shared" si="45"/>
        <v>N/A - Facility Does Not Report to TRI</v>
      </c>
      <c r="AO103" s="9" t="str">
        <f>IF(COUNTIF('Processed Non-zero TRI Data'!$I:$I,$I103)&gt;0,_xlfn.MAXIFS('Processed Non-zero TRI Data'!$X:$X,'Processed Non-zero TRI Data'!$I:$I,$I103), "N/A - Facility Does Not Report to TRI")</f>
        <v>N/A - Facility Does Not Report to TRI</v>
      </c>
      <c r="AP103" s="9" t="str">
        <f t="shared" si="46"/>
        <v>N/A - Facility Does Not Report to TRI</v>
      </c>
      <c r="AQ103" s="251" t="str" cm="1">
        <f t="array" ref="AQ103">IF(B103="TRI Form A",AC103,IF(AO103=0,"Facility has no transfers to non-POTWs between 2019-2023.",IF(COUNTIF('Processed Non-zero TRI Data'!$I:$I,$I103)&gt;0,INDEX('Processed Non-zero TRI Data'!$A:$A,MATCH(1,($I103='Processed Non-zero TRI Data'!$I:$I)*(AO103='Processed Non-zero TRI Data'!$X:$X),0)),"N/A - Facility Does Not Report to TRI")))</f>
        <v>N/A - Facility Does Not Report to TRI</v>
      </c>
      <c r="AR103" s="260">
        <f t="shared" si="47"/>
        <v>0</v>
      </c>
      <c r="AS103" s="260">
        <f t="shared" si="48"/>
        <v>4.6419240000000004</v>
      </c>
    </row>
    <row r="104" spans="1:45" ht="30" x14ac:dyDescent="0.25">
      <c r="A104" s="12">
        <v>101</v>
      </c>
      <c r="B104" s="10" t="str">
        <f>IFERROR("TRI Form "&amp; VLOOKUP(I104, 'Processed Non-zero TRI Data'!$I$2:$K$6, 3, FALSE), "DMR")</f>
        <v>DMR</v>
      </c>
      <c r="C104" s="181" t="e">
        <f>VLOOKUP(D104,#REF!, 2, FALSE)</f>
        <v>#REF!</v>
      </c>
      <c r="D104" s="181" t="str">
        <f>IF(I104&lt;&gt;"",INDEX('Processed Non-zero TRI Data'!$O:$O,MATCH(I104,'Processed Non-zero TRI Data'!$I:$I,0)),INDEX('Processed Non-zero DMR Data'!$S:$S,MATCH(J104,'Processed Non-zero DMR Data'!$I:$I,0)))</f>
        <v>Waste Handling, Disposal and Treatment (POTW)</v>
      </c>
      <c r="E104" s="181" t="str">
        <f>IF(I104&lt;&gt;"",INDEX('Processed Non-zero TRI Data'!$P:$P,MATCH(I104,'Processed Non-zero TRI Data'!$I:$I,0)),INDEX('Processed Non-zero DMR Data'!$T:$T,MATCH(J104,'Processed Non-zero DMR Data'!$I:$I,0)))</f>
        <v>POTW indicator in DMR</v>
      </c>
      <c r="F104" s="9" t="str">
        <f>_xlfn.XLOOKUP(J104, 'Processed Non-zero DMR Data'!I:I, 'Processed Non-zero DMR Data'!B:B)</f>
        <v>BURLINGAME WWTP</v>
      </c>
      <c r="G104" s="9" t="str">
        <f>_xlfn.XLOOKUP(J104, 'Processed Non-zero DMR Data'!I:I, 'Processed Non-zero DMR Data'!C:C)</f>
        <v>BURLINGAME</v>
      </c>
      <c r="H104" s="9" t="str">
        <f>_xlfn.XLOOKUP(J104, 'Processed Non-zero DMR Data'!I:I, 'Processed Non-zero DMR Data'!E:E)</f>
        <v>CA</v>
      </c>
      <c r="I104" s="12"/>
      <c r="J104" s="13">
        <v>110055988016</v>
      </c>
      <c r="K104" s="9" t="str">
        <f>IFERROR(INDEX('Raw Non-zero DMR Data'!$C:$C, MATCH(J104,'Raw Non-zero DMR Data'!$D:$D,0)),"")</f>
        <v>CA0037788</v>
      </c>
      <c r="L104" s="9" t="str">
        <f>IFERROR(INDEX('Raw Non-zero DMR Data'!$U:$U, MATCH($J104,'Raw Non-zero DMR Data'!$D:$D,0)),"")</f>
        <v>San Francisco Bay Estuaries</v>
      </c>
      <c r="M104" s="155">
        <f>IFERROR(INDEX('Raw Non-zero DMR Data'!$T:$T, MATCH($J104,'Raw Non-zero DMR Data'!$D:$D,0)),"")</f>
        <v>180500041001</v>
      </c>
      <c r="N104" s="155" t="str">
        <f>IFERROR(INDEX('Off-site Locations'!$E:$E,MATCH(I104,'Off-site Locations'!$B:$B,0)),"No offsite transfers")</f>
        <v>No offsite transfers</v>
      </c>
      <c r="O104" s="165">
        <f>INDEX('TRI and DMR OES Summary'!D:D,MATCH('Facility Discharge Summary'!D104,'TRI and DMR OES Summary'!A:A,0))</f>
        <v>365</v>
      </c>
      <c r="P104" s="17" cm="1">
        <f t="array" ref="P104">IFERROR(_xlfn.XLOOKUP(1,  (MAX(IF(J104 = 'Processed Non-zero DMR Data'!$I$2:$I$651,'Processed Non-zero DMR Data'!$A$2:$A$651)) = 'Processed Non-zero DMR Data'!$A$2:$A$651)*('Processed Non-zero DMR Data'!$I$2:$I$651 = J104),'Processed Non-zero DMR Data'!$W$2:$W$651), "N/A- Facility Does Not Report DMRs")</f>
        <v>1.0326899375</v>
      </c>
      <c r="Q104" s="10">
        <f t="shared" si="35"/>
        <v>2.8292874999999999E-3</v>
      </c>
      <c r="R104" s="10" cm="1">
        <f t="array" ref="R104">IF(COUNTIF('Processed Non-zero DMR Data'!$I:$I,$J104)&gt;0,MEDIAN(IF('Processed Non-zero DMR Data'!$I:$I=J104,'Processed Non-zero DMR Data'!$W:$W)),"N/A - Facility Does Not Report DMRs")</f>
        <v>1.0326899375</v>
      </c>
      <c r="S104" s="10">
        <f t="shared" si="36"/>
        <v>2.8292874999999999E-3</v>
      </c>
      <c r="T104" s="10">
        <f>IF(COUNTIF('Processed Non-zero DMR Data'!$I:$I,$J104)&gt;0,_xlfn.MAXIFS('Processed Non-zero DMR Data'!$W:$W,'Processed Non-zero DMR Data'!$I:$I,$J104), "N/A - Facility Does Not Report DMRs")</f>
        <v>1.0326899375</v>
      </c>
      <c r="U104" s="10">
        <f t="shared" si="37"/>
        <v>2.8292874999999999E-3</v>
      </c>
      <c r="V104" s="158" cm="1">
        <f t="array" ref="V104">IF(COUNTIF('Processed Non-zero DMR Data'!$I:$I,$J104)&gt;0,INDEX('Processed Non-zero DMR Data'!$A:$A,MATCH(1,($J104='Processed Non-zero DMR Data'!$I:$I)*($T104='Processed Non-zero DMR Data'!$W:$W),0)), "N/A - Facility Does Not Report DMRs")</f>
        <v>2019</v>
      </c>
      <c r="W104" s="17" t="str" cm="1">
        <f t="array" ref="W104">IFERROR(_xlfn.XLOOKUP(1,  (MAX(IF(I104 = 'Processed Non-zero TRI Data'!$I$2:$I$6,'Processed Non-zero TRI Data'!$A$2:$A$6)) = 'Processed Non-zero TRI Data'!$A$2:$A$6)*('Processed Non-zero TRI Data'!$I$2:$I$6 = I104), 'Processed Non-zero TRI Data'!$T$2:$T$6), "N/A- Facility Does Not Report to TRI")</f>
        <v>N/A- Facility Does Not Report to TRI</v>
      </c>
      <c r="X104" s="10" t="str">
        <f t="shared" si="38"/>
        <v>N/A - Facility Does Not Report to TRI</v>
      </c>
      <c r="Y104" s="10" t="str" cm="1">
        <f t="array" ref="Y104">IF(COUNTIF('Processed Non-zero TRI Data'!$I:$I,$I104)&gt;0,MEDIAN(IF('Processed Non-zero TRI Data'!$I:$I=I104,'Processed Non-zero TRI Data'!$T:$T)), "N/A - Facility Does Not Report to TRI")</f>
        <v>N/A - Facility Does Not Report to TRI</v>
      </c>
      <c r="Z104" s="10" t="str">
        <f t="shared" si="39"/>
        <v>N/A - Facility Does Not Report to TRI</v>
      </c>
      <c r="AA104" s="10" t="str">
        <f>IF(COUNTIF('Processed Non-zero TRI Data'!$I:$I,$I104)&gt;0,_xlfn.MAXIFS('Processed Non-zero TRI Data'!$T:$T,'Processed Non-zero TRI Data'!$I:$I,$I104), "N/A - Facility Does Not Report to TRI")</f>
        <v>N/A - Facility Does Not Report to TRI</v>
      </c>
      <c r="AB104" s="10" t="str">
        <f t="shared" si="40"/>
        <v>N/A - Facility Does Not Report to TRI</v>
      </c>
      <c r="AC104" s="158" t="str" cm="1">
        <f t="array" ref="AC104">IFERROR(IF(B104 = "TRI Form R", IF(AA104 = 0, "Facility has no on-site water discharges between 2017-2022.",  IF(COUNTIF('Processed Non-zero TRI Data'!$I:$I,$I104)&gt;0,INDEX('Processed Non-zero TRI Data'!$A:$A,MATCH(1,($I104='Processed Non-zero TRI Data'!$I:$I)*(AA104='Processed Non-zero TRI Data'!$T:$T),0)))), VLOOKUP(I104,#REF!, 2, FALSE)), ("N/A - Facility Does Not Report to TRI"))</f>
        <v>N/A - Facility Does Not Report to TRI</v>
      </c>
      <c r="AD104" s="97" t="str" cm="1">
        <f t="array" ref="AD104">IFERROR(_xlfn.XLOOKUP(1,  (MAX(IF(I104 = 'Processed Non-zero TRI Data'!$I$2:$I$6,'Processed Non-zero TRI Data'!$A$2:$A$6)) = 'Processed Non-zero TRI Data'!$A$2:$A$6)*('Processed Non-zero TRI Data'!$I$2:$I$6 = I104), 'Processed Non-zero TRI Data'!$V$2:$V$6), "N/A- Facility Does Not Report to TRI")</f>
        <v>N/A- Facility Does Not Report to TRI</v>
      </c>
      <c r="AE104" s="9" t="str">
        <f t="shared" si="41"/>
        <v>N/A - Facility Does Not Report to TRI</v>
      </c>
      <c r="AF104" s="9" t="str" cm="1">
        <f t="array" ref="AF104">IF(COUNTIF('Processed Non-zero TRI Data'!$I:$I,$I104)&gt;0,MEDIAN(IF('Processed Non-zero TRI Data'!$I:$I=I104,'Processed Non-zero TRI Data'!$V:$V)), "N/A - Facility Does Not Report to TRI")</f>
        <v>N/A - Facility Does Not Report to TRI</v>
      </c>
      <c r="AG104" s="9" t="str">
        <f t="shared" si="42"/>
        <v>N/A - Facility Does Not Report to TRI</v>
      </c>
      <c r="AH104" s="9" t="str">
        <f>IF(COUNTIF('Processed Non-zero TRI Data'!$I:$I,$I104)&gt;0,_xlfn.MAXIFS('Processed Non-zero TRI Data'!$V:$V,'Processed Non-zero TRI Data'!$I:$I,$I104), "N/A - Facility Does Not Report to TRI")</f>
        <v>N/A - Facility Does Not Report to TRI</v>
      </c>
      <c r="AI104" s="9" t="str">
        <f t="shared" si="43"/>
        <v>N/A - Facility Does Not Report to TRI</v>
      </c>
      <c r="AJ104" s="158" t="str" cm="1">
        <f t="array" ref="AJ104">IF(B104="TRI Form A",AC104,IF(AH104=0,"Facility has no transfers to POTWs between 2019-2023.",IF(COUNTIF('Processed Non-zero TRI Data'!$I:$I,$I104)&gt;0,INDEX('Processed Non-zero TRI Data'!$A:$A,MATCH(1,($I104='Processed Non-zero TRI Data'!$I:$I)*(AH104='Processed Non-zero TRI Data'!$V:$V),0)),"N/A - Facility Does Not Report to TRI")))</f>
        <v>N/A - Facility Does Not Report to TRI</v>
      </c>
      <c r="AK104" s="97" t="str" cm="1">
        <f t="array" ref="AK104">IFERROR(_xlfn.XLOOKUP(1,  (MAX(IF(I104 = 'Processed Non-zero TRI Data'!$I$2:$I$6,'Processed Non-zero TRI Data'!$A$2:$A$6)) = 'Processed Non-zero TRI Data'!$A$2:$A$6)*('Processed Non-zero TRI Data'!$I$2:$I$6 = I104), 'Processed Non-zero TRI Data'!$X$2:$X$6), "N/A- Facility Does Not Report to TRI")</f>
        <v>N/A- Facility Does Not Report to TRI</v>
      </c>
      <c r="AL104" s="9" t="str">
        <f t="shared" si="44"/>
        <v>N/A - Facility Does Not Report to TRI</v>
      </c>
      <c r="AM104" s="9" t="str" cm="1">
        <f t="array" ref="AM104">IF(COUNTIF('Processed Non-zero TRI Data'!$I:$I,$I104)&gt;0,MEDIAN(IF('Processed Non-zero TRI Data'!$I:$I=I104,'Processed Non-zero TRI Data'!$X:$X)), "N/A - Facility Does Not Report to TRI")</f>
        <v>N/A - Facility Does Not Report to TRI</v>
      </c>
      <c r="AN104" s="9" t="str">
        <f t="shared" si="45"/>
        <v>N/A - Facility Does Not Report to TRI</v>
      </c>
      <c r="AO104" s="9" t="str">
        <f>IF(COUNTIF('Processed Non-zero TRI Data'!$I:$I,$I104)&gt;0,_xlfn.MAXIFS('Processed Non-zero TRI Data'!$X:$X,'Processed Non-zero TRI Data'!$I:$I,$I104), "N/A - Facility Does Not Report to TRI")</f>
        <v>N/A - Facility Does Not Report to TRI</v>
      </c>
      <c r="AP104" s="9" t="str">
        <f t="shared" si="46"/>
        <v>N/A - Facility Does Not Report to TRI</v>
      </c>
      <c r="AQ104" s="251" t="str" cm="1">
        <f t="array" ref="AQ104">IF(B104="TRI Form A",AC104,IF(AO104=0,"Facility has no transfers to non-POTWs between 2019-2023.",IF(COUNTIF('Processed Non-zero TRI Data'!$I:$I,$I104)&gt;0,INDEX('Processed Non-zero TRI Data'!$A:$A,MATCH(1,($I104='Processed Non-zero TRI Data'!$I:$I)*(AO104='Processed Non-zero TRI Data'!$X:$X),0)),"N/A - Facility Does Not Report to TRI")))</f>
        <v>N/A - Facility Does Not Report to TRI</v>
      </c>
      <c r="AR104" s="260">
        <f t="shared" si="47"/>
        <v>0</v>
      </c>
      <c r="AS104" s="260">
        <f t="shared" si="48"/>
        <v>1.0326899375</v>
      </c>
    </row>
    <row r="105" spans="1:45" ht="30" x14ac:dyDescent="0.25">
      <c r="A105" s="12">
        <v>102</v>
      </c>
      <c r="B105" s="10" t="str">
        <f>IFERROR("TRI Form "&amp; VLOOKUP(I105, 'Processed Non-zero TRI Data'!$I$2:$K$6, 3, FALSE), "DMR")</f>
        <v>DMR</v>
      </c>
      <c r="C105" s="181" t="e">
        <f>VLOOKUP(D105,#REF!, 2, FALSE)</f>
        <v>#REF!</v>
      </c>
      <c r="D105" s="181" t="str">
        <f>IF(I105&lt;&gt;"",INDEX('Processed Non-zero TRI Data'!$O:$O,MATCH(I105,'Processed Non-zero TRI Data'!$I:$I,0)),INDEX('Processed Non-zero DMR Data'!$S:$S,MATCH(J105,'Processed Non-zero DMR Data'!$I:$I,0)))</f>
        <v>Waste Handling, Disposal and Treatment (POTW)</v>
      </c>
      <c r="E105" s="181" t="str">
        <f>IF(I105&lt;&gt;"",INDEX('Processed Non-zero TRI Data'!$P:$P,MATCH(I105,'Processed Non-zero TRI Data'!$I:$I,0)),INDEX('Processed Non-zero DMR Data'!$T:$T,MATCH(J105,'Processed Non-zero DMR Data'!$I:$I,0)))</f>
        <v>POTW indicator in DMR</v>
      </c>
      <c r="F105" s="9" t="str">
        <f>_xlfn.XLOOKUP(J105, 'Processed Non-zero DMR Data'!I:I, 'Processed Non-zero DMR Data'!B:B)</f>
        <v>HITE CREEK WQTC MSD</v>
      </c>
      <c r="G105" s="9" t="str">
        <f>_xlfn.XLOOKUP(J105, 'Processed Non-zero DMR Data'!I:I, 'Processed Non-zero DMR Data'!C:C)</f>
        <v>LOUISVILLE</v>
      </c>
      <c r="H105" s="9" t="str">
        <f>_xlfn.XLOOKUP(J105, 'Processed Non-zero DMR Data'!I:I, 'Processed Non-zero DMR Data'!E:E)</f>
        <v>KY</v>
      </c>
      <c r="I105" s="12"/>
      <c r="J105" s="13">
        <v>110000732271</v>
      </c>
      <c r="K105" s="9" t="str">
        <f>IFERROR(INDEX('Raw Non-zero DMR Data'!$C:$C, MATCH(J105,'Raw Non-zero DMR Data'!$D:$D,0)),"")</f>
        <v>KY0022420</v>
      </c>
      <c r="L105" s="9" t="str">
        <f>IFERROR(INDEX('Raw Non-zero DMR Data'!$U:$U, MATCH($J105,'Raw Non-zero DMR Data'!$D:$D,0)),"")</f>
        <v>South Fork Harrods Creek</v>
      </c>
      <c r="M105" s="155" t="str">
        <f>IFERROR(INDEX('Raw Non-zero DMR Data'!$T:$T, MATCH($J105,'Raw Non-zero DMR Data'!$D:$D,0)),"")</f>
        <v>051401010504</v>
      </c>
      <c r="N105" s="155" t="str">
        <f>IFERROR(INDEX('Off-site Locations'!$E:$E,MATCH(I105,'Off-site Locations'!$B:$B,0)),"No offsite transfers")</f>
        <v>No offsite transfers</v>
      </c>
      <c r="O105" s="165">
        <f>INDEX('TRI and DMR OES Summary'!D:D,MATCH('Facility Discharge Summary'!D105,'TRI and DMR OES Summary'!A:A,0))</f>
        <v>365</v>
      </c>
      <c r="P105" s="17" cm="1">
        <f t="array" ref="P105">IFERROR(_xlfn.XLOOKUP(1,  (MAX(IF(J105 = 'Processed Non-zero DMR Data'!$I$2:$I$651,'Processed Non-zero DMR Data'!$A$2:$A$651)) = 'Processed Non-zero DMR Data'!$A$2:$A$651)*('Processed Non-zero DMR Data'!$I$2:$I$651 = J105),'Processed Non-zero DMR Data'!$W$2:$W$651), "N/A- Facility Does Not Report DMRs")</f>
        <v>14.24352275</v>
      </c>
      <c r="Q105" s="10">
        <f t="shared" si="35"/>
        <v>3.9023349999999998E-2</v>
      </c>
      <c r="R105" s="10" cm="1">
        <f t="array" ref="R105">IF(COUNTIF('Processed Non-zero DMR Data'!$I:$I,$J105)&gt;0,MEDIAN(IF('Processed Non-zero DMR Data'!$I:$I=J105,'Processed Non-zero DMR Data'!$W:$W)),"N/A - Facility Does Not Report DMRs")</f>
        <v>14.378221437500001</v>
      </c>
      <c r="S105" s="10">
        <f t="shared" si="36"/>
        <v>3.9392387500000001E-2</v>
      </c>
      <c r="T105" s="10">
        <f>IF(COUNTIF('Processed Non-zero DMR Data'!$I:$I,$J105)&gt;0,_xlfn.MAXIFS('Processed Non-zero DMR Data'!$W:$W,'Processed Non-zero DMR Data'!$I:$I,$J105), "N/A - Facility Does Not Report DMRs")</f>
        <v>14.702879812500001</v>
      </c>
      <c r="U105" s="10">
        <f t="shared" si="37"/>
        <v>4.0281862500000001E-2</v>
      </c>
      <c r="V105" s="158" cm="1">
        <f t="array" ref="V105">IF(COUNTIF('Processed Non-zero DMR Data'!$I:$I,$J105)&gt;0,INDEX('Processed Non-zero DMR Data'!$A:$A,MATCH(1,($J105='Processed Non-zero DMR Data'!$I:$I)*($T105='Processed Non-zero DMR Data'!$W:$W),0)), "N/A - Facility Does Not Report DMRs")</f>
        <v>2021</v>
      </c>
      <c r="W105" s="17" t="str" cm="1">
        <f t="array" ref="W105">IFERROR(_xlfn.XLOOKUP(1,  (MAX(IF(I105 = 'Processed Non-zero TRI Data'!$I$2:$I$6,'Processed Non-zero TRI Data'!$A$2:$A$6)) = 'Processed Non-zero TRI Data'!$A$2:$A$6)*('Processed Non-zero TRI Data'!$I$2:$I$6 = I105), 'Processed Non-zero TRI Data'!$T$2:$T$6), "N/A- Facility Does Not Report to TRI")</f>
        <v>N/A- Facility Does Not Report to TRI</v>
      </c>
      <c r="X105" s="10" t="str">
        <f t="shared" si="38"/>
        <v>N/A - Facility Does Not Report to TRI</v>
      </c>
      <c r="Y105" s="10" t="str" cm="1">
        <f t="array" ref="Y105">IF(COUNTIF('Processed Non-zero TRI Data'!$I:$I,$I105)&gt;0,MEDIAN(IF('Processed Non-zero TRI Data'!$I:$I=I105,'Processed Non-zero TRI Data'!$T:$T)), "N/A - Facility Does Not Report to TRI")</f>
        <v>N/A - Facility Does Not Report to TRI</v>
      </c>
      <c r="Z105" s="10" t="str">
        <f t="shared" si="39"/>
        <v>N/A - Facility Does Not Report to TRI</v>
      </c>
      <c r="AA105" s="10" t="str">
        <f>IF(COUNTIF('Processed Non-zero TRI Data'!$I:$I,$I105)&gt;0,_xlfn.MAXIFS('Processed Non-zero TRI Data'!$T:$T,'Processed Non-zero TRI Data'!$I:$I,$I105), "N/A - Facility Does Not Report to TRI")</f>
        <v>N/A - Facility Does Not Report to TRI</v>
      </c>
      <c r="AB105" s="10" t="str">
        <f t="shared" si="40"/>
        <v>N/A - Facility Does Not Report to TRI</v>
      </c>
      <c r="AC105" s="158" t="str" cm="1">
        <f t="array" ref="AC105">IFERROR(IF(B105 = "TRI Form R", IF(AA105 = 0, "Facility has no on-site water discharges between 2017-2022.",  IF(COUNTIF('Processed Non-zero TRI Data'!$I:$I,$I105)&gt;0,INDEX('Processed Non-zero TRI Data'!$A:$A,MATCH(1,($I105='Processed Non-zero TRI Data'!$I:$I)*(AA105='Processed Non-zero TRI Data'!$T:$T),0)))), VLOOKUP(I105,#REF!, 2, FALSE)), ("N/A - Facility Does Not Report to TRI"))</f>
        <v>N/A - Facility Does Not Report to TRI</v>
      </c>
      <c r="AD105" s="97" t="str" cm="1">
        <f t="array" ref="AD105">IFERROR(_xlfn.XLOOKUP(1,  (MAX(IF(I105 = 'Processed Non-zero TRI Data'!$I$2:$I$6,'Processed Non-zero TRI Data'!$A$2:$A$6)) = 'Processed Non-zero TRI Data'!$A$2:$A$6)*('Processed Non-zero TRI Data'!$I$2:$I$6 = I105), 'Processed Non-zero TRI Data'!$V$2:$V$6), "N/A- Facility Does Not Report to TRI")</f>
        <v>N/A- Facility Does Not Report to TRI</v>
      </c>
      <c r="AE105" s="9" t="str">
        <f t="shared" si="41"/>
        <v>N/A - Facility Does Not Report to TRI</v>
      </c>
      <c r="AF105" s="9" t="str" cm="1">
        <f t="array" ref="AF105">IF(COUNTIF('Processed Non-zero TRI Data'!$I:$I,$I105)&gt;0,MEDIAN(IF('Processed Non-zero TRI Data'!$I:$I=I105,'Processed Non-zero TRI Data'!$V:$V)), "N/A - Facility Does Not Report to TRI")</f>
        <v>N/A - Facility Does Not Report to TRI</v>
      </c>
      <c r="AG105" s="9" t="str">
        <f t="shared" si="42"/>
        <v>N/A - Facility Does Not Report to TRI</v>
      </c>
      <c r="AH105" s="9" t="str">
        <f>IF(COUNTIF('Processed Non-zero TRI Data'!$I:$I,$I105)&gt;0,_xlfn.MAXIFS('Processed Non-zero TRI Data'!$V:$V,'Processed Non-zero TRI Data'!$I:$I,$I105), "N/A - Facility Does Not Report to TRI")</f>
        <v>N/A - Facility Does Not Report to TRI</v>
      </c>
      <c r="AI105" s="9" t="str">
        <f t="shared" si="43"/>
        <v>N/A - Facility Does Not Report to TRI</v>
      </c>
      <c r="AJ105" s="158" t="str" cm="1">
        <f t="array" ref="AJ105">IF(B105="TRI Form A",AC105,IF(AH105=0,"Facility has no transfers to POTWs between 2019-2023.",IF(COUNTIF('Processed Non-zero TRI Data'!$I:$I,$I105)&gt;0,INDEX('Processed Non-zero TRI Data'!$A:$A,MATCH(1,($I105='Processed Non-zero TRI Data'!$I:$I)*(AH105='Processed Non-zero TRI Data'!$V:$V),0)),"N/A - Facility Does Not Report to TRI")))</f>
        <v>N/A - Facility Does Not Report to TRI</v>
      </c>
      <c r="AK105" s="97" t="str" cm="1">
        <f t="array" ref="AK105">IFERROR(_xlfn.XLOOKUP(1,  (MAX(IF(I105 = 'Processed Non-zero TRI Data'!$I$2:$I$6,'Processed Non-zero TRI Data'!$A$2:$A$6)) = 'Processed Non-zero TRI Data'!$A$2:$A$6)*('Processed Non-zero TRI Data'!$I$2:$I$6 = I105), 'Processed Non-zero TRI Data'!$X$2:$X$6), "N/A- Facility Does Not Report to TRI")</f>
        <v>N/A- Facility Does Not Report to TRI</v>
      </c>
      <c r="AL105" s="9" t="str">
        <f t="shared" si="44"/>
        <v>N/A - Facility Does Not Report to TRI</v>
      </c>
      <c r="AM105" s="9" t="str" cm="1">
        <f t="array" ref="AM105">IF(COUNTIF('Processed Non-zero TRI Data'!$I:$I,$I105)&gt;0,MEDIAN(IF('Processed Non-zero TRI Data'!$I:$I=I105,'Processed Non-zero TRI Data'!$X:$X)), "N/A - Facility Does Not Report to TRI")</f>
        <v>N/A - Facility Does Not Report to TRI</v>
      </c>
      <c r="AN105" s="9" t="str">
        <f t="shared" si="45"/>
        <v>N/A - Facility Does Not Report to TRI</v>
      </c>
      <c r="AO105" s="9" t="str">
        <f>IF(COUNTIF('Processed Non-zero TRI Data'!$I:$I,$I105)&gt;0,_xlfn.MAXIFS('Processed Non-zero TRI Data'!$X:$X,'Processed Non-zero TRI Data'!$I:$I,$I105), "N/A - Facility Does Not Report to TRI")</f>
        <v>N/A - Facility Does Not Report to TRI</v>
      </c>
      <c r="AP105" s="9" t="str">
        <f t="shared" si="46"/>
        <v>N/A - Facility Does Not Report to TRI</v>
      </c>
      <c r="AQ105" s="251" t="str" cm="1">
        <f t="array" ref="AQ105">IF(B105="TRI Form A",AC105,IF(AO105=0,"Facility has no transfers to non-POTWs between 2019-2023.",IF(COUNTIF('Processed Non-zero TRI Data'!$I:$I,$I105)&gt;0,INDEX('Processed Non-zero TRI Data'!$A:$A,MATCH(1,($I105='Processed Non-zero TRI Data'!$I:$I)*(AO105='Processed Non-zero TRI Data'!$X:$X),0)),"N/A - Facility Does Not Report to TRI")))</f>
        <v>N/A - Facility Does Not Report to TRI</v>
      </c>
      <c r="AR105" s="260">
        <f t="shared" si="47"/>
        <v>0</v>
      </c>
      <c r="AS105" s="260">
        <f t="shared" si="48"/>
        <v>14.702879812500001</v>
      </c>
    </row>
    <row r="106" spans="1:45" ht="30" x14ac:dyDescent="0.25">
      <c r="A106" s="12">
        <v>103</v>
      </c>
      <c r="B106" s="10" t="str">
        <f>IFERROR("TRI Form "&amp; VLOOKUP(I106, 'Processed Non-zero TRI Data'!$I$2:$K$6, 3, FALSE), "DMR")</f>
        <v>DMR</v>
      </c>
      <c r="C106" s="181" t="e">
        <f>VLOOKUP(D106,#REF!, 2, FALSE)</f>
        <v>#REF!</v>
      </c>
      <c r="D106" s="181" t="str">
        <f>IF(I106&lt;&gt;"",INDEX('Processed Non-zero TRI Data'!$O:$O,MATCH(I106,'Processed Non-zero TRI Data'!$I:$I,0)),INDEX('Processed Non-zero DMR Data'!$S:$S,MATCH(J106,'Processed Non-zero DMR Data'!$I:$I,0)))</f>
        <v>Processing as a reactant</v>
      </c>
      <c r="E106" s="181" t="str">
        <f>IF(I106&lt;&gt;"",INDEX('Processed Non-zero TRI Data'!$P:$P,MATCH(I106,'Processed Non-zero TRI Data'!$I:$I,0)),INDEX('Processed Non-zero DMR Data'!$T:$T,MATCH(J106,'Processed Non-zero DMR Data'!$I:$I,0)))</f>
        <v>Assumed processing as a reactant based on 1,1,-DCA mapping.</v>
      </c>
      <c r="F106" s="9" t="str">
        <f>_xlfn.XLOOKUP(J106, 'Processed Non-zero DMR Data'!I:I, 'Processed Non-zero DMR Data'!B:B)</f>
        <v>BAE SYSTEMS ORDNANCE SYSTEMS INC.</v>
      </c>
      <c r="G106" s="9" t="str">
        <f>_xlfn.XLOOKUP(J106, 'Processed Non-zero DMR Data'!I:I, 'Processed Non-zero DMR Data'!C:C)</f>
        <v>KINGSPORT</v>
      </c>
      <c r="H106" s="9" t="str">
        <f>_xlfn.XLOOKUP(J106, 'Processed Non-zero DMR Data'!I:I, 'Processed Non-zero DMR Data'!E:E)</f>
        <v>TN</v>
      </c>
      <c r="I106" s="12"/>
      <c r="J106" s="13">
        <v>110070828339</v>
      </c>
      <c r="K106" s="9" t="str">
        <f>IFERROR(INDEX('Raw Non-zero DMR Data'!$C:$C, MATCH(J106,'Raw Non-zero DMR Data'!$D:$D,0)),"")</f>
        <v>TN0003671</v>
      </c>
      <c r="L106" s="9" t="str">
        <f>IFERROR(INDEX('Raw Non-zero DMR Data'!$U:$U, MATCH($J106,'Raw Non-zero DMR Data'!$D:$D,0)),"")</f>
        <v>Holston River-Hord Creek</v>
      </c>
      <c r="M106" s="155" t="str">
        <f>IFERROR(INDEX('Raw Non-zero DMR Data'!$T:$T, MATCH($J106,'Raw Non-zero DMR Data'!$D:$D,0)),"")</f>
        <v>060101040101</v>
      </c>
      <c r="N106" s="155" t="str">
        <f>IFERROR(INDEX('Off-site Locations'!$E:$E,MATCH(I106,'Off-site Locations'!$B:$B,0)),"No offsite transfers")</f>
        <v>No offsite transfers</v>
      </c>
      <c r="O106" s="165">
        <f>INDEX('TRI and DMR OES Summary'!D:D,MATCH('Facility Discharge Summary'!D106,'TRI and DMR OES Summary'!A:A,0))</f>
        <v>350</v>
      </c>
      <c r="P106" s="17" cm="1">
        <f t="array" ref="P106">IFERROR(_xlfn.XLOOKUP(1,  (MAX(IF(J106 = 'Processed Non-zero DMR Data'!$I$2:$I$651,'Processed Non-zero DMR Data'!$A$2:$A$651)) = 'Processed Non-zero DMR Data'!$A$2:$A$651)*('Processed Non-zero DMR Data'!$I$2:$I$651 = J106),'Processed Non-zero DMR Data'!$W$2:$W$651), "N/A- Facility Does Not Report DMRs")</f>
        <v>0.45570250000000001</v>
      </c>
      <c r="Q106" s="10">
        <f t="shared" si="35"/>
        <v>1.302007142857143E-3</v>
      </c>
      <c r="R106" s="10" cm="1">
        <f t="array" ref="R106">IF(COUNTIF('Processed Non-zero DMR Data'!$I:$I,$J106)&gt;0,MEDIAN(IF('Processed Non-zero DMR Data'!$I:$I=J106,'Processed Non-zero DMR Data'!$W:$W)),"N/A - Facility Does Not Report DMRs")</f>
        <v>1.077115</v>
      </c>
      <c r="S106" s="10">
        <f t="shared" si="36"/>
        <v>3.0774714285714288E-3</v>
      </c>
      <c r="T106" s="10">
        <f>IF(COUNTIF('Processed Non-zero DMR Data'!$I:$I,$J106)&gt;0,_xlfn.MAXIFS('Processed Non-zero DMR Data'!$W:$W,'Processed Non-zero DMR Data'!$I:$I,$J106), "N/A - Facility Does Not Report DMRs")</f>
        <v>4.5570250000000003</v>
      </c>
      <c r="U106" s="10">
        <f t="shared" si="37"/>
        <v>1.3020071428571429E-2</v>
      </c>
      <c r="V106" s="158" cm="1">
        <f t="array" ref="V106">IF(COUNTIF('Processed Non-zero DMR Data'!$I:$I,$J106)&gt;0,INDEX('Processed Non-zero DMR Data'!$A:$A,MATCH(1,($J106='Processed Non-zero DMR Data'!$I:$I)*($T106='Processed Non-zero DMR Data'!$W:$W),0)), "N/A - Facility Does Not Report DMRs")</f>
        <v>2019</v>
      </c>
      <c r="W106" s="17" t="str" cm="1">
        <f t="array" ref="W106">IFERROR(_xlfn.XLOOKUP(1,  (MAX(IF(I106 = 'Processed Non-zero TRI Data'!$I$2:$I$6,'Processed Non-zero TRI Data'!$A$2:$A$6)) = 'Processed Non-zero TRI Data'!$A$2:$A$6)*('Processed Non-zero TRI Data'!$I$2:$I$6 = I106), 'Processed Non-zero TRI Data'!$T$2:$T$6), "N/A- Facility Does Not Report to TRI")</f>
        <v>N/A- Facility Does Not Report to TRI</v>
      </c>
      <c r="X106" s="10" t="str">
        <f t="shared" si="38"/>
        <v>N/A - Facility Does Not Report to TRI</v>
      </c>
      <c r="Y106" s="10" t="str" cm="1">
        <f t="array" ref="Y106">IF(COUNTIF('Processed Non-zero TRI Data'!$I:$I,$I106)&gt;0,MEDIAN(IF('Processed Non-zero TRI Data'!$I:$I=I106,'Processed Non-zero TRI Data'!$T:$T)), "N/A - Facility Does Not Report to TRI")</f>
        <v>N/A - Facility Does Not Report to TRI</v>
      </c>
      <c r="Z106" s="10" t="str">
        <f t="shared" si="39"/>
        <v>N/A - Facility Does Not Report to TRI</v>
      </c>
      <c r="AA106" s="10" t="str">
        <f>IF(COUNTIF('Processed Non-zero TRI Data'!$I:$I,$I106)&gt;0,_xlfn.MAXIFS('Processed Non-zero TRI Data'!$T:$T,'Processed Non-zero TRI Data'!$I:$I,$I106), "N/A - Facility Does Not Report to TRI")</f>
        <v>N/A - Facility Does Not Report to TRI</v>
      </c>
      <c r="AB106" s="10" t="str">
        <f t="shared" si="40"/>
        <v>N/A - Facility Does Not Report to TRI</v>
      </c>
      <c r="AC106" s="158" t="str" cm="1">
        <f t="array" ref="AC106">IFERROR(IF(B106 = "TRI Form R", IF(AA106 = 0, "Facility has no on-site water discharges between 2017-2022.",  IF(COUNTIF('Processed Non-zero TRI Data'!$I:$I,$I106)&gt;0,INDEX('Processed Non-zero TRI Data'!$A:$A,MATCH(1,($I106='Processed Non-zero TRI Data'!$I:$I)*(AA106='Processed Non-zero TRI Data'!$T:$T),0)))), VLOOKUP(I106,#REF!, 2, FALSE)), ("N/A - Facility Does Not Report to TRI"))</f>
        <v>N/A - Facility Does Not Report to TRI</v>
      </c>
      <c r="AD106" s="97" t="str" cm="1">
        <f t="array" ref="AD106">IFERROR(_xlfn.XLOOKUP(1,  (MAX(IF(I106 = 'Processed Non-zero TRI Data'!$I$2:$I$6,'Processed Non-zero TRI Data'!$A$2:$A$6)) = 'Processed Non-zero TRI Data'!$A$2:$A$6)*('Processed Non-zero TRI Data'!$I$2:$I$6 = I106), 'Processed Non-zero TRI Data'!$V$2:$V$6), "N/A- Facility Does Not Report to TRI")</f>
        <v>N/A- Facility Does Not Report to TRI</v>
      </c>
      <c r="AE106" s="9" t="str">
        <f t="shared" si="41"/>
        <v>N/A - Facility Does Not Report to TRI</v>
      </c>
      <c r="AF106" s="9" t="str" cm="1">
        <f t="array" ref="AF106">IF(COUNTIF('Processed Non-zero TRI Data'!$I:$I,$I106)&gt;0,MEDIAN(IF('Processed Non-zero TRI Data'!$I:$I=I106,'Processed Non-zero TRI Data'!$V:$V)), "N/A - Facility Does Not Report to TRI")</f>
        <v>N/A - Facility Does Not Report to TRI</v>
      </c>
      <c r="AG106" s="9" t="str">
        <f t="shared" si="42"/>
        <v>N/A - Facility Does Not Report to TRI</v>
      </c>
      <c r="AH106" s="9" t="str">
        <f>IF(COUNTIF('Processed Non-zero TRI Data'!$I:$I,$I106)&gt;0,_xlfn.MAXIFS('Processed Non-zero TRI Data'!$V:$V,'Processed Non-zero TRI Data'!$I:$I,$I106), "N/A - Facility Does Not Report to TRI")</f>
        <v>N/A - Facility Does Not Report to TRI</v>
      </c>
      <c r="AI106" s="9" t="str">
        <f t="shared" si="43"/>
        <v>N/A - Facility Does Not Report to TRI</v>
      </c>
      <c r="AJ106" s="158" t="str" cm="1">
        <f t="array" ref="AJ106">IF(B106="TRI Form A",AC106,IF(AH106=0,"Facility has no transfers to POTWs between 2019-2023.",IF(COUNTIF('Processed Non-zero TRI Data'!$I:$I,$I106)&gt;0,INDEX('Processed Non-zero TRI Data'!$A:$A,MATCH(1,($I106='Processed Non-zero TRI Data'!$I:$I)*(AH106='Processed Non-zero TRI Data'!$V:$V),0)),"N/A - Facility Does Not Report to TRI")))</f>
        <v>N/A - Facility Does Not Report to TRI</v>
      </c>
      <c r="AK106" s="97" t="str" cm="1">
        <f t="array" ref="AK106">IFERROR(_xlfn.XLOOKUP(1,  (MAX(IF(I106 = 'Processed Non-zero TRI Data'!$I$2:$I$6,'Processed Non-zero TRI Data'!$A$2:$A$6)) = 'Processed Non-zero TRI Data'!$A$2:$A$6)*('Processed Non-zero TRI Data'!$I$2:$I$6 = I106), 'Processed Non-zero TRI Data'!$X$2:$X$6), "N/A- Facility Does Not Report to TRI")</f>
        <v>N/A- Facility Does Not Report to TRI</v>
      </c>
      <c r="AL106" s="9" t="str">
        <f t="shared" si="44"/>
        <v>N/A - Facility Does Not Report to TRI</v>
      </c>
      <c r="AM106" s="9" t="str" cm="1">
        <f t="array" ref="AM106">IF(COUNTIF('Processed Non-zero TRI Data'!$I:$I,$I106)&gt;0,MEDIAN(IF('Processed Non-zero TRI Data'!$I:$I=I106,'Processed Non-zero TRI Data'!$X:$X)), "N/A - Facility Does Not Report to TRI")</f>
        <v>N/A - Facility Does Not Report to TRI</v>
      </c>
      <c r="AN106" s="9" t="str">
        <f t="shared" si="45"/>
        <v>N/A - Facility Does Not Report to TRI</v>
      </c>
      <c r="AO106" s="9" t="str">
        <f>IF(COUNTIF('Processed Non-zero TRI Data'!$I:$I,$I106)&gt;0,_xlfn.MAXIFS('Processed Non-zero TRI Data'!$X:$X,'Processed Non-zero TRI Data'!$I:$I,$I106), "N/A - Facility Does Not Report to TRI")</f>
        <v>N/A - Facility Does Not Report to TRI</v>
      </c>
      <c r="AP106" s="9" t="str">
        <f t="shared" si="46"/>
        <v>N/A - Facility Does Not Report to TRI</v>
      </c>
      <c r="AQ106" s="251" t="str" cm="1">
        <f t="array" ref="AQ106">IF(B106="TRI Form A",AC106,IF(AO106=0,"Facility has no transfers to non-POTWs between 2019-2023.",IF(COUNTIF('Processed Non-zero TRI Data'!$I:$I,$I106)&gt;0,INDEX('Processed Non-zero TRI Data'!$A:$A,MATCH(1,($I106='Processed Non-zero TRI Data'!$I:$I)*(AO106='Processed Non-zero TRI Data'!$X:$X),0)),"N/A - Facility Does Not Report to TRI")))</f>
        <v>N/A - Facility Does Not Report to TRI</v>
      </c>
      <c r="AR106" s="260">
        <f t="shared" si="47"/>
        <v>0</v>
      </c>
      <c r="AS106" s="260">
        <f t="shared" si="48"/>
        <v>4.5570250000000003</v>
      </c>
    </row>
    <row r="107" spans="1:45" ht="30" x14ac:dyDescent="0.25">
      <c r="A107" s="12">
        <v>104</v>
      </c>
      <c r="B107" s="10" t="str">
        <f>IFERROR("TRI Form "&amp; VLOOKUP(I107, 'Processed Non-zero TRI Data'!$I$2:$K$6, 3, FALSE), "DMR")</f>
        <v>DMR</v>
      </c>
      <c r="C107" s="181" t="e">
        <f>VLOOKUP(D107,#REF!, 2, FALSE)</f>
        <v>#REF!</v>
      </c>
      <c r="D107" s="181" t="str">
        <f>IF(I107&lt;&gt;"",INDEX('Processed Non-zero TRI Data'!$O:$O,MATCH(I107,'Processed Non-zero TRI Data'!$I:$I,0)),INDEX('Processed Non-zero DMR Data'!$S:$S,MATCH(J107,'Processed Non-zero DMR Data'!$I:$I,0)))</f>
        <v>Processing as a reactant</v>
      </c>
      <c r="E107" s="181" t="str">
        <f>IF(I107&lt;&gt;"",INDEX('Processed Non-zero TRI Data'!$P:$P,MATCH(I107,'Processed Non-zero TRI Data'!$I:$I,0)),INDEX('Processed Non-zero DMR Data'!$T:$T,MATCH(J107,'Processed Non-zero DMR Data'!$I:$I,0)))</f>
        <v>Assumed processing as a reactant based on SIC and NAICS; this also matches 1,1,-DCA mapping.</v>
      </c>
      <c r="F107" s="9" t="str">
        <f>_xlfn.XLOOKUP(J107, 'Processed Non-zero DMR Data'!I:I, 'Processed Non-zero DMR Data'!B:B)</f>
        <v>NOURYON SURFACE CHEMISTRY LLC</v>
      </c>
      <c r="G107" s="9" t="str">
        <f>_xlfn.XLOOKUP(J107, 'Processed Non-zero DMR Data'!I:I, 'Processed Non-zero DMR Data'!C:C)</f>
        <v>MORRIS</v>
      </c>
      <c r="H107" s="9" t="str">
        <f>_xlfn.XLOOKUP(J107, 'Processed Non-zero DMR Data'!I:I, 'Processed Non-zero DMR Data'!E:E)</f>
        <v>IL</v>
      </c>
      <c r="I107" s="12"/>
      <c r="J107" s="13">
        <v>110000547196</v>
      </c>
      <c r="K107" s="9" t="str">
        <f>IFERROR(INDEX('Raw Non-zero DMR Data'!$C:$C, MATCH(J107,'Raw Non-zero DMR Data'!$D:$D,0)),"")</f>
        <v>IL0026069</v>
      </c>
      <c r="L107" s="9" t="str">
        <f>IFERROR(INDEX('Raw Non-zero DMR Data'!$U:$U, MATCH($J107,'Raw Non-zero DMR Data'!$D:$D,0)),"")</f>
        <v>Walley Run-Aux Sable Creek</v>
      </c>
      <c r="M107" s="155" t="str">
        <f>IFERROR(INDEX('Raw Non-zero DMR Data'!$T:$T, MATCH($J107,'Raw Non-zero DMR Data'!$D:$D,0)),"")</f>
        <v>071200050106</v>
      </c>
      <c r="N107" s="155" t="str">
        <f>IFERROR(INDEX('Off-site Locations'!$E:$E,MATCH(I107,'Off-site Locations'!$B:$B,0)),"No offsite transfers")</f>
        <v>No offsite transfers</v>
      </c>
      <c r="O107" s="165">
        <f>INDEX('TRI and DMR OES Summary'!D:D,MATCH('Facility Discharge Summary'!D107,'TRI and DMR OES Summary'!A:A,0))</f>
        <v>350</v>
      </c>
      <c r="P107" s="17" cm="1">
        <f t="array" ref="P107">IFERROR(_xlfn.XLOOKUP(1,  (MAX(IF(J107 = 'Processed Non-zero DMR Data'!$I$2:$I$651,'Processed Non-zero DMR Data'!$A$2:$A$651)) = 'Processed Non-zero DMR Data'!$A$2:$A$651)*('Processed Non-zero DMR Data'!$I$2:$I$651 = J107),'Processed Non-zero DMR Data'!$W$2:$W$651), "N/A- Facility Does Not Report DMRs")</f>
        <v>4.4099289999999999E-2</v>
      </c>
      <c r="Q107" s="10">
        <f t="shared" si="35"/>
        <v>1.2599797142857143E-4</v>
      </c>
      <c r="R107" s="10" cm="1">
        <f t="array" ref="R107">IF(COUNTIF('Processed Non-zero DMR Data'!$I:$I,$J107)&gt;0,MEDIAN(IF('Processed Non-zero DMR Data'!$I:$I=J107,'Processed Non-zero DMR Data'!$W:$W)),"N/A - Facility Does Not Report DMRs")</f>
        <v>6.1278649999999997E-2</v>
      </c>
      <c r="S107" s="10">
        <f t="shared" si="36"/>
        <v>1.7508185714285713E-4</v>
      </c>
      <c r="T107" s="10">
        <f>IF(COUNTIF('Processed Non-zero DMR Data'!$I:$I,$J107)&gt;0,_xlfn.MAXIFS('Processed Non-zero DMR Data'!$W:$W,'Processed Non-zero DMR Data'!$I:$I,$J107), "N/A - Facility Does Not Report DMRs")</f>
        <v>9.4559119999999997E-2</v>
      </c>
      <c r="U107" s="10">
        <f t="shared" si="37"/>
        <v>2.701689142857143E-4</v>
      </c>
      <c r="V107" s="158" cm="1">
        <f t="array" ref="V107">IF(COUNTIF('Processed Non-zero DMR Data'!$I:$I,$J107)&gt;0,INDEX('Processed Non-zero DMR Data'!$A:$A,MATCH(1,($J107='Processed Non-zero DMR Data'!$I:$I)*($T107='Processed Non-zero DMR Data'!$W:$W),0)), "N/A - Facility Does Not Report DMRs")</f>
        <v>2021</v>
      </c>
      <c r="W107" s="17" t="str" cm="1">
        <f t="array" ref="W107">IFERROR(_xlfn.XLOOKUP(1,  (MAX(IF(I107 = 'Processed Non-zero TRI Data'!$I$2:$I$6,'Processed Non-zero TRI Data'!$A$2:$A$6)) = 'Processed Non-zero TRI Data'!$A$2:$A$6)*('Processed Non-zero TRI Data'!$I$2:$I$6 = I107), 'Processed Non-zero TRI Data'!$T$2:$T$6), "N/A- Facility Does Not Report to TRI")</f>
        <v>N/A- Facility Does Not Report to TRI</v>
      </c>
      <c r="X107" s="10" t="str">
        <f t="shared" si="38"/>
        <v>N/A - Facility Does Not Report to TRI</v>
      </c>
      <c r="Y107" s="10" t="str" cm="1">
        <f t="array" ref="Y107">IF(COUNTIF('Processed Non-zero TRI Data'!$I:$I,$I107)&gt;0,MEDIAN(IF('Processed Non-zero TRI Data'!$I:$I=I107,'Processed Non-zero TRI Data'!$T:$T)), "N/A - Facility Does Not Report to TRI")</f>
        <v>N/A - Facility Does Not Report to TRI</v>
      </c>
      <c r="Z107" s="10" t="str">
        <f t="shared" si="39"/>
        <v>N/A - Facility Does Not Report to TRI</v>
      </c>
      <c r="AA107" s="10" t="str">
        <f>IF(COUNTIF('Processed Non-zero TRI Data'!$I:$I,$I107)&gt;0,_xlfn.MAXIFS('Processed Non-zero TRI Data'!$T:$T,'Processed Non-zero TRI Data'!$I:$I,$I107), "N/A - Facility Does Not Report to TRI")</f>
        <v>N/A - Facility Does Not Report to TRI</v>
      </c>
      <c r="AB107" s="10" t="str">
        <f t="shared" si="40"/>
        <v>N/A - Facility Does Not Report to TRI</v>
      </c>
      <c r="AC107" s="158" t="str" cm="1">
        <f t="array" ref="AC107">IFERROR(IF(B107 = "TRI Form R", IF(AA107 = 0, "Facility has no on-site water discharges between 2017-2022.",  IF(COUNTIF('Processed Non-zero TRI Data'!$I:$I,$I107)&gt;0,INDEX('Processed Non-zero TRI Data'!$A:$A,MATCH(1,($I107='Processed Non-zero TRI Data'!$I:$I)*(AA107='Processed Non-zero TRI Data'!$T:$T),0)))), VLOOKUP(I107,#REF!, 2, FALSE)), ("N/A - Facility Does Not Report to TRI"))</f>
        <v>N/A - Facility Does Not Report to TRI</v>
      </c>
      <c r="AD107" s="97" t="str" cm="1">
        <f t="array" ref="AD107">IFERROR(_xlfn.XLOOKUP(1,  (MAX(IF(I107 = 'Processed Non-zero TRI Data'!$I$2:$I$6,'Processed Non-zero TRI Data'!$A$2:$A$6)) = 'Processed Non-zero TRI Data'!$A$2:$A$6)*('Processed Non-zero TRI Data'!$I$2:$I$6 = I107), 'Processed Non-zero TRI Data'!$V$2:$V$6), "N/A- Facility Does Not Report to TRI")</f>
        <v>N/A- Facility Does Not Report to TRI</v>
      </c>
      <c r="AE107" s="9" t="str">
        <f t="shared" si="41"/>
        <v>N/A - Facility Does Not Report to TRI</v>
      </c>
      <c r="AF107" s="9" t="str" cm="1">
        <f t="array" ref="AF107">IF(COUNTIF('Processed Non-zero TRI Data'!$I:$I,$I107)&gt;0,MEDIAN(IF('Processed Non-zero TRI Data'!$I:$I=I107,'Processed Non-zero TRI Data'!$V:$V)), "N/A - Facility Does Not Report to TRI")</f>
        <v>N/A - Facility Does Not Report to TRI</v>
      </c>
      <c r="AG107" s="9" t="str">
        <f t="shared" si="42"/>
        <v>N/A - Facility Does Not Report to TRI</v>
      </c>
      <c r="AH107" s="9" t="str">
        <f>IF(COUNTIF('Processed Non-zero TRI Data'!$I:$I,$I107)&gt;0,_xlfn.MAXIFS('Processed Non-zero TRI Data'!$V:$V,'Processed Non-zero TRI Data'!$I:$I,$I107), "N/A - Facility Does Not Report to TRI")</f>
        <v>N/A - Facility Does Not Report to TRI</v>
      </c>
      <c r="AI107" s="9" t="str">
        <f t="shared" si="43"/>
        <v>N/A - Facility Does Not Report to TRI</v>
      </c>
      <c r="AJ107" s="158" t="str" cm="1">
        <f t="array" ref="AJ107">IF(B107="TRI Form A",AC107,IF(AH107=0,"Facility has no transfers to POTWs between 2019-2023.",IF(COUNTIF('Processed Non-zero TRI Data'!$I:$I,$I107)&gt;0,INDEX('Processed Non-zero TRI Data'!$A:$A,MATCH(1,($I107='Processed Non-zero TRI Data'!$I:$I)*(AH107='Processed Non-zero TRI Data'!$V:$V),0)),"N/A - Facility Does Not Report to TRI")))</f>
        <v>N/A - Facility Does Not Report to TRI</v>
      </c>
      <c r="AK107" s="97" t="str" cm="1">
        <f t="array" ref="AK107">IFERROR(_xlfn.XLOOKUP(1,  (MAX(IF(I107 = 'Processed Non-zero TRI Data'!$I$2:$I$6,'Processed Non-zero TRI Data'!$A$2:$A$6)) = 'Processed Non-zero TRI Data'!$A$2:$A$6)*('Processed Non-zero TRI Data'!$I$2:$I$6 = I107), 'Processed Non-zero TRI Data'!$X$2:$X$6), "N/A- Facility Does Not Report to TRI")</f>
        <v>N/A- Facility Does Not Report to TRI</v>
      </c>
      <c r="AL107" s="9" t="str">
        <f t="shared" si="44"/>
        <v>N/A - Facility Does Not Report to TRI</v>
      </c>
      <c r="AM107" s="9" t="str" cm="1">
        <f t="array" ref="AM107">IF(COUNTIF('Processed Non-zero TRI Data'!$I:$I,$I107)&gt;0,MEDIAN(IF('Processed Non-zero TRI Data'!$I:$I=I107,'Processed Non-zero TRI Data'!$X:$X)), "N/A - Facility Does Not Report to TRI")</f>
        <v>N/A - Facility Does Not Report to TRI</v>
      </c>
      <c r="AN107" s="9" t="str">
        <f t="shared" si="45"/>
        <v>N/A - Facility Does Not Report to TRI</v>
      </c>
      <c r="AO107" s="9" t="str">
        <f>IF(COUNTIF('Processed Non-zero TRI Data'!$I:$I,$I107)&gt;0,_xlfn.MAXIFS('Processed Non-zero TRI Data'!$X:$X,'Processed Non-zero TRI Data'!$I:$I,$I107), "N/A - Facility Does Not Report to TRI")</f>
        <v>N/A - Facility Does Not Report to TRI</v>
      </c>
      <c r="AP107" s="9" t="str">
        <f t="shared" si="46"/>
        <v>N/A - Facility Does Not Report to TRI</v>
      </c>
      <c r="AQ107" s="251" t="str" cm="1">
        <f t="array" ref="AQ107">IF(B107="TRI Form A",AC107,IF(AO107=0,"Facility has no transfers to non-POTWs between 2019-2023.",IF(COUNTIF('Processed Non-zero TRI Data'!$I:$I,$I107)&gt;0,INDEX('Processed Non-zero TRI Data'!$A:$A,MATCH(1,($I107='Processed Non-zero TRI Data'!$I:$I)*(AO107='Processed Non-zero TRI Data'!$X:$X),0)),"N/A - Facility Does Not Report to TRI")))</f>
        <v>N/A - Facility Does Not Report to TRI</v>
      </c>
      <c r="AR107" s="260">
        <f t="shared" si="47"/>
        <v>0</v>
      </c>
      <c r="AS107" s="260">
        <f t="shared" si="48"/>
        <v>9.4559119999999997E-2</v>
      </c>
    </row>
    <row r="108" spans="1:45" ht="30" x14ac:dyDescent="0.25">
      <c r="A108" s="12">
        <v>105</v>
      </c>
      <c r="B108" s="10" t="str">
        <f>IFERROR("TRI Form "&amp; VLOOKUP(I108, 'Processed Non-zero TRI Data'!$I$2:$K$6, 3, FALSE), "DMR")</f>
        <v>DMR</v>
      </c>
      <c r="C108" s="181" t="e">
        <f>VLOOKUP(D108,#REF!, 2, FALSE)</f>
        <v>#REF!</v>
      </c>
      <c r="D108" s="181" t="str">
        <f>IF(I108&lt;&gt;"",INDEX('Processed Non-zero TRI Data'!$O:$O,MATCH(I108,'Processed Non-zero TRI Data'!$I:$I,0)),INDEX('Processed Non-zero DMR Data'!$S:$S,MATCH(J108,'Processed Non-zero DMR Data'!$I:$I,0)))</f>
        <v>Waste Handling, Disposal and Treatment (Landfill)</v>
      </c>
      <c r="E108" s="181" t="str">
        <f>IF(I108&lt;&gt;"",INDEX('Processed Non-zero TRI Data'!$P:$P,MATCH(I108,'Processed Non-zero TRI Data'!$I:$I,0)),INDEX('Processed Non-zero DMR Data'!$T:$T,MATCH(J108,'Processed Non-zero DMR Data'!$I:$I,0)))</f>
        <v>Landfill based on site name</v>
      </c>
      <c r="F108" s="9" t="str">
        <f>_xlfn.XLOOKUP(J108, 'Processed Non-zero DMR Data'!I:I, 'Processed Non-zero DMR Data'!B:B)</f>
        <v>SCHUYLER FALLS CLOSED LANDFILL</v>
      </c>
      <c r="G108" s="9" t="str">
        <f>_xlfn.XLOOKUP(J108, 'Processed Non-zero DMR Data'!I:I, 'Processed Non-zero DMR Data'!C:C)</f>
        <v>SCHUYLER FALLS</v>
      </c>
      <c r="H108" s="9" t="str">
        <f>_xlfn.XLOOKUP(J108, 'Processed Non-zero DMR Data'!I:I, 'Processed Non-zero DMR Data'!E:E)</f>
        <v>NY</v>
      </c>
      <c r="I108" s="12"/>
      <c r="J108" s="13">
        <v>110064786085</v>
      </c>
      <c r="K108" s="9" t="str">
        <f>IFERROR(INDEX('Raw Non-zero DMR Data'!$C:$C, MATCH(J108,'Raw Non-zero DMR Data'!$D:$D,0)),"")</f>
        <v>NY0256552</v>
      </c>
      <c r="L108" s="9" t="str">
        <f>IFERROR(INDEX('Raw Non-zero DMR Data'!$U:$U, MATCH($J108,'Raw Non-zero DMR Data'!$D:$D,0)),"")</f>
        <v>Saranac River</v>
      </c>
      <c r="M108" s="155" t="str">
        <f>IFERROR(INDEX('Raw Non-zero DMR Data'!$T:$T, MATCH($J108,'Raw Non-zero DMR Data'!$D:$D,0)),"")</f>
        <v>041504060504</v>
      </c>
      <c r="N108" s="155" t="str">
        <f>IFERROR(INDEX('Off-site Locations'!$E:$E,MATCH(I108,'Off-site Locations'!$B:$B,0)),"No offsite transfers")</f>
        <v>No offsite transfers</v>
      </c>
      <c r="O108" s="165">
        <f>INDEX('TRI and DMR OES Summary'!D:D,MATCH('Facility Discharge Summary'!D108,'TRI and DMR OES Summary'!A:A,0))</f>
        <v>250</v>
      </c>
      <c r="P108" s="17" cm="1">
        <f t="array" ref="P108">IFERROR(_xlfn.XLOOKUP(1,  (MAX(IF(J108 = 'Processed Non-zero DMR Data'!$I$2:$I$651,'Processed Non-zero DMR Data'!$A$2:$A$651)) = 'Processed Non-zero DMR Data'!$A$2:$A$651)*('Processed Non-zero DMR Data'!$I$2:$I$651 = J108),'Processed Non-zero DMR Data'!$W$2:$W$651), "N/A- Facility Does Not Report DMRs")</f>
        <v>6.6826338127499996E-2</v>
      </c>
      <c r="Q108" s="10">
        <f t="shared" si="35"/>
        <v>2.6730535250999999E-4</v>
      </c>
      <c r="R108" s="10" cm="1">
        <f t="array" ref="R108">IF(COUNTIF('Processed Non-zero DMR Data'!$I:$I,$J108)&gt;0,MEDIAN(IF('Processed Non-zero DMR Data'!$I:$I=J108,'Processed Non-zero DMR Data'!$W:$W)),"N/A - Facility Does Not Report DMRs")</f>
        <v>6.6826338127499996E-2</v>
      </c>
      <c r="S108" s="10">
        <f t="shared" si="36"/>
        <v>2.6730535250999999E-4</v>
      </c>
      <c r="T108" s="10">
        <f>IF(COUNTIF('Processed Non-zero DMR Data'!$I:$I,$J108)&gt;0,_xlfn.MAXIFS('Processed Non-zero DMR Data'!$W:$W,'Processed Non-zero DMR Data'!$I:$I,$J108), "N/A - Facility Does Not Report DMRs")</f>
        <v>0.21013461751250001</v>
      </c>
      <c r="U108" s="10">
        <f t="shared" si="37"/>
        <v>8.4053847005000006E-4</v>
      </c>
      <c r="V108" s="158" cm="1">
        <f t="array" ref="V108">IF(COUNTIF('Processed Non-zero DMR Data'!$I:$I,$J108)&gt;0,INDEX('Processed Non-zero DMR Data'!$A:$A,MATCH(1,($J108='Processed Non-zero DMR Data'!$I:$I)*($T108='Processed Non-zero DMR Data'!$W:$W),0)), "N/A - Facility Does Not Report DMRs")</f>
        <v>2021</v>
      </c>
      <c r="W108" s="17" t="str" cm="1">
        <f t="array" ref="W108">IFERROR(_xlfn.XLOOKUP(1,  (MAX(IF(I108 = 'Processed Non-zero TRI Data'!$I$2:$I$6,'Processed Non-zero TRI Data'!$A$2:$A$6)) = 'Processed Non-zero TRI Data'!$A$2:$A$6)*('Processed Non-zero TRI Data'!$I$2:$I$6 = I108), 'Processed Non-zero TRI Data'!$T$2:$T$6), "N/A- Facility Does Not Report to TRI")</f>
        <v>N/A- Facility Does Not Report to TRI</v>
      </c>
      <c r="X108" s="10" t="str">
        <f t="shared" si="38"/>
        <v>N/A - Facility Does Not Report to TRI</v>
      </c>
      <c r="Y108" s="10" t="str" cm="1">
        <f t="array" ref="Y108">IF(COUNTIF('Processed Non-zero TRI Data'!$I:$I,$I108)&gt;0,MEDIAN(IF('Processed Non-zero TRI Data'!$I:$I=I108,'Processed Non-zero TRI Data'!$T:$T)), "N/A - Facility Does Not Report to TRI")</f>
        <v>N/A - Facility Does Not Report to TRI</v>
      </c>
      <c r="Z108" s="10" t="str">
        <f t="shared" si="39"/>
        <v>N/A - Facility Does Not Report to TRI</v>
      </c>
      <c r="AA108" s="10" t="str">
        <f>IF(COUNTIF('Processed Non-zero TRI Data'!$I:$I,$I108)&gt;0,_xlfn.MAXIFS('Processed Non-zero TRI Data'!$T:$T,'Processed Non-zero TRI Data'!$I:$I,$I108), "N/A - Facility Does Not Report to TRI")</f>
        <v>N/A - Facility Does Not Report to TRI</v>
      </c>
      <c r="AB108" s="10" t="str">
        <f t="shared" si="40"/>
        <v>N/A - Facility Does Not Report to TRI</v>
      </c>
      <c r="AC108" s="158" t="str" cm="1">
        <f t="array" ref="AC108">IFERROR(IF(B108 = "TRI Form R", IF(AA108 = 0, "Facility has no on-site water discharges between 2017-2022.",  IF(COUNTIF('Processed Non-zero TRI Data'!$I:$I,$I108)&gt;0,INDEX('Processed Non-zero TRI Data'!$A:$A,MATCH(1,($I108='Processed Non-zero TRI Data'!$I:$I)*(AA108='Processed Non-zero TRI Data'!$T:$T),0)))), VLOOKUP(I108,#REF!, 2, FALSE)), ("N/A - Facility Does Not Report to TRI"))</f>
        <v>N/A - Facility Does Not Report to TRI</v>
      </c>
      <c r="AD108" s="97" t="str" cm="1">
        <f t="array" ref="AD108">IFERROR(_xlfn.XLOOKUP(1,  (MAX(IF(I108 = 'Processed Non-zero TRI Data'!$I$2:$I$6,'Processed Non-zero TRI Data'!$A$2:$A$6)) = 'Processed Non-zero TRI Data'!$A$2:$A$6)*('Processed Non-zero TRI Data'!$I$2:$I$6 = I108), 'Processed Non-zero TRI Data'!$V$2:$V$6), "N/A- Facility Does Not Report to TRI")</f>
        <v>N/A- Facility Does Not Report to TRI</v>
      </c>
      <c r="AE108" s="9" t="str">
        <f t="shared" si="41"/>
        <v>N/A - Facility Does Not Report to TRI</v>
      </c>
      <c r="AF108" s="9" t="str" cm="1">
        <f t="array" ref="AF108">IF(COUNTIF('Processed Non-zero TRI Data'!$I:$I,$I108)&gt;0,MEDIAN(IF('Processed Non-zero TRI Data'!$I:$I=I108,'Processed Non-zero TRI Data'!$V:$V)), "N/A - Facility Does Not Report to TRI")</f>
        <v>N/A - Facility Does Not Report to TRI</v>
      </c>
      <c r="AG108" s="9" t="str">
        <f t="shared" si="42"/>
        <v>N/A - Facility Does Not Report to TRI</v>
      </c>
      <c r="AH108" s="9" t="str">
        <f>IF(COUNTIF('Processed Non-zero TRI Data'!$I:$I,$I108)&gt;0,_xlfn.MAXIFS('Processed Non-zero TRI Data'!$V:$V,'Processed Non-zero TRI Data'!$I:$I,$I108), "N/A - Facility Does Not Report to TRI")</f>
        <v>N/A - Facility Does Not Report to TRI</v>
      </c>
      <c r="AI108" s="9" t="str">
        <f t="shared" si="43"/>
        <v>N/A - Facility Does Not Report to TRI</v>
      </c>
      <c r="AJ108" s="158" t="str" cm="1">
        <f t="array" ref="AJ108">IF(B108="TRI Form A",AC108,IF(AH108=0,"Facility has no transfers to POTWs between 2019-2023.",IF(COUNTIF('Processed Non-zero TRI Data'!$I:$I,$I108)&gt;0,INDEX('Processed Non-zero TRI Data'!$A:$A,MATCH(1,($I108='Processed Non-zero TRI Data'!$I:$I)*(AH108='Processed Non-zero TRI Data'!$V:$V),0)),"N/A - Facility Does Not Report to TRI")))</f>
        <v>N/A - Facility Does Not Report to TRI</v>
      </c>
      <c r="AK108" s="97" t="str" cm="1">
        <f t="array" ref="AK108">IFERROR(_xlfn.XLOOKUP(1,  (MAX(IF(I108 = 'Processed Non-zero TRI Data'!$I$2:$I$6,'Processed Non-zero TRI Data'!$A$2:$A$6)) = 'Processed Non-zero TRI Data'!$A$2:$A$6)*('Processed Non-zero TRI Data'!$I$2:$I$6 = I108), 'Processed Non-zero TRI Data'!$X$2:$X$6), "N/A- Facility Does Not Report to TRI")</f>
        <v>N/A- Facility Does Not Report to TRI</v>
      </c>
      <c r="AL108" s="9" t="str">
        <f t="shared" si="44"/>
        <v>N/A - Facility Does Not Report to TRI</v>
      </c>
      <c r="AM108" s="9" t="str" cm="1">
        <f t="array" ref="AM108">IF(COUNTIF('Processed Non-zero TRI Data'!$I:$I,$I108)&gt;0,MEDIAN(IF('Processed Non-zero TRI Data'!$I:$I=I108,'Processed Non-zero TRI Data'!$X:$X)), "N/A - Facility Does Not Report to TRI")</f>
        <v>N/A - Facility Does Not Report to TRI</v>
      </c>
      <c r="AN108" s="9" t="str">
        <f t="shared" si="45"/>
        <v>N/A - Facility Does Not Report to TRI</v>
      </c>
      <c r="AO108" s="9" t="str">
        <f>IF(COUNTIF('Processed Non-zero TRI Data'!$I:$I,$I108)&gt;0,_xlfn.MAXIFS('Processed Non-zero TRI Data'!$X:$X,'Processed Non-zero TRI Data'!$I:$I,$I108), "N/A - Facility Does Not Report to TRI")</f>
        <v>N/A - Facility Does Not Report to TRI</v>
      </c>
      <c r="AP108" s="9" t="str">
        <f t="shared" si="46"/>
        <v>N/A - Facility Does Not Report to TRI</v>
      </c>
      <c r="AQ108" s="251" t="str" cm="1">
        <f t="array" ref="AQ108">IF(B108="TRI Form A",AC108,IF(AO108=0,"Facility has no transfers to non-POTWs between 2019-2023.",IF(COUNTIF('Processed Non-zero TRI Data'!$I:$I,$I108)&gt;0,INDEX('Processed Non-zero TRI Data'!$A:$A,MATCH(1,($I108='Processed Non-zero TRI Data'!$I:$I)*(AO108='Processed Non-zero TRI Data'!$X:$X),0)),"N/A - Facility Does Not Report to TRI")))</f>
        <v>N/A - Facility Does Not Report to TRI</v>
      </c>
      <c r="AR108" s="260">
        <f t="shared" si="47"/>
        <v>0</v>
      </c>
      <c r="AS108" s="260">
        <f t="shared" si="48"/>
        <v>0.21013461751250001</v>
      </c>
    </row>
    <row r="109" spans="1:45" ht="45" x14ac:dyDescent="0.25">
      <c r="A109" s="12">
        <v>106</v>
      </c>
      <c r="B109" s="10" t="str">
        <f>IFERROR("TRI Form "&amp; VLOOKUP(I109, 'Processed Non-zero TRI Data'!$I$2:$K$6, 3, FALSE), "DMR")</f>
        <v>DMR</v>
      </c>
      <c r="C109" s="181" t="e">
        <f>VLOOKUP(D109,#REF!, 2, FALSE)</f>
        <v>#REF!</v>
      </c>
      <c r="D109" s="181" t="str">
        <f>IF(I109&lt;&gt;"",INDEX('Processed Non-zero TRI Data'!$O:$O,MATCH(I109,'Processed Non-zero TRI Data'!$I:$I,0)),INDEX('Processed Non-zero DMR Data'!$S:$S,MATCH(J109,'Processed Non-zero DMR Data'!$I:$I,0)))</f>
        <v>Impurity in Plastics</v>
      </c>
      <c r="E109" s="181" t="str">
        <f>IF(I109&lt;&gt;"",INDEX('Processed Non-zero TRI Data'!$P:$P,MATCH(I109,'Processed Non-zero TRI Data'!$I:$I,0)),INDEX('Processed Non-zero DMR Data'!$T:$T,MATCH(J109,'Processed Non-zero DMR Data'!$I:$I,0)))</f>
        <v>Plastics SIC/NAICS - EPA-HQ-OPPT-2018-0428-0011 indicates 1,2-dichloropropane can be a residual/byproduct in PVC plastics or a flame retardant plasticizer.</v>
      </c>
      <c r="F109" s="9" t="str">
        <f>_xlfn.XLOOKUP(J109, 'Processed Non-zero DMR Data'!I:I, 'Processed Non-zero DMR Data'!B:B)</f>
        <v>BVPV STYRENICS LLC/BEAVER</v>
      </c>
      <c r="G109" s="9" t="str">
        <f>_xlfn.XLOOKUP(J109, 'Processed Non-zero DMR Data'!I:I, 'Processed Non-zero DMR Data'!C:C)</f>
        <v>MONACA</v>
      </c>
      <c r="H109" s="9" t="str">
        <f>_xlfn.XLOOKUP(J109, 'Processed Non-zero DMR Data'!I:I, 'Processed Non-zero DMR Data'!E:E)</f>
        <v>PA</v>
      </c>
      <c r="I109" s="12"/>
      <c r="J109" s="13">
        <v>110059344473</v>
      </c>
      <c r="K109" s="9" t="str">
        <f>IFERROR(INDEX('Raw Non-zero DMR Data'!$C:$C, MATCH(J109,'Raw Non-zero DMR Data'!$D:$D,0)),"")</f>
        <v>PA0006254</v>
      </c>
      <c r="L109" s="9" t="str">
        <f>IFERROR(INDEX('Raw Non-zero DMR Data'!$U:$U, MATCH($J109,'Raw Non-zero DMR Data'!$D:$D,0)),"")</f>
        <v>Sixmile Run-Ohio River</v>
      </c>
      <c r="M109" s="155" t="str">
        <f>IFERROR(INDEX('Raw Non-zero DMR Data'!$T:$T, MATCH($J109,'Raw Non-zero DMR Data'!$D:$D,0)),"")</f>
        <v>050301010310</v>
      </c>
      <c r="N109" s="155" t="str">
        <f>IFERROR(INDEX('Off-site Locations'!$E:$E,MATCH(I109,'Off-site Locations'!$B:$B,0)),"No offsite transfers")</f>
        <v>No offsite transfers</v>
      </c>
      <c r="O109" s="165">
        <f>INDEX('TRI and DMR OES Summary'!D:D,MATCH('Facility Discharge Summary'!D109,'TRI and DMR OES Summary'!A:A,0))</f>
        <v>350</v>
      </c>
      <c r="P109" s="17" cm="1">
        <f t="array" ref="P109">IFERROR(_xlfn.XLOOKUP(1,  (MAX(IF(J109 = 'Processed Non-zero DMR Data'!$I$2:$I$651,'Processed Non-zero DMR Data'!$A$2:$A$651)) = 'Processed Non-zero DMR Data'!$A$2:$A$651)*('Processed Non-zero DMR Data'!$I$2:$I$651 = J109),'Processed Non-zero DMR Data'!$W$2:$W$651), "N/A- Facility Does Not Report DMRs")</f>
        <v>0.57998499999999997</v>
      </c>
      <c r="Q109" s="10">
        <f t="shared" si="35"/>
        <v>1.6570999999999999E-3</v>
      </c>
      <c r="R109" s="10" cm="1">
        <f t="array" ref="R109">IF(COUNTIF('Processed Non-zero DMR Data'!$I:$I,$J109)&gt;0,MEDIAN(IF('Processed Non-zero DMR Data'!$I:$I=J109,'Processed Non-zero DMR Data'!$W:$W)),"N/A - Facility Does Not Report DMRs")</f>
        <v>0.57998499999999997</v>
      </c>
      <c r="S109" s="10">
        <f t="shared" si="36"/>
        <v>1.6570999999999999E-3</v>
      </c>
      <c r="T109" s="10">
        <f>IF(COUNTIF('Processed Non-zero DMR Data'!$I:$I,$J109)&gt;0,_xlfn.MAXIFS('Processed Non-zero DMR Data'!$W:$W,'Processed Non-zero DMR Data'!$I:$I,$J109), "N/A - Facility Does Not Report DMRs")</f>
        <v>0.66283999999999998</v>
      </c>
      <c r="U109" s="10">
        <f t="shared" si="37"/>
        <v>1.8938285714285713E-3</v>
      </c>
      <c r="V109" s="158" cm="1">
        <f t="array" ref="V109">IF(COUNTIF('Processed Non-zero DMR Data'!$I:$I,$J109)&gt;0,INDEX('Processed Non-zero DMR Data'!$A:$A,MATCH(1,($J109='Processed Non-zero DMR Data'!$I:$I)*($T109='Processed Non-zero DMR Data'!$W:$W),0)), "N/A - Facility Does Not Report DMRs")</f>
        <v>2019</v>
      </c>
      <c r="W109" s="17" t="str" cm="1">
        <f t="array" ref="W109">IFERROR(_xlfn.XLOOKUP(1,  (MAX(IF(I109 = 'Processed Non-zero TRI Data'!$I$2:$I$6,'Processed Non-zero TRI Data'!$A$2:$A$6)) = 'Processed Non-zero TRI Data'!$A$2:$A$6)*('Processed Non-zero TRI Data'!$I$2:$I$6 = I109), 'Processed Non-zero TRI Data'!$T$2:$T$6), "N/A- Facility Does Not Report to TRI")</f>
        <v>N/A- Facility Does Not Report to TRI</v>
      </c>
      <c r="X109" s="10" t="str">
        <f t="shared" si="38"/>
        <v>N/A - Facility Does Not Report to TRI</v>
      </c>
      <c r="Y109" s="10" t="str" cm="1">
        <f t="array" ref="Y109">IF(COUNTIF('Processed Non-zero TRI Data'!$I:$I,$I109)&gt;0,MEDIAN(IF('Processed Non-zero TRI Data'!$I:$I=I109,'Processed Non-zero TRI Data'!$T:$T)), "N/A - Facility Does Not Report to TRI")</f>
        <v>N/A - Facility Does Not Report to TRI</v>
      </c>
      <c r="Z109" s="10" t="str">
        <f t="shared" si="39"/>
        <v>N/A - Facility Does Not Report to TRI</v>
      </c>
      <c r="AA109" s="10" t="str">
        <f>IF(COUNTIF('Processed Non-zero TRI Data'!$I:$I,$I109)&gt;0,_xlfn.MAXIFS('Processed Non-zero TRI Data'!$T:$T,'Processed Non-zero TRI Data'!$I:$I,$I109), "N/A - Facility Does Not Report to TRI")</f>
        <v>N/A - Facility Does Not Report to TRI</v>
      </c>
      <c r="AB109" s="10" t="str">
        <f t="shared" si="40"/>
        <v>N/A - Facility Does Not Report to TRI</v>
      </c>
      <c r="AC109" s="158" t="str" cm="1">
        <f t="array" ref="AC109">IFERROR(IF(B109 = "TRI Form R", IF(AA109 = 0, "Facility has no on-site water discharges between 2017-2022.",  IF(COUNTIF('Processed Non-zero TRI Data'!$I:$I,$I109)&gt;0,INDEX('Processed Non-zero TRI Data'!$A:$A,MATCH(1,($I109='Processed Non-zero TRI Data'!$I:$I)*(AA109='Processed Non-zero TRI Data'!$T:$T),0)))), VLOOKUP(I109,#REF!, 2, FALSE)), ("N/A - Facility Does Not Report to TRI"))</f>
        <v>N/A - Facility Does Not Report to TRI</v>
      </c>
      <c r="AD109" s="97" t="str" cm="1">
        <f t="array" ref="AD109">IFERROR(_xlfn.XLOOKUP(1,  (MAX(IF(I109 = 'Processed Non-zero TRI Data'!$I$2:$I$6,'Processed Non-zero TRI Data'!$A$2:$A$6)) = 'Processed Non-zero TRI Data'!$A$2:$A$6)*('Processed Non-zero TRI Data'!$I$2:$I$6 = I109), 'Processed Non-zero TRI Data'!$V$2:$V$6), "N/A- Facility Does Not Report to TRI")</f>
        <v>N/A- Facility Does Not Report to TRI</v>
      </c>
      <c r="AE109" s="9" t="str">
        <f t="shared" si="41"/>
        <v>N/A - Facility Does Not Report to TRI</v>
      </c>
      <c r="AF109" s="9" t="str" cm="1">
        <f t="array" ref="AF109">IF(COUNTIF('Processed Non-zero TRI Data'!$I:$I,$I109)&gt;0,MEDIAN(IF('Processed Non-zero TRI Data'!$I:$I=I109,'Processed Non-zero TRI Data'!$V:$V)), "N/A - Facility Does Not Report to TRI")</f>
        <v>N/A - Facility Does Not Report to TRI</v>
      </c>
      <c r="AG109" s="9" t="str">
        <f t="shared" si="42"/>
        <v>N/A - Facility Does Not Report to TRI</v>
      </c>
      <c r="AH109" s="9" t="str">
        <f>IF(COUNTIF('Processed Non-zero TRI Data'!$I:$I,$I109)&gt;0,_xlfn.MAXIFS('Processed Non-zero TRI Data'!$V:$V,'Processed Non-zero TRI Data'!$I:$I,$I109), "N/A - Facility Does Not Report to TRI")</f>
        <v>N/A - Facility Does Not Report to TRI</v>
      </c>
      <c r="AI109" s="9" t="str">
        <f t="shared" si="43"/>
        <v>N/A - Facility Does Not Report to TRI</v>
      </c>
      <c r="AJ109" s="158" t="str" cm="1">
        <f t="array" ref="AJ109">IF(B109="TRI Form A",AC109,IF(AH109=0,"Facility has no transfers to POTWs between 2019-2023.",IF(COUNTIF('Processed Non-zero TRI Data'!$I:$I,$I109)&gt;0,INDEX('Processed Non-zero TRI Data'!$A:$A,MATCH(1,($I109='Processed Non-zero TRI Data'!$I:$I)*(AH109='Processed Non-zero TRI Data'!$V:$V),0)),"N/A - Facility Does Not Report to TRI")))</f>
        <v>N/A - Facility Does Not Report to TRI</v>
      </c>
      <c r="AK109" s="97" t="str" cm="1">
        <f t="array" ref="AK109">IFERROR(_xlfn.XLOOKUP(1,  (MAX(IF(I109 = 'Processed Non-zero TRI Data'!$I$2:$I$6,'Processed Non-zero TRI Data'!$A$2:$A$6)) = 'Processed Non-zero TRI Data'!$A$2:$A$6)*('Processed Non-zero TRI Data'!$I$2:$I$6 = I109), 'Processed Non-zero TRI Data'!$X$2:$X$6), "N/A- Facility Does Not Report to TRI")</f>
        <v>N/A- Facility Does Not Report to TRI</v>
      </c>
      <c r="AL109" s="9" t="str">
        <f t="shared" si="44"/>
        <v>N/A - Facility Does Not Report to TRI</v>
      </c>
      <c r="AM109" s="9" t="str" cm="1">
        <f t="array" ref="AM109">IF(COUNTIF('Processed Non-zero TRI Data'!$I:$I,$I109)&gt;0,MEDIAN(IF('Processed Non-zero TRI Data'!$I:$I=I109,'Processed Non-zero TRI Data'!$X:$X)), "N/A - Facility Does Not Report to TRI")</f>
        <v>N/A - Facility Does Not Report to TRI</v>
      </c>
      <c r="AN109" s="9" t="str">
        <f t="shared" si="45"/>
        <v>N/A - Facility Does Not Report to TRI</v>
      </c>
      <c r="AO109" s="9" t="str">
        <f>IF(COUNTIF('Processed Non-zero TRI Data'!$I:$I,$I109)&gt;0,_xlfn.MAXIFS('Processed Non-zero TRI Data'!$X:$X,'Processed Non-zero TRI Data'!$I:$I,$I109), "N/A - Facility Does Not Report to TRI")</f>
        <v>N/A - Facility Does Not Report to TRI</v>
      </c>
      <c r="AP109" s="9" t="str">
        <f t="shared" si="46"/>
        <v>N/A - Facility Does Not Report to TRI</v>
      </c>
      <c r="AQ109" s="251" t="str" cm="1">
        <f t="array" ref="AQ109">IF(B109="TRI Form A",AC109,IF(AO109=0,"Facility has no transfers to non-POTWs between 2019-2023.",IF(COUNTIF('Processed Non-zero TRI Data'!$I:$I,$I109)&gt;0,INDEX('Processed Non-zero TRI Data'!$A:$A,MATCH(1,($I109='Processed Non-zero TRI Data'!$I:$I)*(AO109='Processed Non-zero TRI Data'!$X:$X),0)),"N/A - Facility Does Not Report to TRI")))</f>
        <v>N/A - Facility Does Not Report to TRI</v>
      </c>
      <c r="AR109" s="260">
        <f t="shared" si="47"/>
        <v>0</v>
      </c>
      <c r="AS109" s="260">
        <f t="shared" si="48"/>
        <v>0.66283999999999998</v>
      </c>
    </row>
    <row r="110" spans="1:45" ht="30" x14ac:dyDescent="0.25">
      <c r="A110" s="12">
        <v>107</v>
      </c>
      <c r="B110" s="10" t="str">
        <f>IFERROR("TRI Form "&amp; VLOOKUP(I110, 'Processed Non-zero TRI Data'!$I$2:$K$6, 3, FALSE), "DMR")</f>
        <v>DMR</v>
      </c>
      <c r="C110" s="181" t="e">
        <f>VLOOKUP(D110,#REF!, 2, FALSE)</f>
        <v>#REF!</v>
      </c>
      <c r="D110" s="181" t="str">
        <f>IF(I110&lt;&gt;"",INDEX('Processed Non-zero TRI Data'!$O:$O,MATCH(I110,'Processed Non-zero TRI Data'!$I:$I,0)),INDEX('Processed Non-zero DMR Data'!$S:$S,MATCH(J110,'Processed Non-zero DMR Data'!$I:$I,0)))</f>
        <v>Processing as a reactant</v>
      </c>
      <c r="E110" s="181" t="str">
        <f>IF(I110&lt;&gt;"",INDEX('Processed Non-zero TRI Data'!$P:$P,MATCH(I110,'Processed Non-zero TRI Data'!$I:$I,0)),INDEX('Processed Non-zero DMR Data'!$T:$T,MATCH(J110,'Processed Non-zero DMR Data'!$I:$I,0)))</f>
        <v>Ethyl acetate manufacturer; assumed processing as a reactant.</v>
      </c>
      <c r="F110" s="9" t="str">
        <f>_xlfn.XLOOKUP(J110, 'Processed Non-zero DMR Data'!I:I, 'Processed Non-zero DMR Data'!B:B)</f>
        <v>VIRIDIS CHEMICAL</v>
      </c>
      <c r="G110" s="9" t="str">
        <f>_xlfn.XLOOKUP(J110, 'Processed Non-zero DMR Data'!I:I, 'Processed Non-zero DMR Data'!C:C)</f>
        <v>COLUMBUS</v>
      </c>
      <c r="H110" s="9" t="str">
        <f>_xlfn.XLOOKUP(J110, 'Processed Non-zero DMR Data'!I:I, 'Processed Non-zero DMR Data'!E:E)</f>
        <v>NE</v>
      </c>
      <c r="I110" s="12"/>
      <c r="J110" s="13">
        <v>110070246981</v>
      </c>
      <c r="K110" s="9" t="str">
        <f>IFERROR(INDEX('Raw Non-zero DMR Data'!$C:$C, MATCH(J110,'Raw Non-zero DMR Data'!$D:$D,0)),"")</f>
        <v>NE0139556</v>
      </c>
      <c r="L110" s="9" t="str">
        <f>IFERROR(INDEX('Raw Non-zero DMR Data'!$U:$U, MATCH($J110,'Raw Non-zero DMR Data'!$D:$D,0)),"")</f>
        <v>Headwaters Lost Creek</v>
      </c>
      <c r="M110" s="155">
        <f>IFERROR(INDEX('Raw Non-zero DMR Data'!$T:$T, MATCH($J110,'Raw Non-zero DMR Data'!$D:$D,0)),"")</f>
        <v>102002010302</v>
      </c>
      <c r="N110" s="155" t="str">
        <f>IFERROR(INDEX('Off-site Locations'!$E:$E,MATCH(I110,'Off-site Locations'!$B:$B,0)),"No offsite transfers")</f>
        <v>No offsite transfers</v>
      </c>
      <c r="O110" s="165">
        <f>INDEX('TRI and DMR OES Summary'!D:D,MATCH('Facility Discharge Summary'!D110,'TRI and DMR OES Summary'!A:A,0))</f>
        <v>350</v>
      </c>
      <c r="P110" s="17" cm="1">
        <f t="array" ref="P110">IFERROR(_xlfn.XLOOKUP(1,  (MAX(IF(J110 = 'Processed Non-zero DMR Data'!$I$2:$I$651,'Processed Non-zero DMR Data'!$A$2:$A$651)) = 'Processed Non-zero DMR Data'!$A$2:$A$651)*('Processed Non-zero DMR Data'!$I$2:$I$651 = J110),'Processed Non-zero DMR Data'!$W$2:$W$651), "N/A- Facility Does Not Report DMRs")</f>
        <v>0.27600000000000002</v>
      </c>
      <c r="Q110" s="10">
        <f t="shared" si="35"/>
        <v>7.8857142857142863E-4</v>
      </c>
      <c r="R110" s="10" cm="1">
        <f t="array" ref="R110">IF(COUNTIF('Processed Non-zero DMR Data'!$I:$I,$J110)&gt;0,MEDIAN(IF('Processed Non-zero DMR Data'!$I:$I=J110,'Processed Non-zero DMR Data'!$W:$W)),"N/A - Facility Does Not Report DMRs")</f>
        <v>0.27600000000000002</v>
      </c>
      <c r="S110" s="10">
        <f t="shared" si="36"/>
        <v>7.8857142857142863E-4</v>
      </c>
      <c r="T110" s="10">
        <f>IF(COUNTIF('Processed Non-zero DMR Data'!$I:$I,$J110)&gt;0,_xlfn.MAXIFS('Processed Non-zero DMR Data'!$W:$W,'Processed Non-zero DMR Data'!$I:$I,$J110), "N/A - Facility Does Not Report DMRs")</f>
        <v>0.27600000000000002</v>
      </c>
      <c r="U110" s="10">
        <f t="shared" si="37"/>
        <v>7.8857142857142863E-4</v>
      </c>
      <c r="V110" s="158" cm="1">
        <f t="array" ref="V110">IF(COUNTIF('Processed Non-zero DMR Data'!$I:$I,$J110)&gt;0,INDEX('Processed Non-zero DMR Data'!$A:$A,MATCH(1,($J110='Processed Non-zero DMR Data'!$I:$I)*($T110='Processed Non-zero DMR Data'!$W:$W),0)), "N/A - Facility Does Not Report DMRs")</f>
        <v>2019</v>
      </c>
      <c r="W110" s="17" t="str" cm="1">
        <f t="array" ref="W110">IFERROR(_xlfn.XLOOKUP(1,  (MAX(IF(I110 = 'Processed Non-zero TRI Data'!$I$2:$I$6,'Processed Non-zero TRI Data'!$A$2:$A$6)) = 'Processed Non-zero TRI Data'!$A$2:$A$6)*('Processed Non-zero TRI Data'!$I$2:$I$6 = I110), 'Processed Non-zero TRI Data'!$T$2:$T$6), "N/A- Facility Does Not Report to TRI")</f>
        <v>N/A- Facility Does Not Report to TRI</v>
      </c>
      <c r="X110" s="10" t="str">
        <f t="shared" si="38"/>
        <v>N/A - Facility Does Not Report to TRI</v>
      </c>
      <c r="Y110" s="10" t="str" cm="1">
        <f t="array" ref="Y110">IF(COUNTIF('Processed Non-zero TRI Data'!$I:$I,$I110)&gt;0,MEDIAN(IF('Processed Non-zero TRI Data'!$I:$I=I110,'Processed Non-zero TRI Data'!$T:$T)), "N/A - Facility Does Not Report to TRI")</f>
        <v>N/A - Facility Does Not Report to TRI</v>
      </c>
      <c r="Z110" s="10" t="str">
        <f t="shared" si="39"/>
        <v>N/A - Facility Does Not Report to TRI</v>
      </c>
      <c r="AA110" s="10" t="str">
        <f>IF(COUNTIF('Processed Non-zero TRI Data'!$I:$I,$I110)&gt;0,_xlfn.MAXIFS('Processed Non-zero TRI Data'!$T:$T,'Processed Non-zero TRI Data'!$I:$I,$I110), "N/A - Facility Does Not Report to TRI")</f>
        <v>N/A - Facility Does Not Report to TRI</v>
      </c>
      <c r="AB110" s="10" t="str">
        <f t="shared" si="40"/>
        <v>N/A - Facility Does Not Report to TRI</v>
      </c>
      <c r="AC110" s="158" t="str" cm="1">
        <f t="array" ref="AC110">IFERROR(IF(B110 = "TRI Form R", IF(AA110 = 0, "Facility has no on-site water discharges between 2017-2022.",  IF(COUNTIF('Processed Non-zero TRI Data'!$I:$I,$I110)&gt;0,INDEX('Processed Non-zero TRI Data'!$A:$A,MATCH(1,($I110='Processed Non-zero TRI Data'!$I:$I)*(AA110='Processed Non-zero TRI Data'!$T:$T),0)))), VLOOKUP(I110,#REF!, 2, FALSE)), ("N/A - Facility Does Not Report to TRI"))</f>
        <v>N/A - Facility Does Not Report to TRI</v>
      </c>
      <c r="AD110" s="97" t="str" cm="1">
        <f t="array" ref="AD110">IFERROR(_xlfn.XLOOKUP(1,  (MAX(IF(I110 = 'Processed Non-zero TRI Data'!$I$2:$I$6,'Processed Non-zero TRI Data'!$A$2:$A$6)) = 'Processed Non-zero TRI Data'!$A$2:$A$6)*('Processed Non-zero TRI Data'!$I$2:$I$6 = I110), 'Processed Non-zero TRI Data'!$V$2:$V$6), "N/A- Facility Does Not Report to TRI")</f>
        <v>N/A- Facility Does Not Report to TRI</v>
      </c>
      <c r="AE110" s="9" t="str">
        <f t="shared" si="41"/>
        <v>N/A - Facility Does Not Report to TRI</v>
      </c>
      <c r="AF110" s="9" t="str" cm="1">
        <f t="array" ref="AF110">IF(COUNTIF('Processed Non-zero TRI Data'!$I:$I,$I110)&gt;0,MEDIAN(IF('Processed Non-zero TRI Data'!$I:$I=I110,'Processed Non-zero TRI Data'!$V:$V)), "N/A - Facility Does Not Report to TRI")</f>
        <v>N/A - Facility Does Not Report to TRI</v>
      </c>
      <c r="AG110" s="9" t="str">
        <f t="shared" si="42"/>
        <v>N/A - Facility Does Not Report to TRI</v>
      </c>
      <c r="AH110" s="9" t="str">
        <f>IF(COUNTIF('Processed Non-zero TRI Data'!$I:$I,$I110)&gt;0,_xlfn.MAXIFS('Processed Non-zero TRI Data'!$V:$V,'Processed Non-zero TRI Data'!$I:$I,$I110), "N/A - Facility Does Not Report to TRI")</f>
        <v>N/A - Facility Does Not Report to TRI</v>
      </c>
      <c r="AI110" s="9" t="str">
        <f t="shared" si="43"/>
        <v>N/A - Facility Does Not Report to TRI</v>
      </c>
      <c r="AJ110" s="158" t="str" cm="1">
        <f t="array" ref="AJ110">IF(B110="TRI Form A",AC110,IF(AH110=0,"Facility has no transfers to POTWs between 2019-2023.",IF(COUNTIF('Processed Non-zero TRI Data'!$I:$I,$I110)&gt;0,INDEX('Processed Non-zero TRI Data'!$A:$A,MATCH(1,($I110='Processed Non-zero TRI Data'!$I:$I)*(AH110='Processed Non-zero TRI Data'!$V:$V),0)),"N/A - Facility Does Not Report to TRI")))</f>
        <v>N/A - Facility Does Not Report to TRI</v>
      </c>
      <c r="AK110" s="97" t="str" cm="1">
        <f t="array" ref="AK110">IFERROR(_xlfn.XLOOKUP(1,  (MAX(IF(I110 = 'Processed Non-zero TRI Data'!$I$2:$I$6,'Processed Non-zero TRI Data'!$A$2:$A$6)) = 'Processed Non-zero TRI Data'!$A$2:$A$6)*('Processed Non-zero TRI Data'!$I$2:$I$6 = I110), 'Processed Non-zero TRI Data'!$X$2:$X$6), "N/A- Facility Does Not Report to TRI")</f>
        <v>N/A- Facility Does Not Report to TRI</v>
      </c>
      <c r="AL110" s="9" t="str">
        <f t="shared" si="44"/>
        <v>N/A - Facility Does Not Report to TRI</v>
      </c>
      <c r="AM110" s="9" t="str" cm="1">
        <f t="array" ref="AM110">IF(COUNTIF('Processed Non-zero TRI Data'!$I:$I,$I110)&gt;0,MEDIAN(IF('Processed Non-zero TRI Data'!$I:$I=I110,'Processed Non-zero TRI Data'!$X:$X)), "N/A - Facility Does Not Report to TRI")</f>
        <v>N/A - Facility Does Not Report to TRI</v>
      </c>
      <c r="AN110" s="9" t="str">
        <f t="shared" si="45"/>
        <v>N/A - Facility Does Not Report to TRI</v>
      </c>
      <c r="AO110" s="9" t="str">
        <f>IF(COUNTIF('Processed Non-zero TRI Data'!$I:$I,$I110)&gt;0,_xlfn.MAXIFS('Processed Non-zero TRI Data'!$X:$X,'Processed Non-zero TRI Data'!$I:$I,$I110), "N/A - Facility Does Not Report to TRI")</f>
        <v>N/A - Facility Does Not Report to TRI</v>
      </c>
      <c r="AP110" s="9" t="str">
        <f t="shared" si="46"/>
        <v>N/A - Facility Does Not Report to TRI</v>
      </c>
      <c r="AQ110" s="251" t="str" cm="1">
        <f t="array" ref="AQ110">IF(B110="TRI Form A",AC110,IF(AO110=0,"Facility has no transfers to non-POTWs between 2019-2023.",IF(COUNTIF('Processed Non-zero TRI Data'!$I:$I,$I110)&gt;0,INDEX('Processed Non-zero TRI Data'!$A:$A,MATCH(1,($I110='Processed Non-zero TRI Data'!$I:$I)*(AO110='Processed Non-zero TRI Data'!$X:$X),0)),"N/A - Facility Does Not Report to TRI")))</f>
        <v>N/A - Facility Does Not Report to TRI</v>
      </c>
      <c r="AR110" s="260">
        <f t="shared" si="47"/>
        <v>0</v>
      </c>
      <c r="AS110" s="260">
        <f t="shared" si="48"/>
        <v>0.27600000000000002</v>
      </c>
    </row>
    <row r="111" spans="1:45" ht="30" x14ac:dyDescent="0.25">
      <c r="A111" s="12">
        <v>108</v>
      </c>
      <c r="B111" s="10" t="str">
        <f>IFERROR("TRI Form "&amp; VLOOKUP(I111, 'Processed Non-zero TRI Data'!$I$2:$K$6, 3, FALSE), "DMR")</f>
        <v>DMR</v>
      </c>
      <c r="C111" s="181" t="e">
        <f>VLOOKUP(D111,#REF!, 2, FALSE)</f>
        <v>#REF!</v>
      </c>
      <c r="D111" s="181" t="str">
        <f>IF(I111&lt;&gt;"",INDEX('Processed Non-zero TRI Data'!$O:$O,MATCH(I111,'Processed Non-zero TRI Data'!$I:$I,0)),INDEX('Processed Non-zero DMR Data'!$S:$S,MATCH(J111,'Processed Non-zero DMR Data'!$I:$I,0)))</f>
        <v>Waste Handling, Disposal and Treatment (POTW)</v>
      </c>
      <c r="E111" s="181" t="str">
        <f>IF(I111&lt;&gt;"",INDEX('Processed Non-zero TRI Data'!$P:$P,MATCH(I111,'Processed Non-zero TRI Data'!$I:$I,0)),INDEX('Processed Non-zero DMR Data'!$T:$T,MATCH(J111,'Processed Non-zero DMR Data'!$I:$I,0)))</f>
        <v>POTW indicator in DMR</v>
      </c>
      <c r="F111" s="9" t="str">
        <f>_xlfn.XLOOKUP(J111, 'Processed Non-zero DMR Data'!I:I, 'Processed Non-zero DMR Data'!B:B)</f>
        <v>HARRAH'S NORTHERN CALIFORNIA WWTP</v>
      </c>
      <c r="G111" s="9" t="str">
        <f>_xlfn.XLOOKUP(J111, 'Processed Non-zero DMR Data'!I:I, 'Processed Non-zero DMR Data'!C:C)</f>
        <v>IONE</v>
      </c>
      <c r="H111" s="9" t="str">
        <f>_xlfn.XLOOKUP(J111, 'Processed Non-zero DMR Data'!I:I, 'Processed Non-zero DMR Data'!E:E)</f>
        <v>CA</v>
      </c>
      <c r="I111" s="12"/>
      <c r="J111" s="13">
        <v>110064616296</v>
      </c>
      <c r="K111" s="9" t="str">
        <f>IFERROR(INDEX('Raw Non-zero DMR Data'!$C:$C, MATCH(J111,'Raw Non-zero DMR Data'!$D:$D,0)),"")</f>
        <v>CA0049675</v>
      </c>
      <c r="L111" s="9" t="str">
        <f>IFERROR(INDEX('Raw Non-zero DMR Data'!$U:$U, MATCH($J111,'Raw Non-zero DMR Data'!$D:$D,0)),"")</f>
        <v>Lower Jackson Creek</v>
      </c>
      <c r="M111" s="155">
        <f>IFERROR(INDEX('Raw Non-zero DMR Data'!$T:$T, MATCH($J111,'Raw Non-zero DMR Data'!$D:$D,0)),"")</f>
        <v>180400120703</v>
      </c>
      <c r="N111" s="155" t="str">
        <f>IFERROR(INDEX('Off-site Locations'!$E:$E,MATCH(I111,'Off-site Locations'!$B:$B,0)),"No offsite transfers")</f>
        <v>No offsite transfers</v>
      </c>
      <c r="O111" s="165">
        <f>INDEX('TRI and DMR OES Summary'!D:D,MATCH('Facility Discharge Summary'!D111,'TRI and DMR OES Summary'!A:A,0))</f>
        <v>365</v>
      </c>
      <c r="P111" s="17" cm="1">
        <f t="array" ref="P111">IFERROR(_xlfn.XLOOKUP(1,  (MAX(IF(J111 = 'Processed Non-zero DMR Data'!$I$2:$I$651,'Processed Non-zero DMR Data'!$A$2:$A$651)) = 'Processed Non-zero DMR Data'!$A$2:$A$651)*('Processed Non-zero DMR Data'!$I$2:$I$651 = J111),'Processed Non-zero DMR Data'!$W$2:$W$651), "N/A- Facility Does Not Report DMRs")</f>
        <v>5.1807187500000004E-3</v>
      </c>
      <c r="Q111" s="10">
        <f t="shared" si="35"/>
        <v>1.4193750000000001E-5</v>
      </c>
      <c r="R111" s="10" cm="1">
        <f t="array" ref="R111">IF(COUNTIF('Processed Non-zero DMR Data'!$I:$I,$J111)&gt;0,MEDIAN(IF('Processed Non-zero DMR Data'!$I:$I=J111,'Processed Non-zero DMR Data'!$W:$W)),"N/A - Facility Does Not Report DMRs")</f>
        <v>6.9076250000000006E-3</v>
      </c>
      <c r="S111" s="10">
        <f t="shared" si="36"/>
        <v>1.8925000000000003E-5</v>
      </c>
      <c r="T111" s="10">
        <f>IF(COUNTIF('Processed Non-zero DMR Data'!$I:$I,$J111)&gt;0,_xlfn.MAXIFS('Processed Non-zero DMR Data'!$W:$W,'Processed Non-zero DMR Data'!$I:$I,$J111), "N/A - Facility Does Not Report DMRs")</f>
        <v>8.6345312500000007E-3</v>
      </c>
      <c r="U111" s="10">
        <f t="shared" si="37"/>
        <v>2.3656250000000002E-5</v>
      </c>
      <c r="V111" s="158" cm="1">
        <f t="array" ref="V111">IF(COUNTIF('Processed Non-zero DMR Data'!$I:$I,$J111)&gt;0,INDEX('Processed Non-zero DMR Data'!$A:$A,MATCH(1,($J111='Processed Non-zero DMR Data'!$I:$I)*($T111='Processed Non-zero DMR Data'!$W:$W),0)), "N/A - Facility Does Not Report DMRs")</f>
        <v>2019</v>
      </c>
      <c r="W111" s="17" t="str" cm="1">
        <f t="array" ref="W111">IFERROR(_xlfn.XLOOKUP(1,  (MAX(IF(I111 = 'Processed Non-zero TRI Data'!$I$2:$I$6,'Processed Non-zero TRI Data'!$A$2:$A$6)) = 'Processed Non-zero TRI Data'!$A$2:$A$6)*('Processed Non-zero TRI Data'!$I$2:$I$6 = I111), 'Processed Non-zero TRI Data'!$T$2:$T$6), "N/A- Facility Does Not Report to TRI")</f>
        <v>N/A- Facility Does Not Report to TRI</v>
      </c>
      <c r="X111" s="10" t="str">
        <f t="shared" si="38"/>
        <v>N/A - Facility Does Not Report to TRI</v>
      </c>
      <c r="Y111" s="10" t="str" cm="1">
        <f t="array" ref="Y111">IF(COUNTIF('Processed Non-zero TRI Data'!$I:$I,$I111)&gt;0,MEDIAN(IF('Processed Non-zero TRI Data'!$I:$I=I111,'Processed Non-zero TRI Data'!$T:$T)), "N/A - Facility Does Not Report to TRI")</f>
        <v>N/A - Facility Does Not Report to TRI</v>
      </c>
      <c r="Z111" s="10" t="str">
        <f t="shared" si="39"/>
        <v>N/A - Facility Does Not Report to TRI</v>
      </c>
      <c r="AA111" s="10" t="str">
        <f>IF(COUNTIF('Processed Non-zero TRI Data'!$I:$I,$I111)&gt;0,_xlfn.MAXIFS('Processed Non-zero TRI Data'!$T:$T,'Processed Non-zero TRI Data'!$I:$I,$I111), "N/A - Facility Does Not Report to TRI")</f>
        <v>N/A - Facility Does Not Report to TRI</v>
      </c>
      <c r="AB111" s="10" t="str">
        <f t="shared" si="40"/>
        <v>N/A - Facility Does Not Report to TRI</v>
      </c>
      <c r="AC111" s="158" t="str" cm="1">
        <f t="array" ref="AC111">IFERROR(IF(B111 = "TRI Form R", IF(AA111 = 0, "Facility has no on-site water discharges between 2017-2022.",  IF(COUNTIF('Processed Non-zero TRI Data'!$I:$I,$I111)&gt;0,INDEX('Processed Non-zero TRI Data'!$A:$A,MATCH(1,($I111='Processed Non-zero TRI Data'!$I:$I)*(AA111='Processed Non-zero TRI Data'!$T:$T),0)))), VLOOKUP(I111,#REF!, 2, FALSE)), ("N/A - Facility Does Not Report to TRI"))</f>
        <v>N/A - Facility Does Not Report to TRI</v>
      </c>
      <c r="AD111" s="97" t="str" cm="1">
        <f t="array" ref="AD111">IFERROR(_xlfn.XLOOKUP(1,  (MAX(IF(I111 = 'Processed Non-zero TRI Data'!$I$2:$I$6,'Processed Non-zero TRI Data'!$A$2:$A$6)) = 'Processed Non-zero TRI Data'!$A$2:$A$6)*('Processed Non-zero TRI Data'!$I$2:$I$6 = I111), 'Processed Non-zero TRI Data'!$V$2:$V$6), "N/A- Facility Does Not Report to TRI")</f>
        <v>N/A- Facility Does Not Report to TRI</v>
      </c>
      <c r="AE111" s="9" t="str">
        <f t="shared" si="41"/>
        <v>N/A - Facility Does Not Report to TRI</v>
      </c>
      <c r="AF111" s="9" t="str" cm="1">
        <f t="array" ref="AF111">IF(COUNTIF('Processed Non-zero TRI Data'!$I:$I,$I111)&gt;0,MEDIAN(IF('Processed Non-zero TRI Data'!$I:$I=I111,'Processed Non-zero TRI Data'!$V:$V)), "N/A - Facility Does Not Report to TRI")</f>
        <v>N/A - Facility Does Not Report to TRI</v>
      </c>
      <c r="AG111" s="9" t="str">
        <f t="shared" si="42"/>
        <v>N/A - Facility Does Not Report to TRI</v>
      </c>
      <c r="AH111" s="9" t="str">
        <f>IF(COUNTIF('Processed Non-zero TRI Data'!$I:$I,$I111)&gt;0,_xlfn.MAXIFS('Processed Non-zero TRI Data'!$V:$V,'Processed Non-zero TRI Data'!$I:$I,$I111), "N/A - Facility Does Not Report to TRI")</f>
        <v>N/A - Facility Does Not Report to TRI</v>
      </c>
      <c r="AI111" s="9" t="str">
        <f t="shared" si="43"/>
        <v>N/A - Facility Does Not Report to TRI</v>
      </c>
      <c r="AJ111" s="158" t="str" cm="1">
        <f t="array" ref="AJ111">IF(B111="TRI Form A",AC111,IF(AH111=0,"Facility has no transfers to POTWs between 2019-2023.",IF(COUNTIF('Processed Non-zero TRI Data'!$I:$I,$I111)&gt;0,INDEX('Processed Non-zero TRI Data'!$A:$A,MATCH(1,($I111='Processed Non-zero TRI Data'!$I:$I)*(AH111='Processed Non-zero TRI Data'!$V:$V),0)),"N/A - Facility Does Not Report to TRI")))</f>
        <v>N/A - Facility Does Not Report to TRI</v>
      </c>
      <c r="AK111" s="97" t="str" cm="1">
        <f t="array" ref="AK111">IFERROR(_xlfn.XLOOKUP(1,  (MAX(IF(I111 = 'Processed Non-zero TRI Data'!$I$2:$I$6,'Processed Non-zero TRI Data'!$A$2:$A$6)) = 'Processed Non-zero TRI Data'!$A$2:$A$6)*('Processed Non-zero TRI Data'!$I$2:$I$6 = I111), 'Processed Non-zero TRI Data'!$X$2:$X$6), "N/A- Facility Does Not Report to TRI")</f>
        <v>N/A- Facility Does Not Report to TRI</v>
      </c>
      <c r="AL111" s="9" t="str">
        <f t="shared" si="44"/>
        <v>N/A - Facility Does Not Report to TRI</v>
      </c>
      <c r="AM111" s="9" t="str" cm="1">
        <f t="array" ref="AM111">IF(COUNTIF('Processed Non-zero TRI Data'!$I:$I,$I111)&gt;0,MEDIAN(IF('Processed Non-zero TRI Data'!$I:$I=I111,'Processed Non-zero TRI Data'!$X:$X)), "N/A - Facility Does Not Report to TRI")</f>
        <v>N/A - Facility Does Not Report to TRI</v>
      </c>
      <c r="AN111" s="9" t="str">
        <f t="shared" si="45"/>
        <v>N/A - Facility Does Not Report to TRI</v>
      </c>
      <c r="AO111" s="9" t="str">
        <f>IF(COUNTIF('Processed Non-zero TRI Data'!$I:$I,$I111)&gt;0,_xlfn.MAXIFS('Processed Non-zero TRI Data'!$X:$X,'Processed Non-zero TRI Data'!$I:$I,$I111), "N/A - Facility Does Not Report to TRI")</f>
        <v>N/A - Facility Does Not Report to TRI</v>
      </c>
      <c r="AP111" s="9" t="str">
        <f t="shared" si="46"/>
        <v>N/A - Facility Does Not Report to TRI</v>
      </c>
      <c r="AQ111" s="251" t="str" cm="1">
        <f t="array" ref="AQ111">IF(B111="TRI Form A",AC111,IF(AO111=0,"Facility has no transfers to non-POTWs between 2019-2023.",IF(COUNTIF('Processed Non-zero TRI Data'!$I:$I,$I111)&gt;0,INDEX('Processed Non-zero TRI Data'!$A:$A,MATCH(1,($I111='Processed Non-zero TRI Data'!$I:$I)*(AO111='Processed Non-zero TRI Data'!$X:$X),0)),"N/A - Facility Does Not Report to TRI")))</f>
        <v>N/A - Facility Does Not Report to TRI</v>
      </c>
      <c r="AR111" s="260">
        <f t="shared" si="47"/>
        <v>0</v>
      </c>
      <c r="AS111" s="260">
        <f t="shared" si="48"/>
        <v>8.6345312500000007E-3</v>
      </c>
    </row>
    <row r="112" spans="1:45" ht="30" x14ac:dyDescent="0.25">
      <c r="A112" s="12">
        <v>109</v>
      </c>
      <c r="B112" s="10" t="str">
        <f>IFERROR("TRI Form "&amp; VLOOKUP(I112, 'Processed Non-zero TRI Data'!$I$2:$K$6, 3, FALSE), "DMR")</f>
        <v>DMR</v>
      </c>
      <c r="C112" s="181" t="e">
        <f>VLOOKUP(D112,#REF!, 2, FALSE)</f>
        <v>#REF!</v>
      </c>
      <c r="D112" s="181" t="str">
        <f>IF(I112&lt;&gt;"",INDEX('Processed Non-zero TRI Data'!$O:$O,MATCH(I112,'Processed Non-zero TRI Data'!$I:$I,0)),INDEX('Processed Non-zero DMR Data'!$S:$S,MATCH(J112,'Processed Non-zero DMR Data'!$I:$I,0)))</f>
        <v>Unknown</v>
      </c>
      <c r="E112" s="181" t="str">
        <f>IF(I112&lt;&gt;"",INDEX('Processed Non-zero TRI Data'!$P:$P,MATCH(I112,'Processed Non-zero TRI Data'!$I:$I,0)),INDEX('Processed Non-zero DMR Data'!$T:$T,MATCH(J112,'Processed Non-zero DMR Data'!$I:$I,0)))</f>
        <v>Unknown; per "terminal 260" in facility name, this may be "Distribution in Commerce".</v>
      </c>
      <c r="F112" s="9" t="str">
        <f>_xlfn.XLOOKUP(J112, 'Processed Non-zero DMR Data'!I:I, 'Processed Non-zero DMR Data'!B:B)</f>
        <v>QUALAWASH HOLDINGS LLC - QUALA - GEISMAR TERMINAL 260</v>
      </c>
      <c r="G112" s="9" t="str">
        <f>_xlfn.XLOOKUP(J112, 'Processed Non-zero DMR Data'!I:I, 'Processed Non-zero DMR Data'!C:C)</f>
        <v>GEISMAR</v>
      </c>
      <c r="H112" s="9" t="str">
        <f>_xlfn.XLOOKUP(J112, 'Processed Non-zero DMR Data'!I:I, 'Processed Non-zero DMR Data'!E:E)</f>
        <v>LA</v>
      </c>
      <c r="I112" s="12"/>
      <c r="J112" s="13">
        <v>110000911309</v>
      </c>
      <c r="K112" s="9" t="str">
        <f>IFERROR(INDEX('Raw Non-zero DMR Data'!$C:$C, MATCH(J112,'Raw Non-zero DMR Data'!$D:$D,0)),"")</f>
        <v>LA0098191</v>
      </c>
      <c r="L112" s="9" t="str">
        <f>IFERROR(INDEX('Raw Non-zero DMR Data'!$U:$U, MATCH($J112,'Raw Non-zero DMR Data'!$D:$D,0)),"")</f>
        <v>Grand Goudine Bayou-New River</v>
      </c>
      <c r="M112" s="155" t="str">
        <f>IFERROR(INDEX('Raw Non-zero DMR Data'!$T:$T, MATCH($J112,'Raw Non-zero DMR Data'!$D:$D,0)),"")</f>
        <v>080702040103</v>
      </c>
      <c r="N112" s="155" t="str">
        <f>IFERROR(INDEX('Off-site Locations'!$E:$E,MATCH(I112,'Off-site Locations'!$B:$B,0)),"No offsite transfers")</f>
        <v>No offsite transfers</v>
      </c>
      <c r="O112" s="165">
        <f>INDEX('TRI and DMR OES Summary'!D:D,MATCH('Facility Discharge Summary'!D112,'TRI and DMR OES Summary'!A:A,0))</f>
        <v>250</v>
      </c>
      <c r="P112" s="17" cm="1">
        <f t="array" ref="P112">IFERROR(_xlfn.XLOOKUP(1,  (MAX(IF(J112 = 'Processed Non-zero DMR Data'!$I$2:$I$651,'Processed Non-zero DMR Data'!$A$2:$A$651)) = 'Processed Non-zero DMR Data'!$A$2:$A$651)*('Processed Non-zero DMR Data'!$I$2:$I$651 = J112),'Processed Non-zero DMR Data'!$W$2:$W$651), "N/A- Facility Does Not Report DMRs")</f>
        <v>3.45241547164E-3</v>
      </c>
      <c r="Q112" s="10">
        <f t="shared" si="35"/>
        <v>1.380966188656E-5</v>
      </c>
      <c r="R112" s="10" cm="1">
        <f t="array" ref="R112">IF(COUNTIF('Processed Non-zero DMR Data'!$I:$I,$J112)&gt;0,MEDIAN(IF('Processed Non-zero DMR Data'!$I:$I=J112,'Processed Non-zero DMR Data'!$W:$W)),"N/A - Facility Does Not Report DMRs")</f>
        <v>1.1140674375E-2</v>
      </c>
      <c r="S112" s="10">
        <f t="shared" si="36"/>
        <v>4.4562697499999996E-5</v>
      </c>
      <c r="T112" s="10">
        <f>IF(COUNTIF('Processed Non-zero DMR Data'!$I:$I,$J112)&gt;0,_xlfn.MAXIFS('Processed Non-zero DMR Data'!$W:$W,'Processed Non-zero DMR Data'!$I:$I,$J112), "N/A - Facility Does Not Report DMRs")</f>
        <v>2.3930662500000002E-2</v>
      </c>
      <c r="U112" s="10">
        <f t="shared" si="37"/>
        <v>9.5722650000000008E-5</v>
      </c>
      <c r="V112" s="158" cm="1">
        <f t="array" ref="V112">IF(COUNTIF('Processed Non-zero DMR Data'!$I:$I,$J112)&gt;0,INDEX('Processed Non-zero DMR Data'!$A:$A,MATCH(1,($J112='Processed Non-zero DMR Data'!$I:$I)*($T112='Processed Non-zero DMR Data'!$W:$W),0)), "N/A - Facility Does Not Report DMRs")</f>
        <v>2020</v>
      </c>
      <c r="W112" s="17" t="str" cm="1">
        <f t="array" ref="W112">IFERROR(_xlfn.XLOOKUP(1,  (MAX(IF(I112 = 'Processed Non-zero TRI Data'!$I$2:$I$6,'Processed Non-zero TRI Data'!$A$2:$A$6)) = 'Processed Non-zero TRI Data'!$A$2:$A$6)*('Processed Non-zero TRI Data'!$I$2:$I$6 = I112), 'Processed Non-zero TRI Data'!$T$2:$T$6), "N/A- Facility Does Not Report to TRI")</f>
        <v>N/A- Facility Does Not Report to TRI</v>
      </c>
      <c r="X112" s="10" t="str">
        <f t="shared" si="38"/>
        <v>N/A - Facility Does Not Report to TRI</v>
      </c>
      <c r="Y112" s="10" t="str" cm="1">
        <f t="array" ref="Y112">IF(COUNTIF('Processed Non-zero TRI Data'!$I:$I,$I112)&gt;0,MEDIAN(IF('Processed Non-zero TRI Data'!$I:$I=I112,'Processed Non-zero TRI Data'!$T:$T)), "N/A - Facility Does Not Report to TRI")</f>
        <v>N/A - Facility Does Not Report to TRI</v>
      </c>
      <c r="Z112" s="10" t="str">
        <f t="shared" si="39"/>
        <v>N/A - Facility Does Not Report to TRI</v>
      </c>
      <c r="AA112" s="10" t="str">
        <f>IF(COUNTIF('Processed Non-zero TRI Data'!$I:$I,$I112)&gt;0,_xlfn.MAXIFS('Processed Non-zero TRI Data'!$T:$T,'Processed Non-zero TRI Data'!$I:$I,$I112), "N/A - Facility Does Not Report to TRI")</f>
        <v>N/A - Facility Does Not Report to TRI</v>
      </c>
      <c r="AB112" s="10" t="str">
        <f t="shared" si="40"/>
        <v>N/A - Facility Does Not Report to TRI</v>
      </c>
      <c r="AC112" s="158" t="str" cm="1">
        <f t="array" ref="AC112">IFERROR(IF(B112 = "TRI Form R", IF(AA112 = 0, "Facility has no on-site water discharges between 2017-2022.",  IF(COUNTIF('Processed Non-zero TRI Data'!$I:$I,$I112)&gt;0,INDEX('Processed Non-zero TRI Data'!$A:$A,MATCH(1,($I112='Processed Non-zero TRI Data'!$I:$I)*(AA112='Processed Non-zero TRI Data'!$T:$T),0)))), VLOOKUP(I112,#REF!, 2, FALSE)), ("N/A - Facility Does Not Report to TRI"))</f>
        <v>N/A - Facility Does Not Report to TRI</v>
      </c>
      <c r="AD112" s="97" t="str" cm="1">
        <f t="array" ref="AD112">IFERROR(_xlfn.XLOOKUP(1,  (MAX(IF(I112 = 'Processed Non-zero TRI Data'!$I$2:$I$6,'Processed Non-zero TRI Data'!$A$2:$A$6)) = 'Processed Non-zero TRI Data'!$A$2:$A$6)*('Processed Non-zero TRI Data'!$I$2:$I$6 = I112), 'Processed Non-zero TRI Data'!$V$2:$V$6), "N/A- Facility Does Not Report to TRI")</f>
        <v>N/A- Facility Does Not Report to TRI</v>
      </c>
      <c r="AE112" s="9" t="str">
        <f t="shared" si="41"/>
        <v>N/A - Facility Does Not Report to TRI</v>
      </c>
      <c r="AF112" s="9" t="str" cm="1">
        <f t="array" ref="AF112">IF(COUNTIF('Processed Non-zero TRI Data'!$I:$I,$I112)&gt;0,MEDIAN(IF('Processed Non-zero TRI Data'!$I:$I=I112,'Processed Non-zero TRI Data'!$V:$V)), "N/A - Facility Does Not Report to TRI")</f>
        <v>N/A - Facility Does Not Report to TRI</v>
      </c>
      <c r="AG112" s="9" t="str">
        <f t="shared" si="42"/>
        <v>N/A - Facility Does Not Report to TRI</v>
      </c>
      <c r="AH112" s="9" t="str">
        <f>IF(COUNTIF('Processed Non-zero TRI Data'!$I:$I,$I112)&gt;0,_xlfn.MAXIFS('Processed Non-zero TRI Data'!$V:$V,'Processed Non-zero TRI Data'!$I:$I,$I112), "N/A - Facility Does Not Report to TRI")</f>
        <v>N/A - Facility Does Not Report to TRI</v>
      </c>
      <c r="AI112" s="9" t="str">
        <f t="shared" si="43"/>
        <v>N/A - Facility Does Not Report to TRI</v>
      </c>
      <c r="AJ112" s="158" t="str" cm="1">
        <f t="array" ref="AJ112">IF(B112="TRI Form A",AC112,IF(AH112=0,"Facility has no transfers to POTWs between 2019-2023.",IF(COUNTIF('Processed Non-zero TRI Data'!$I:$I,$I112)&gt;0,INDEX('Processed Non-zero TRI Data'!$A:$A,MATCH(1,($I112='Processed Non-zero TRI Data'!$I:$I)*(AH112='Processed Non-zero TRI Data'!$V:$V),0)),"N/A - Facility Does Not Report to TRI")))</f>
        <v>N/A - Facility Does Not Report to TRI</v>
      </c>
      <c r="AK112" s="97" t="str" cm="1">
        <f t="array" ref="AK112">IFERROR(_xlfn.XLOOKUP(1,  (MAX(IF(I112 = 'Processed Non-zero TRI Data'!$I$2:$I$6,'Processed Non-zero TRI Data'!$A$2:$A$6)) = 'Processed Non-zero TRI Data'!$A$2:$A$6)*('Processed Non-zero TRI Data'!$I$2:$I$6 = I112), 'Processed Non-zero TRI Data'!$X$2:$X$6), "N/A- Facility Does Not Report to TRI")</f>
        <v>N/A- Facility Does Not Report to TRI</v>
      </c>
      <c r="AL112" s="9" t="str">
        <f t="shared" si="44"/>
        <v>N/A - Facility Does Not Report to TRI</v>
      </c>
      <c r="AM112" s="9" t="str" cm="1">
        <f t="array" ref="AM112">IF(COUNTIF('Processed Non-zero TRI Data'!$I:$I,$I112)&gt;0,MEDIAN(IF('Processed Non-zero TRI Data'!$I:$I=I112,'Processed Non-zero TRI Data'!$X:$X)), "N/A - Facility Does Not Report to TRI")</f>
        <v>N/A - Facility Does Not Report to TRI</v>
      </c>
      <c r="AN112" s="9" t="str">
        <f t="shared" si="45"/>
        <v>N/A - Facility Does Not Report to TRI</v>
      </c>
      <c r="AO112" s="9" t="str">
        <f>IF(COUNTIF('Processed Non-zero TRI Data'!$I:$I,$I112)&gt;0,_xlfn.MAXIFS('Processed Non-zero TRI Data'!$X:$X,'Processed Non-zero TRI Data'!$I:$I,$I112), "N/A - Facility Does Not Report to TRI")</f>
        <v>N/A - Facility Does Not Report to TRI</v>
      </c>
      <c r="AP112" s="9" t="str">
        <f t="shared" si="46"/>
        <v>N/A - Facility Does Not Report to TRI</v>
      </c>
      <c r="AQ112" s="251" t="str" cm="1">
        <f t="array" ref="AQ112">IF(B112="TRI Form A",AC112,IF(AO112=0,"Facility has no transfers to non-POTWs between 2019-2023.",IF(COUNTIF('Processed Non-zero TRI Data'!$I:$I,$I112)&gt;0,INDEX('Processed Non-zero TRI Data'!$A:$A,MATCH(1,($I112='Processed Non-zero TRI Data'!$I:$I)*(AO112='Processed Non-zero TRI Data'!$X:$X),0)),"N/A - Facility Does Not Report to TRI")))</f>
        <v>N/A - Facility Does Not Report to TRI</v>
      </c>
      <c r="AR112" s="260">
        <f t="shared" si="47"/>
        <v>0</v>
      </c>
      <c r="AS112" s="260">
        <f t="shared" si="48"/>
        <v>2.3930662500000002E-2</v>
      </c>
    </row>
    <row r="113" spans="1:45" ht="30" x14ac:dyDescent="0.25">
      <c r="A113" s="12">
        <v>110</v>
      </c>
      <c r="B113" s="10" t="str">
        <f>IFERROR("TRI Form "&amp; VLOOKUP(I113, 'Processed Non-zero TRI Data'!$I$2:$K$6, 3, FALSE), "DMR")</f>
        <v>DMR</v>
      </c>
      <c r="C113" s="181" t="e">
        <f>VLOOKUP(D113,#REF!, 2, FALSE)</f>
        <v>#REF!</v>
      </c>
      <c r="D113" s="181" t="str">
        <f>IF(I113&lt;&gt;"",INDEX('Processed Non-zero TRI Data'!$O:$O,MATCH(I113,'Processed Non-zero TRI Data'!$I:$I,0)),INDEX('Processed Non-zero DMR Data'!$S:$S,MATCH(J113,'Processed Non-zero DMR Data'!$I:$I,0)))</f>
        <v>Processing as a reactant</v>
      </c>
      <c r="E113" s="181" t="str">
        <f>IF(I113&lt;&gt;"",INDEX('Processed Non-zero TRI Data'!$P:$P,MATCH(I113,'Processed Non-zero TRI Data'!$I:$I,0)),INDEX('Processed Non-zero DMR Data'!$T:$T,MATCH(J113,'Processed Non-zero DMR Data'!$I:$I,0)))</f>
        <v>Assumed processing as a reactant based on SIC and NAICS; this also matches 1,1,-DCA mapping.</v>
      </c>
      <c r="F113" s="9" t="str">
        <f>_xlfn.XLOOKUP(J113, 'Processed Non-zero DMR Data'!I:I, 'Processed Non-zero DMR Data'!B:B)</f>
        <v>CALUMET MISSOURI, LLC</v>
      </c>
      <c r="G113" s="9" t="str">
        <f>_xlfn.XLOOKUP(J113, 'Processed Non-zero DMR Data'!I:I, 'Processed Non-zero DMR Data'!C:C)</f>
        <v>LOUISIANA</v>
      </c>
      <c r="H113" s="9" t="str">
        <f>_xlfn.XLOOKUP(J113, 'Processed Non-zero DMR Data'!I:I, 'Processed Non-zero DMR Data'!E:E)</f>
        <v>MO</v>
      </c>
      <c r="I113" s="12"/>
      <c r="J113" s="13">
        <v>110054612558</v>
      </c>
      <c r="K113" s="9" t="str">
        <f>IFERROR(INDEX('Raw Non-zero DMR Data'!$C:$C, MATCH(J113,'Raw Non-zero DMR Data'!$D:$D,0)),"")</f>
        <v>MO0137243</v>
      </c>
      <c r="L113" s="9" t="str">
        <f>IFERROR(INDEX('Raw Non-zero DMR Data'!$U:$U, MATCH($J113,'Raw Non-zero DMR Data'!$D:$D,0)),"")</f>
        <v>Buffalo Creek-Mississippi River</v>
      </c>
      <c r="M113" s="155" t="str">
        <f>IFERROR(INDEX('Raw Non-zero DMR Data'!$T:$T, MATCH($J113,'Raw Non-zero DMR Data'!$D:$D,0)),"")</f>
        <v>071100040702</v>
      </c>
      <c r="N113" s="155" t="str">
        <f>IFERROR(INDEX('Off-site Locations'!$E:$E,MATCH(I113,'Off-site Locations'!$B:$B,0)),"No offsite transfers")</f>
        <v>No offsite transfers</v>
      </c>
      <c r="O113" s="165">
        <f>INDEX('TRI and DMR OES Summary'!D:D,MATCH('Facility Discharge Summary'!D113,'TRI and DMR OES Summary'!A:A,0))</f>
        <v>350</v>
      </c>
      <c r="P113" s="17" cm="1">
        <f t="array" ref="P113">IFERROR(_xlfn.XLOOKUP(1,  (MAX(IF(J113 = 'Processed Non-zero DMR Data'!$I$2:$I$651,'Processed Non-zero DMR Data'!$A$2:$A$651)) = 'Processed Non-zero DMR Data'!$A$2:$A$651)*('Processed Non-zero DMR Data'!$I$2:$I$651 = J113),'Processed Non-zero DMR Data'!$W$2:$W$651), "N/A- Facility Does Not Report DMRs")</f>
        <v>5.2505099999999999E-2</v>
      </c>
      <c r="Q113" s="10">
        <f t="shared" ref="Q113:Q175" si="49">IFERROR(P113/$O113, "N/A - Facility Does Not Report DMRs")</f>
        <v>1.5001457142857142E-4</v>
      </c>
      <c r="R113" s="10" cm="1">
        <f t="array" ref="R113">IF(COUNTIF('Processed Non-zero DMR Data'!$I:$I,$J113)&gt;0,MEDIAN(IF('Processed Non-zero DMR Data'!$I:$I=J113,'Processed Non-zero DMR Data'!$W:$W)),"N/A - Facility Does Not Report DMRs")</f>
        <v>3.0617760000000001E-2</v>
      </c>
      <c r="S113" s="10">
        <f t="shared" ref="S113:S175" si="50">IFERROR(R113/$O113, "N/A - Facility Does Not Report DMRs")</f>
        <v>8.7479314285714282E-5</v>
      </c>
      <c r="T113" s="10">
        <f>IF(COUNTIF('Processed Non-zero DMR Data'!$I:$I,$J113)&gt;0,_xlfn.MAXIFS('Processed Non-zero DMR Data'!$W:$W,'Processed Non-zero DMR Data'!$I:$I,$J113), "N/A - Facility Does Not Report DMRs")</f>
        <v>5.7203999999999998E-2</v>
      </c>
      <c r="U113" s="10">
        <f t="shared" ref="U113:U175" si="51">IFERROR(T113/$O113, "N/A - Facility Does Not Report DMRs")</f>
        <v>1.6343999999999999E-4</v>
      </c>
      <c r="V113" s="158" cm="1">
        <f t="array" ref="V113">IF(COUNTIF('Processed Non-zero DMR Data'!$I:$I,$J113)&gt;0,INDEX('Processed Non-zero DMR Data'!$A:$A,MATCH(1,($J113='Processed Non-zero DMR Data'!$I:$I)*($T113='Processed Non-zero DMR Data'!$W:$W),0)), "N/A - Facility Does Not Report DMRs")</f>
        <v>2019</v>
      </c>
      <c r="W113" s="17" t="str" cm="1">
        <f t="array" ref="W113">IFERROR(_xlfn.XLOOKUP(1,  (MAX(IF(I113 = 'Processed Non-zero TRI Data'!$I$2:$I$6,'Processed Non-zero TRI Data'!$A$2:$A$6)) = 'Processed Non-zero TRI Data'!$A$2:$A$6)*('Processed Non-zero TRI Data'!$I$2:$I$6 = I113), 'Processed Non-zero TRI Data'!$T$2:$T$6), "N/A- Facility Does Not Report to TRI")</f>
        <v>N/A- Facility Does Not Report to TRI</v>
      </c>
      <c r="X113" s="10" t="str">
        <f t="shared" ref="X113:X175" si="52">IFERROR(W113/$O113, "N/A - Facility Does Not Report to TRI")</f>
        <v>N/A - Facility Does Not Report to TRI</v>
      </c>
      <c r="Y113" s="10" t="str" cm="1">
        <f t="array" ref="Y113">IF(COUNTIF('Processed Non-zero TRI Data'!$I:$I,$I113)&gt;0,MEDIAN(IF('Processed Non-zero TRI Data'!$I:$I=I113,'Processed Non-zero TRI Data'!$T:$T)), "N/A - Facility Does Not Report to TRI")</f>
        <v>N/A - Facility Does Not Report to TRI</v>
      </c>
      <c r="Z113" s="10" t="str">
        <f t="shared" ref="Z113:Z175" si="53">IFERROR(Y113/$O113, "N/A - Facility Does Not Report to TRI")</f>
        <v>N/A - Facility Does Not Report to TRI</v>
      </c>
      <c r="AA113" s="10" t="str">
        <f>IF(COUNTIF('Processed Non-zero TRI Data'!$I:$I,$I113)&gt;0,_xlfn.MAXIFS('Processed Non-zero TRI Data'!$T:$T,'Processed Non-zero TRI Data'!$I:$I,$I113), "N/A - Facility Does Not Report to TRI")</f>
        <v>N/A - Facility Does Not Report to TRI</v>
      </c>
      <c r="AB113" s="10" t="str">
        <f t="shared" ref="AB113:AB175" si="54">IFERROR(AA113/$O113, "N/A - Facility Does Not Report to TRI")</f>
        <v>N/A - Facility Does Not Report to TRI</v>
      </c>
      <c r="AC113" s="158" t="str" cm="1">
        <f t="array" ref="AC113">IFERROR(IF(B113 = "TRI Form R", IF(AA113 = 0, "Facility has no on-site water discharges between 2017-2022.",  IF(COUNTIF('Processed Non-zero TRI Data'!$I:$I,$I113)&gt;0,INDEX('Processed Non-zero TRI Data'!$A:$A,MATCH(1,($I113='Processed Non-zero TRI Data'!$I:$I)*(AA113='Processed Non-zero TRI Data'!$T:$T),0)))), VLOOKUP(I113,#REF!, 2, FALSE)), ("N/A - Facility Does Not Report to TRI"))</f>
        <v>N/A - Facility Does Not Report to TRI</v>
      </c>
      <c r="AD113" s="97" t="str" cm="1">
        <f t="array" ref="AD113">IFERROR(_xlfn.XLOOKUP(1,  (MAX(IF(I113 = 'Processed Non-zero TRI Data'!$I$2:$I$6,'Processed Non-zero TRI Data'!$A$2:$A$6)) = 'Processed Non-zero TRI Data'!$A$2:$A$6)*('Processed Non-zero TRI Data'!$I$2:$I$6 = I113), 'Processed Non-zero TRI Data'!$V$2:$V$6), "N/A- Facility Does Not Report to TRI")</f>
        <v>N/A- Facility Does Not Report to TRI</v>
      </c>
      <c r="AE113" s="9" t="str">
        <f t="shared" ref="AE113:AE175" si="55">IFERROR(AD113/$O113, "N/A - Facility Does Not Report to TRI")</f>
        <v>N/A - Facility Does Not Report to TRI</v>
      </c>
      <c r="AF113" s="9" t="str" cm="1">
        <f t="array" ref="AF113">IF(COUNTIF('Processed Non-zero TRI Data'!$I:$I,$I113)&gt;0,MEDIAN(IF('Processed Non-zero TRI Data'!$I:$I=I113,'Processed Non-zero TRI Data'!$V:$V)), "N/A - Facility Does Not Report to TRI")</f>
        <v>N/A - Facility Does Not Report to TRI</v>
      </c>
      <c r="AG113" s="9" t="str">
        <f t="shared" ref="AG113:AG175" si="56">IFERROR(AF113/$O113, "N/A - Facility Does Not Report to TRI")</f>
        <v>N/A - Facility Does Not Report to TRI</v>
      </c>
      <c r="AH113" s="9" t="str">
        <f>IF(COUNTIF('Processed Non-zero TRI Data'!$I:$I,$I113)&gt;0,_xlfn.MAXIFS('Processed Non-zero TRI Data'!$V:$V,'Processed Non-zero TRI Data'!$I:$I,$I113), "N/A - Facility Does Not Report to TRI")</f>
        <v>N/A - Facility Does Not Report to TRI</v>
      </c>
      <c r="AI113" s="9" t="str">
        <f t="shared" ref="AI113:AI175" si="57">IFERROR(AH113/$O113, "N/A - Facility Does Not Report to TRI")</f>
        <v>N/A - Facility Does Not Report to TRI</v>
      </c>
      <c r="AJ113" s="158" t="str" cm="1">
        <f t="array" ref="AJ113">IF(B113="TRI Form A",AC113,IF(AH113=0,"Facility has no transfers to POTWs between 2019-2023.",IF(COUNTIF('Processed Non-zero TRI Data'!$I:$I,$I113)&gt;0,INDEX('Processed Non-zero TRI Data'!$A:$A,MATCH(1,($I113='Processed Non-zero TRI Data'!$I:$I)*(AH113='Processed Non-zero TRI Data'!$V:$V),0)),"N/A - Facility Does Not Report to TRI")))</f>
        <v>N/A - Facility Does Not Report to TRI</v>
      </c>
      <c r="AK113" s="97" t="str" cm="1">
        <f t="array" ref="AK113">IFERROR(_xlfn.XLOOKUP(1,  (MAX(IF(I113 = 'Processed Non-zero TRI Data'!$I$2:$I$6,'Processed Non-zero TRI Data'!$A$2:$A$6)) = 'Processed Non-zero TRI Data'!$A$2:$A$6)*('Processed Non-zero TRI Data'!$I$2:$I$6 = I113), 'Processed Non-zero TRI Data'!$X$2:$X$6), "N/A- Facility Does Not Report to TRI")</f>
        <v>N/A- Facility Does Not Report to TRI</v>
      </c>
      <c r="AL113" s="9" t="str">
        <f t="shared" ref="AL113:AL175" si="58">IFERROR(AK113/$O113, "N/A - Facility Does Not Report to TRI")</f>
        <v>N/A - Facility Does Not Report to TRI</v>
      </c>
      <c r="AM113" s="9" t="str" cm="1">
        <f t="array" ref="AM113">IF(COUNTIF('Processed Non-zero TRI Data'!$I:$I,$I113)&gt;0,MEDIAN(IF('Processed Non-zero TRI Data'!$I:$I=I113,'Processed Non-zero TRI Data'!$X:$X)), "N/A - Facility Does Not Report to TRI")</f>
        <v>N/A - Facility Does Not Report to TRI</v>
      </c>
      <c r="AN113" s="9" t="str">
        <f t="shared" ref="AN113:AN175" si="59">IFERROR(AM113/$O113, "N/A - Facility Does Not Report to TRI")</f>
        <v>N/A - Facility Does Not Report to TRI</v>
      </c>
      <c r="AO113" s="9" t="str">
        <f>IF(COUNTIF('Processed Non-zero TRI Data'!$I:$I,$I113)&gt;0,_xlfn.MAXIFS('Processed Non-zero TRI Data'!$X:$X,'Processed Non-zero TRI Data'!$I:$I,$I113), "N/A - Facility Does Not Report to TRI")</f>
        <v>N/A - Facility Does Not Report to TRI</v>
      </c>
      <c r="AP113" s="9" t="str">
        <f t="shared" ref="AP113:AP175" si="60">IFERROR(AO113/$O113, "N/A - Facility Does Not Report to TRI")</f>
        <v>N/A - Facility Does Not Report to TRI</v>
      </c>
      <c r="AQ113" s="251" t="str" cm="1">
        <f t="array" ref="AQ113">IF(B113="TRI Form A",AC113,IF(AO113=0,"Facility has no transfers to non-POTWs between 2019-2023.",IF(COUNTIF('Processed Non-zero TRI Data'!$I:$I,$I113)&gt;0,INDEX('Processed Non-zero TRI Data'!$A:$A,MATCH(1,($I113='Processed Non-zero TRI Data'!$I:$I)*(AO113='Processed Non-zero TRI Data'!$X:$X),0)),"N/A - Facility Does Not Report to TRI")))</f>
        <v>N/A - Facility Does Not Report to TRI</v>
      </c>
      <c r="AR113" s="260">
        <f t="shared" si="47"/>
        <v>0</v>
      </c>
      <c r="AS113" s="260">
        <f t="shared" si="48"/>
        <v>5.7203999999999998E-2</v>
      </c>
    </row>
    <row r="114" spans="1:45" ht="45" x14ac:dyDescent="0.25">
      <c r="A114" s="12">
        <v>111</v>
      </c>
      <c r="B114" s="10" t="str">
        <f>IFERROR("TRI Form "&amp; VLOOKUP(I114, 'Processed Non-zero TRI Data'!$I$2:$K$6, 3, FALSE), "DMR")</f>
        <v>DMR</v>
      </c>
      <c r="C114" s="181" t="e">
        <f>VLOOKUP(D114,#REF!, 2, FALSE)</f>
        <v>#REF!</v>
      </c>
      <c r="D114" s="181" t="str">
        <f>IF(I114&lt;&gt;"",INDEX('Processed Non-zero TRI Data'!$O:$O,MATCH(I114,'Processed Non-zero TRI Data'!$I:$I,0)),INDEX('Processed Non-zero DMR Data'!$S:$S,MATCH(J114,'Processed Non-zero DMR Data'!$I:$I,0)))</f>
        <v>Impurity in Plastics</v>
      </c>
      <c r="E114" s="181" t="str">
        <f>IF(I114&lt;&gt;"",INDEX('Processed Non-zero TRI Data'!$P:$P,MATCH(I114,'Processed Non-zero TRI Data'!$I:$I,0)),INDEX('Processed Non-zero DMR Data'!$T:$T,MATCH(J114,'Processed Non-zero DMR Data'!$I:$I,0)))</f>
        <v>Plastics SIC/NAICS - EPA-HQ-OPPT-2018-0428-0011 indicates 1,2-dichloropropane can be a residual/byproduct in PVC plastics or a flame retardant plasticizer.</v>
      </c>
      <c r="F114" s="9" t="str">
        <f>_xlfn.XLOOKUP(J114, 'Processed Non-zero DMR Data'!I:I, 'Processed Non-zero DMR Data'!B:B)</f>
        <v>FORMOSA PLASTICS CORPORATION</v>
      </c>
      <c r="G114" s="9" t="str">
        <f>_xlfn.XLOOKUP(J114, 'Processed Non-zero DMR Data'!I:I, 'Processed Non-zero DMR Data'!C:C)</f>
        <v>DELAWARE CITY</v>
      </c>
      <c r="H114" s="9" t="str">
        <f>_xlfn.XLOOKUP(J114, 'Processed Non-zero DMR Data'!I:I, 'Processed Non-zero DMR Data'!E:E)</f>
        <v>DE</v>
      </c>
      <c r="I114" s="12"/>
      <c r="J114" s="13">
        <v>110000338536</v>
      </c>
      <c r="K114" s="9" t="str">
        <f>IFERROR(INDEX('Raw Non-zero DMR Data'!$C:$C, MATCH(J114,'Raw Non-zero DMR Data'!$D:$D,0)),"")</f>
        <v>DE0000612</v>
      </c>
      <c r="L114" s="9" t="str">
        <f>IFERROR(INDEX('Raw Non-zero DMR Data'!$U:$U, MATCH($J114,'Raw Non-zero DMR Data'!$D:$D,0)),"")</f>
        <v>Dragon Creek-Delaware River</v>
      </c>
      <c r="M114" s="155" t="str">
        <f>IFERROR(INDEX('Raw Non-zero DMR Data'!$T:$T, MATCH($J114,'Raw Non-zero DMR Data'!$D:$D,0)),"")</f>
        <v>020402050704</v>
      </c>
      <c r="N114" s="155" t="str">
        <f>IFERROR(INDEX('Off-site Locations'!$E:$E,MATCH(I114,'Off-site Locations'!$B:$B,0)),"No offsite transfers")</f>
        <v>No offsite transfers</v>
      </c>
      <c r="O114" s="165">
        <f>INDEX('TRI and DMR OES Summary'!D:D,MATCH('Facility Discharge Summary'!D114,'TRI and DMR OES Summary'!A:A,0))</f>
        <v>350</v>
      </c>
      <c r="P114" s="17" cm="1">
        <f t="array" ref="P114">IFERROR(_xlfn.XLOOKUP(1,  (MAX(IF(J114 = 'Processed Non-zero DMR Data'!$I$2:$I$651,'Processed Non-zero DMR Data'!$A$2:$A$651)) = 'Processed Non-zero DMR Data'!$A$2:$A$651)*('Processed Non-zero DMR Data'!$I$2:$I$651 = J114),'Processed Non-zero DMR Data'!$W$2:$W$651), "N/A- Facility Does Not Report DMRs")</f>
        <v>5.4479999999999997E-3</v>
      </c>
      <c r="Q114" s="10">
        <f t="shared" si="49"/>
        <v>1.5565714285714283E-5</v>
      </c>
      <c r="R114" s="10" cm="1">
        <f t="array" ref="R114">IF(COUNTIF('Processed Non-zero DMR Data'!$I:$I,$J114)&gt;0,MEDIAN(IF('Processed Non-zero DMR Data'!$I:$I=J114,'Processed Non-zero DMR Data'!$W:$W)),"N/A - Facility Does Not Report DMRs")</f>
        <v>5.4479999999999997E-3</v>
      </c>
      <c r="S114" s="10">
        <f t="shared" si="50"/>
        <v>1.5565714285714283E-5</v>
      </c>
      <c r="T114" s="10">
        <f>IF(COUNTIF('Processed Non-zero DMR Data'!$I:$I,$J114)&gt;0,_xlfn.MAXIFS('Processed Non-zero DMR Data'!$W:$W,'Processed Non-zero DMR Data'!$I:$I,$J114), "N/A - Facility Does Not Report DMRs")</f>
        <v>5.4479999999999997E-3</v>
      </c>
      <c r="U114" s="10">
        <f t="shared" si="51"/>
        <v>1.5565714285714283E-5</v>
      </c>
      <c r="V114" s="158" cm="1">
        <f t="array" ref="V114">IF(COUNTIF('Processed Non-zero DMR Data'!$I:$I,$J114)&gt;0,INDEX('Processed Non-zero DMR Data'!$A:$A,MATCH(1,($J114='Processed Non-zero DMR Data'!$I:$I)*($T114='Processed Non-zero DMR Data'!$W:$W),0)), "N/A - Facility Does Not Report DMRs")</f>
        <v>2019</v>
      </c>
      <c r="W114" s="17" t="str" cm="1">
        <f t="array" ref="W114">IFERROR(_xlfn.XLOOKUP(1,  (MAX(IF(I114 = 'Processed Non-zero TRI Data'!$I$2:$I$6,'Processed Non-zero TRI Data'!$A$2:$A$6)) = 'Processed Non-zero TRI Data'!$A$2:$A$6)*('Processed Non-zero TRI Data'!$I$2:$I$6 = I114), 'Processed Non-zero TRI Data'!$T$2:$T$6), "N/A- Facility Does Not Report to TRI")</f>
        <v>N/A- Facility Does Not Report to TRI</v>
      </c>
      <c r="X114" s="10" t="str">
        <f t="shared" si="52"/>
        <v>N/A - Facility Does Not Report to TRI</v>
      </c>
      <c r="Y114" s="10" t="str" cm="1">
        <f t="array" ref="Y114">IF(COUNTIF('Processed Non-zero TRI Data'!$I:$I,$I114)&gt;0,MEDIAN(IF('Processed Non-zero TRI Data'!$I:$I=I114,'Processed Non-zero TRI Data'!$T:$T)), "N/A - Facility Does Not Report to TRI")</f>
        <v>N/A - Facility Does Not Report to TRI</v>
      </c>
      <c r="Z114" s="10" t="str">
        <f t="shared" si="53"/>
        <v>N/A - Facility Does Not Report to TRI</v>
      </c>
      <c r="AA114" s="10" t="str">
        <f>IF(COUNTIF('Processed Non-zero TRI Data'!$I:$I,$I114)&gt;0,_xlfn.MAXIFS('Processed Non-zero TRI Data'!$T:$T,'Processed Non-zero TRI Data'!$I:$I,$I114), "N/A - Facility Does Not Report to TRI")</f>
        <v>N/A - Facility Does Not Report to TRI</v>
      </c>
      <c r="AB114" s="10" t="str">
        <f t="shared" si="54"/>
        <v>N/A - Facility Does Not Report to TRI</v>
      </c>
      <c r="AC114" s="158" t="str" cm="1">
        <f t="array" ref="AC114">IFERROR(IF(B114 = "TRI Form R", IF(AA114 = 0, "Facility has no on-site water discharges between 2017-2022.",  IF(COUNTIF('Processed Non-zero TRI Data'!$I:$I,$I114)&gt;0,INDEX('Processed Non-zero TRI Data'!$A:$A,MATCH(1,($I114='Processed Non-zero TRI Data'!$I:$I)*(AA114='Processed Non-zero TRI Data'!$T:$T),0)))), VLOOKUP(I114,#REF!, 2, FALSE)), ("N/A - Facility Does Not Report to TRI"))</f>
        <v>N/A - Facility Does Not Report to TRI</v>
      </c>
      <c r="AD114" s="97" t="str" cm="1">
        <f t="array" ref="AD114">IFERROR(_xlfn.XLOOKUP(1,  (MAX(IF(I114 = 'Processed Non-zero TRI Data'!$I$2:$I$6,'Processed Non-zero TRI Data'!$A$2:$A$6)) = 'Processed Non-zero TRI Data'!$A$2:$A$6)*('Processed Non-zero TRI Data'!$I$2:$I$6 = I114), 'Processed Non-zero TRI Data'!$V$2:$V$6), "N/A- Facility Does Not Report to TRI")</f>
        <v>N/A- Facility Does Not Report to TRI</v>
      </c>
      <c r="AE114" s="9" t="str">
        <f t="shared" si="55"/>
        <v>N/A - Facility Does Not Report to TRI</v>
      </c>
      <c r="AF114" s="9" t="str" cm="1">
        <f t="array" ref="AF114">IF(COUNTIF('Processed Non-zero TRI Data'!$I:$I,$I114)&gt;0,MEDIAN(IF('Processed Non-zero TRI Data'!$I:$I=I114,'Processed Non-zero TRI Data'!$V:$V)), "N/A - Facility Does Not Report to TRI")</f>
        <v>N/A - Facility Does Not Report to TRI</v>
      </c>
      <c r="AG114" s="9" t="str">
        <f t="shared" si="56"/>
        <v>N/A - Facility Does Not Report to TRI</v>
      </c>
      <c r="AH114" s="9" t="str">
        <f>IF(COUNTIF('Processed Non-zero TRI Data'!$I:$I,$I114)&gt;0,_xlfn.MAXIFS('Processed Non-zero TRI Data'!$V:$V,'Processed Non-zero TRI Data'!$I:$I,$I114), "N/A - Facility Does Not Report to TRI")</f>
        <v>N/A - Facility Does Not Report to TRI</v>
      </c>
      <c r="AI114" s="9" t="str">
        <f t="shared" si="57"/>
        <v>N/A - Facility Does Not Report to TRI</v>
      </c>
      <c r="AJ114" s="158" t="str" cm="1">
        <f t="array" ref="AJ114">IF(B114="TRI Form A",AC114,IF(AH114=0,"Facility has no transfers to POTWs between 2019-2023.",IF(COUNTIF('Processed Non-zero TRI Data'!$I:$I,$I114)&gt;0,INDEX('Processed Non-zero TRI Data'!$A:$A,MATCH(1,($I114='Processed Non-zero TRI Data'!$I:$I)*(AH114='Processed Non-zero TRI Data'!$V:$V),0)),"N/A - Facility Does Not Report to TRI")))</f>
        <v>N/A - Facility Does Not Report to TRI</v>
      </c>
      <c r="AK114" s="97" t="str" cm="1">
        <f t="array" ref="AK114">IFERROR(_xlfn.XLOOKUP(1,  (MAX(IF(I114 = 'Processed Non-zero TRI Data'!$I$2:$I$6,'Processed Non-zero TRI Data'!$A$2:$A$6)) = 'Processed Non-zero TRI Data'!$A$2:$A$6)*('Processed Non-zero TRI Data'!$I$2:$I$6 = I114), 'Processed Non-zero TRI Data'!$X$2:$X$6), "N/A- Facility Does Not Report to TRI")</f>
        <v>N/A- Facility Does Not Report to TRI</v>
      </c>
      <c r="AL114" s="9" t="str">
        <f t="shared" si="58"/>
        <v>N/A - Facility Does Not Report to TRI</v>
      </c>
      <c r="AM114" s="9" t="str" cm="1">
        <f t="array" ref="AM114">IF(COUNTIF('Processed Non-zero TRI Data'!$I:$I,$I114)&gt;0,MEDIAN(IF('Processed Non-zero TRI Data'!$I:$I=I114,'Processed Non-zero TRI Data'!$X:$X)), "N/A - Facility Does Not Report to TRI")</f>
        <v>N/A - Facility Does Not Report to TRI</v>
      </c>
      <c r="AN114" s="9" t="str">
        <f t="shared" si="59"/>
        <v>N/A - Facility Does Not Report to TRI</v>
      </c>
      <c r="AO114" s="9" t="str">
        <f>IF(COUNTIF('Processed Non-zero TRI Data'!$I:$I,$I114)&gt;0,_xlfn.MAXIFS('Processed Non-zero TRI Data'!$X:$X,'Processed Non-zero TRI Data'!$I:$I,$I114), "N/A - Facility Does Not Report to TRI")</f>
        <v>N/A - Facility Does Not Report to TRI</v>
      </c>
      <c r="AP114" s="9" t="str">
        <f t="shared" si="60"/>
        <v>N/A - Facility Does Not Report to TRI</v>
      </c>
      <c r="AQ114" s="251" t="str" cm="1">
        <f t="array" ref="AQ114">IF(B114="TRI Form A",AC114,IF(AO114=0,"Facility has no transfers to non-POTWs between 2019-2023.",IF(COUNTIF('Processed Non-zero TRI Data'!$I:$I,$I114)&gt;0,INDEX('Processed Non-zero TRI Data'!$A:$A,MATCH(1,($I114='Processed Non-zero TRI Data'!$I:$I)*(AO114='Processed Non-zero TRI Data'!$X:$X),0)),"N/A - Facility Does Not Report to TRI")))</f>
        <v>N/A - Facility Does Not Report to TRI</v>
      </c>
      <c r="AR114" s="260">
        <f t="shared" si="47"/>
        <v>0</v>
      </c>
      <c r="AS114" s="260">
        <f t="shared" si="48"/>
        <v>5.4479999999999997E-3</v>
      </c>
    </row>
    <row r="115" spans="1:45" ht="30" x14ac:dyDescent="0.25">
      <c r="A115" s="12">
        <v>112</v>
      </c>
      <c r="B115" s="10" t="str">
        <f>IFERROR("TRI Form "&amp; VLOOKUP(I115, 'Processed Non-zero TRI Data'!$I$2:$K$6, 3, FALSE), "DMR")</f>
        <v>DMR</v>
      </c>
      <c r="C115" s="181" t="e">
        <f>VLOOKUP(D115,#REF!, 2, FALSE)</f>
        <v>#REF!</v>
      </c>
      <c r="D115" s="181" t="str">
        <f>IF(I115&lt;&gt;"",INDEX('Processed Non-zero TRI Data'!$O:$O,MATCH(I115,'Processed Non-zero TRI Data'!$I:$I,0)),INDEX('Processed Non-zero DMR Data'!$S:$S,MATCH(J115,'Processed Non-zero DMR Data'!$I:$I,0)))</f>
        <v>Waste Handling, Disposal and Treatment (POTW)</v>
      </c>
      <c r="E115" s="181" t="str">
        <f>IF(I115&lt;&gt;"",INDEX('Processed Non-zero TRI Data'!$P:$P,MATCH(I115,'Processed Non-zero TRI Data'!$I:$I,0)),INDEX('Processed Non-zero DMR Data'!$T:$T,MATCH(J115,'Processed Non-zero DMR Data'!$I:$I,0)))</f>
        <v>POTW indicator in DMR</v>
      </c>
      <c r="F115" s="9" t="str">
        <f>_xlfn.XLOOKUP(J115, 'Processed Non-zero DMR Data'!I:I, 'Processed Non-zero DMR Data'!B:B)</f>
        <v>PARIS STP</v>
      </c>
      <c r="G115" s="9" t="str">
        <f>_xlfn.XLOOKUP(J115, 'Processed Non-zero DMR Data'!I:I, 'Processed Non-zero DMR Data'!C:C)</f>
        <v>PARIS</v>
      </c>
      <c r="H115" s="9" t="str">
        <f>_xlfn.XLOOKUP(J115, 'Processed Non-zero DMR Data'!I:I, 'Processed Non-zero DMR Data'!E:E)</f>
        <v>KY</v>
      </c>
      <c r="I115" s="12"/>
      <c r="J115" s="13">
        <v>110000551082</v>
      </c>
      <c r="K115" s="9" t="str">
        <f>IFERROR(INDEX('Raw Non-zero DMR Data'!$C:$C, MATCH(J115,'Raw Non-zero DMR Data'!$D:$D,0)),"")</f>
        <v>KY0090654</v>
      </c>
      <c r="L115" s="9" t="str">
        <f>IFERROR(INDEX('Raw Non-zero DMR Data'!$U:$U, MATCH($J115,'Raw Non-zero DMR Data'!$D:$D,0)),"")</f>
        <v>Kennedy Creek-Stoner Creek</v>
      </c>
      <c r="M115" s="155" t="str">
        <f>IFERROR(INDEX('Raw Non-zero DMR Data'!$T:$T, MATCH($J115,'Raw Non-zero DMR Data'!$D:$D,0)),"")</f>
        <v>051001020205</v>
      </c>
      <c r="N115" s="155" t="str">
        <f>IFERROR(INDEX('Off-site Locations'!$E:$E,MATCH(I115,'Off-site Locations'!$B:$B,0)),"No offsite transfers")</f>
        <v>No offsite transfers</v>
      </c>
      <c r="O115" s="165">
        <f>INDEX('TRI and DMR OES Summary'!D:D,MATCH('Facility Discharge Summary'!D115,'TRI and DMR OES Summary'!A:A,0))</f>
        <v>365</v>
      </c>
      <c r="P115" s="17" cm="1">
        <f t="array" ref="P115">IFERROR(_xlfn.XLOOKUP(1,  (MAX(IF(J115 = 'Processed Non-zero DMR Data'!$I$2:$I$651,'Processed Non-zero DMR Data'!$A$2:$A$651)) = 'Processed Non-zero DMR Data'!$A$2:$A$651)*('Processed Non-zero DMR Data'!$I$2:$I$651 = J115),'Processed Non-zero DMR Data'!$W$2:$W$651), "N/A- Facility Does Not Report DMRs")</f>
        <v>6.2824849374999996</v>
      </c>
      <c r="Q115" s="10">
        <f t="shared" si="49"/>
        <v>1.7212287499999999E-2</v>
      </c>
      <c r="R115" s="10" cm="1">
        <f t="array" ref="R115">IF(COUNTIF('Processed Non-zero DMR Data'!$I:$I,$J115)&gt;0,MEDIAN(IF('Processed Non-zero DMR Data'!$I:$I=J115,'Processed Non-zero DMR Data'!$W:$W)),"N/A - Facility Does Not Report DMRs")</f>
        <v>7.2806367500000002</v>
      </c>
      <c r="S115" s="10">
        <f t="shared" si="50"/>
        <v>1.9946950000000001E-2</v>
      </c>
      <c r="T115" s="10">
        <f>IF(COUNTIF('Processed Non-zero DMR Data'!$I:$I,$J115)&gt;0,_xlfn.MAXIFS('Processed Non-zero DMR Data'!$W:$W,'Processed Non-zero DMR Data'!$I:$I,$J115), "N/A - Facility Does Not Report DMRs")</f>
        <v>8.2787885625000008</v>
      </c>
      <c r="U115" s="10">
        <f t="shared" si="51"/>
        <v>2.2681612500000004E-2</v>
      </c>
      <c r="V115" s="158" cm="1">
        <f t="array" ref="V115">IF(COUNTIF('Processed Non-zero DMR Data'!$I:$I,$J115)&gt;0,INDEX('Processed Non-zero DMR Data'!$A:$A,MATCH(1,($J115='Processed Non-zero DMR Data'!$I:$I)*($T115='Processed Non-zero DMR Data'!$W:$W),0)), "N/A - Facility Does Not Report DMRs")</f>
        <v>2019</v>
      </c>
      <c r="W115" s="17" t="str" cm="1">
        <f t="array" ref="W115">IFERROR(_xlfn.XLOOKUP(1,  (MAX(IF(I115 = 'Processed Non-zero TRI Data'!$I$2:$I$6,'Processed Non-zero TRI Data'!$A$2:$A$6)) = 'Processed Non-zero TRI Data'!$A$2:$A$6)*('Processed Non-zero TRI Data'!$I$2:$I$6 = I115), 'Processed Non-zero TRI Data'!$T$2:$T$6), "N/A- Facility Does Not Report to TRI")</f>
        <v>N/A- Facility Does Not Report to TRI</v>
      </c>
      <c r="X115" s="10" t="str">
        <f t="shared" si="52"/>
        <v>N/A - Facility Does Not Report to TRI</v>
      </c>
      <c r="Y115" s="10" t="str" cm="1">
        <f t="array" ref="Y115">IF(COUNTIF('Processed Non-zero TRI Data'!$I:$I,$I115)&gt;0,MEDIAN(IF('Processed Non-zero TRI Data'!$I:$I=I115,'Processed Non-zero TRI Data'!$T:$T)), "N/A - Facility Does Not Report to TRI")</f>
        <v>N/A - Facility Does Not Report to TRI</v>
      </c>
      <c r="Z115" s="10" t="str">
        <f t="shared" si="53"/>
        <v>N/A - Facility Does Not Report to TRI</v>
      </c>
      <c r="AA115" s="10" t="str">
        <f>IF(COUNTIF('Processed Non-zero TRI Data'!$I:$I,$I115)&gt;0,_xlfn.MAXIFS('Processed Non-zero TRI Data'!$T:$T,'Processed Non-zero TRI Data'!$I:$I,$I115), "N/A - Facility Does Not Report to TRI")</f>
        <v>N/A - Facility Does Not Report to TRI</v>
      </c>
      <c r="AB115" s="10" t="str">
        <f t="shared" si="54"/>
        <v>N/A - Facility Does Not Report to TRI</v>
      </c>
      <c r="AC115" s="158" t="str" cm="1">
        <f t="array" ref="AC115">IFERROR(IF(B115 = "TRI Form R", IF(AA115 = 0, "Facility has no on-site water discharges between 2017-2022.",  IF(COUNTIF('Processed Non-zero TRI Data'!$I:$I,$I115)&gt;0,INDEX('Processed Non-zero TRI Data'!$A:$A,MATCH(1,($I115='Processed Non-zero TRI Data'!$I:$I)*(AA115='Processed Non-zero TRI Data'!$T:$T),0)))), VLOOKUP(I115,#REF!, 2, FALSE)), ("N/A - Facility Does Not Report to TRI"))</f>
        <v>N/A - Facility Does Not Report to TRI</v>
      </c>
      <c r="AD115" s="97" t="str" cm="1">
        <f t="array" ref="AD115">IFERROR(_xlfn.XLOOKUP(1,  (MAX(IF(I115 = 'Processed Non-zero TRI Data'!$I$2:$I$6,'Processed Non-zero TRI Data'!$A$2:$A$6)) = 'Processed Non-zero TRI Data'!$A$2:$A$6)*('Processed Non-zero TRI Data'!$I$2:$I$6 = I115), 'Processed Non-zero TRI Data'!$V$2:$V$6), "N/A- Facility Does Not Report to TRI")</f>
        <v>N/A- Facility Does Not Report to TRI</v>
      </c>
      <c r="AE115" s="9" t="str">
        <f t="shared" si="55"/>
        <v>N/A - Facility Does Not Report to TRI</v>
      </c>
      <c r="AF115" s="9" t="str" cm="1">
        <f t="array" ref="AF115">IF(COUNTIF('Processed Non-zero TRI Data'!$I:$I,$I115)&gt;0,MEDIAN(IF('Processed Non-zero TRI Data'!$I:$I=I115,'Processed Non-zero TRI Data'!$V:$V)), "N/A - Facility Does Not Report to TRI")</f>
        <v>N/A - Facility Does Not Report to TRI</v>
      </c>
      <c r="AG115" s="9" t="str">
        <f t="shared" si="56"/>
        <v>N/A - Facility Does Not Report to TRI</v>
      </c>
      <c r="AH115" s="9" t="str">
        <f>IF(COUNTIF('Processed Non-zero TRI Data'!$I:$I,$I115)&gt;0,_xlfn.MAXIFS('Processed Non-zero TRI Data'!$V:$V,'Processed Non-zero TRI Data'!$I:$I,$I115), "N/A - Facility Does Not Report to TRI")</f>
        <v>N/A - Facility Does Not Report to TRI</v>
      </c>
      <c r="AI115" s="9" t="str">
        <f t="shared" si="57"/>
        <v>N/A - Facility Does Not Report to TRI</v>
      </c>
      <c r="AJ115" s="158" t="str" cm="1">
        <f t="array" ref="AJ115">IF(B115="TRI Form A",AC115,IF(AH115=0,"Facility has no transfers to POTWs between 2019-2023.",IF(COUNTIF('Processed Non-zero TRI Data'!$I:$I,$I115)&gt;0,INDEX('Processed Non-zero TRI Data'!$A:$A,MATCH(1,($I115='Processed Non-zero TRI Data'!$I:$I)*(AH115='Processed Non-zero TRI Data'!$V:$V),0)),"N/A - Facility Does Not Report to TRI")))</f>
        <v>N/A - Facility Does Not Report to TRI</v>
      </c>
      <c r="AK115" s="97" t="str" cm="1">
        <f t="array" ref="AK115">IFERROR(_xlfn.XLOOKUP(1,  (MAX(IF(I115 = 'Processed Non-zero TRI Data'!$I$2:$I$6,'Processed Non-zero TRI Data'!$A$2:$A$6)) = 'Processed Non-zero TRI Data'!$A$2:$A$6)*('Processed Non-zero TRI Data'!$I$2:$I$6 = I115), 'Processed Non-zero TRI Data'!$X$2:$X$6), "N/A- Facility Does Not Report to TRI")</f>
        <v>N/A- Facility Does Not Report to TRI</v>
      </c>
      <c r="AL115" s="9" t="str">
        <f t="shared" si="58"/>
        <v>N/A - Facility Does Not Report to TRI</v>
      </c>
      <c r="AM115" s="9" t="str" cm="1">
        <f t="array" ref="AM115">IF(COUNTIF('Processed Non-zero TRI Data'!$I:$I,$I115)&gt;0,MEDIAN(IF('Processed Non-zero TRI Data'!$I:$I=I115,'Processed Non-zero TRI Data'!$X:$X)), "N/A - Facility Does Not Report to TRI")</f>
        <v>N/A - Facility Does Not Report to TRI</v>
      </c>
      <c r="AN115" s="9" t="str">
        <f t="shared" si="59"/>
        <v>N/A - Facility Does Not Report to TRI</v>
      </c>
      <c r="AO115" s="9" t="str">
        <f>IF(COUNTIF('Processed Non-zero TRI Data'!$I:$I,$I115)&gt;0,_xlfn.MAXIFS('Processed Non-zero TRI Data'!$X:$X,'Processed Non-zero TRI Data'!$I:$I,$I115), "N/A - Facility Does Not Report to TRI")</f>
        <v>N/A - Facility Does Not Report to TRI</v>
      </c>
      <c r="AP115" s="9" t="str">
        <f t="shared" si="60"/>
        <v>N/A - Facility Does Not Report to TRI</v>
      </c>
      <c r="AQ115" s="251" t="str" cm="1">
        <f t="array" ref="AQ115">IF(B115="TRI Form A",AC115,IF(AO115=0,"Facility has no transfers to non-POTWs between 2019-2023.",IF(COUNTIF('Processed Non-zero TRI Data'!$I:$I,$I115)&gt;0,INDEX('Processed Non-zero TRI Data'!$A:$A,MATCH(1,($I115='Processed Non-zero TRI Data'!$I:$I)*(AO115='Processed Non-zero TRI Data'!$X:$X),0)),"N/A - Facility Does Not Report to TRI")))</f>
        <v>N/A - Facility Does Not Report to TRI</v>
      </c>
      <c r="AR115" s="260">
        <f t="shared" si="47"/>
        <v>0</v>
      </c>
      <c r="AS115" s="260">
        <f t="shared" si="48"/>
        <v>8.2787885625000008</v>
      </c>
    </row>
    <row r="116" spans="1:45" ht="30" x14ac:dyDescent="0.25">
      <c r="A116" s="12">
        <v>113</v>
      </c>
      <c r="B116" s="10" t="str">
        <f>IFERROR("TRI Form "&amp; VLOOKUP(I116, 'Processed Non-zero TRI Data'!$I$2:$K$6, 3, FALSE), "DMR")</f>
        <v>DMR</v>
      </c>
      <c r="C116" s="181" t="e">
        <f>VLOOKUP(D116,#REF!, 2, FALSE)</f>
        <v>#REF!</v>
      </c>
      <c r="D116" s="181" t="str">
        <f>IF(I116&lt;&gt;"",INDEX('Processed Non-zero TRI Data'!$O:$O,MATCH(I116,'Processed Non-zero TRI Data'!$I:$I,0)),INDEX('Processed Non-zero DMR Data'!$S:$S,MATCH(J116,'Processed Non-zero DMR Data'!$I:$I,0)))</f>
        <v>Waste Handling, Disposal and Treatment (POTW)</v>
      </c>
      <c r="E116" s="181" t="str">
        <f>IF(I116&lt;&gt;"",INDEX('Processed Non-zero TRI Data'!$P:$P,MATCH(I116,'Processed Non-zero TRI Data'!$I:$I,0)),INDEX('Processed Non-zero DMR Data'!$T:$T,MATCH(J116,'Processed Non-zero DMR Data'!$I:$I,0)))</f>
        <v>POTW indicator in DMR</v>
      </c>
      <c r="F116" s="9" t="str">
        <f>_xlfn.XLOOKUP(J116, 'Processed Non-zero DMR Data'!I:I, 'Processed Non-zero DMR Data'!B:B)</f>
        <v>COLUSA WWTP</v>
      </c>
      <c r="G116" s="9" t="str">
        <f>_xlfn.XLOOKUP(J116, 'Processed Non-zero DMR Data'!I:I, 'Processed Non-zero DMR Data'!C:C)</f>
        <v>COLUSA</v>
      </c>
      <c r="H116" s="9" t="str">
        <f>_xlfn.XLOOKUP(J116, 'Processed Non-zero DMR Data'!I:I, 'Processed Non-zero DMR Data'!E:E)</f>
        <v>CA</v>
      </c>
      <c r="I116" s="12"/>
      <c r="J116" s="13">
        <v>110055984957</v>
      </c>
      <c r="K116" s="9" t="str">
        <f>IFERROR(INDEX('Raw Non-zero DMR Data'!$C:$C, MATCH(J116,'Raw Non-zero DMR Data'!$D:$D,0)),"")</f>
        <v>CA0078999</v>
      </c>
      <c r="L116" s="9" t="str">
        <f>IFERROR(INDEX('Raw Non-zero DMR Data'!$U:$U, MATCH($J116,'Raw Non-zero DMR Data'!$D:$D,0)),"")</f>
        <v>Powell Slough-Colusa Trough</v>
      </c>
      <c r="M116" s="155">
        <f>IFERROR(INDEX('Raw Non-zero DMR Data'!$T:$T, MATCH($J116,'Raw Non-zero DMR Data'!$D:$D,0)),"")</f>
        <v>180201040807</v>
      </c>
      <c r="N116" s="155" t="str">
        <f>IFERROR(INDEX('Off-site Locations'!$E:$E,MATCH(I116,'Off-site Locations'!$B:$B,0)),"No offsite transfers")</f>
        <v>No offsite transfers</v>
      </c>
      <c r="O116" s="165">
        <f>INDEX('TRI and DMR OES Summary'!D:D,MATCH('Facility Discharge Summary'!D116,'TRI and DMR OES Summary'!A:A,0))</f>
        <v>365</v>
      </c>
      <c r="P116" s="17" cm="1">
        <f t="array" ref="P116">IFERROR(_xlfn.XLOOKUP(1,  (MAX(IF(J116 = 'Processed Non-zero DMR Data'!$I$2:$I$651,'Processed Non-zero DMR Data'!$A$2:$A$651)) = 'Processed Non-zero DMR Data'!$A$2:$A$651)*('Processed Non-zero DMR Data'!$I$2:$I$651 = J116),'Processed Non-zero DMR Data'!$W$2:$W$651), "N/A- Facility Does Not Report DMRs")</f>
        <v>6.3041849733333294E-2</v>
      </c>
      <c r="Q116" s="10">
        <f t="shared" si="49"/>
        <v>1.7271739652968026E-4</v>
      </c>
      <c r="R116" s="10" cm="1">
        <f t="array" ref="R116">IF(COUNTIF('Processed Non-zero DMR Data'!$I:$I,$J116)&gt;0,MEDIAN(IF('Processed Non-zero DMR Data'!$I:$I=J116,'Processed Non-zero DMR Data'!$W:$W)),"N/A - Facility Does Not Report DMRs")</f>
        <v>6.3041849733333294E-2</v>
      </c>
      <c r="S116" s="10">
        <f t="shared" si="50"/>
        <v>1.7271739652968026E-4</v>
      </c>
      <c r="T116" s="10">
        <f>IF(COUNTIF('Processed Non-zero DMR Data'!$I:$I,$J116)&gt;0,_xlfn.MAXIFS('Processed Non-zero DMR Data'!$W:$W,'Processed Non-zero DMR Data'!$I:$I,$J116), "N/A - Facility Does Not Report DMRs")</f>
        <v>6.3041849733333294E-2</v>
      </c>
      <c r="U116" s="10">
        <f t="shared" si="51"/>
        <v>1.7271739652968026E-4</v>
      </c>
      <c r="V116" s="158" cm="1">
        <f t="array" ref="V116">IF(COUNTIF('Processed Non-zero DMR Data'!$I:$I,$J116)&gt;0,INDEX('Processed Non-zero DMR Data'!$A:$A,MATCH(1,($J116='Processed Non-zero DMR Data'!$I:$I)*($T116='Processed Non-zero DMR Data'!$W:$W),0)), "N/A - Facility Does Not Report DMRs")</f>
        <v>2019</v>
      </c>
      <c r="W116" s="17" t="str" cm="1">
        <f t="array" ref="W116">IFERROR(_xlfn.XLOOKUP(1,  (MAX(IF(I116 = 'Processed Non-zero TRI Data'!$I$2:$I$6,'Processed Non-zero TRI Data'!$A$2:$A$6)) = 'Processed Non-zero TRI Data'!$A$2:$A$6)*('Processed Non-zero TRI Data'!$I$2:$I$6 = I116), 'Processed Non-zero TRI Data'!$T$2:$T$6), "N/A- Facility Does Not Report to TRI")</f>
        <v>N/A- Facility Does Not Report to TRI</v>
      </c>
      <c r="X116" s="10" t="str">
        <f t="shared" si="52"/>
        <v>N/A - Facility Does Not Report to TRI</v>
      </c>
      <c r="Y116" s="10" t="str" cm="1">
        <f t="array" ref="Y116">IF(COUNTIF('Processed Non-zero TRI Data'!$I:$I,$I116)&gt;0,MEDIAN(IF('Processed Non-zero TRI Data'!$I:$I=I116,'Processed Non-zero TRI Data'!$T:$T)), "N/A - Facility Does Not Report to TRI")</f>
        <v>N/A - Facility Does Not Report to TRI</v>
      </c>
      <c r="Z116" s="10" t="str">
        <f t="shared" si="53"/>
        <v>N/A - Facility Does Not Report to TRI</v>
      </c>
      <c r="AA116" s="10" t="str">
        <f>IF(COUNTIF('Processed Non-zero TRI Data'!$I:$I,$I116)&gt;0,_xlfn.MAXIFS('Processed Non-zero TRI Data'!$T:$T,'Processed Non-zero TRI Data'!$I:$I,$I116), "N/A - Facility Does Not Report to TRI")</f>
        <v>N/A - Facility Does Not Report to TRI</v>
      </c>
      <c r="AB116" s="10" t="str">
        <f t="shared" si="54"/>
        <v>N/A - Facility Does Not Report to TRI</v>
      </c>
      <c r="AC116" s="158" t="str" cm="1">
        <f t="array" ref="AC116">IFERROR(IF(B116 = "TRI Form R", IF(AA116 = 0, "Facility has no on-site water discharges between 2017-2022.",  IF(COUNTIF('Processed Non-zero TRI Data'!$I:$I,$I116)&gt;0,INDEX('Processed Non-zero TRI Data'!$A:$A,MATCH(1,($I116='Processed Non-zero TRI Data'!$I:$I)*(AA116='Processed Non-zero TRI Data'!$T:$T),0)))), VLOOKUP(I116,#REF!, 2, FALSE)), ("N/A - Facility Does Not Report to TRI"))</f>
        <v>N/A - Facility Does Not Report to TRI</v>
      </c>
      <c r="AD116" s="97" t="str" cm="1">
        <f t="array" ref="AD116">IFERROR(_xlfn.XLOOKUP(1,  (MAX(IF(I116 = 'Processed Non-zero TRI Data'!$I$2:$I$6,'Processed Non-zero TRI Data'!$A$2:$A$6)) = 'Processed Non-zero TRI Data'!$A$2:$A$6)*('Processed Non-zero TRI Data'!$I$2:$I$6 = I116), 'Processed Non-zero TRI Data'!$V$2:$V$6), "N/A- Facility Does Not Report to TRI")</f>
        <v>N/A- Facility Does Not Report to TRI</v>
      </c>
      <c r="AE116" s="9" t="str">
        <f t="shared" si="55"/>
        <v>N/A - Facility Does Not Report to TRI</v>
      </c>
      <c r="AF116" s="9" t="str" cm="1">
        <f t="array" ref="AF116">IF(COUNTIF('Processed Non-zero TRI Data'!$I:$I,$I116)&gt;0,MEDIAN(IF('Processed Non-zero TRI Data'!$I:$I=I116,'Processed Non-zero TRI Data'!$V:$V)), "N/A - Facility Does Not Report to TRI")</f>
        <v>N/A - Facility Does Not Report to TRI</v>
      </c>
      <c r="AG116" s="9" t="str">
        <f t="shared" si="56"/>
        <v>N/A - Facility Does Not Report to TRI</v>
      </c>
      <c r="AH116" s="9" t="str">
        <f>IF(COUNTIF('Processed Non-zero TRI Data'!$I:$I,$I116)&gt;0,_xlfn.MAXIFS('Processed Non-zero TRI Data'!$V:$V,'Processed Non-zero TRI Data'!$I:$I,$I116), "N/A - Facility Does Not Report to TRI")</f>
        <v>N/A - Facility Does Not Report to TRI</v>
      </c>
      <c r="AI116" s="9" t="str">
        <f t="shared" si="57"/>
        <v>N/A - Facility Does Not Report to TRI</v>
      </c>
      <c r="AJ116" s="158" t="str" cm="1">
        <f t="array" ref="AJ116">IF(B116="TRI Form A",AC116,IF(AH116=0,"Facility has no transfers to POTWs between 2019-2023.",IF(COUNTIF('Processed Non-zero TRI Data'!$I:$I,$I116)&gt;0,INDEX('Processed Non-zero TRI Data'!$A:$A,MATCH(1,($I116='Processed Non-zero TRI Data'!$I:$I)*(AH116='Processed Non-zero TRI Data'!$V:$V),0)),"N/A - Facility Does Not Report to TRI")))</f>
        <v>N/A - Facility Does Not Report to TRI</v>
      </c>
      <c r="AK116" s="97" t="str" cm="1">
        <f t="array" ref="AK116">IFERROR(_xlfn.XLOOKUP(1,  (MAX(IF(I116 = 'Processed Non-zero TRI Data'!$I$2:$I$6,'Processed Non-zero TRI Data'!$A$2:$A$6)) = 'Processed Non-zero TRI Data'!$A$2:$A$6)*('Processed Non-zero TRI Data'!$I$2:$I$6 = I116), 'Processed Non-zero TRI Data'!$X$2:$X$6), "N/A- Facility Does Not Report to TRI")</f>
        <v>N/A- Facility Does Not Report to TRI</v>
      </c>
      <c r="AL116" s="9" t="str">
        <f t="shared" si="58"/>
        <v>N/A - Facility Does Not Report to TRI</v>
      </c>
      <c r="AM116" s="9" t="str" cm="1">
        <f t="array" ref="AM116">IF(COUNTIF('Processed Non-zero TRI Data'!$I:$I,$I116)&gt;0,MEDIAN(IF('Processed Non-zero TRI Data'!$I:$I=I116,'Processed Non-zero TRI Data'!$X:$X)), "N/A - Facility Does Not Report to TRI")</f>
        <v>N/A - Facility Does Not Report to TRI</v>
      </c>
      <c r="AN116" s="9" t="str">
        <f t="shared" si="59"/>
        <v>N/A - Facility Does Not Report to TRI</v>
      </c>
      <c r="AO116" s="9" t="str">
        <f>IF(COUNTIF('Processed Non-zero TRI Data'!$I:$I,$I116)&gt;0,_xlfn.MAXIFS('Processed Non-zero TRI Data'!$X:$X,'Processed Non-zero TRI Data'!$I:$I,$I116), "N/A - Facility Does Not Report to TRI")</f>
        <v>N/A - Facility Does Not Report to TRI</v>
      </c>
      <c r="AP116" s="9" t="str">
        <f t="shared" si="60"/>
        <v>N/A - Facility Does Not Report to TRI</v>
      </c>
      <c r="AQ116" s="251" t="str" cm="1">
        <f t="array" ref="AQ116">IF(B116="TRI Form A",AC116,IF(AO116=0,"Facility has no transfers to non-POTWs between 2019-2023.",IF(COUNTIF('Processed Non-zero TRI Data'!$I:$I,$I116)&gt;0,INDEX('Processed Non-zero TRI Data'!$A:$A,MATCH(1,($I116='Processed Non-zero TRI Data'!$I:$I)*(AO116='Processed Non-zero TRI Data'!$X:$X),0)),"N/A - Facility Does Not Report to TRI")))</f>
        <v>N/A - Facility Does Not Report to TRI</v>
      </c>
      <c r="AR116" s="260">
        <f t="shared" si="47"/>
        <v>0</v>
      </c>
      <c r="AS116" s="260">
        <f t="shared" si="48"/>
        <v>6.3041849733333294E-2</v>
      </c>
    </row>
    <row r="117" spans="1:45" ht="30" x14ac:dyDescent="0.25">
      <c r="A117" s="12">
        <v>114</v>
      </c>
      <c r="B117" s="10" t="str">
        <f>IFERROR("TRI Form "&amp; VLOOKUP(I117, 'Processed Non-zero TRI Data'!$I$2:$K$6, 3, FALSE), "DMR")</f>
        <v>DMR</v>
      </c>
      <c r="C117" s="181" t="e">
        <f>VLOOKUP(D117,#REF!, 2, FALSE)</f>
        <v>#REF!</v>
      </c>
      <c r="D117" s="181" t="str">
        <f>IF(I117&lt;&gt;"",INDEX('Processed Non-zero TRI Data'!$O:$O,MATCH(I117,'Processed Non-zero TRI Data'!$I:$I,0)),INDEX('Processed Non-zero DMR Data'!$S:$S,MATCH(J117,'Processed Non-zero DMR Data'!$I:$I,0)))</f>
        <v>Waste Handling, Disposal and Treatment (POTW)</v>
      </c>
      <c r="E117" s="181" t="str">
        <f>IF(I117&lt;&gt;"",INDEX('Processed Non-zero TRI Data'!$P:$P,MATCH(I117,'Processed Non-zero TRI Data'!$I:$I,0)),INDEX('Processed Non-zero DMR Data'!$T:$T,MATCH(J117,'Processed Non-zero DMR Data'!$I:$I,0)))</f>
        <v>POTW indicator in DMR</v>
      </c>
      <c r="F117" s="9" t="str">
        <f>_xlfn.XLOOKUP(J117, 'Processed Non-zero DMR Data'!I:I, 'Processed Non-zero DMR Data'!B:B)</f>
        <v>PIKEVILLE WWTP</v>
      </c>
      <c r="G117" s="9" t="str">
        <f>_xlfn.XLOOKUP(J117, 'Processed Non-zero DMR Data'!I:I, 'Processed Non-zero DMR Data'!C:C)</f>
        <v>PIKEVILLE</v>
      </c>
      <c r="H117" s="9" t="str">
        <f>_xlfn.XLOOKUP(J117, 'Processed Non-zero DMR Data'!I:I, 'Processed Non-zero DMR Data'!E:E)</f>
        <v>KY</v>
      </c>
      <c r="I117" s="12"/>
      <c r="J117" s="13">
        <v>110006644872</v>
      </c>
      <c r="K117" s="9" t="str">
        <f>IFERROR(INDEX('Raw Non-zero DMR Data'!$C:$C, MATCH(J117,'Raw Non-zero DMR Data'!$D:$D,0)),"")</f>
        <v>KY0025291</v>
      </c>
      <c r="L117" s="9" t="str">
        <f>IFERROR(INDEX('Raw Non-zero DMR Data'!$U:$U, MATCH($J117,'Raw Non-zero DMR Data'!$D:$D,0)),"")</f>
        <v>Island Creek-Levisa Fork</v>
      </c>
      <c r="M117" s="155" t="str">
        <f>IFERROR(INDEX('Raw Non-zero DMR Data'!$T:$T, MATCH($J117,'Raw Non-zero DMR Data'!$D:$D,0)),"")</f>
        <v>050702030202</v>
      </c>
      <c r="N117" s="155" t="str">
        <f>IFERROR(INDEX('Off-site Locations'!$E:$E,MATCH(I117,'Off-site Locations'!$B:$B,0)),"No offsite transfers")</f>
        <v>No offsite transfers</v>
      </c>
      <c r="O117" s="165">
        <f>INDEX('TRI and DMR OES Summary'!D:D,MATCH('Facility Discharge Summary'!D117,'TRI and DMR OES Summary'!A:A,0))</f>
        <v>365</v>
      </c>
      <c r="P117" s="17" cm="1">
        <f t="array" ref="P117">IFERROR(_xlfn.XLOOKUP(1,  (MAX(IF(J117 = 'Processed Non-zero DMR Data'!$I$2:$I$651,'Processed Non-zero DMR Data'!$A$2:$A$651)) = 'Processed Non-zero DMR Data'!$A$2:$A$651)*('Processed Non-zero DMR Data'!$I$2:$I$651 = J117),'Processed Non-zero DMR Data'!$W$2:$W$651), "N/A- Facility Does Not Report DMRs")</f>
        <v>1.2218897862500001E-3</v>
      </c>
      <c r="Q117" s="10">
        <f t="shared" si="49"/>
        <v>3.3476432500000003E-6</v>
      </c>
      <c r="R117" s="10" cm="1">
        <f t="array" ref="R117">IF(COUNTIF('Processed Non-zero DMR Data'!$I:$I,$J117)&gt;0,MEDIAN(IF('Processed Non-zero DMR Data'!$I:$I=J117,'Processed Non-zero DMR Data'!$W:$W)),"N/A - Facility Does Not Report DMRs")</f>
        <v>1.3628744125000001</v>
      </c>
      <c r="S117" s="10">
        <f t="shared" si="50"/>
        <v>3.7339025000000001E-3</v>
      </c>
      <c r="T117" s="10">
        <f>IF(COUNTIF('Processed Non-zero DMR Data'!$I:$I,$J117)&gt;0,_xlfn.MAXIFS('Processed Non-zero DMR Data'!$W:$W,'Processed Non-zero DMR Data'!$I:$I,$J117), "N/A - Facility Does Not Report DMRs")</f>
        <v>7.6501946875</v>
      </c>
      <c r="U117" s="10">
        <f t="shared" si="51"/>
        <v>2.0959437500000001E-2</v>
      </c>
      <c r="V117" s="158" cm="1">
        <f t="array" ref="V117">IF(COUNTIF('Processed Non-zero DMR Data'!$I:$I,$J117)&gt;0,INDEX('Processed Non-zero DMR Data'!$A:$A,MATCH(1,($J117='Processed Non-zero DMR Data'!$I:$I)*($T117='Processed Non-zero DMR Data'!$W:$W),0)), "N/A - Facility Does Not Report DMRs")</f>
        <v>2019</v>
      </c>
      <c r="W117" s="17" t="str" cm="1">
        <f t="array" ref="W117">IFERROR(_xlfn.XLOOKUP(1,  (MAX(IF(I117 = 'Processed Non-zero TRI Data'!$I$2:$I$6,'Processed Non-zero TRI Data'!$A$2:$A$6)) = 'Processed Non-zero TRI Data'!$A$2:$A$6)*('Processed Non-zero TRI Data'!$I$2:$I$6 = I117), 'Processed Non-zero TRI Data'!$T$2:$T$6), "N/A- Facility Does Not Report to TRI")</f>
        <v>N/A- Facility Does Not Report to TRI</v>
      </c>
      <c r="X117" s="10" t="str">
        <f t="shared" si="52"/>
        <v>N/A - Facility Does Not Report to TRI</v>
      </c>
      <c r="Y117" s="10" t="str" cm="1">
        <f t="array" ref="Y117">IF(COUNTIF('Processed Non-zero TRI Data'!$I:$I,$I117)&gt;0,MEDIAN(IF('Processed Non-zero TRI Data'!$I:$I=I117,'Processed Non-zero TRI Data'!$T:$T)), "N/A - Facility Does Not Report to TRI")</f>
        <v>N/A - Facility Does Not Report to TRI</v>
      </c>
      <c r="Z117" s="10" t="str">
        <f t="shared" si="53"/>
        <v>N/A - Facility Does Not Report to TRI</v>
      </c>
      <c r="AA117" s="10" t="str">
        <f>IF(COUNTIF('Processed Non-zero TRI Data'!$I:$I,$I117)&gt;0,_xlfn.MAXIFS('Processed Non-zero TRI Data'!$T:$T,'Processed Non-zero TRI Data'!$I:$I,$I117), "N/A - Facility Does Not Report to TRI")</f>
        <v>N/A - Facility Does Not Report to TRI</v>
      </c>
      <c r="AB117" s="10" t="str">
        <f t="shared" si="54"/>
        <v>N/A - Facility Does Not Report to TRI</v>
      </c>
      <c r="AC117" s="158" t="str" cm="1">
        <f t="array" ref="AC117">IFERROR(IF(B117 = "TRI Form R", IF(AA117 = 0, "Facility has no on-site water discharges between 2017-2022.",  IF(COUNTIF('Processed Non-zero TRI Data'!$I:$I,$I117)&gt;0,INDEX('Processed Non-zero TRI Data'!$A:$A,MATCH(1,($I117='Processed Non-zero TRI Data'!$I:$I)*(AA117='Processed Non-zero TRI Data'!$T:$T),0)))), VLOOKUP(I117,#REF!, 2, FALSE)), ("N/A - Facility Does Not Report to TRI"))</f>
        <v>N/A - Facility Does Not Report to TRI</v>
      </c>
      <c r="AD117" s="97" t="str" cm="1">
        <f t="array" ref="AD117">IFERROR(_xlfn.XLOOKUP(1,  (MAX(IF(I117 = 'Processed Non-zero TRI Data'!$I$2:$I$6,'Processed Non-zero TRI Data'!$A$2:$A$6)) = 'Processed Non-zero TRI Data'!$A$2:$A$6)*('Processed Non-zero TRI Data'!$I$2:$I$6 = I117), 'Processed Non-zero TRI Data'!$V$2:$V$6), "N/A- Facility Does Not Report to TRI")</f>
        <v>N/A- Facility Does Not Report to TRI</v>
      </c>
      <c r="AE117" s="9" t="str">
        <f t="shared" si="55"/>
        <v>N/A - Facility Does Not Report to TRI</v>
      </c>
      <c r="AF117" s="9" t="str" cm="1">
        <f t="array" ref="AF117">IF(COUNTIF('Processed Non-zero TRI Data'!$I:$I,$I117)&gt;0,MEDIAN(IF('Processed Non-zero TRI Data'!$I:$I=I117,'Processed Non-zero TRI Data'!$V:$V)), "N/A - Facility Does Not Report to TRI")</f>
        <v>N/A - Facility Does Not Report to TRI</v>
      </c>
      <c r="AG117" s="9" t="str">
        <f t="shared" si="56"/>
        <v>N/A - Facility Does Not Report to TRI</v>
      </c>
      <c r="AH117" s="9" t="str">
        <f>IF(COUNTIF('Processed Non-zero TRI Data'!$I:$I,$I117)&gt;0,_xlfn.MAXIFS('Processed Non-zero TRI Data'!$V:$V,'Processed Non-zero TRI Data'!$I:$I,$I117), "N/A - Facility Does Not Report to TRI")</f>
        <v>N/A - Facility Does Not Report to TRI</v>
      </c>
      <c r="AI117" s="9" t="str">
        <f t="shared" si="57"/>
        <v>N/A - Facility Does Not Report to TRI</v>
      </c>
      <c r="AJ117" s="158" t="str" cm="1">
        <f t="array" ref="AJ117">IF(B117="TRI Form A",AC117,IF(AH117=0,"Facility has no transfers to POTWs between 2019-2023.",IF(COUNTIF('Processed Non-zero TRI Data'!$I:$I,$I117)&gt;0,INDEX('Processed Non-zero TRI Data'!$A:$A,MATCH(1,($I117='Processed Non-zero TRI Data'!$I:$I)*(AH117='Processed Non-zero TRI Data'!$V:$V),0)),"N/A - Facility Does Not Report to TRI")))</f>
        <v>N/A - Facility Does Not Report to TRI</v>
      </c>
      <c r="AK117" s="97" t="str" cm="1">
        <f t="array" ref="AK117">IFERROR(_xlfn.XLOOKUP(1,  (MAX(IF(I117 = 'Processed Non-zero TRI Data'!$I$2:$I$6,'Processed Non-zero TRI Data'!$A$2:$A$6)) = 'Processed Non-zero TRI Data'!$A$2:$A$6)*('Processed Non-zero TRI Data'!$I$2:$I$6 = I117), 'Processed Non-zero TRI Data'!$X$2:$X$6), "N/A- Facility Does Not Report to TRI")</f>
        <v>N/A- Facility Does Not Report to TRI</v>
      </c>
      <c r="AL117" s="9" t="str">
        <f t="shared" si="58"/>
        <v>N/A - Facility Does Not Report to TRI</v>
      </c>
      <c r="AM117" s="9" t="str" cm="1">
        <f t="array" ref="AM117">IF(COUNTIF('Processed Non-zero TRI Data'!$I:$I,$I117)&gt;0,MEDIAN(IF('Processed Non-zero TRI Data'!$I:$I=I117,'Processed Non-zero TRI Data'!$X:$X)), "N/A - Facility Does Not Report to TRI")</f>
        <v>N/A - Facility Does Not Report to TRI</v>
      </c>
      <c r="AN117" s="9" t="str">
        <f t="shared" si="59"/>
        <v>N/A - Facility Does Not Report to TRI</v>
      </c>
      <c r="AO117" s="9" t="str">
        <f>IF(COUNTIF('Processed Non-zero TRI Data'!$I:$I,$I117)&gt;0,_xlfn.MAXIFS('Processed Non-zero TRI Data'!$X:$X,'Processed Non-zero TRI Data'!$I:$I,$I117), "N/A - Facility Does Not Report to TRI")</f>
        <v>N/A - Facility Does Not Report to TRI</v>
      </c>
      <c r="AP117" s="9" t="str">
        <f t="shared" si="60"/>
        <v>N/A - Facility Does Not Report to TRI</v>
      </c>
      <c r="AQ117" s="251" t="str" cm="1">
        <f t="array" ref="AQ117">IF(B117="TRI Form A",AC117,IF(AO117=0,"Facility has no transfers to non-POTWs between 2019-2023.",IF(COUNTIF('Processed Non-zero TRI Data'!$I:$I,$I117)&gt;0,INDEX('Processed Non-zero TRI Data'!$A:$A,MATCH(1,($I117='Processed Non-zero TRI Data'!$I:$I)*(AO117='Processed Non-zero TRI Data'!$X:$X),0)),"N/A - Facility Does Not Report to TRI")))</f>
        <v>N/A - Facility Does Not Report to TRI</v>
      </c>
      <c r="AR117" s="260">
        <f t="shared" si="47"/>
        <v>0</v>
      </c>
      <c r="AS117" s="260">
        <f t="shared" si="48"/>
        <v>7.6501946875</v>
      </c>
    </row>
    <row r="118" spans="1:45" ht="30" x14ac:dyDescent="0.25">
      <c r="A118" s="12">
        <v>115</v>
      </c>
      <c r="B118" s="10" t="str">
        <f>IFERROR("TRI Form "&amp; VLOOKUP(I118, 'Processed Non-zero TRI Data'!$I$2:$K$6, 3, FALSE), "DMR")</f>
        <v>DMR</v>
      </c>
      <c r="C118" s="181" t="e">
        <f>VLOOKUP(D118,#REF!, 2, FALSE)</f>
        <v>#REF!</v>
      </c>
      <c r="D118" s="181" t="str">
        <f>IF(I118&lt;&gt;"",INDEX('Processed Non-zero TRI Data'!$O:$O,MATCH(I118,'Processed Non-zero TRI Data'!$I:$I,0)),INDEX('Processed Non-zero DMR Data'!$S:$S,MATCH(J118,'Processed Non-zero DMR Data'!$I:$I,0)))</f>
        <v>Processing as a reactant</v>
      </c>
      <c r="E118" s="181" t="str">
        <f>IF(I118&lt;&gt;"",INDEX('Processed Non-zero TRI Data'!$P:$P,MATCH(I118,'Processed Non-zero TRI Data'!$I:$I,0)),INDEX('Processed Non-zero DMR Data'!$T:$T,MATCH(J118,'Processed Non-zero DMR Data'!$I:$I,0)))</f>
        <v>Assumed processing as a reactant based on SIC and NAICS; this also matches 1,1,-DCA mapping.</v>
      </c>
      <c r="F118" s="9" t="str">
        <f>_xlfn.XLOOKUP(J118, 'Processed Non-zero DMR Data'!I:I, 'Processed Non-zero DMR Data'!B:B)</f>
        <v>NALCO PRODUCTION LLC - GARYVILLE FACILITY</v>
      </c>
      <c r="G118" s="9" t="str">
        <f>_xlfn.XLOOKUP(J118, 'Processed Non-zero DMR Data'!I:I, 'Processed Non-zero DMR Data'!C:C)</f>
        <v>GARYVILLE</v>
      </c>
      <c r="H118" s="9" t="str">
        <f>_xlfn.XLOOKUP(J118, 'Processed Non-zero DMR Data'!I:I, 'Processed Non-zero DMR Data'!E:E)</f>
        <v>LA</v>
      </c>
      <c r="I118" s="12"/>
      <c r="J118" s="13">
        <v>110007015871</v>
      </c>
      <c r="K118" s="9" t="str">
        <f>IFERROR(INDEX('Raw Non-zero DMR Data'!$C:$C, MATCH(J118,'Raw Non-zero DMR Data'!$D:$D,0)),"")</f>
        <v>LA0038890</v>
      </c>
      <c r="L118" s="9" t="str">
        <f>IFERROR(INDEX('Raw Non-zero DMR Data'!$U:$U, MATCH($J118,'Raw Non-zero DMR Data'!$D:$D,0)),"")</f>
        <v>Hope Canal-Pipeline Canal</v>
      </c>
      <c r="M118" s="155" t="str">
        <f>IFERROR(INDEX('Raw Non-zero DMR Data'!$T:$T, MATCH($J118,'Raw Non-zero DMR Data'!$D:$D,0)),"")</f>
        <v>080702040302</v>
      </c>
      <c r="N118" s="155" t="str">
        <f>IFERROR(INDEX('Off-site Locations'!$E:$E,MATCH(I118,'Off-site Locations'!$B:$B,0)),"No offsite transfers")</f>
        <v>No offsite transfers</v>
      </c>
      <c r="O118" s="165">
        <f>INDEX('TRI and DMR OES Summary'!D:D,MATCH('Facility Discharge Summary'!D118,'TRI and DMR OES Summary'!A:A,0))</f>
        <v>350</v>
      </c>
      <c r="P118" s="17" cm="1">
        <f t="array" ref="P118">IFERROR(_xlfn.XLOOKUP(1,  (MAX(IF(J118 = 'Processed Non-zero DMR Data'!$I$2:$I$651,'Processed Non-zero DMR Data'!$A$2:$A$651)) = 'Processed Non-zero DMR Data'!$A$2:$A$651)*('Processed Non-zero DMR Data'!$I$2:$I$651 = J118),'Processed Non-zero DMR Data'!$W$2:$W$651), "N/A- Facility Does Not Report DMRs")</f>
        <v>8.2854999999999998E-2</v>
      </c>
      <c r="Q118" s="10">
        <f t="shared" si="49"/>
        <v>2.3672857142857141E-4</v>
      </c>
      <c r="R118" s="10" cm="1">
        <f t="array" ref="R118">IF(COUNTIF('Processed Non-zero DMR Data'!$I:$I,$J118)&gt;0,MEDIAN(IF('Processed Non-zero DMR Data'!$I:$I=J118,'Processed Non-zero DMR Data'!$W:$W)),"N/A - Facility Does Not Report DMRs")</f>
        <v>8.2854999999999998E-2</v>
      </c>
      <c r="S118" s="10">
        <f t="shared" si="50"/>
        <v>2.3672857142857141E-4</v>
      </c>
      <c r="T118" s="10">
        <f>IF(COUNTIF('Processed Non-zero DMR Data'!$I:$I,$J118)&gt;0,_xlfn.MAXIFS('Processed Non-zero DMR Data'!$W:$W,'Processed Non-zero DMR Data'!$I:$I,$J118), "N/A - Facility Does Not Report DMRs")</f>
        <v>0.16571</v>
      </c>
      <c r="U118" s="10">
        <f t="shared" si="51"/>
        <v>4.7345714285714283E-4</v>
      </c>
      <c r="V118" s="158" cm="1">
        <f t="array" ref="V118">IF(COUNTIF('Processed Non-zero DMR Data'!$I:$I,$J118)&gt;0,INDEX('Processed Non-zero DMR Data'!$A:$A,MATCH(1,($J118='Processed Non-zero DMR Data'!$I:$I)*($T118='Processed Non-zero DMR Data'!$W:$W),0)), "N/A - Facility Does Not Report DMRs")</f>
        <v>2021</v>
      </c>
      <c r="W118" s="17" t="str" cm="1">
        <f t="array" ref="W118">IFERROR(_xlfn.XLOOKUP(1,  (MAX(IF(I118 = 'Processed Non-zero TRI Data'!$I$2:$I$6,'Processed Non-zero TRI Data'!$A$2:$A$6)) = 'Processed Non-zero TRI Data'!$A$2:$A$6)*('Processed Non-zero TRI Data'!$I$2:$I$6 = I118), 'Processed Non-zero TRI Data'!$T$2:$T$6), "N/A- Facility Does Not Report to TRI")</f>
        <v>N/A- Facility Does Not Report to TRI</v>
      </c>
      <c r="X118" s="10" t="str">
        <f t="shared" si="52"/>
        <v>N/A - Facility Does Not Report to TRI</v>
      </c>
      <c r="Y118" s="10" t="str" cm="1">
        <f t="array" ref="Y118">IF(COUNTIF('Processed Non-zero TRI Data'!$I:$I,$I118)&gt;0,MEDIAN(IF('Processed Non-zero TRI Data'!$I:$I=I118,'Processed Non-zero TRI Data'!$T:$T)), "N/A - Facility Does Not Report to TRI")</f>
        <v>N/A - Facility Does Not Report to TRI</v>
      </c>
      <c r="Z118" s="10" t="str">
        <f t="shared" si="53"/>
        <v>N/A - Facility Does Not Report to TRI</v>
      </c>
      <c r="AA118" s="10" t="str">
        <f>IF(COUNTIF('Processed Non-zero TRI Data'!$I:$I,$I118)&gt;0,_xlfn.MAXIFS('Processed Non-zero TRI Data'!$T:$T,'Processed Non-zero TRI Data'!$I:$I,$I118), "N/A - Facility Does Not Report to TRI")</f>
        <v>N/A - Facility Does Not Report to TRI</v>
      </c>
      <c r="AB118" s="10" t="str">
        <f t="shared" si="54"/>
        <v>N/A - Facility Does Not Report to TRI</v>
      </c>
      <c r="AC118" s="158" t="str" cm="1">
        <f t="array" ref="AC118">IFERROR(IF(B118 = "TRI Form R", IF(AA118 = 0, "Facility has no on-site water discharges between 2017-2022.",  IF(COUNTIF('Processed Non-zero TRI Data'!$I:$I,$I118)&gt;0,INDEX('Processed Non-zero TRI Data'!$A:$A,MATCH(1,($I118='Processed Non-zero TRI Data'!$I:$I)*(AA118='Processed Non-zero TRI Data'!$T:$T),0)))), VLOOKUP(I118,#REF!, 2, FALSE)), ("N/A - Facility Does Not Report to TRI"))</f>
        <v>N/A - Facility Does Not Report to TRI</v>
      </c>
      <c r="AD118" s="97" t="str" cm="1">
        <f t="array" ref="AD118">IFERROR(_xlfn.XLOOKUP(1,  (MAX(IF(I118 = 'Processed Non-zero TRI Data'!$I$2:$I$6,'Processed Non-zero TRI Data'!$A$2:$A$6)) = 'Processed Non-zero TRI Data'!$A$2:$A$6)*('Processed Non-zero TRI Data'!$I$2:$I$6 = I118), 'Processed Non-zero TRI Data'!$V$2:$V$6), "N/A- Facility Does Not Report to TRI")</f>
        <v>N/A- Facility Does Not Report to TRI</v>
      </c>
      <c r="AE118" s="9" t="str">
        <f t="shared" si="55"/>
        <v>N/A - Facility Does Not Report to TRI</v>
      </c>
      <c r="AF118" s="9" t="str" cm="1">
        <f t="array" ref="AF118">IF(COUNTIF('Processed Non-zero TRI Data'!$I:$I,$I118)&gt;0,MEDIAN(IF('Processed Non-zero TRI Data'!$I:$I=I118,'Processed Non-zero TRI Data'!$V:$V)), "N/A - Facility Does Not Report to TRI")</f>
        <v>N/A - Facility Does Not Report to TRI</v>
      </c>
      <c r="AG118" s="9" t="str">
        <f t="shared" si="56"/>
        <v>N/A - Facility Does Not Report to TRI</v>
      </c>
      <c r="AH118" s="9" t="str">
        <f>IF(COUNTIF('Processed Non-zero TRI Data'!$I:$I,$I118)&gt;0,_xlfn.MAXIFS('Processed Non-zero TRI Data'!$V:$V,'Processed Non-zero TRI Data'!$I:$I,$I118), "N/A - Facility Does Not Report to TRI")</f>
        <v>N/A - Facility Does Not Report to TRI</v>
      </c>
      <c r="AI118" s="9" t="str">
        <f t="shared" si="57"/>
        <v>N/A - Facility Does Not Report to TRI</v>
      </c>
      <c r="AJ118" s="158" t="str" cm="1">
        <f t="array" ref="AJ118">IF(B118="TRI Form A",AC118,IF(AH118=0,"Facility has no transfers to POTWs between 2019-2023.",IF(COUNTIF('Processed Non-zero TRI Data'!$I:$I,$I118)&gt;0,INDEX('Processed Non-zero TRI Data'!$A:$A,MATCH(1,($I118='Processed Non-zero TRI Data'!$I:$I)*(AH118='Processed Non-zero TRI Data'!$V:$V),0)),"N/A - Facility Does Not Report to TRI")))</f>
        <v>N/A - Facility Does Not Report to TRI</v>
      </c>
      <c r="AK118" s="97" t="str" cm="1">
        <f t="array" ref="AK118">IFERROR(_xlfn.XLOOKUP(1,  (MAX(IF(I118 = 'Processed Non-zero TRI Data'!$I$2:$I$6,'Processed Non-zero TRI Data'!$A$2:$A$6)) = 'Processed Non-zero TRI Data'!$A$2:$A$6)*('Processed Non-zero TRI Data'!$I$2:$I$6 = I118), 'Processed Non-zero TRI Data'!$X$2:$X$6), "N/A- Facility Does Not Report to TRI")</f>
        <v>N/A- Facility Does Not Report to TRI</v>
      </c>
      <c r="AL118" s="9" t="str">
        <f t="shared" si="58"/>
        <v>N/A - Facility Does Not Report to TRI</v>
      </c>
      <c r="AM118" s="9" t="str" cm="1">
        <f t="array" ref="AM118">IF(COUNTIF('Processed Non-zero TRI Data'!$I:$I,$I118)&gt;0,MEDIAN(IF('Processed Non-zero TRI Data'!$I:$I=I118,'Processed Non-zero TRI Data'!$X:$X)), "N/A - Facility Does Not Report to TRI")</f>
        <v>N/A - Facility Does Not Report to TRI</v>
      </c>
      <c r="AN118" s="9" t="str">
        <f t="shared" si="59"/>
        <v>N/A - Facility Does Not Report to TRI</v>
      </c>
      <c r="AO118" s="9" t="str">
        <f>IF(COUNTIF('Processed Non-zero TRI Data'!$I:$I,$I118)&gt;0,_xlfn.MAXIFS('Processed Non-zero TRI Data'!$X:$X,'Processed Non-zero TRI Data'!$I:$I,$I118), "N/A - Facility Does Not Report to TRI")</f>
        <v>N/A - Facility Does Not Report to TRI</v>
      </c>
      <c r="AP118" s="9" t="str">
        <f t="shared" si="60"/>
        <v>N/A - Facility Does Not Report to TRI</v>
      </c>
      <c r="AQ118" s="251" t="str" cm="1">
        <f t="array" ref="AQ118">IF(B118="TRI Form A",AC118,IF(AO118=0,"Facility has no transfers to non-POTWs between 2019-2023.",IF(COUNTIF('Processed Non-zero TRI Data'!$I:$I,$I118)&gt;0,INDEX('Processed Non-zero TRI Data'!$A:$A,MATCH(1,($I118='Processed Non-zero TRI Data'!$I:$I)*(AO118='Processed Non-zero TRI Data'!$X:$X),0)),"N/A - Facility Does Not Report to TRI")))</f>
        <v>N/A - Facility Does Not Report to TRI</v>
      </c>
      <c r="AR118" s="260">
        <f t="shared" si="47"/>
        <v>0</v>
      </c>
      <c r="AS118" s="260">
        <f t="shared" si="48"/>
        <v>0.16571</v>
      </c>
    </row>
    <row r="119" spans="1:45" ht="30" x14ac:dyDescent="0.25">
      <c r="A119" s="12">
        <v>116</v>
      </c>
      <c r="B119" s="10" t="str">
        <f>IFERROR("TRI Form "&amp; VLOOKUP(I119, 'Processed Non-zero TRI Data'!$I$2:$K$6, 3, FALSE), "DMR")</f>
        <v>DMR</v>
      </c>
      <c r="C119" s="181" t="e">
        <f>VLOOKUP(D119,#REF!, 2, FALSE)</f>
        <v>#REF!</v>
      </c>
      <c r="D119" s="181" t="str">
        <f>IF(I119&lt;&gt;"",INDEX('Processed Non-zero TRI Data'!$O:$O,MATCH(I119,'Processed Non-zero TRI Data'!$I:$I,0)),INDEX('Processed Non-zero DMR Data'!$S:$S,MATCH(J119,'Processed Non-zero DMR Data'!$I:$I,0)))</f>
        <v>Waste Handling, Disposal and Treatment (POTW)</v>
      </c>
      <c r="E119" s="181" t="str">
        <f>IF(I119&lt;&gt;"",INDEX('Processed Non-zero TRI Data'!$P:$P,MATCH(I119,'Processed Non-zero TRI Data'!$I:$I,0)),INDEX('Processed Non-zero DMR Data'!$T:$T,MATCH(J119,'Processed Non-zero DMR Data'!$I:$I,0)))</f>
        <v>POTW indicator in DMR</v>
      </c>
      <c r="F119" s="9" t="str">
        <f>_xlfn.XLOOKUP(J119, 'Processed Non-zero DMR Data'!I:I, 'Processed Non-zero DMR Data'!B:B)</f>
        <v>BRAWLEY WASTEWATER TREATMENT PLANT</v>
      </c>
      <c r="G119" s="9" t="str">
        <f>_xlfn.XLOOKUP(J119, 'Processed Non-zero DMR Data'!I:I, 'Processed Non-zero DMR Data'!C:C)</f>
        <v>BRAWLEY</v>
      </c>
      <c r="H119" s="9" t="str">
        <f>_xlfn.XLOOKUP(J119, 'Processed Non-zero DMR Data'!I:I, 'Processed Non-zero DMR Data'!E:E)</f>
        <v>CA</v>
      </c>
      <c r="I119" s="12"/>
      <c r="J119" s="13">
        <v>110030476465</v>
      </c>
      <c r="K119" s="9" t="str">
        <f>IFERROR(INDEX('Raw Non-zero DMR Data'!$C:$C, MATCH(J119,'Raw Non-zero DMR Data'!$D:$D,0)),"")</f>
        <v>CA0104523</v>
      </c>
      <c r="L119" s="9" t="str">
        <f>IFERROR(INDEX('Raw Non-zero DMR Data'!$U:$U, MATCH($J119,'Raw Non-zero DMR Data'!$D:$D,0)),"")</f>
        <v>Ramer Lake-Alamo River</v>
      </c>
      <c r="M119" s="155">
        <f>IFERROR(INDEX('Raw Non-zero DMR Data'!$T:$T, MATCH($J119,'Raw Non-zero DMR Data'!$D:$D,0)),"")</f>
        <v>181002040705</v>
      </c>
      <c r="N119" s="155" t="str">
        <f>IFERROR(INDEX('Off-site Locations'!$E:$E,MATCH(I119,'Off-site Locations'!$B:$B,0)),"No offsite transfers")</f>
        <v>No offsite transfers</v>
      </c>
      <c r="O119" s="165">
        <f>INDEX('TRI and DMR OES Summary'!D:D,MATCH('Facility Discharge Summary'!D119,'TRI and DMR OES Summary'!A:A,0))</f>
        <v>365</v>
      </c>
      <c r="P119" s="17" cm="1">
        <f t="array" ref="P119">IFERROR(_xlfn.XLOOKUP(1,  (MAX(IF(J119 = 'Processed Non-zero DMR Data'!$I$2:$I$651,'Processed Non-zero DMR Data'!$A$2:$A$651)) = 'Processed Non-zero DMR Data'!$A$2:$A$651)*('Processed Non-zero DMR Data'!$I$2:$I$651 = J119),'Processed Non-zero DMR Data'!$W$2:$W$651), "N/A- Facility Does Not Report DMRs")</f>
        <v>4.1860207500000003E-2</v>
      </c>
      <c r="Q119" s="10">
        <f t="shared" si="49"/>
        <v>1.1468550000000001E-4</v>
      </c>
      <c r="R119" s="10" cm="1">
        <f t="array" ref="R119">IF(COUNTIF('Processed Non-zero DMR Data'!$I:$I,$J119)&gt;0,MEDIAN(IF('Processed Non-zero DMR Data'!$I:$I=J119,'Processed Non-zero DMR Data'!$W:$W)),"N/A - Facility Does Not Report DMRs")</f>
        <v>4.1860207500000003E-2</v>
      </c>
      <c r="S119" s="10">
        <f t="shared" si="50"/>
        <v>1.1468550000000001E-4</v>
      </c>
      <c r="T119" s="10">
        <f>IF(COUNTIF('Processed Non-zero DMR Data'!$I:$I,$J119)&gt;0,_xlfn.MAXIFS('Processed Non-zero DMR Data'!$W:$W,'Processed Non-zero DMR Data'!$I:$I,$J119), "N/A - Facility Does Not Report DMRs")</f>
        <v>4.1860207500000003E-2</v>
      </c>
      <c r="U119" s="10">
        <f t="shared" si="51"/>
        <v>1.1468550000000001E-4</v>
      </c>
      <c r="V119" s="158" cm="1">
        <f t="array" ref="V119">IF(COUNTIF('Processed Non-zero DMR Data'!$I:$I,$J119)&gt;0,INDEX('Processed Non-zero DMR Data'!$A:$A,MATCH(1,($J119='Processed Non-zero DMR Data'!$I:$I)*($T119='Processed Non-zero DMR Data'!$W:$W),0)), "N/A - Facility Does Not Report DMRs")</f>
        <v>2019</v>
      </c>
      <c r="W119" s="17" t="str" cm="1">
        <f t="array" ref="W119">IFERROR(_xlfn.XLOOKUP(1,  (MAX(IF(I119 = 'Processed Non-zero TRI Data'!$I$2:$I$6,'Processed Non-zero TRI Data'!$A$2:$A$6)) = 'Processed Non-zero TRI Data'!$A$2:$A$6)*('Processed Non-zero TRI Data'!$I$2:$I$6 = I119), 'Processed Non-zero TRI Data'!$T$2:$T$6), "N/A- Facility Does Not Report to TRI")</f>
        <v>N/A- Facility Does Not Report to TRI</v>
      </c>
      <c r="X119" s="10" t="str">
        <f t="shared" si="52"/>
        <v>N/A - Facility Does Not Report to TRI</v>
      </c>
      <c r="Y119" s="10" t="str" cm="1">
        <f t="array" ref="Y119">IF(COUNTIF('Processed Non-zero TRI Data'!$I:$I,$I119)&gt;0,MEDIAN(IF('Processed Non-zero TRI Data'!$I:$I=I119,'Processed Non-zero TRI Data'!$T:$T)), "N/A - Facility Does Not Report to TRI")</f>
        <v>N/A - Facility Does Not Report to TRI</v>
      </c>
      <c r="Z119" s="10" t="str">
        <f t="shared" si="53"/>
        <v>N/A - Facility Does Not Report to TRI</v>
      </c>
      <c r="AA119" s="10" t="str">
        <f>IF(COUNTIF('Processed Non-zero TRI Data'!$I:$I,$I119)&gt;0,_xlfn.MAXIFS('Processed Non-zero TRI Data'!$T:$T,'Processed Non-zero TRI Data'!$I:$I,$I119), "N/A - Facility Does Not Report to TRI")</f>
        <v>N/A - Facility Does Not Report to TRI</v>
      </c>
      <c r="AB119" s="10" t="str">
        <f t="shared" si="54"/>
        <v>N/A - Facility Does Not Report to TRI</v>
      </c>
      <c r="AC119" s="158" t="str" cm="1">
        <f t="array" ref="AC119">IFERROR(IF(B119 = "TRI Form R", IF(AA119 = 0, "Facility has no on-site water discharges between 2017-2022.",  IF(COUNTIF('Processed Non-zero TRI Data'!$I:$I,$I119)&gt;0,INDEX('Processed Non-zero TRI Data'!$A:$A,MATCH(1,($I119='Processed Non-zero TRI Data'!$I:$I)*(AA119='Processed Non-zero TRI Data'!$T:$T),0)))), VLOOKUP(I119,#REF!, 2, FALSE)), ("N/A - Facility Does Not Report to TRI"))</f>
        <v>N/A - Facility Does Not Report to TRI</v>
      </c>
      <c r="AD119" s="97" t="str" cm="1">
        <f t="array" ref="AD119">IFERROR(_xlfn.XLOOKUP(1,  (MAX(IF(I119 = 'Processed Non-zero TRI Data'!$I$2:$I$6,'Processed Non-zero TRI Data'!$A$2:$A$6)) = 'Processed Non-zero TRI Data'!$A$2:$A$6)*('Processed Non-zero TRI Data'!$I$2:$I$6 = I119), 'Processed Non-zero TRI Data'!$V$2:$V$6), "N/A- Facility Does Not Report to TRI")</f>
        <v>N/A- Facility Does Not Report to TRI</v>
      </c>
      <c r="AE119" s="9" t="str">
        <f t="shared" si="55"/>
        <v>N/A - Facility Does Not Report to TRI</v>
      </c>
      <c r="AF119" s="9" t="str" cm="1">
        <f t="array" ref="AF119">IF(COUNTIF('Processed Non-zero TRI Data'!$I:$I,$I119)&gt;0,MEDIAN(IF('Processed Non-zero TRI Data'!$I:$I=I119,'Processed Non-zero TRI Data'!$V:$V)), "N/A - Facility Does Not Report to TRI")</f>
        <v>N/A - Facility Does Not Report to TRI</v>
      </c>
      <c r="AG119" s="9" t="str">
        <f t="shared" si="56"/>
        <v>N/A - Facility Does Not Report to TRI</v>
      </c>
      <c r="AH119" s="9" t="str">
        <f>IF(COUNTIF('Processed Non-zero TRI Data'!$I:$I,$I119)&gt;0,_xlfn.MAXIFS('Processed Non-zero TRI Data'!$V:$V,'Processed Non-zero TRI Data'!$I:$I,$I119), "N/A - Facility Does Not Report to TRI")</f>
        <v>N/A - Facility Does Not Report to TRI</v>
      </c>
      <c r="AI119" s="9" t="str">
        <f t="shared" si="57"/>
        <v>N/A - Facility Does Not Report to TRI</v>
      </c>
      <c r="AJ119" s="158" t="str" cm="1">
        <f t="array" ref="AJ119">IF(B119="TRI Form A",AC119,IF(AH119=0,"Facility has no transfers to POTWs between 2019-2023.",IF(COUNTIF('Processed Non-zero TRI Data'!$I:$I,$I119)&gt;0,INDEX('Processed Non-zero TRI Data'!$A:$A,MATCH(1,($I119='Processed Non-zero TRI Data'!$I:$I)*(AH119='Processed Non-zero TRI Data'!$V:$V),0)),"N/A - Facility Does Not Report to TRI")))</f>
        <v>N/A - Facility Does Not Report to TRI</v>
      </c>
      <c r="AK119" s="97" t="str" cm="1">
        <f t="array" ref="AK119">IFERROR(_xlfn.XLOOKUP(1,  (MAX(IF(I119 = 'Processed Non-zero TRI Data'!$I$2:$I$6,'Processed Non-zero TRI Data'!$A$2:$A$6)) = 'Processed Non-zero TRI Data'!$A$2:$A$6)*('Processed Non-zero TRI Data'!$I$2:$I$6 = I119), 'Processed Non-zero TRI Data'!$X$2:$X$6), "N/A- Facility Does Not Report to TRI")</f>
        <v>N/A- Facility Does Not Report to TRI</v>
      </c>
      <c r="AL119" s="9" t="str">
        <f t="shared" si="58"/>
        <v>N/A - Facility Does Not Report to TRI</v>
      </c>
      <c r="AM119" s="9" t="str" cm="1">
        <f t="array" ref="AM119">IF(COUNTIF('Processed Non-zero TRI Data'!$I:$I,$I119)&gt;0,MEDIAN(IF('Processed Non-zero TRI Data'!$I:$I=I119,'Processed Non-zero TRI Data'!$X:$X)), "N/A - Facility Does Not Report to TRI")</f>
        <v>N/A - Facility Does Not Report to TRI</v>
      </c>
      <c r="AN119" s="9" t="str">
        <f t="shared" si="59"/>
        <v>N/A - Facility Does Not Report to TRI</v>
      </c>
      <c r="AO119" s="9" t="str">
        <f>IF(COUNTIF('Processed Non-zero TRI Data'!$I:$I,$I119)&gt;0,_xlfn.MAXIFS('Processed Non-zero TRI Data'!$X:$X,'Processed Non-zero TRI Data'!$I:$I,$I119), "N/A - Facility Does Not Report to TRI")</f>
        <v>N/A - Facility Does Not Report to TRI</v>
      </c>
      <c r="AP119" s="9" t="str">
        <f t="shared" si="60"/>
        <v>N/A - Facility Does Not Report to TRI</v>
      </c>
      <c r="AQ119" s="251" t="str" cm="1">
        <f t="array" ref="AQ119">IF(B119="TRI Form A",AC119,IF(AO119=0,"Facility has no transfers to non-POTWs between 2019-2023.",IF(COUNTIF('Processed Non-zero TRI Data'!$I:$I,$I119)&gt;0,INDEX('Processed Non-zero TRI Data'!$A:$A,MATCH(1,($I119='Processed Non-zero TRI Data'!$I:$I)*(AO119='Processed Non-zero TRI Data'!$X:$X),0)),"N/A - Facility Does Not Report to TRI")))</f>
        <v>N/A - Facility Does Not Report to TRI</v>
      </c>
      <c r="AR119" s="260">
        <f t="shared" si="47"/>
        <v>0</v>
      </c>
      <c r="AS119" s="260">
        <f t="shared" si="48"/>
        <v>4.1860207500000003E-2</v>
      </c>
    </row>
    <row r="120" spans="1:45" ht="30" x14ac:dyDescent="0.25">
      <c r="A120" s="12">
        <v>117</v>
      </c>
      <c r="B120" s="10" t="str">
        <f>IFERROR("TRI Form "&amp; VLOOKUP(I120, 'Processed Non-zero TRI Data'!$I$2:$K$6, 3, FALSE), "DMR")</f>
        <v>DMR</v>
      </c>
      <c r="C120" s="181" t="e">
        <f>VLOOKUP(D120,#REF!, 2, FALSE)</f>
        <v>#REF!</v>
      </c>
      <c r="D120" s="181" t="str">
        <f>IF(I120&lt;&gt;"",INDEX('Processed Non-zero TRI Data'!$O:$O,MATCH(I120,'Processed Non-zero TRI Data'!$I:$I,0)),INDEX('Processed Non-zero DMR Data'!$S:$S,MATCH(J120,'Processed Non-zero DMR Data'!$I:$I,0)))</f>
        <v>Processing as a reactant</v>
      </c>
      <c r="E120" s="181" t="str">
        <f>IF(I120&lt;&gt;"",INDEX('Processed Non-zero TRI Data'!$P:$P,MATCH(I120,'Processed Non-zero TRI Data'!$I:$I,0)),INDEX('Processed Non-zero DMR Data'!$T:$T,MATCH(J120,'Processed Non-zero DMR Data'!$I:$I,0)))</f>
        <v>Assumed processing as a reactant based on SIC and NAICS; this also matches 1,1,-DCA mapping.</v>
      </c>
      <c r="F120" s="9" t="str">
        <f>_xlfn.XLOOKUP(J120, 'Processed Non-zero DMR Data'!I:I, 'Processed Non-zero DMR Data'!B:B)</f>
        <v>CHEMOURS-CHAMBERS WORKS</v>
      </c>
      <c r="G120" s="9" t="str">
        <f>_xlfn.XLOOKUP(J120, 'Processed Non-zero DMR Data'!I:I, 'Processed Non-zero DMR Data'!C:C)</f>
        <v>PENNS GROVE</v>
      </c>
      <c r="H120" s="9" t="str">
        <f>_xlfn.XLOOKUP(J120, 'Processed Non-zero DMR Data'!I:I, 'Processed Non-zero DMR Data'!E:E)</f>
        <v>NJ</v>
      </c>
      <c r="I120" s="12"/>
      <c r="J120" s="13">
        <v>110007970142</v>
      </c>
      <c r="K120" s="9" t="str">
        <f>IFERROR(INDEX('Raw Non-zero DMR Data'!$C:$C, MATCH(J120,'Raw Non-zero DMR Data'!$D:$D,0)),"")</f>
        <v>NJ0005100</v>
      </c>
      <c r="L120" s="9" t="str">
        <f>IFERROR(INDEX('Raw Non-zero DMR Data'!$U:$U, MATCH($J120,'Raw Non-zero DMR Data'!$D:$D,0)),"")</f>
        <v>Salem Canal-Whooping John Creek</v>
      </c>
      <c r="M120" s="155" t="str">
        <f>IFERROR(INDEX('Raw Non-zero DMR Data'!$T:$T, MATCH($J120,'Raw Non-zero DMR Data'!$D:$D,0)),"")</f>
        <v>020402060103</v>
      </c>
      <c r="N120" s="155" t="str">
        <f>IFERROR(INDEX('Off-site Locations'!$E:$E,MATCH(I120,'Off-site Locations'!$B:$B,0)),"No offsite transfers")</f>
        <v>No offsite transfers</v>
      </c>
      <c r="O120" s="165">
        <f>INDEX('TRI and DMR OES Summary'!D:D,MATCH('Facility Discharge Summary'!D120,'TRI and DMR OES Summary'!A:A,0))</f>
        <v>350</v>
      </c>
      <c r="P120" s="17" cm="1">
        <f t="array" ref="P120">IFERROR(_xlfn.XLOOKUP(1,  (MAX(IF(J120 = 'Processed Non-zero DMR Data'!$I$2:$I$651,'Processed Non-zero DMR Data'!$A$2:$A$651)) = 'Processed Non-zero DMR Data'!$A$2:$A$651)*('Processed Non-zero DMR Data'!$I$2:$I$651 = J120),'Processed Non-zero DMR Data'!$W$2:$W$651), "N/A- Facility Does Not Report DMRs")</f>
        <v>0.80800000000000005</v>
      </c>
      <c r="Q120" s="10">
        <f t="shared" si="49"/>
        <v>2.3085714285714289E-3</v>
      </c>
      <c r="R120" s="10" cm="1">
        <f t="array" ref="R120">IF(COUNTIF('Processed Non-zero DMR Data'!$I:$I,$J120)&gt;0,MEDIAN(IF('Processed Non-zero DMR Data'!$I:$I=J120,'Processed Non-zero DMR Data'!$W:$W)),"N/A - Facility Does Not Report DMRs")</f>
        <v>0.80800000000000005</v>
      </c>
      <c r="S120" s="10">
        <f t="shared" si="50"/>
        <v>2.3085714285714289E-3</v>
      </c>
      <c r="T120" s="10">
        <f>IF(COUNTIF('Processed Non-zero DMR Data'!$I:$I,$J120)&gt;0,_xlfn.MAXIFS('Processed Non-zero DMR Data'!$W:$W,'Processed Non-zero DMR Data'!$I:$I,$J120), "N/A - Facility Does Not Report DMRs")</f>
        <v>1.77</v>
      </c>
      <c r="U120" s="10">
        <f t="shared" si="51"/>
        <v>5.0571428571428573E-3</v>
      </c>
      <c r="V120" s="158" cm="1">
        <f t="array" ref="V120">IF(COUNTIF('Processed Non-zero DMR Data'!$I:$I,$J120)&gt;0,INDEX('Processed Non-zero DMR Data'!$A:$A,MATCH(1,($J120='Processed Non-zero DMR Data'!$I:$I)*($T120='Processed Non-zero DMR Data'!$W:$W),0)), "N/A - Facility Does Not Report DMRs")</f>
        <v>2021</v>
      </c>
      <c r="W120" s="17" t="str" cm="1">
        <f t="array" ref="W120">IFERROR(_xlfn.XLOOKUP(1,  (MAX(IF(I120 = 'Processed Non-zero TRI Data'!$I$2:$I$6,'Processed Non-zero TRI Data'!$A$2:$A$6)) = 'Processed Non-zero TRI Data'!$A$2:$A$6)*('Processed Non-zero TRI Data'!$I$2:$I$6 = I120), 'Processed Non-zero TRI Data'!$T$2:$T$6), "N/A- Facility Does Not Report to TRI")</f>
        <v>N/A- Facility Does Not Report to TRI</v>
      </c>
      <c r="X120" s="10" t="str">
        <f t="shared" si="52"/>
        <v>N/A - Facility Does Not Report to TRI</v>
      </c>
      <c r="Y120" s="10" t="str" cm="1">
        <f t="array" ref="Y120">IF(COUNTIF('Processed Non-zero TRI Data'!$I:$I,$I120)&gt;0,MEDIAN(IF('Processed Non-zero TRI Data'!$I:$I=I120,'Processed Non-zero TRI Data'!$T:$T)), "N/A - Facility Does Not Report to TRI")</f>
        <v>N/A - Facility Does Not Report to TRI</v>
      </c>
      <c r="Z120" s="10" t="str">
        <f t="shared" si="53"/>
        <v>N/A - Facility Does Not Report to TRI</v>
      </c>
      <c r="AA120" s="10" t="str">
        <f>IF(COUNTIF('Processed Non-zero TRI Data'!$I:$I,$I120)&gt;0,_xlfn.MAXIFS('Processed Non-zero TRI Data'!$T:$T,'Processed Non-zero TRI Data'!$I:$I,$I120), "N/A - Facility Does Not Report to TRI")</f>
        <v>N/A - Facility Does Not Report to TRI</v>
      </c>
      <c r="AB120" s="10" t="str">
        <f t="shared" si="54"/>
        <v>N/A - Facility Does Not Report to TRI</v>
      </c>
      <c r="AC120" s="158" t="str" cm="1">
        <f t="array" ref="AC120">IFERROR(IF(B120 = "TRI Form R", IF(AA120 = 0, "Facility has no on-site water discharges between 2017-2022.",  IF(COUNTIF('Processed Non-zero TRI Data'!$I:$I,$I120)&gt;0,INDEX('Processed Non-zero TRI Data'!$A:$A,MATCH(1,($I120='Processed Non-zero TRI Data'!$I:$I)*(AA120='Processed Non-zero TRI Data'!$T:$T),0)))), VLOOKUP(I120,#REF!, 2, FALSE)), ("N/A - Facility Does Not Report to TRI"))</f>
        <v>N/A - Facility Does Not Report to TRI</v>
      </c>
      <c r="AD120" s="97" t="str" cm="1">
        <f t="array" ref="AD120">IFERROR(_xlfn.XLOOKUP(1,  (MAX(IF(I120 = 'Processed Non-zero TRI Data'!$I$2:$I$6,'Processed Non-zero TRI Data'!$A$2:$A$6)) = 'Processed Non-zero TRI Data'!$A$2:$A$6)*('Processed Non-zero TRI Data'!$I$2:$I$6 = I120), 'Processed Non-zero TRI Data'!$V$2:$V$6), "N/A- Facility Does Not Report to TRI")</f>
        <v>N/A- Facility Does Not Report to TRI</v>
      </c>
      <c r="AE120" s="9" t="str">
        <f t="shared" si="55"/>
        <v>N/A - Facility Does Not Report to TRI</v>
      </c>
      <c r="AF120" s="9" t="str" cm="1">
        <f t="array" ref="AF120">IF(COUNTIF('Processed Non-zero TRI Data'!$I:$I,$I120)&gt;0,MEDIAN(IF('Processed Non-zero TRI Data'!$I:$I=I120,'Processed Non-zero TRI Data'!$V:$V)), "N/A - Facility Does Not Report to TRI")</f>
        <v>N/A - Facility Does Not Report to TRI</v>
      </c>
      <c r="AG120" s="9" t="str">
        <f t="shared" si="56"/>
        <v>N/A - Facility Does Not Report to TRI</v>
      </c>
      <c r="AH120" s="9" t="str">
        <f>IF(COUNTIF('Processed Non-zero TRI Data'!$I:$I,$I120)&gt;0,_xlfn.MAXIFS('Processed Non-zero TRI Data'!$V:$V,'Processed Non-zero TRI Data'!$I:$I,$I120), "N/A - Facility Does Not Report to TRI")</f>
        <v>N/A - Facility Does Not Report to TRI</v>
      </c>
      <c r="AI120" s="9" t="str">
        <f t="shared" si="57"/>
        <v>N/A - Facility Does Not Report to TRI</v>
      </c>
      <c r="AJ120" s="158" t="str" cm="1">
        <f t="array" ref="AJ120">IF(B120="TRI Form A",AC120,IF(AH120=0,"Facility has no transfers to POTWs between 2019-2023.",IF(COUNTIF('Processed Non-zero TRI Data'!$I:$I,$I120)&gt;0,INDEX('Processed Non-zero TRI Data'!$A:$A,MATCH(1,($I120='Processed Non-zero TRI Data'!$I:$I)*(AH120='Processed Non-zero TRI Data'!$V:$V),0)),"N/A - Facility Does Not Report to TRI")))</f>
        <v>N/A - Facility Does Not Report to TRI</v>
      </c>
      <c r="AK120" s="97" t="str" cm="1">
        <f t="array" ref="AK120">IFERROR(_xlfn.XLOOKUP(1,  (MAX(IF(I120 = 'Processed Non-zero TRI Data'!$I$2:$I$6,'Processed Non-zero TRI Data'!$A$2:$A$6)) = 'Processed Non-zero TRI Data'!$A$2:$A$6)*('Processed Non-zero TRI Data'!$I$2:$I$6 = I120), 'Processed Non-zero TRI Data'!$X$2:$X$6), "N/A- Facility Does Not Report to TRI")</f>
        <v>N/A- Facility Does Not Report to TRI</v>
      </c>
      <c r="AL120" s="9" t="str">
        <f t="shared" si="58"/>
        <v>N/A - Facility Does Not Report to TRI</v>
      </c>
      <c r="AM120" s="9" t="str" cm="1">
        <f t="array" ref="AM120">IF(COUNTIF('Processed Non-zero TRI Data'!$I:$I,$I120)&gt;0,MEDIAN(IF('Processed Non-zero TRI Data'!$I:$I=I120,'Processed Non-zero TRI Data'!$X:$X)), "N/A - Facility Does Not Report to TRI")</f>
        <v>N/A - Facility Does Not Report to TRI</v>
      </c>
      <c r="AN120" s="9" t="str">
        <f t="shared" si="59"/>
        <v>N/A - Facility Does Not Report to TRI</v>
      </c>
      <c r="AO120" s="9" t="str">
        <f>IF(COUNTIF('Processed Non-zero TRI Data'!$I:$I,$I120)&gt;0,_xlfn.MAXIFS('Processed Non-zero TRI Data'!$X:$X,'Processed Non-zero TRI Data'!$I:$I,$I120), "N/A - Facility Does Not Report to TRI")</f>
        <v>N/A - Facility Does Not Report to TRI</v>
      </c>
      <c r="AP120" s="9" t="str">
        <f t="shared" si="60"/>
        <v>N/A - Facility Does Not Report to TRI</v>
      </c>
      <c r="AQ120" s="251" t="str" cm="1">
        <f t="array" ref="AQ120">IF(B120="TRI Form A",AC120,IF(AO120=0,"Facility has no transfers to non-POTWs between 2019-2023.",IF(COUNTIF('Processed Non-zero TRI Data'!$I:$I,$I120)&gt;0,INDEX('Processed Non-zero TRI Data'!$A:$A,MATCH(1,($I120='Processed Non-zero TRI Data'!$I:$I)*(AO120='Processed Non-zero TRI Data'!$X:$X),0)),"N/A - Facility Does Not Report to TRI")))</f>
        <v>N/A - Facility Does Not Report to TRI</v>
      </c>
      <c r="AR120" s="260">
        <f t="shared" si="47"/>
        <v>0</v>
      </c>
      <c r="AS120" s="260">
        <f t="shared" si="48"/>
        <v>1.77</v>
      </c>
    </row>
    <row r="121" spans="1:45" ht="30" x14ac:dyDescent="0.25">
      <c r="A121" s="12">
        <v>118</v>
      </c>
      <c r="B121" s="10" t="str">
        <f>IFERROR("TRI Form "&amp; VLOOKUP(I121, 'Processed Non-zero TRI Data'!$I$2:$K$6, 3, FALSE), "DMR")</f>
        <v>DMR</v>
      </c>
      <c r="C121" s="181" t="e">
        <f>VLOOKUP(D121,#REF!, 2, FALSE)</f>
        <v>#REF!</v>
      </c>
      <c r="D121" s="181" t="str">
        <f>IF(I121&lt;&gt;"",INDEX('Processed Non-zero TRI Data'!$O:$O,MATCH(I121,'Processed Non-zero TRI Data'!$I:$I,0)),INDEX('Processed Non-zero DMR Data'!$S:$S,MATCH(J121,'Processed Non-zero DMR Data'!$I:$I,0)))</f>
        <v>Waste Handling, Disposal and Treatment (POTW)</v>
      </c>
      <c r="E121" s="181" t="str">
        <f>IF(I121&lt;&gt;"",INDEX('Processed Non-zero TRI Data'!$P:$P,MATCH(I121,'Processed Non-zero TRI Data'!$I:$I,0)),INDEX('Processed Non-zero DMR Data'!$T:$T,MATCH(J121,'Processed Non-zero DMR Data'!$I:$I,0)))</f>
        <v>POTW indicator in DMR</v>
      </c>
      <c r="F121" s="9" t="str">
        <f>_xlfn.XLOOKUP(J121, 'Processed Non-zero DMR Data'!I:I, 'Processed Non-zero DMR Data'!B:B)</f>
        <v>SAND ISLAND WASTE WATER TREATMENT PLANT</v>
      </c>
      <c r="G121" s="9" t="str">
        <f>_xlfn.XLOOKUP(J121, 'Processed Non-zero DMR Data'!I:I, 'Processed Non-zero DMR Data'!C:C)</f>
        <v>HONOLULU</v>
      </c>
      <c r="H121" s="9" t="str">
        <f>_xlfn.XLOOKUP(J121, 'Processed Non-zero DMR Data'!I:I, 'Processed Non-zero DMR Data'!E:E)</f>
        <v>HI</v>
      </c>
      <c r="I121" s="12"/>
      <c r="J121" s="13">
        <v>110005726802</v>
      </c>
      <c r="K121" s="9" t="str">
        <f>IFERROR(INDEX('Raw Non-zero DMR Data'!$C:$C, MATCH(J121,'Raw Non-zero DMR Data'!$D:$D,0)),"")</f>
        <v>HI0020117</v>
      </c>
      <c r="L121" s="9" t="str">
        <f>IFERROR(INDEX('Raw Non-zero DMR Data'!$U:$U, MATCH($J121,'Raw Non-zero DMR Data'!$D:$D,0)),"")</f>
        <v>Waolani Stream</v>
      </c>
      <c r="M121" s="155">
        <f>IFERROR(INDEX('Raw Non-zero DMR Data'!$T:$T, MATCH($J121,'Raw Non-zero DMR Data'!$D:$D,0)),"")</f>
        <v>200600000304</v>
      </c>
      <c r="N121" s="155" t="str">
        <f>IFERROR(INDEX('Off-site Locations'!$E:$E,MATCH(I121,'Off-site Locations'!$B:$B,0)),"No offsite transfers")</f>
        <v>No offsite transfers</v>
      </c>
      <c r="O121" s="165">
        <f>INDEX('TRI and DMR OES Summary'!D:D,MATCH('Facility Discharge Summary'!D121,'TRI and DMR OES Summary'!A:A,0))</f>
        <v>365</v>
      </c>
      <c r="P121" s="17" cm="1">
        <f t="array" ref="P121">IFERROR(_xlfn.XLOOKUP(1,  (MAX(IF(J121 = 'Processed Non-zero DMR Data'!$I$2:$I$651,'Processed Non-zero DMR Data'!$A$2:$A$651)) = 'Processed Non-zero DMR Data'!$A$2:$A$651)*('Processed Non-zero DMR Data'!$I$2:$I$651 = J121),'Processed Non-zero DMR Data'!$W$2:$W$651), "N/A- Facility Does Not Report DMRs")</f>
        <v>10.63046016</v>
      </c>
      <c r="Q121" s="10">
        <f t="shared" si="49"/>
        <v>2.9124548383561644E-2</v>
      </c>
      <c r="R121" s="10" cm="1">
        <f t="array" ref="R121">IF(COUNTIF('Processed Non-zero DMR Data'!$I:$I,$J121)&gt;0,MEDIAN(IF('Processed Non-zero DMR Data'!$I:$I=J121,'Processed Non-zero DMR Data'!$W:$W)),"N/A - Facility Does Not Report DMRs")</f>
        <v>5.8369332839999997</v>
      </c>
      <c r="S121" s="10">
        <f t="shared" si="50"/>
        <v>1.5991598038356165E-2</v>
      </c>
      <c r="T121" s="10">
        <f>IF(COUNTIF('Processed Non-zero DMR Data'!$I:$I,$J121)&gt;0,_xlfn.MAXIFS('Processed Non-zero DMR Data'!$W:$W,'Processed Non-zero DMR Data'!$I:$I,$J121), "N/A - Facility Does Not Report DMRs")</f>
        <v>10.63046016</v>
      </c>
      <c r="U121" s="10">
        <f t="shared" si="51"/>
        <v>2.9124548383561644E-2</v>
      </c>
      <c r="V121" s="158" cm="1">
        <f t="array" ref="V121">IF(COUNTIF('Processed Non-zero DMR Data'!$I:$I,$J121)&gt;0,INDEX('Processed Non-zero DMR Data'!$A:$A,MATCH(1,($J121='Processed Non-zero DMR Data'!$I:$I)*($T121='Processed Non-zero DMR Data'!$W:$W),0)), "N/A - Facility Does Not Report DMRs")</f>
        <v>2020</v>
      </c>
      <c r="W121" s="17" t="str" cm="1">
        <f t="array" ref="W121">IFERROR(_xlfn.XLOOKUP(1,  (MAX(IF(I121 = 'Processed Non-zero TRI Data'!$I$2:$I$6,'Processed Non-zero TRI Data'!$A$2:$A$6)) = 'Processed Non-zero TRI Data'!$A$2:$A$6)*('Processed Non-zero TRI Data'!$I$2:$I$6 = I121), 'Processed Non-zero TRI Data'!$T$2:$T$6), "N/A- Facility Does Not Report to TRI")</f>
        <v>N/A- Facility Does Not Report to TRI</v>
      </c>
      <c r="X121" s="10" t="str">
        <f t="shared" si="52"/>
        <v>N/A - Facility Does Not Report to TRI</v>
      </c>
      <c r="Y121" s="10" t="str" cm="1">
        <f t="array" ref="Y121">IF(COUNTIF('Processed Non-zero TRI Data'!$I:$I,$I121)&gt;0,MEDIAN(IF('Processed Non-zero TRI Data'!$I:$I=I121,'Processed Non-zero TRI Data'!$T:$T)), "N/A - Facility Does Not Report to TRI")</f>
        <v>N/A - Facility Does Not Report to TRI</v>
      </c>
      <c r="Z121" s="10" t="str">
        <f t="shared" si="53"/>
        <v>N/A - Facility Does Not Report to TRI</v>
      </c>
      <c r="AA121" s="10" t="str">
        <f>IF(COUNTIF('Processed Non-zero TRI Data'!$I:$I,$I121)&gt;0,_xlfn.MAXIFS('Processed Non-zero TRI Data'!$T:$T,'Processed Non-zero TRI Data'!$I:$I,$I121), "N/A - Facility Does Not Report to TRI")</f>
        <v>N/A - Facility Does Not Report to TRI</v>
      </c>
      <c r="AB121" s="10" t="str">
        <f t="shared" si="54"/>
        <v>N/A - Facility Does Not Report to TRI</v>
      </c>
      <c r="AC121" s="158" t="str" cm="1">
        <f t="array" ref="AC121">IFERROR(IF(B121 = "TRI Form R", IF(AA121 = 0, "Facility has no on-site water discharges between 2017-2022.",  IF(COUNTIF('Processed Non-zero TRI Data'!$I:$I,$I121)&gt;0,INDEX('Processed Non-zero TRI Data'!$A:$A,MATCH(1,($I121='Processed Non-zero TRI Data'!$I:$I)*(AA121='Processed Non-zero TRI Data'!$T:$T),0)))), VLOOKUP(I121,#REF!, 2, FALSE)), ("N/A - Facility Does Not Report to TRI"))</f>
        <v>N/A - Facility Does Not Report to TRI</v>
      </c>
      <c r="AD121" s="97" t="str" cm="1">
        <f t="array" ref="AD121">IFERROR(_xlfn.XLOOKUP(1,  (MAX(IF(I121 = 'Processed Non-zero TRI Data'!$I$2:$I$6,'Processed Non-zero TRI Data'!$A$2:$A$6)) = 'Processed Non-zero TRI Data'!$A$2:$A$6)*('Processed Non-zero TRI Data'!$I$2:$I$6 = I121), 'Processed Non-zero TRI Data'!$V$2:$V$6), "N/A- Facility Does Not Report to TRI")</f>
        <v>N/A- Facility Does Not Report to TRI</v>
      </c>
      <c r="AE121" s="9" t="str">
        <f t="shared" si="55"/>
        <v>N/A - Facility Does Not Report to TRI</v>
      </c>
      <c r="AF121" s="9" t="str" cm="1">
        <f t="array" ref="AF121">IF(COUNTIF('Processed Non-zero TRI Data'!$I:$I,$I121)&gt;0,MEDIAN(IF('Processed Non-zero TRI Data'!$I:$I=I121,'Processed Non-zero TRI Data'!$V:$V)), "N/A - Facility Does Not Report to TRI")</f>
        <v>N/A - Facility Does Not Report to TRI</v>
      </c>
      <c r="AG121" s="9" t="str">
        <f t="shared" si="56"/>
        <v>N/A - Facility Does Not Report to TRI</v>
      </c>
      <c r="AH121" s="9" t="str">
        <f>IF(COUNTIF('Processed Non-zero TRI Data'!$I:$I,$I121)&gt;0,_xlfn.MAXIFS('Processed Non-zero TRI Data'!$V:$V,'Processed Non-zero TRI Data'!$I:$I,$I121), "N/A - Facility Does Not Report to TRI")</f>
        <v>N/A - Facility Does Not Report to TRI</v>
      </c>
      <c r="AI121" s="9" t="str">
        <f t="shared" si="57"/>
        <v>N/A - Facility Does Not Report to TRI</v>
      </c>
      <c r="AJ121" s="158" t="str" cm="1">
        <f t="array" ref="AJ121">IF(B121="TRI Form A",AC121,IF(AH121=0,"Facility has no transfers to POTWs between 2019-2023.",IF(COUNTIF('Processed Non-zero TRI Data'!$I:$I,$I121)&gt;0,INDEX('Processed Non-zero TRI Data'!$A:$A,MATCH(1,($I121='Processed Non-zero TRI Data'!$I:$I)*(AH121='Processed Non-zero TRI Data'!$V:$V),0)),"N/A - Facility Does Not Report to TRI")))</f>
        <v>N/A - Facility Does Not Report to TRI</v>
      </c>
      <c r="AK121" s="97" t="str" cm="1">
        <f t="array" ref="AK121">IFERROR(_xlfn.XLOOKUP(1,  (MAX(IF(I121 = 'Processed Non-zero TRI Data'!$I$2:$I$6,'Processed Non-zero TRI Data'!$A$2:$A$6)) = 'Processed Non-zero TRI Data'!$A$2:$A$6)*('Processed Non-zero TRI Data'!$I$2:$I$6 = I121), 'Processed Non-zero TRI Data'!$X$2:$X$6), "N/A- Facility Does Not Report to TRI")</f>
        <v>N/A- Facility Does Not Report to TRI</v>
      </c>
      <c r="AL121" s="9" t="str">
        <f t="shared" si="58"/>
        <v>N/A - Facility Does Not Report to TRI</v>
      </c>
      <c r="AM121" s="9" t="str" cm="1">
        <f t="array" ref="AM121">IF(COUNTIF('Processed Non-zero TRI Data'!$I:$I,$I121)&gt;0,MEDIAN(IF('Processed Non-zero TRI Data'!$I:$I=I121,'Processed Non-zero TRI Data'!$X:$X)), "N/A - Facility Does Not Report to TRI")</f>
        <v>N/A - Facility Does Not Report to TRI</v>
      </c>
      <c r="AN121" s="9" t="str">
        <f t="shared" si="59"/>
        <v>N/A - Facility Does Not Report to TRI</v>
      </c>
      <c r="AO121" s="9" t="str">
        <f>IF(COUNTIF('Processed Non-zero TRI Data'!$I:$I,$I121)&gt;0,_xlfn.MAXIFS('Processed Non-zero TRI Data'!$X:$X,'Processed Non-zero TRI Data'!$I:$I,$I121), "N/A - Facility Does Not Report to TRI")</f>
        <v>N/A - Facility Does Not Report to TRI</v>
      </c>
      <c r="AP121" s="9" t="str">
        <f t="shared" si="60"/>
        <v>N/A - Facility Does Not Report to TRI</v>
      </c>
      <c r="AQ121" s="251" t="str" cm="1">
        <f t="array" ref="AQ121">IF(B121="TRI Form A",AC121,IF(AO121=0,"Facility has no transfers to non-POTWs between 2019-2023.",IF(COUNTIF('Processed Non-zero TRI Data'!$I:$I,$I121)&gt;0,INDEX('Processed Non-zero TRI Data'!$A:$A,MATCH(1,($I121='Processed Non-zero TRI Data'!$I:$I)*(AO121='Processed Non-zero TRI Data'!$X:$X),0)),"N/A - Facility Does Not Report to TRI")))</f>
        <v>N/A - Facility Does Not Report to TRI</v>
      </c>
      <c r="AR121" s="260">
        <f t="shared" si="47"/>
        <v>0</v>
      </c>
      <c r="AS121" s="260">
        <f t="shared" si="48"/>
        <v>10.63046016</v>
      </c>
    </row>
    <row r="122" spans="1:45" ht="30" x14ac:dyDescent="0.25">
      <c r="A122" s="12">
        <v>119</v>
      </c>
      <c r="B122" s="10" t="str">
        <f>IFERROR("TRI Form "&amp; VLOOKUP(I122, 'Processed Non-zero TRI Data'!$I$2:$K$6, 3, FALSE), "DMR")</f>
        <v>DMR</v>
      </c>
      <c r="C122" s="181" t="e">
        <f>VLOOKUP(D122,#REF!, 2, FALSE)</f>
        <v>#REF!</v>
      </c>
      <c r="D122" s="181" t="str">
        <f>IF(I122&lt;&gt;"",INDEX('Processed Non-zero TRI Data'!$O:$O,MATCH(I122,'Processed Non-zero TRI Data'!$I:$I,0)),INDEX('Processed Non-zero DMR Data'!$S:$S,MATCH(J122,'Processed Non-zero DMR Data'!$I:$I,0)))</f>
        <v>Waste Handling, Disposal and Treatment (POTW)</v>
      </c>
      <c r="E122" s="181" t="str">
        <f>IF(I122&lt;&gt;"",INDEX('Processed Non-zero TRI Data'!$P:$P,MATCH(I122,'Processed Non-zero TRI Data'!$I:$I,0)),INDEX('Processed Non-zero DMR Data'!$T:$T,MATCH(J122,'Processed Non-zero DMR Data'!$I:$I,0)))</f>
        <v>POTW indicator in DMR</v>
      </c>
      <c r="F122" s="9" t="str">
        <f>_xlfn.XLOOKUP(J122, 'Processed Non-zero DMR Data'!I:I, 'Processed Non-zero DMR Data'!B:B)</f>
        <v>MANCHESTER STP</v>
      </c>
      <c r="G122" s="9" t="str">
        <f>_xlfn.XLOOKUP(J122, 'Processed Non-zero DMR Data'!I:I, 'Processed Non-zero DMR Data'!C:C)</f>
        <v>MANCHESTER</v>
      </c>
      <c r="H122" s="9" t="str">
        <f>_xlfn.XLOOKUP(J122, 'Processed Non-zero DMR Data'!I:I, 'Processed Non-zero DMR Data'!E:E)</f>
        <v>KY</v>
      </c>
      <c r="I122" s="12"/>
      <c r="J122" s="13">
        <v>110009938808</v>
      </c>
      <c r="K122" s="9" t="str">
        <f>IFERROR(INDEX('Raw Non-zero DMR Data'!$C:$C, MATCH(J122,'Raw Non-zero DMR Data'!$D:$D,0)),"")</f>
        <v>KY0029122</v>
      </c>
      <c r="L122" s="9" t="str">
        <f>IFERROR(INDEX('Raw Non-zero DMR Data'!$U:$U, MATCH($J122,'Raw Non-zero DMR Data'!$D:$D,0)),"")</f>
        <v>Lower Little Goose Creek-Goose Creek</v>
      </c>
      <c r="M122" s="155" t="str">
        <f>IFERROR(INDEX('Raw Non-zero DMR Data'!$T:$T, MATCH($J122,'Raw Non-zero DMR Data'!$D:$D,0)),"")</f>
        <v>051002030303</v>
      </c>
      <c r="N122" s="155" t="str">
        <f>IFERROR(INDEX('Off-site Locations'!$E:$E,MATCH(I122,'Off-site Locations'!$B:$B,0)),"No offsite transfers")</f>
        <v>No offsite transfers</v>
      </c>
      <c r="O122" s="165">
        <f>INDEX('TRI and DMR OES Summary'!D:D,MATCH('Facility Discharge Summary'!D122,'TRI and DMR OES Summary'!A:A,0))</f>
        <v>365</v>
      </c>
      <c r="P122" s="17" cm="1">
        <f t="array" ref="P122">IFERROR(_xlfn.XLOOKUP(1,  (MAX(IF(J122 = 'Processed Non-zero DMR Data'!$I$2:$I$651,'Processed Non-zero DMR Data'!$A$2:$A$651)) = 'Processed Non-zero DMR Data'!$A$2:$A$651)*('Processed Non-zero DMR Data'!$I$2:$I$651 = J122),'Processed Non-zero DMR Data'!$W$2:$W$651), "N/A- Facility Does Not Report DMRs")</f>
        <v>2.8563029375000002</v>
      </c>
      <c r="Q122" s="10">
        <f t="shared" si="49"/>
        <v>7.8254875000000005E-3</v>
      </c>
      <c r="R122" s="10" cm="1">
        <f t="array" ref="R122">IF(COUNTIF('Processed Non-zero DMR Data'!$I:$I,$J122)&gt;0,MEDIAN(IF('Processed Non-zero DMR Data'!$I:$I=J122,'Processed Non-zero DMR Data'!$W:$W)),"N/A - Facility Does Not Report DMRs")</f>
        <v>3.336382875</v>
      </c>
      <c r="S122" s="10">
        <f t="shared" si="50"/>
        <v>9.1407750000000003E-3</v>
      </c>
      <c r="T122" s="10">
        <f>IF(COUNTIF('Processed Non-zero DMR Data'!$I:$I,$J122)&gt;0,_xlfn.MAXIFS('Processed Non-zero DMR Data'!$W:$W,'Processed Non-zero DMR Data'!$I:$I,$J122), "N/A - Facility Does Not Report DMRs")</f>
        <v>3.446904875</v>
      </c>
      <c r="U122" s="10">
        <f t="shared" si="51"/>
        <v>9.4435749999999992E-3</v>
      </c>
      <c r="V122" s="158" cm="1">
        <f t="array" ref="V122">IF(COUNTIF('Processed Non-zero DMR Data'!$I:$I,$J122)&gt;0,INDEX('Processed Non-zero DMR Data'!$A:$A,MATCH(1,($J122='Processed Non-zero DMR Data'!$I:$I)*($T122='Processed Non-zero DMR Data'!$W:$W),0)), "N/A - Facility Does Not Report DMRs")</f>
        <v>2019</v>
      </c>
      <c r="W122" s="17" t="str" cm="1">
        <f t="array" ref="W122">IFERROR(_xlfn.XLOOKUP(1,  (MAX(IF(I122 = 'Processed Non-zero TRI Data'!$I$2:$I$6,'Processed Non-zero TRI Data'!$A$2:$A$6)) = 'Processed Non-zero TRI Data'!$A$2:$A$6)*('Processed Non-zero TRI Data'!$I$2:$I$6 = I122), 'Processed Non-zero TRI Data'!$T$2:$T$6), "N/A- Facility Does Not Report to TRI")</f>
        <v>N/A- Facility Does Not Report to TRI</v>
      </c>
      <c r="X122" s="10" t="str">
        <f t="shared" si="52"/>
        <v>N/A - Facility Does Not Report to TRI</v>
      </c>
      <c r="Y122" s="10" t="str" cm="1">
        <f t="array" ref="Y122">IF(COUNTIF('Processed Non-zero TRI Data'!$I:$I,$I122)&gt;0,MEDIAN(IF('Processed Non-zero TRI Data'!$I:$I=I122,'Processed Non-zero TRI Data'!$T:$T)), "N/A - Facility Does Not Report to TRI")</f>
        <v>N/A - Facility Does Not Report to TRI</v>
      </c>
      <c r="Z122" s="10" t="str">
        <f t="shared" si="53"/>
        <v>N/A - Facility Does Not Report to TRI</v>
      </c>
      <c r="AA122" s="10" t="str">
        <f>IF(COUNTIF('Processed Non-zero TRI Data'!$I:$I,$I122)&gt;0,_xlfn.MAXIFS('Processed Non-zero TRI Data'!$T:$T,'Processed Non-zero TRI Data'!$I:$I,$I122), "N/A - Facility Does Not Report to TRI")</f>
        <v>N/A - Facility Does Not Report to TRI</v>
      </c>
      <c r="AB122" s="10" t="str">
        <f t="shared" si="54"/>
        <v>N/A - Facility Does Not Report to TRI</v>
      </c>
      <c r="AC122" s="158" t="str" cm="1">
        <f t="array" ref="AC122">IFERROR(IF(B122 = "TRI Form R", IF(AA122 = 0, "Facility has no on-site water discharges between 2017-2022.",  IF(COUNTIF('Processed Non-zero TRI Data'!$I:$I,$I122)&gt;0,INDEX('Processed Non-zero TRI Data'!$A:$A,MATCH(1,($I122='Processed Non-zero TRI Data'!$I:$I)*(AA122='Processed Non-zero TRI Data'!$T:$T),0)))), VLOOKUP(I122,#REF!, 2, FALSE)), ("N/A - Facility Does Not Report to TRI"))</f>
        <v>N/A - Facility Does Not Report to TRI</v>
      </c>
      <c r="AD122" s="97" t="str" cm="1">
        <f t="array" ref="AD122">IFERROR(_xlfn.XLOOKUP(1,  (MAX(IF(I122 = 'Processed Non-zero TRI Data'!$I$2:$I$6,'Processed Non-zero TRI Data'!$A$2:$A$6)) = 'Processed Non-zero TRI Data'!$A$2:$A$6)*('Processed Non-zero TRI Data'!$I$2:$I$6 = I122), 'Processed Non-zero TRI Data'!$V$2:$V$6), "N/A- Facility Does Not Report to TRI")</f>
        <v>N/A- Facility Does Not Report to TRI</v>
      </c>
      <c r="AE122" s="9" t="str">
        <f t="shared" si="55"/>
        <v>N/A - Facility Does Not Report to TRI</v>
      </c>
      <c r="AF122" s="9" t="str" cm="1">
        <f t="array" ref="AF122">IF(COUNTIF('Processed Non-zero TRI Data'!$I:$I,$I122)&gt;0,MEDIAN(IF('Processed Non-zero TRI Data'!$I:$I=I122,'Processed Non-zero TRI Data'!$V:$V)), "N/A - Facility Does Not Report to TRI")</f>
        <v>N/A - Facility Does Not Report to TRI</v>
      </c>
      <c r="AG122" s="9" t="str">
        <f t="shared" si="56"/>
        <v>N/A - Facility Does Not Report to TRI</v>
      </c>
      <c r="AH122" s="9" t="str">
        <f>IF(COUNTIF('Processed Non-zero TRI Data'!$I:$I,$I122)&gt;0,_xlfn.MAXIFS('Processed Non-zero TRI Data'!$V:$V,'Processed Non-zero TRI Data'!$I:$I,$I122), "N/A - Facility Does Not Report to TRI")</f>
        <v>N/A - Facility Does Not Report to TRI</v>
      </c>
      <c r="AI122" s="9" t="str">
        <f t="shared" si="57"/>
        <v>N/A - Facility Does Not Report to TRI</v>
      </c>
      <c r="AJ122" s="158" t="str" cm="1">
        <f t="array" ref="AJ122">IF(B122="TRI Form A",AC122,IF(AH122=0,"Facility has no transfers to POTWs between 2019-2023.",IF(COUNTIF('Processed Non-zero TRI Data'!$I:$I,$I122)&gt;0,INDEX('Processed Non-zero TRI Data'!$A:$A,MATCH(1,($I122='Processed Non-zero TRI Data'!$I:$I)*(AH122='Processed Non-zero TRI Data'!$V:$V),0)),"N/A - Facility Does Not Report to TRI")))</f>
        <v>N/A - Facility Does Not Report to TRI</v>
      </c>
      <c r="AK122" s="97" t="str" cm="1">
        <f t="array" ref="AK122">IFERROR(_xlfn.XLOOKUP(1,  (MAX(IF(I122 = 'Processed Non-zero TRI Data'!$I$2:$I$6,'Processed Non-zero TRI Data'!$A$2:$A$6)) = 'Processed Non-zero TRI Data'!$A$2:$A$6)*('Processed Non-zero TRI Data'!$I$2:$I$6 = I122), 'Processed Non-zero TRI Data'!$X$2:$X$6), "N/A- Facility Does Not Report to TRI")</f>
        <v>N/A- Facility Does Not Report to TRI</v>
      </c>
      <c r="AL122" s="9" t="str">
        <f t="shared" si="58"/>
        <v>N/A - Facility Does Not Report to TRI</v>
      </c>
      <c r="AM122" s="9" t="str" cm="1">
        <f t="array" ref="AM122">IF(COUNTIF('Processed Non-zero TRI Data'!$I:$I,$I122)&gt;0,MEDIAN(IF('Processed Non-zero TRI Data'!$I:$I=I122,'Processed Non-zero TRI Data'!$X:$X)), "N/A - Facility Does Not Report to TRI")</f>
        <v>N/A - Facility Does Not Report to TRI</v>
      </c>
      <c r="AN122" s="9" t="str">
        <f t="shared" si="59"/>
        <v>N/A - Facility Does Not Report to TRI</v>
      </c>
      <c r="AO122" s="9" t="str">
        <f>IF(COUNTIF('Processed Non-zero TRI Data'!$I:$I,$I122)&gt;0,_xlfn.MAXIFS('Processed Non-zero TRI Data'!$X:$X,'Processed Non-zero TRI Data'!$I:$I,$I122), "N/A - Facility Does Not Report to TRI")</f>
        <v>N/A - Facility Does Not Report to TRI</v>
      </c>
      <c r="AP122" s="9" t="str">
        <f t="shared" si="60"/>
        <v>N/A - Facility Does Not Report to TRI</v>
      </c>
      <c r="AQ122" s="251" t="str" cm="1">
        <f t="array" ref="AQ122">IF(B122="TRI Form A",AC122,IF(AO122=0,"Facility has no transfers to non-POTWs between 2019-2023.",IF(COUNTIF('Processed Non-zero TRI Data'!$I:$I,$I122)&gt;0,INDEX('Processed Non-zero TRI Data'!$A:$A,MATCH(1,($I122='Processed Non-zero TRI Data'!$I:$I)*(AO122='Processed Non-zero TRI Data'!$X:$X),0)),"N/A - Facility Does Not Report to TRI")))</f>
        <v>N/A - Facility Does Not Report to TRI</v>
      </c>
      <c r="AR122" s="260">
        <f t="shared" si="47"/>
        <v>0</v>
      </c>
      <c r="AS122" s="260">
        <f t="shared" si="48"/>
        <v>3.446904875</v>
      </c>
    </row>
    <row r="123" spans="1:45" ht="30" x14ac:dyDescent="0.25">
      <c r="A123" s="12">
        <v>120</v>
      </c>
      <c r="B123" s="10" t="str">
        <f>IFERROR("TRI Form "&amp; VLOOKUP(I123, 'Processed Non-zero TRI Data'!$I$2:$K$6, 3, FALSE), "DMR")</f>
        <v>DMR</v>
      </c>
      <c r="C123" s="181" t="e">
        <f>VLOOKUP(D123,#REF!, 2, FALSE)</f>
        <v>#REF!</v>
      </c>
      <c r="D123" s="181" t="str">
        <f>IF(I123&lt;&gt;"",INDEX('Processed Non-zero TRI Data'!$O:$O,MATCH(I123,'Processed Non-zero TRI Data'!$I:$I,0)),INDEX('Processed Non-zero DMR Data'!$S:$S,MATCH(J123,'Processed Non-zero DMR Data'!$I:$I,0)))</f>
        <v>Repackaging</v>
      </c>
      <c r="E123" s="181" t="str">
        <f>IF(I123&lt;&gt;"",INDEX('Processed Non-zero TRI Data'!$P:$P,MATCH(I123,'Processed Non-zero TRI Data'!$I:$I,0)),INDEX('Processed Non-zero DMR Data'!$T:$T,MATCH(J123,'Processed Non-zero DMR Data'!$I:$I,0)))</f>
        <v>Vopak is a storage and distribution company</v>
      </c>
      <c r="F123" s="9" t="str">
        <f>_xlfn.XLOOKUP(J123, 'Processed Non-zero DMR Data'!I:I, 'Processed Non-zero DMR Data'!B:B)</f>
        <v>VOPAK TERMINAL LOS ANGELES</v>
      </c>
      <c r="G123" s="9" t="str">
        <f>_xlfn.XLOOKUP(J123, 'Processed Non-zero DMR Data'!I:I, 'Processed Non-zero DMR Data'!C:C)</f>
        <v>WILMINGTON</v>
      </c>
      <c r="H123" s="9" t="str">
        <f>_xlfn.XLOOKUP(J123, 'Processed Non-zero DMR Data'!I:I, 'Processed Non-zero DMR Data'!E:E)</f>
        <v>CA</v>
      </c>
      <c r="I123" s="12"/>
      <c r="J123" s="13">
        <v>110028243791</v>
      </c>
      <c r="K123" s="9" t="str">
        <f>IFERROR(INDEX('Raw Non-zero DMR Data'!$C:$C, MATCH(J123,'Raw Non-zero DMR Data'!$D:$D,0)),"")</f>
        <v>CA0063177</v>
      </c>
      <c r="L123" s="9" t="str">
        <f>IFERROR(INDEX('Raw Non-zero DMR Data'!$U:$U, MATCH($J123,'Raw Non-zero DMR Data'!$D:$D,0)),"")</f>
        <v>Long Beach Harbor</v>
      </c>
      <c r="M123" s="155">
        <f>IFERROR(INDEX('Raw Non-zero DMR Data'!$T:$T, MATCH($J123,'Raw Non-zero DMR Data'!$D:$D,0)),"")</f>
        <v>180701060701</v>
      </c>
      <c r="N123" s="155" t="str">
        <f>IFERROR(INDEX('Off-site Locations'!$E:$E,MATCH(I123,'Off-site Locations'!$B:$B,0)),"No offsite transfers")</f>
        <v>No offsite transfers</v>
      </c>
      <c r="O123" s="165">
        <f>INDEX('TRI and DMR OES Summary'!D:D,MATCH('Facility Discharge Summary'!D123,'TRI and DMR OES Summary'!A:A,0))</f>
        <v>250</v>
      </c>
      <c r="P123" s="17" cm="1">
        <f t="array" ref="P123">IFERROR(_xlfn.XLOOKUP(1,  (MAX(IF(J123 = 'Processed Non-zero DMR Data'!$I$2:$I$651,'Processed Non-zero DMR Data'!$A$2:$A$651)) = 'Processed Non-zero DMR Data'!$A$2:$A$651)*('Processed Non-zero DMR Data'!$I$2:$I$651 = J123),'Processed Non-zero DMR Data'!$W$2:$W$651), "N/A- Facility Does Not Report DMRs")</f>
        <v>2.02980560625E-2</v>
      </c>
      <c r="Q123" s="10">
        <f t="shared" si="49"/>
        <v>8.1192224250000003E-5</v>
      </c>
      <c r="R123" s="10" cm="1">
        <f t="array" ref="R123">IF(COUNTIF('Processed Non-zero DMR Data'!$I:$I,$J123)&gt;0,MEDIAN(IF('Processed Non-zero DMR Data'!$I:$I=J123,'Processed Non-zero DMR Data'!$W:$W)),"N/A - Facility Does Not Report DMRs")</f>
        <v>2.02980560625E-2</v>
      </c>
      <c r="S123" s="10">
        <f t="shared" si="50"/>
        <v>8.1192224250000003E-5</v>
      </c>
      <c r="T123" s="10">
        <f>IF(COUNTIF('Processed Non-zero DMR Data'!$I:$I,$J123)&gt;0,_xlfn.MAXIFS('Processed Non-zero DMR Data'!$W:$W,'Processed Non-zero DMR Data'!$I:$I,$J123), "N/A - Facility Does Not Report DMRs")</f>
        <v>2.02980560625E-2</v>
      </c>
      <c r="U123" s="10">
        <f t="shared" si="51"/>
        <v>8.1192224250000003E-5</v>
      </c>
      <c r="V123" s="158" cm="1">
        <f t="array" ref="V123">IF(COUNTIF('Processed Non-zero DMR Data'!$I:$I,$J123)&gt;0,INDEX('Processed Non-zero DMR Data'!$A:$A,MATCH(1,($J123='Processed Non-zero DMR Data'!$I:$I)*($T123='Processed Non-zero DMR Data'!$W:$W),0)), "N/A - Facility Does Not Report DMRs")</f>
        <v>2019</v>
      </c>
      <c r="W123" s="17" t="str" cm="1">
        <f t="array" ref="W123">IFERROR(_xlfn.XLOOKUP(1,  (MAX(IF(I123 = 'Processed Non-zero TRI Data'!$I$2:$I$6,'Processed Non-zero TRI Data'!$A$2:$A$6)) = 'Processed Non-zero TRI Data'!$A$2:$A$6)*('Processed Non-zero TRI Data'!$I$2:$I$6 = I123), 'Processed Non-zero TRI Data'!$T$2:$T$6), "N/A- Facility Does Not Report to TRI")</f>
        <v>N/A- Facility Does Not Report to TRI</v>
      </c>
      <c r="X123" s="10" t="str">
        <f t="shared" si="52"/>
        <v>N/A - Facility Does Not Report to TRI</v>
      </c>
      <c r="Y123" s="10" t="str" cm="1">
        <f t="array" ref="Y123">IF(COUNTIF('Processed Non-zero TRI Data'!$I:$I,$I123)&gt;0,MEDIAN(IF('Processed Non-zero TRI Data'!$I:$I=I123,'Processed Non-zero TRI Data'!$T:$T)), "N/A - Facility Does Not Report to TRI")</f>
        <v>N/A - Facility Does Not Report to TRI</v>
      </c>
      <c r="Z123" s="10" t="str">
        <f t="shared" si="53"/>
        <v>N/A - Facility Does Not Report to TRI</v>
      </c>
      <c r="AA123" s="10" t="str">
        <f>IF(COUNTIF('Processed Non-zero TRI Data'!$I:$I,$I123)&gt;0,_xlfn.MAXIFS('Processed Non-zero TRI Data'!$T:$T,'Processed Non-zero TRI Data'!$I:$I,$I123), "N/A - Facility Does Not Report to TRI")</f>
        <v>N/A - Facility Does Not Report to TRI</v>
      </c>
      <c r="AB123" s="10" t="str">
        <f t="shared" si="54"/>
        <v>N/A - Facility Does Not Report to TRI</v>
      </c>
      <c r="AC123" s="158" t="str" cm="1">
        <f t="array" ref="AC123">IFERROR(IF(B123 = "TRI Form R", IF(AA123 = 0, "Facility has no on-site water discharges between 2017-2022.",  IF(COUNTIF('Processed Non-zero TRI Data'!$I:$I,$I123)&gt;0,INDEX('Processed Non-zero TRI Data'!$A:$A,MATCH(1,($I123='Processed Non-zero TRI Data'!$I:$I)*(AA123='Processed Non-zero TRI Data'!$T:$T),0)))), VLOOKUP(I123,#REF!, 2, FALSE)), ("N/A - Facility Does Not Report to TRI"))</f>
        <v>N/A - Facility Does Not Report to TRI</v>
      </c>
      <c r="AD123" s="97" t="str" cm="1">
        <f t="array" ref="AD123">IFERROR(_xlfn.XLOOKUP(1,  (MAX(IF(I123 = 'Processed Non-zero TRI Data'!$I$2:$I$6,'Processed Non-zero TRI Data'!$A$2:$A$6)) = 'Processed Non-zero TRI Data'!$A$2:$A$6)*('Processed Non-zero TRI Data'!$I$2:$I$6 = I123), 'Processed Non-zero TRI Data'!$V$2:$V$6), "N/A- Facility Does Not Report to TRI")</f>
        <v>N/A- Facility Does Not Report to TRI</v>
      </c>
      <c r="AE123" s="9" t="str">
        <f t="shared" si="55"/>
        <v>N/A - Facility Does Not Report to TRI</v>
      </c>
      <c r="AF123" s="9" t="str" cm="1">
        <f t="array" ref="AF123">IF(COUNTIF('Processed Non-zero TRI Data'!$I:$I,$I123)&gt;0,MEDIAN(IF('Processed Non-zero TRI Data'!$I:$I=I123,'Processed Non-zero TRI Data'!$V:$V)), "N/A - Facility Does Not Report to TRI")</f>
        <v>N/A - Facility Does Not Report to TRI</v>
      </c>
      <c r="AG123" s="9" t="str">
        <f t="shared" si="56"/>
        <v>N/A - Facility Does Not Report to TRI</v>
      </c>
      <c r="AH123" s="9" t="str">
        <f>IF(COUNTIF('Processed Non-zero TRI Data'!$I:$I,$I123)&gt;0,_xlfn.MAXIFS('Processed Non-zero TRI Data'!$V:$V,'Processed Non-zero TRI Data'!$I:$I,$I123), "N/A - Facility Does Not Report to TRI")</f>
        <v>N/A - Facility Does Not Report to TRI</v>
      </c>
      <c r="AI123" s="9" t="str">
        <f t="shared" si="57"/>
        <v>N/A - Facility Does Not Report to TRI</v>
      </c>
      <c r="AJ123" s="158" t="str" cm="1">
        <f t="array" ref="AJ123">IF(B123="TRI Form A",AC123,IF(AH123=0,"Facility has no transfers to POTWs between 2019-2023.",IF(COUNTIF('Processed Non-zero TRI Data'!$I:$I,$I123)&gt;0,INDEX('Processed Non-zero TRI Data'!$A:$A,MATCH(1,($I123='Processed Non-zero TRI Data'!$I:$I)*(AH123='Processed Non-zero TRI Data'!$V:$V),0)),"N/A - Facility Does Not Report to TRI")))</f>
        <v>N/A - Facility Does Not Report to TRI</v>
      </c>
      <c r="AK123" s="97" t="str" cm="1">
        <f t="array" ref="AK123">IFERROR(_xlfn.XLOOKUP(1,  (MAX(IF(I123 = 'Processed Non-zero TRI Data'!$I$2:$I$6,'Processed Non-zero TRI Data'!$A$2:$A$6)) = 'Processed Non-zero TRI Data'!$A$2:$A$6)*('Processed Non-zero TRI Data'!$I$2:$I$6 = I123), 'Processed Non-zero TRI Data'!$X$2:$X$6), "N/A- Facility Does Not Report to TRI")</f>
        <v>N/A- Facility Does Not Report to TRI</v>
      </c>
      <c r="AL123" s="9" t="str">
        <f t="shared" si="58"/>
        <v>N/A - Facility Does Not Report to TRI</v>
      </c>
      <c r="AM123" s="9" t="str" cm="1">
        <f t="array" ref="AM123">IF(COUNTIF('Processed Non-zero TRI Data'!$I:$I,$I123)&gt;0,MEDIAN(IF('Processed Non-zero TRI Data'!$I:$I=I123,'Processed Non-zero TRI Data'!$X:$X)), "N/A - Facility Does Not Report to TRI")</f>
        <v>N/A - Facility Does Not Report to TRI</v>
      </c>
      <c r="AN123" s="9" t="str">
        <f t="shared" si="59"/>
        <v>N/A - Facility Does Not Report to TRI</v>
      </c>
      <c r="AO123" s="9" t="str">
        <f>IF(COUNTIF('Processed Non-zero TRI Data'!$I:$I,$I123)&gt;0,_xlfn.MAXIFS('Processed Non-zero TRI Data'!$X:$X,'Processed Non-zero TRI Data'!$I:$I,$I123), "N/A - Facility Does Not Report to TRI")</f>
        <v>N/A - Facility Does Not Report to TRI</v>
      </c>
      <c r="AP123" s="9" t="str">
        <f t="shared" si="60"/>
        <v>N/A - Facility Does Not Report to TRI</v>
      </c>
      <c r="AQ123" s="251" t="str" cm="1">
        <f t="array" ref="AQ123">IF(B123="TRI Form A",AC123,IF(AO123=0,"Facility has no transfers to non-POTWs between 2019-2023.",IF(COUNTIF('Processed Non-zero TRI Data'!$I:$I,$I123)&gt;0,INDEX('Processed Non-zero TRI Data'!$A:$A,MATCH(1,($I123='Processed Non-zero TRI Data'!$I:$I)*(AO123='Processed Non-zero TRI Data'!$X:$X),0)),"N/A - Facility Does Not Report to TRI")))</f>
        <v>N/A - Facility Does Not Report to TRI</v>
      </c>
      <c r="AR123" s="260">
        <f t="shared" si="47"/>
        <v>0</v>
      </c>
      <c r="AS123" s="260">
        <f t="shared" si="48"/>
        <v>2.02980560625E-2</v>
      </c>
    </row>
    <row r="124" spans="1:45" ht="30" x14ac:dyDescent="0.25">
      <c r="A124" s="12">
        <v>121</v>
      </c>
      <c r="B124" s="10" t="str">
        <f>IFERROR("TRI Form "&amp; VLOOKUP(I124, 'Processed Non-zero TRI Data'!$I$2:$K$6, 3, FALSE), "DMR")</f>
        <v>DMR</v>
      </c>
      <c r="C124" s="181" t="e">
        <f>VLOOKUP(D124,#REF!, 2, FALSE)</f>
        <v>#REF!</v>
      </c>
      <c r="D124" s="181" t="str">
        <f>IF(I124&lt;&gt;"",INDEX('Processed Non-zero TRI Data'!$O:$O,MATCH(I124,'Processed Non-zero TRI Data'!$I:$I,0)),INDEX('Processed Non-zero DMR Data'!$S:$S,MATCH(J124,'Processed Non-zero DMR Data'!$I:$I,0)))</f>
        <v>Unknown</v>
      </c>
      <c r="E124" s="181" t="str">
        <f>IF(I124&lt;&gt;"",INDEX('Processed Non-zero TRI Data'!$P:$P,MATCH(I124,'Processed Non-zero TRI Data'!$I:$I,0)),INDEX('Processed Non-zero DMR Data'!$T:$T,MATCH(J124,'Processed Non-zero DMR Data'!$I:$I,0)))</f>
        <v>Apartment complex; no OES to map to.</v>
      </c>
      <c r="F124" s="9" t="str">
        <f>_xlfn.XLOOKUP(J124, 'Processed Non-zero DMR Data'!I:I, 'Processed Non-zero DMR Data'!B:B)</f>
        <v>HERITAGE AT SILVER SPRING TITLEHOLDER, LLC</v>
      </c>
      <c r="G124" s="9" t="str">
        <f>_xlfn.XLOOKUP(J124, 'Processed Non-zero DMR Data'!I:I, 'Processed Non-zero DMR Data'!C:C)</f>
        <v>SILVER SPRING</v>
      </c>
      <c r="H124" s="9" t="str">
        <f>_xlfn.XLOOKUP(J124, 'Processed Non-zero DMR Data'!I:I, 'Processed Non-zero DMR Data'!E:E)</f>
        <v>MD</v>
      </c>
      <c r="I124" s="12"/>
      <c r="J124" s="13">
        <v>110037096674</v>
      </c>
      <c r="K124" s="9" t="str">
        <f>IFERROR(INDEX('Raw Non-zero DMR Data'!$C:$C, MATCH(J124,'Raw Non-zero DMR Data'!$D:$D,0)),"")</f>
        <v>MD0071790</v>
      </c>
      <c r="L124" s="9" t="str">
        <f>IFERROR(INDEX('Raw Non-zero DMR Data'!$U:$U, MATCH($J124,'Raw Non-zero DMR Data'!$D:$D,0)),"")</f>
        <v>Lower Rock Creek</v>
      </c>
      <c r="M124" s="155" t="str">
        <f>IFERROR(INDEX('Raw Non-zero DMR Data'!$T:$T, MATCH($J124,'Raw Non-zero DMR Data'!$D:$D,0)),"")</f>
        <v>020700100102</v>
      </c>
      <c r="N124" s="155" t="str">
        <f>IFERROR(INDEX('Off-site Locations'!$E:$E,MATCH(I124,'Off-site Locations'!$B:$B,0)),"No offsite transfers")</f>
        <v>No offsite transfers</v>
      </c>
      <c r="O124" s="165">
        <f>INDEX('TRI and DMR OES Summary'!D:D,MATCH('Facility Discharge Summary'!D124,'TRI and DMR OES Summary'!A:A,0))</f>
        <v>250</v>
      </c>
      <c r="P124" s="17" cm="1">
        <f t="array" ref="P124">IFERROR(_xlfn.XLOOKUP(1,  (MAX(IF(J124 = 'Processed Non-zero DMR Data'!$I$2:$I$651,'Processed Non-zero DMR Data'!$A$2:$A$651)) = 'Processed Non-zero DMR Data'!$A$2:$A$651)*('Processed Non-zero DMR Data'!$I$2:$I$651 = J124),'Processed Non-zero DMR Data'!$W$2:$W$651), "N/A- Facility Does Not Report DMRs")</f>
        <v>6.9468385462500004E-2</v>
      </c>
      <c r="Q124" s="10">
        <f t="shared" si="49"/>
        <v>2.7787354185000002E-4</v>
      </c>
      <c r="R124" s="10" cm="1">
        <f t="array" ref="R124">IF(COUNTIF('Processed Non-zero DMR Data'!$I:$I,$J124)&gt;0,MEDIAN(IF('Processed Non-zero DMR Data'!$I:$I=J124,'Processed Non-zero DMR Data'!$W:$W)),"N/A - Facility Does Not Report DMRs")</f>
        <v>4.8390162361250003E-2</v>
      </c>
      <c r="S124" s="10">
        <f t="shared" si="50"/>
        <v>1.9356064944500001E-4</v>
      </c>
      <c r="T124" s="10">
        <f>IF(COUNTIF('Processed Non-zero DMR Data'!$I:$I,$J124)&gt;0,_xlfn.MAXIFS('Processed Non-zero DMR Data'!$W:$W,'Processed Non-zero DMR Data'!$I:$I,$J124), "N/A - Facility Does Not Report DMRs")</f>
        <v>6.9468385462500004E-2</v>
      </c>
      <c r="U124" s="10">
        <f t="shared" si="51"/>
        <v>2.7787354185000002E-4</v>
      </c>
      <c r="V124" s="158" cm="1">
        <f t="array" ref="V124">IF(COUNTIF('Processed Non-zero DMR Data'!$I:$I,$J124)&gt;0,INDEX('Processed Non-zero DMR Data'!$A:$A,MATCH(1,($J124='Processed Non-zero DMR Data'!$I:$I)*($T124='Processed Non-zero DMR Data'!$W:$W),0)), "N/A - Facility Does Not Report DMRs")</f>
        <v>2021</v>
      </c>
      <c r="W124" s="17" t="str" cm="1">
        <f t="array" ref="W124">IFERROR(_xlfn.XLOOKUP(1,  (MAX(IF(I124 = 'Processed Non-zero TRI Data'!$I$2:$I$6,'Processed Non-zero TRI Data'!$A$2:$A$6)) = 'Processed Non-zero TRI Data'!$A$2:$A$6)*('Processed Non-zero TRI Data'!$I$2:$I$6 = I124), 'Processed Non-zero TRI Data'!$T$2:$T$6), "N/A- Facility Does Not Report to TRI")</f>
        <v>N/A- Facility Does Not Report to TRI</v>
      </c>
      <c r="X124" s="10" t="str">
        <f t="shared" si="52"/>
        <v>N/A - Facility Does Not Report to TRI</v>
      </c>
      <c r="Y124" s="10" t="str" cm="1">
        <f t="array" ref="Y124">IF(COUNTIF('Processed Non-zero TRI Data'!$I:$I,$I124)&gt;0,MEDIAN(IF('Processed Non-zero TRI Data'!$I:$I=I124,'Processed Non-zero TRI Data'!$T:$T)), "N/A - Facility Does Not Report to TRI")</f>
        <v>N/A - Facility Does Not Report to TRI</v>
      </c>
      <c r="Z124" s="10" t="str">
        <f t="shared" si="53"/>
        <v>N/A - Facility Does Not Report to TRI</v>
      </c>
      <c r="AA124" s="10" t="str">
        <f>IF(COUNTIF('Processed Non-zero TRI Data'!$I:$I,$I124)&gt;0,_xlfn.MAXIFS('Processed Non-zero TRI Data'!$T:$T,'Processed Non-zero TRI Data'!$I:$I,$I124), "N/A - Facility Does Not Report to TRI")</f>
        <v>N/A - Facility Does Not Report to TRI</v>
      </c>
      <c r="AB124" s="10" t="str">
        <f t="shared" si="54"/>
        <v>N/A - Facility Does Not Report to TRI</v>
      </c>
      <c r="AC124" s="158" t="str" cm="1">
        <f t="array" ref="AC124">IFERROR(IF(B124 = "TRI Form R", IF(AA124 = 0, "Facility has no on-site water discharges between 2017-2022.",  IF(COUNTIF('Processed Non-zero TRI Data'!$I:$I,$I124)&gt;0,INDEX('Processed Non-zero TRI Data'!$A:$A,MATCH(1,($I124='Processed Non-zero TRI Data'!$I:$I)*(AA124='Processed Non-zero TRI Data'!$T:$T),0)))), VLOOKUP(I124,#REF!, 2, FALSE)), ("N/A - Facility Does Not Report to TRI"))</f>
        <v>N/A - Facility Does Not Report to TRI</v>
      </c>
      <c r="AD124" s="97" t="str" cm="1">
        <f t="array" ref="AD124">IFERROR(_xlfn.XLOOKUP(1,  (MAX(IF(I124 = 'Processed Non-zero TRI Data'!$I$2:$I$6,'Processed Non-zero TRI Data'!$A$2:$A$6)) = 'Processed Non-zero TRI Data'!$A$2:$A$6)*('Processed Non-zero TRI Data'!$I$2:$I$6 = I124), 'Processed Non-zero TRI Data'!$V$2:$V$6), "N/A- Facility Does Not Report to TRI")</f>
        <v>N/A- Facility Does Not Report to TRI</v>
      </c>
      <c r="AE124" s="9" t="str">
        <f t="shared" si="55"/>
        <v>N/A - Facility Does Not Report to TRI</v>
      </c>
      <c r="AF124" s="9" t="str" cm="1">
        <f t="array" ref="AF124">IF(COUNTIF('Processed Non-zero TRI Data'!$I:$I,$I124)&gt;0,MEDIAN(IF('Processed Non-zero TRI Data'!$I:$I=I124,'Processed Non-zero TRI Data'!$V:$V)), "N/A - Facility Does Not Report to TRI")</f>
        <v>N/A - Facility Does Not Report to TRI</v>
      </c>
      <c r="AG124" s="9" t="str">
        <f t="shared" si="56"/>
        <v>N/A - Facility Does Not Report to TRI</v>
      </c>
      <c r="AH124" s="9" t="str">
        <f>IF(COUNTIF('Processed Non-zero TRI Data'!$I:$I,$I124)&gt;0,_xlfn.MAXIFS('Processed Non-zero TRI Data'!$V:$V,'Processed Non-zero TRI Data'!$I:$I,$I124), "N/A - Facility Does Not Report to TRI")</f>
        <v>N/A - Facility Does Not Report to TRI</v>
      </c>
      <c r="AI124" s="9" t="str">
        <f t="shared" si="57"/>
        <v>N/A - Facility Does Not Report to TRI</v>
      </c>
      <c r="AJ124" s="158" t="str" cm="1">
        <f t="array" ref="AJ124">IF(B124="TRI Form A",AC124,IF(AH124=0,"Facility has no transfers to POTWs between 2019-2023.",IF(COUNTIF('Processed Non-zero TRI Data'!$I:$I,$I124)&gt;0,INDEX('Processed Non-zero TRI Data'!$A:$A,MATCH(1,($I124='Processed Non-zero TRI Data'!$I:$I)*(AH124='Processed Non-zero TRI Data'!$V:$V),0)),"N/A - Facility Does Not Report to TRI")))</f>
        <v>N/A - Facility Does Not Report to TRI</v>
      </c>
      <c r="AK124" s="97" t="str" cm="1">
        <f t="array" ref="AK124">IFERROR(_xlfn.XLOOKUP(1,  (MAX(IF(I124 = 'Processed Non-zero TRI Data'!$I$2:$I$6,'Processed Non-zero TRI Data'!$A$2:$A$6)) = 'Processed Non-zero TRI Data'!$A$2:$A$6)*('Processed Non-zero TRI Data'!$I$2:$I$6 = I124), 'Processed Non-zero TRI Data'!$X$2:$X$6), "N/A- Facility Does Not Report to TRI")</f>
        <v>N/A- Facility Does Not Report to TRI</v>
      </c>
      <c r="AL124" s="9" t="str">
        <f t="shared" si="58"/>
        <v>N/A - Facility Does Not Report to TRI</v>
      </c>
      <c r="AM124" s="9" t="str" cm="1">
        <f t="array" ref="AM124">IF(COUNTIF('Processed Non-zero TRI Data'!$I:$I,$I124)&gt;0,MEDIAN(IF('Processed Non-zero TRI Data'!$I:$I=I124,'Processed Non-zero TRI Data'!$X:$X)), "N/A - Facility Does Not Report to TRI")</f>
        <v>N/A - Facility Does Not Report to TRI</v>
      </c>
      <c r="AN124" s="9" t="str">
        <f t="shared" si="59"/>
        <v>N/A - Facility Does Not Report to TRI</v>
      </c>
      <c r="AO124" s="9" t="str">
        <f>IF(COUNTIF('Processed Non-zero TRI Data'!$I:$I,$I124)&gt;0,_xlfn.MAXIFS('Processed Non-zero TRI Data'!$X:$X,'Processed Non-zero TRI Data'!$I:$I,$I124), "N/A - Facility Does Not Report to TRI")</f>
        <v>N/A - Facility Does Not Report to TRI</v>
      </c>
      <c r="AP124" s="9" t="str">
        <f t="shared" si="60"/>
        <v>N/A - Facility Does Not Report to TRI</v>
      </c>
      <c r="AQ124" s="251" t="str" cm="1">
        <f t="array" ref="AQ124">IF(B124="TRI Form A",AC124,IF(AO124=0,"Facility has no transfers to non-POTWs between 2019-2023.",IF(COUNTIF('Processed Non-zero TRI Data'!$I:$I,$I124)&gt;0,INDEX('Processed Non-zero TRI Data'!$A:$A,MATCH(1,($I124='Processed Non-zero TRI Data'!$I:$I)*(AO124='Processed Non-zero TRI Data'!$X:$X),0)),"N/A - Facility Does Not Report to TRI")))</f>
        <v>N/A - Facility Does Not Report to TRI</v>
      </c>
      <c r="AR124" s="260">
        <f t="shared" si="47"/>
        <v>0</v>
      </c>
      <c r="AS124" s="260">
        <f t="shared" si="48"/>
        <v>6.9468385462500004E-2</v>
      </c>
    </row>
    <row r="125" spans="1:45" ht="30" x14ac:dyDescent="0.25">
      <c r="A125" s="12">
        <v>122</v>
      </c>
      <c r="B125" s="10" t="str">
        <f>IFERROR("TRI Form "&amp; VLOOKUP(I125, 'Processed Non-zero TRI Data'!$I$2:$K$6, 3, FALSE), "DMR")</f>
        <v>DMR</v>
      </c>
      <c r="C125" s="181" t="e">
        <f>VLOOKUP(D125,#REF!, 2, FALSE)</f>
        <v>#REF!</v>
      </c>
      <c r="D125" s="181" t="str">
        <f>IF(I125&lt;&gt;"",INDEX('Processed Non-zero TRI Data'!$O:$O,MATCH(I125,'Processed Non-zero TRI Data'!$I:$I,0)),INDEX('Processed Non-zero DMR Data'!$S:$S,MATCH(J125,'Processed Non-zero DMR Data'!$I:$I,0)))</f>
        <v>Waste Handling, Disposal and Treatment (POTW)</v>
      </c>
      <c r="E125" s="181" t="str">
        <f>IF(I125&lt;&gt;"",INDEX('Processed Non-zero TRI Data'!$P:$P,MATCH(I125,'Processed Non-zero TRI Data'!$I:$I,0)),INDEX('Processed Non-zero DMR Data'!$T:$T,MATCH(J125,'Processed Non-zero DMR Data'!$I:$I,0)))</f>
        <v>POTW indicator in DMR</v>
      </c>
      <c r="F125" s="9" t="str">
        <f>_xlfn.XLOOKUP(J125, 'Processed Non-zero DMR Data'!I:I, 'Processed Non-zero DMR Data'!B:B)</f>
        <v>CITY OF SAFFORD - GILA RESOURCES WRP</v>
      </c>
      <c r="G125" s="9" t="str">
        <f>_xlfn.XLOOKUP(J125, 'Processed Non-zero DMR Data'!I:I, 'Processed Non-zero DMR Data'!C:C)</f>
        <v>SAFFORD</v>
      </c>
      <c r="H125" s="9" t="str">
        <f>_xlfn.XLOOKUP(J125, 'Processed Non-zero DMR Data'!I:I, 'Processed Non-zero DMR Data'!E:E)</f>
        <v>AZ</v>
      </c>
      <c r="I125" s="12"/>
      <c r="J125" s="13">
        <v>110012330520</v>
      </c>
      <c r="K125" s="9" t="str">
        <f>IFERROR(INDEX('Raw Non-zero DMR Data'!$C:$C, MATCH(J125,'Raw Non-zero DMR Data'!$D:$D,0)),"")</f>
        <v>AZ0024911</v>
      </c>
      <c r="L125" s="9" t="str">
        <f>IFERROR(INDEX('Raw Non-zero DMR Data'!$U:$U, MATCH($J125,'Raw Non-zero DMR Data'!$D:$D,0)),"")</f>
        <v>Peterson Wash-Gila River</v>
      </c>
      <c r="M125" s="155">
        <f>IFERROR(INDEX('Raw Non-zero DMR Data'!$T:$T, MATCH($J125,'Raw Non-zero DMR Data'!$D:$D,0)),"")</f>
        <v>150400050705</v>
      </c>
      <c r="N125" s="155" t="str">
        <f>IFERROR(INDEX('Off-site Locations'!$E:$E,MATCH(I125,'Off-site Locations'!$B:$B,0)),"No offsite transfers")</f>
        <v>No offsite transfers</v>
      </c>
      <c r="O125" s="165">
        <f>INDEX('TRI and DMR OES Summary'!D:D,MATCH('Facility Discharge Summary'!D125,'TRI and DMR OES Summary'!A:A,0))</f>
        <v>365</v>
      </c>
      <c r="P125" s="17" cm="1">
        <f t="array" ref="P125">IFERROR(_xlfn.XLOOKUP(1,  (MAX(IF(J125 = 'Processed Non-zero DMR Data'!$I$2:$I$651,'Processed Non-zero DMR Data'!$A$2:$A$651)) = 'Processed Non-zero DMR Data'!$A$2:$A$651)*('Processed Non-zero DMR Data'!$I$2:$I$651 = J125),'Processed Non-zero DMR Data'!$W$2:$W$651), "N/A- Facility Does Not Report DMRs")</f>
        <v>0.283212625</v>
      </c>
      <c r="Q125" s="10">
        <f t="shared" si="49"/>
        <v>7.7592500000000001E-4</v>
      </c>
      <c r="R125" s="10" cm="1">
        <f t="array" ref="R125">IF(COUNTIF('Processed Non-zero DMR Data'!$I:$I,$J125)&gt;0,MEDIAN(IF('Processed Non-zero DMR Data'!$I:$I=J125,'Processed Non-zero DMR Data'!$W:$W)),"N/A - Facility Does Not Report DMRs")</f>
        <v>0.283212625</v>
      </c>
      <c r="S125" s="10">
        <f t="shared" si="50"/>
        <v>7.7592500000000001E-4</v>
      </c>
      <c r="T125" s="10">
        <f>IF(COUNTIF('Processed Non-zero DMR Data'!$I:$I,$J125)&gt;0,_xlfn.MAXIFS('Processed Non-zero DMR Data'!$W:$W,'Processed Non-zero DMR Data'!$I:$I,$J125), "N/A - Facility Does Not Report DMRs")</f>
        <v>0.283212625</v>
      </c>
      <c r="U125" s="10">
        <f t="shared" si="51"/>
        <v>7.7592500000000001E-4</v>
      </c>
      <c r="V125" s="158" cm="1">
        <f t="array" ref="V125">IF(COUNTIF('Processed Non-zero DMR Data'!$I:$I,$J125)&gt;0,INDEX('Processed Non-zero DMR Data'!$A:$A,MATCH(1,($J125='Processed Non-zero DMR Data'!$I:$I)*($T125='Processed Non-zero DMR Data'!$W:$W),0)), "N/A - Facility Does Not Report DMRs")</f>
        <v>2020</v>
      </c>
      <c r="W125" s="17" t="str" cm="1">
        <f t="array" ref="W125">IFERROR(_xlfn.XLOOKUP(1,  (MAX(IF(I125 = 'Processed Non-zero TRI Data'!$I$2:$I$6,'Processed Non-zero TRI Data'!$A$2:$A$6)) = 'Processed Non-zero TRI Data'!$A$2:$A$6)*('Processed Non-zero TRI Data'!$I$2:$I$6 = I125), 'Processed Non-zero TRI Data'!$T$2:$T$6), "N/A- Facility Does Not Report to TRI")</f>
        <v>N/A- Facility Does Not Report to TRI</v>
      </c>
      <c r="X125" s="10" t="str">
        <f t="shared" si="52"/>
        <v>N/A - Facility Does Not Report to TRI</v>
      </c>
      <c r="Y125" s="10" t="str" cm="1">
        <f t="array" ref="Y125">IF(COUNTIF('Processed Non-zero TRI Data'!$I:$I,$I125)&gt;0,MEDIAN(IF('Processed Non-zero TRI Data'!$I:$I=I125,'Processed Non-zero TRI Data'!$T:$T)), "N/A - Facility Does Not Report to TRI")</f>
        <v>N/A - Facility Does Not Report to TRI</v>
      </c>
      <c r="Z125" s="10" t="str">
        <f t="shared" si="53"/>
        <v>N/A - Facility Does Not Report to TRI</v>
      </c>
      <c r="AA125" s="10" t="str">
        <f>IF(COUNTIF('Processed Non-zero TRI Data'!$I:$I,$I125)&gt;0,_xlfn.MAXIFS('Processed Non-zero TRI Data'!$T:$T,'Processed Non-zero TRI Data'!$I:$I,$I125), "N/A - Facility Does Not Report to TRI")</f>
        <v>N/A - Facility Does Not Report to TRI</v>
      </c>
      <c r="AB125" s="10" t="str">
        <f t="shared" si="54"/>
        <v>N/A - Facility Does Not Report to TRI</v>
      </c>
      <c r="AC125" s="158" t="str" cm="1">
        <f t="array" ref="AC125">IFERROR(IF(B125 = "TRI Form R", IF(AA125 = 0, "Facility has no on-site water discharges between 2017-2022.",  IF(COUNTIF('Processed Non-zero TRI Data'!$I:$I,$I125)&gt;0,INDEX('Processed Non-zero TRI Data'!$A:$A,MATCH(1,($I125='Processed Non-zero TRI Data'!$I:$I)*(AA125='Processed Non-zero TRI Data'!$T:$T),0)))), VLOOKUP(I125,#REF!, 2, FALSE)), ("N/A - Facility Does Not Report to TRI"))</f>
        <v>N/A - Facility Does Not Report to TRI</v>
      </c>
      <c r="AD125" s="97" t="str" cm="1">
        <f t="array" ref="AD125">IFERROR(_xlfn.XLOOKUP(1,  (MAX(IF(I125 = 'Processed Non-zero TRI Data'!$I$2:$I$6,'Processed Non-zero TRI Data'!$A$2:$A$6)) = 'Processed Non-zero TRI Data'!$A$2:$A$6)*('Processed Non-zero TRI Data'!$I$2:$I$6 = I125), 'Processed Non-zero TRI Data'!$V$2:$V$6), "N/A- Facility Does Not Report to TRI")</f>
        <v>N/A- Facility Does Not Report to TRI</v>
      </c>
      <c r="AE125" s="9" t="str">
        <f t="shared" si="55"/>
        <v>N/A - Facility Does Not Report to TRI</v>
      </c>
      <c r="AF125" s="9" t="str" cm="1">
        <f t="array" ref="AF125">IF(COUNTIF('Processed Non-zero TRI Data'!$I:$I,$I125)&gt;0,MEDIAN(IF('Processed Non-zero TRI Data'!$I:$I=I125,'Processed Non-zero TRI Data'!$V:$V)), "N/A - Facility Does Not Report to TRI")</f>
        <v>N/A - Facility Does Not Report to TRI</v>
      </c>
      <c r="AG125" s="9" t="str">
        <f t="shared" si="56"/>
        <v>N/A - Facility Does Not Report to TRI</v>
      </c>
      <c r="AH125" s="9" t="str">
        <f>IF(COUNTIF('Processed Non-zero TRI Data'!$I:$I,$I125)&gt;0,_xlfn.MAXIFS('Processed Non-zero TRI Data'!$V:$V,'Processed Non-zero TRI Data'!$I:$I,$I125), "N/A - Facility Does Not Report to TRI")</f>
        <v>N/A - Facility Does Not Report to TRI</v>
      </c>
      <c r="AI125" s="9" t="str">
        <f t="shared" si="57"/>
        <v>N/A - Facility Does Not Report to TRI</v>
      </c>
      <c r="AJ125" s="158" t="str" cm="1">
        <f t="array" ref="AJ125">IF(B125="TRI Form A",AC125,IF(AH125=0,"Facility has no transfers to POTWs between 2019-2023.",IF(COUNTIF('Processed Non-zero TRI Data'!$I:$I,$I125)&gt;0,INDEX('Processed Non-zero TRI Data'!$A:$A,MATCH(1,($I125='Processed Non-zero TRI Data'!$I:$I)*(AH125='Processed Non-zero TRI Data'!$V:$V),0)),"N/A - Facility Does Not Report to TRI")))</f>
        <v>N/A - Facility Does Not Report to TRI</v>
      </c>
      <c r="AK125" s="97" t="str" cm="1">
        <f t="array" ref="AK125">IFERROR(_xlfn.XLOOKUP(1,  (MAX(IF(I125 = 'Processed Non-zero TRI Data'!$I$2:$I$6,'Processed Non-zero TRI Data'!$A$2:$A$6)) = 'Processed Non-zero TRI Data'!$A$2:$A$6)*('Processed Non-zero TRI Data'!$I$2:$I$6 = I125), 'Processed Non-zero TRI Data'!$X$2:$X$6), "N/A- Facility Does Not Report to TRI")</f>
        <v>N/A- Facility Does Not Report to TRI</v>
      </c>
      <c r="AL125" s="9" t="str">
        <f t="shared" si="58"/>
        <v>N/A - Facility Does Not Report to TRI</v>
      </c>
      <c r="AM125" s="9" t="str" cm="1">
        <f t="array" ref="AM125">IF(COUNTIF('Processed Non-zero TRI Data'!$I:$I,$I125)&gt;0,MEDIAN(IF('Processed Non-zero TRI Data'!$I:$I=I125,'Processed Non-zero TRI Data'!$X:$X)), "N/A - Facility Does Not Report to TRI")</f>
        <v>N/A - Facility Does Not Report to TRI</v>
      </c>
      <c r="AN125" s="9" t="str">
        <f t="shared" si="59"/>
        <v>N/A - Facility Does Not Report to TRI</v>
      </c>
      <c r="AO125" s="9" t="str">
        <f>IF(COUNTIF('Processed Non-zero TRI Data'!$I:$I,$I125)&gt;0,_xlfn.MAXIFS('Processed Non-zero TRI Data'!$X:$X,'Processed Non-zero TRI Data'!$I:$I,$I125), "N/A - Facility Does Not Report to TRI")</f>
        <v>N/A - Facility Does Not Report to TRI</v>
      </c>
      <c r="AP125" s="9" t="str">
        <f t="shared" si="60"/>
        <v>N/A - Facility Does Not Report to TRI</v>
      </c>
      <c r="AQ125" s="251" t="str" cm="1">
        <f t="array" ref="AQ125">IF(B125="TRI Form A",AC125,IF(AO125=0,"Facility has no transfers to non-POTWs between 2019-2023.",IF(COUNTIF('Processed Non-zero TRI Data'!$I:$I,$I125)&gt;0,INDEX('Processed Non-zero TRI Data'!$A:$A,MATCH(1,($I125='Processed Non-zero TRI Data'!$I:$I)*(AO125='Processed Non-zero TRI Data'!$X:$X),0)),"N/A - Facility Does Not Report to TRI")))</f>
        <v>N/A - Facility Does Not Report to TRI</v>
      </c>
      <c r="AR125" s="260">
        <f t="shared" si="47"/>
        <v>0</v>
      </c>
      <c r="AS125" s="260">
        <f t="shared" si="48"/>
        <v>0.283212625</v>
      </c>
    </row>
    <row r="126" spans="1:45" ht="30" x14ac:dyDescent="0.25">
      <c r="A126" s="12">
        <v>123</v>
      </c>
      <c r="B126" s="10" t="str">
        <f>IFERROR("TRI Form "&amp; VLOOKUP(I126, 'Processed Non-zero TRI Data'!$I$2:$K$6, 3, FALSE), "DMR")</f>
        <v>DMR</v>
      </c>
      <c r="C126" s="181" t="e">
        <f>VLOOKUP(D126,#REF!, 2, FALSE)</f>
        <v>#REF!</v>
      </c>
      <c r="D126" s="181" t="str">
        <f>IF(I126&lt;&gt;"",INDEX('Processed Non-zero TRI Data'!$O:$O,MATCH(I126,'Processed Non-zero TRI Data'!$I:$I,0)),INDEX('Processed Non-zero DMR Data'!$S:$S,MATCH(J126,'Processed Non-zero DMR Data'!$I:$I,0)))</f>
        <v>Processing as a reactant</v>
      </c>
      <c r="E126" s="181" t="str">
        <f>IF(I126&lt;&gt;"",INDEX('Processed Non-zero TRI Data'!$P:$P,MATCH(I126,'Processed Non-zero TRI Data'!$I:$I,0)),INDEX('Processed Non-zero DMR Data'!$T:$T,MATCH(J126,'Processed Non-zero DMR Data'!$I:$I,0)))</f>
        <v>Assumed processing as a reactant based on SIC and NAICS; this also matches 1,1,-DCA mapping.</v>
      </c>
      <c r="F126" s="9" t="str">
        <f>_xlfn.XLOOKUP(J126, 'Processed Non-zero DMR Data'!I:I, 'Processed Non-zero DMR Data'!B:B)</f>
        <v>HUNTSMAN PETROCHEMICAL LLC - CONROE PLANT</v>
      </c>
      <c r="G126" s="9" t="str">
        <f>_xlfn.XLOOKUP(J126, 'Processed Non-zero DMR Data'!I:I, 'Processed Non-zero DMR Data'!C:C)</f>
        <v>CONROE</v>
      </c>
      <c r="H126" s="9" t="str">
        <f>_xlfn.XLOOKUP(J126, 'Processed Non-zero DMR Data'!I:I, 'Processed Non-zero DMR Data'!E:E)</f>
        <v>TX</v>
      </c>
      <c r="I126" s="12"/>
      <c r="J126" s="13">
        <v>110000748095</v>
      </c>
      <c r="K126" s="9" t="str">
        <f>IFERROR(INDEX('Raw Non-zero DMR Data'!$C:$C, MATCH(J126,'Raw Non-zero DMR Data'!$D:$D,0)),"")</f>
        <v>TX0005592</v>
      </c>
      <c r="L126" s="9" t="str">
        <f>IFERROR(INDEX('Raw Non-zero DMR Data'!$U:$U, MATCH($J126,'Raw Non-zero DMR Data'!$D:$D,0)),"")</f>
        <v>Crystal Creek</v>
      </c>
      <c r="M126" s="155">
        <f>IFERROR(INDEX('Raw Non-zero DMR Data'!$T:$T, MATCH($J126,'Raw Non-zero DMR Data'!$D:$D,0)),"")</f>
        <v>120401010403</v>
      </c>
      <c r="N126" s="155" t="str">
        <f>IFERROR(INDEX('Off-site Locations'!$E:$E,MATCH(I126,'Off-site Locations'!$B:$B,0)),"No offsite transfers")</f>
        <v>No offsite transfers</v>
      </c>
      <c r="O126" s="165">
        <f>INDEX('TRI and DMR OES Summary'!D:D,MATCH('Facility Discharge Summary'!D126,'TRI and DMR OES Summary'!A:A,0))</f>
        <v>350</v>
      </c>
      <c r="P126" s="17" cm="1">
        <f t="array" ref="P126">IFERROR(_xlfn.XLOOKUP(1,  (MAX(IF(J126 = 'Processed Non-zero DMR Data'!$I$2:$I$651,'Processed Non-zero DMR Data'!$A$2:$A$651)) = 'Processed Non-zero DMR Data'!$A$2:$A$651)*('Processed Non-zero DMR Data'!$I$2:$I$651 = J126),'Processed Non-zero DMR Data'!$W$2:$W$651), "N/A- Facility Does Not Report DMRs")</f>
        <v>0.2071375</v>
      </c>
      <c r="Q126" s="10">
        <f t="shared" si="49"/>
        <v>5.9182142857142853E-4</v>
      </c>
      <c r="R126" s="10" cm="1">
        <f t="array" ref="R126">IF(COUNTIF('Processed Non-zero DMR Data'!$I:$I,$J126)&gt;0,MEDIAN(IF('Processed Non-zero DMR Data'!$I:$I=J126,'Processed Non-zero DMR Data'!$W:$W)),"N/A - Facility Does Not Report DMRs")</f>
        <v>1.193112</v>
      </c>
      <c r="S126" s="10">
        <f t="shared" si="50"/>
        <v>3.4088914285714286E-3</v>
      </c>
      <c r="T126" s="10">
        <f>IF(COUNTIF('Processed Non-zero DMR Data'!$I:$I,$J126)&gt;0,_xlfn.MAXIFS('Processed Non-zero DMR Data'!$W:$W,'Processed Non-zero DMR Data'!$I:$I,$J126), "N/A - Facility Does Not Report DMRs")</f>
        <v>4.0184674999999999</v>
      </c>
      <c r="U126" s="10">
        <f t="shared" si="51"/>
        <v>1.1481335714285714E-2</v>
      </c>
      <c r="V126" s="158" cm="1">
        <f t="array" ref="V126">IF(COUNTIF('Processed Non-zero DMR Data'!$I:$I,$J126)&gt;0,INDEX('Processed Non-zero DMR Data'!$A:$A,MATCH(1,($J126='Processed Non-zero DMR Data'!$I:$I)*($T126='Processed Non-zero DMR Data'!$W:$W),0)), "N/A - Facility Does Not Report DMRs")</f>
        <v>2021</v>
      </c>
      <c r="W126" s="17" t="str" cm="1">
        <f t="array" ref="W126">IFERROR(_xlfn.XLOOKUP(1,  (MAX(IF(I126 = 'Processed Non-zero TRI Data'!$I$2:$I$6,'Processed Non-zero TRI Data'!$A$2:$A$6)) = 'Processed Non-zero TRI Data'!$A$2:$A$6)*('Processed Non-zero TRI Data'!$I$2:$I$6 = I126), 'Processed Non-zero TRI Data'!$T$2:$T$6), "N/A- Facility Does Not Report to TRI")</f>
        <v>N/A- Facility Does Not Report to TRI</v>
      </c>
      <c r="X126" s="10" t="str">
        <f t="shared" si="52"/>
        <v>N/A - Facility Does Not Report to TRI</v>
      </c>
      <c r="Y126" s="10" t="str" cm="1">
        <f t="array" ref="Y126">IF(COUNTIF('Processed Non-zero TRI Data'!$I:$I,$I126)&gt;0,MEDIAN(IF('Processed Non-zero TRI Data'!$I:$I=I126,'Processed Non-zero TRI Data'!$T:$T)), "N/A - Facility Does Not Report to TRI")</f>
        <v>N/A - Facility Does Not Report to TRI</v>
      </c>
      <c r="Z126" s="10" t="str">
        <f t="shared" si="53"/>
        <v>N/A - Facility Does Not Report to TRI</v>
      </c>
      <c r="AA126" s="10" t="str">
        <f>IF(COUNTIF('Processed Non-zero TRI Data'!$I:$I,$I126)&gt;0,_xlfn.MAXIFS('Processed Non-zero TRI Data'!$T:$T,'Processed Non-zero TRI Data'!$I:$I,$I126), "N/A - Facility Does Not Report to TRI")</f>
        <v>N/A - Facility Does Not Report to TRI</v>
      </c>
      <c r="AB126" s="10" t="str">
        <f t="shared" si="54"/>
        <v>N/A - Facility Does Not Report to TRI</v>
      </c>
      <c r="AC126" s="158" t="str" cm="1">
        <f t="array" ref="AC126">IFERROR(IF(B126 = "TRI Form R", IF(AA126 = 0, "Facility has no on-site water discharges between 2017-2022.",  IF(COUNTIF('Processed Non-zero TRI Data'!$I:$I,$I126)&gt;0,INDEX('Processed Non-zero TRI Data'!$A:$A,MATCH(1,($I126='Processed Non-zero TRI Data'!$I:$I)*(AA126='Processed Non-zero TRI Data'!$T:$T),0)))), VLOOKUP(I126,#REF!, 2, FALSE)), ("N/A - Facility Does Not Report to TRI"))</f>
        <v>N/A - Facility Does Not Report to TRI</v>
      </c>
      <c r="AD126" s="97" t="str" cm="1">
        <f t="array" ref="AD126">IFERROR(_xlfn.XLOOKUP(1,  (MAX(IF(I126 = 'Processed Non-zero TRI Data'!$I$2:$I$6,'Processed Non-zero TRI Data'!$A$2:$A$6)) = 'Processed Non-zero TRI Data'!$A$2:$A$6)*('Processed Non-zero TRI Data'!$I$2:$I$6 = I126), 'Processed Non-zero TRI Data'!$V$2:$V$6), "N/A- Facility Does Not Report to TRI")</f>
        <v>N/A- Facility Does Not Report to TRI</v>
      </c>
      <c r="AE126" s="9" t="str">
        <f t="shared" si="55"/>
        <v>N/A - Facility Does Not Report to TRI</v>
      </c>
      <c r="AF126" s="9" t="str" cm="1">
        <f t="array" ref="AF126">IF(COUNTIF('Processed Non-zero TRI Data'!$I:$I,$I126)&gt;0,MEDIAN(IF('Processed Non-zero TRI Data'!$I:$I=I126,'Processed Non-zero TRI Data'!$V:$V)), "N/A - Facility Does Not Report to TRI")</f>
        <v>N/A - Facility Does Not Report to TRI</v>
      </c>
      <c r="AG126" s="9" t="str">
        <f t="shared" si="56"/>
        <v>N/A - Facility Does Not Report to TRI</v>
      </c>
      <c r="AH126" s="9" t="str">
        <f>IF(COUNTIF('Processed Non-zero TRI Data'!$I:$I,$I126)&gt;0,_xlfn.MAXIFS('Processed Non-zero TRI Data'!$V:$V,'Processed Non-zero TRI Data'!$I:$I,$I126), "N/A - Facility Does Not Report to TRI")</f>
        <v>N/A - Facility Does Not Report to TRI</v>
      </c>
      <c r="AI126" s="9" t="str">
        <f t="shared" si="57"/>
        <v>N/A - Facility Does Not Report to TRI</v>
      </c>
      <c r="AJ126" s="158" t="str" cm="1">
        <f t="array" ref="AJ126">IF(B126="TRI Form A",AC126,IF(AH126=0,"Facility has no transfers to POTWs between 2019-2023.",IF(COUNTIF('Processed Non-zero TRI Data'!$I:$I,$I126)&gt;0,INDEX('Processed Non-zero TRI Data'!$A:$A,MATCH(1,($I126='Processed Non-zero TRI Data'!$I:$I)*(AH126='Processed Non-zero TRI Data'!$V:$V),0)),"N/A - Facility Does Not Report to TRI")))</f>
        <v>N/A - Facility Does Not Report to TRI</v>
      </c>
      <c r="AK126" s="97" t="str" cm="1">
        <f t="array" ref="AK126">IFERROR(_xlfn.XLOOKUP(1,  (MAX(IF(I126 = 'Processed Non-zero TRI Data'!$I$2:$I$6,'Processed Non-zero TRI Data'!$A$2:$A$6)) = 'Processed Non-zero TRI Data'!$A$2:$A$6)*('Processed Non-zero TRI Data'!$I$2:$I$6 = I126), 'Processed Non-zero TRI Data'!$X$2:$X$6), "N/A- Facility Does Not Report to TRI")</f>
        <v>N/A- Facility Does Not Report to TRI</v>
      </c>
      <c r="AL126" s="9" t="str">
        <f t="shared" si="58"/>
        <v>N/A - Facility Does Not Report to TRI</v>
      </c>
      <c r="AM126" s="9" t="str" cm="1">
        <f t="array" ref="AM126">IF(COUNTIF('Processed Non-zero TRI Data'!$I:$I,$I126)&gt;0,MEDIAN(IF('Processed Non-zero TRI Data'!$I:$I=I126,'Processed Non-zero TRI Data'!$X:$X)), "N/A - Facility Does Not Report to TRI")</f>
        <v>N/A - Facility Does Not Report to TRI</v>
      </c>
      <c r="AN126" s="9" t="str">
        <f t="shared" si="59"/>
        <v>N/A - Facility Does Not Report to TRI</v>
      </c>
      <c r="AO126" s="9" t="str">
        <f>IF(COUNTIF('Processed Non-zero TRI Data'!$I:$I,$I126)&gt;0,_xlfn.MAXIFS('Processed Non-zero TRI Data'!$X:$X,'Processed Non-zero TRI Data'!$I:$I,$I126), "N/A - Facility Does Not Report to TRI")</f>
        <v>N/A - Facility Does Not Report to TRI</v>
      </c>
      <c r="AP126" s="9" t="str">
        <f t="shared" si="60"/>
        <v>N/A - Facility Does Not Report to TRI</v>
      </c>
      <c r="AQ126" s="251" t="str" cm="1">
        <f t="array" ref="AQ126">IF(B126="TRI Form A",AC126,IF(AO126=0,"Facility has no transfers to non-POTWs between 2019-2023.",IF(COUNTIF('Processed Non-zero TRI Data'!$I:$I,$I126)&gt;0,INDEX('Processed Non-zero TRI Data'!$A:$A,MATCH(1,($I126='Processed Non-zero TRI Data'!$I:$I)*(AO126='Processed Non-zero TRI Data'!$X:$X),0)),"N/A - Facility Does Not Report to TRI")))</f>
        <v>N/A - Facility Does Not Report to TRI</v>
      </c>
      <c r="AR126" s="260">
        <f t="shared" si="47"/>
        <v>0</v>
      </c>
      <c r="AS126" s="260">
        <f t="shared" si="48"/>
        <v>4.0184674999999999</v>
      </c>
    </row>
    <row r="127" spans="1:45" ht="60" x14ac:dyDescent="0.25">
      <c r="A127" s="12">
        <v>124</v>
      </c>
      <c r="B127" s="10" t="str">
        <f>IFERROR("TRI Form "&amp; VLOOKUP(I127, 'Processed Non-zero TRI Data'!$I$2:$K$6, 3, FALSE), "DMR")</f>
        <v>DMR</v>
      </c>
      <c r="C127" s="181" t="e">
        <f>VLOOKUP(D127,#REF!, 2, FALSE)</f>
        <v>#REF!</v>
      </c>
      <c r="D127" s="181" t="str">
        <f>IF(I127&lt;&gt;"",INDEX('Processed Non-zero TRI Data'!$O:$O,MATCH(I127,'Processed Non-zero TRI Data'!$I:$I,0)),INDEX('Processed Non-zero DMR Data'!$S:$S,MATCH(J127,'Processed Non-zero DMR Data'!$I:$I,0)))</f>
        <v>Waste Handling, Disposal and Treatment (non-POTW WWT)</v>
      </c>
      <c r="E127" s="181" t="str">
        <f>IF(I127&lt;&gt;"",INDEX('Processed Non-zero TRI Data'!$P:$P,MATCH(I127,'Processed Non-zero TRI Data'!$I:$I,0)),INDEX('Processed Non-zero DMR Data'!$T:$T,MATCH(J127,'Processed Non-zero DMR Data'!$I:$I,0)))</f>
        <v>Facility provides waste management services(https://www.epa.gov/hwcorrectiveactioncleanups/hazardous-waste-cleanup-cecos-international-incorporated-niagara-falls).</v>
      </c>
      <c r="F127" s="9" t="str">
        <f>_xlfn.XLOOKUP(J127, 'Processed Non-zero DMR Data'!I:I, 'Processed Non-zero DMR Data'!B:B)</f>
        <v>CECOS INTERNATIONAL INC</v>
      </c>
      <c r="G127" s="9" t="str">
        <f>_xlfn.XLOOKUP(J127, 'Processed Non-zero DMR Data'!I:I, 'Processed Non-zero DMR Data'!C:C)</f>
        <v>WESTLAKE</v>
      </c>
      <c r="H127" s="9" t="str">
        <f>_xlfn.XLOOKUP(J127, 'Processed Non-zero DMR Data'!I:I, 'Processed Non-zero DMR Data'!E:E)</f>
        <v>LA</v>
      </c>
      <c r="I127" s="12"/>
      <c r="J127" s="13">
        <v>110000613685</v>
      </c>
      <c r="K127" s="9" t="str">
        <f>IFERROR(INDEX('Raw Non-zero DMR Data'!$C:$C, MATCH(J127,'Raw Non-zero DMR Data'!$D:$D,0)),"")</f>
        <v>LA0058882</v>
      </c>
      <c r="L127" s="9" t="str">
        <f>IFERROR(INDEX('Raw Non-zero DMR Data'!$U:$U, MATCH($J127,'Raw Non-zero DMR Data'!$D:$D,0)),"")</f>
        <v>Little River</v>
      </c>
      <c r="M127" s="155" t="str">
        <f>IFERROR(INDEX('Raw Non-zero DMR Data'!$T:$T, MATCH($J127,'Raw Non-zero DMR Data'!$D:$D,0)),"")</f>
        <v>080802050501</v>
      </c>
      <c r="N127" s="155" t="str">
        <f>IFERROR(INDEX('Off-site Locations'!$E:$E,MATCH(I127,'Off-site Locations'!$B:$B,0)),"No offsite transfers")</f>
        <v>No offsite transfers</v>
      </c>
      <c r="O127" s="165">
        <f>INDEX('TRI and DMR OES Summary'!D:D,MATCH('Facility Discharge Summary'!D127,'TRI and DMR OES Summary'!A:A,0))</f>
        <v>250</v>
      </c>
      <c r="P127" s="17" cm="1">
        <f t="array" ref="P127">IFERROR(_xlfn.XLOOKUP(1,  (MAX(IF(J127 = 'Processed Non-zero DMR Data'!$I$2:$I$651,'Processed Non-zero DMR Data'!$A$2:$A$651)) = 'Processed Non-zero DMR Data'!$A$2:$A$651)*('Processed Non-zero DMR Data'!$I$2:$I$651 = J127),'Processed Non-zero DMR Data'!$W$2:$W$651), "N/A- Facility Does Not Report DMRs")</f>
        <v>0.1208834375</v>
      </c>
      <c r="Q127" s="10">
        <f t="shared" si="49"/>
        <v>4.8353375000000001E-4</v>
      </c>
      <c r="R127" s="10" cm="1">
        <f t="array" ref="R127">IF(COUNTIF('Processed Non-zero DMR Data'!$I:$I,$J127)&gt;0,MEDIAN(IF('Processed Non-zero DMR Data'!$I:$I=J127,'Processed Non-zero DMR Data'!$W:$W)),"N/A - Facility Does Not Report DMRs")</f>
        <v>0.30393550000000003</v>
      </c>
      <c r="S127" s="10">
        <f t="shared" si="50"/>
        <v>1.2157420000000001E-3</v>
      </c>
      <c r="T127" s="10">
        <f>IF(COUNTIF('Processed Non-zero DMR Data'!$I:$I,$J127)&gt;0,_xlfn.MAXIFS('Processed Non-zero DMR Data'!$W:$W,'Processed Non-zero DMR Data'!$I:$I,$J127), "N/A - Facility Does Not Report DMRs")</f>
        <v>0.52152568749999995</v>
      </c>
      <c r="U127" s="10">
        <f t="shared" si="51"/>
        <v>2.0861027499999999E-3</v>
      </c>
      <c r="V127" s="158" cm="1">
        <f t="array" ref="V127">IF(COUNTIF('Processed Non-zero DMR Data'!$I:$I,$J127)&gt;0,INDEX('Processed Non-zero DMR Data'!$A:$A,MATCH(1,($J127='Processed Non-zero DMR Data'!$I:$I)*($T127='Processed Non-zero DMR Data'!$W:$W),0)), "N/A - Facility Does Not Report DMRs")</f>
        <v>2020</v>
      </c>
      <c r="W127" s="17" t="str" cm="1">
        <f t="array" ref="W127">IFERROR(_xlfn.XLOOKUP(1,  (MAX(IF(I127 = 'Processed Non-zero TRI Data'!$I$2:$I$6,'Processed Non-zero TRI Data'!$A$2:$A$6)) = 'Processed Non-zero TRI Data'!$A$2:$A$6)*('Processed Non-zero TRI Data'!$I$2:$I$6 = I127), 'Processed Non-zero TRI Data'!$T$2:$T$6), "N/A- Facility Does Not Report to TRI")</f>
        <v>N/A- Facility Does Not Report to TRI</v>
      </c>
      <c r="X127" s="10" t="str">
        <f t="shared" si="52"/>
        <v>N/A - Facility Does Not Report to TRI</v>
      </c>
      <c r="Y127" s="10" t="str" cm="1">
        <f t="array" ref="Y127">IF(COUNTIF('Processed Non-zero TRI Data'!$I:$I,$I127)&gt;0,MEDIAN(IF('Processed Non-zero TRI Data'!$I:$I=I127,'Processed Non-zero TRI Data'!$T:$T)), "N/A - Facility Does Not Report to TRI")</f>
        <v>N/A - Facility Does Not Report to TRI</v>
      </c>
      <c r="Z127" s="10" t="str">
        <f t="shared" si="53"/>
        <v>N/A - Facility Does Not Report to TRI</v>
      </c>
      <c r="AA127" s="10" t="str">
        <f>IF(COUNTIF('Processed Non-zero TRI Data'!$I:$I,$I127)&gt;0,_xlfn.MAXIFS('Processed Non-zero TRI Data'!$T:$T,'Processed Non-zero TRI Data'!$I:$I,$I127), "N/A - Facility Does Not Report to TRI")</f>
        <v>N/A - Facility Does Not Report to TRI</v>
      </c>
      <c r="AB127" s="10" t="str">
        <f t="shared" si="54"/>
        <v>N/A - Facility Does Not Report to TRI</v>
      </c>
      <c r="AC127" s="158" t="str" cm="1">
        <f t="array" ref="AC127">IFERROR(IF(B127 = "TRI Form R", IF(AA127 = 0, "Facility has no on-site water discharges between 2017-2022.",  IF(COUNTIF('Processed Non-zero TRI Data'!$I:$I,$I127)&gt;0,INDEX('Processed Non-zero TRI Data'!$A:$A,MATCH(1,($I127='Processed Non-zero TRI Data'!$I:$I)*(AA127='Processed Non-zero TRI Data'!$T:$T),0)))), VLOOKUP(I127,#REF!, 2, FALSE)), ("N/A - Facility Does Not Report to TRI"))</f>
        <v>N/A - Facility Does Not Report to TRI</v>
      </c>
      <c r="AD127" s="97" t="str" cm="1">
        <f t="array" ref="AD127">IFERROR(_xlfn.XLOOKUP(1,  (MAX(IF(I127 = 'Processed Non-zero TRI Data'!$I$2:$I$6,'Processed Non-zero TRI Data'!$A$2:$A$6)) = 'Processed Non-zero TRI Data'!$A$2:$A$6)*('Processed Non-zero TRI Data'!$I$2:$I$6 = I127), 'Processed Non-zero TRI Data'!$V$2:$V$6), "N/A- Facility Does Not Report to TRI")</f>
        <v>N/A- Facility Does Not Report to TRI</v>
      </c>
      <c r="AE127" s="9" t="str">
        <f t="shared" si="55"/>
        <v>N/A - Facility Does Not Report to TRI</v>
      </c>
      <c r="AF127" s="9" t="str" cm="1">
        <f t="array" ref="AF127">IF(COUNTIF('Processed Non-zero TRI Data'!$I:$I,$I127)&gt;0,MEDIAN(IF('Processed Non-zero TRI Data'!$I:$I=I127,'Processed Non-zero TRI Data'!$V:$V)), "N/A - Facility Does Not Report to TRI")</f>
        <v>N/A - Facility Does Not Report to TRI</v>
      </c>
      <c r="AG127" s="9" t="str">
        <f t="shared" si="56"/>
        <v>N/A - Facility Does Not Report to TRI</v>
      </c>
      <c r="AH127" s="9" t="str">
        <f>IF(COUNTIF('Processed Non-zero TRI Data'!$I:$I,$I127)&gt;0,_xlfn.MAXIFS('Processed Non-zero TRI Data'!$V:$V,'Processed Non-zero TRI Data'!$I:$I,$I127), "N/A - Facility Does Not Report to TRI")</f>
        <v>N/A - Facility Does Not Report to TRI</v>
      </c>
      <c r="AI127" s="9" t="str">
        <f t="shared" si="57"/>
        <v>N/A - Facility Does Not Report to TRI</v>
      </c>
      <c r="AJ127" s="158" t="str" cm="1">
        <f t="array" ref="AJ127">IF(B127="TRI Form A",AC127,IF(AH127=0,"Facility has no transfers to POTWs between 2019-2023.",IF(COUNTIF('Processed Non-zero TRI Data'!$I:$I,$I127)&gt;0,INDEX('Processed Non-zero TRI Data'!$A:$A,MATCH(1,($I127='Processed Non-zero TRI Data'!$I:$I)*(AH127='Processed Non-zero TRI Data'!$V:$V),0)),"N/A - Facility Does Not Report to TRI")))</f>
        <v>N/A - Facility Does Not Report to TRI</v>
      </c>
      <c r="AK127" s="97" t="str" cm="1">
        <f t="array" ref="AK127">IFERROR(_xlfn.XLOOKUP(1,  (MAX(IF(I127 = 'Processed Non-zero TRI Data'!$I$2:$I$6,'Processed Non-zero TRI Data'!$A$2:$A$6)) = 'Processed Non-zero TRI Data'!$A$2:$A$6)*('Processed Non-zero TRI Data'!$I$2:$I$6 = I127), 'Processed Non-zero TRI Data'!$X$2:$X$6), "N/A- Facility Does Not Report to TRI")</f>
        <v>N/A- Facility Does Not Report to TRI</v>
      </c>
      <c r="AL127" s="9" t="str">
        <f t="shared" si="58"/>
        <v>N/A - Facility Does Not Report to TRI</v>
      </c>
      <c r="AM127" s="9" t="str" cm="1">
        <f t="array" ref="AM127">IF(COUNTIF('Processed Non-zero TRI Data'!$I:$I,$I127)&gt;0,MEDIAN(IF('Processed Non-zero TRI Data'!$I:$I=I127,'Processed Non-zero TRI Data'!$X:$X)), "N/A - Facility Does Not Report to TRI")</f>
        <v>N/A - Facility Does Not Report to TRI</v>
      </c>
      <c r="AN127" s="9" t="str">
        <f t="shared" si="59"/>
        <v>N/A - Facility Does Not Report to TRI</v>
      </c>
      <c r="AO127" s="9" t="str">
        <f>IF(COUNTIF('Processed Non-zero TRI Data'!$I:$I,$I127)&gt;0,_xlfn.MAXIFS('Processed Non-zero TRI Data'!$X:$X,'Processed Non-zero TRI Data'!$I:$I,$I127), "N/A - Facility Does Not Report to TRI")</f>
        <v>N/A - Facility Does Not Report to TRI</v>
      </c>
      <c r="AP127" s="9" t="str">
        <f t="shared" si="60"/>
        <v>N/A - Facility Does Not Report to TRI</v>
      </c>
      <c r="AQ127" s="251" t="str" cm="1">
        <f t="array" ref="AQ127">IF(B127="TRI Form A",AC127,IF(AO127=0,"Facility has no transfers to non-POTWs between 2019-2023.",IF(COUNTIF('Processed Non-zero TRI Data'!$I:$I,$I127)&gt;0,INDEX('Processed Non-zero TRI Data'!$A:$A,MATCH(1,($I127='Processed Non-zero TRI Data'!$I:$I)*(AO127='Processed Non-zero TRI Data'!$X:$X),0)),"N/A - Facility Does Not Report to TRI")))</f>
        <v>N/A - Facility Does Not Report to TRI</v>
      </c>
      <c r="AR127" s="260">
        <f t="shared" si="47"/>
        <v>0</v>
      </c>
      <c r="AS127" s="260">
        <f t="shared" si="48"/>
        <v>0.52152568749999995</v>
      </c>
    </row>
    <row r="128" spans="1:45" ht="45" x14ac:dyDescent="0.25">
      <c r="A128" s="12">
        <v>125</v>
      </c>
      <c r="B128" s="10" t="str">
        <f>IFERROR("TRI Form "&amp; VLOOKUP(I128, 'Processed Non-zero TRI Data'!$I$2:$K$6, 3, FALSE), "DMR")</f>
        <v>DMR</v>
      </c>
      <c r="C128" s="181" t="e">
        <f>VLOOKUP(D128,#REF!, 2, FALSE)</f>
        <v>#REF!</v>
      </c>
      <c r="D128" s="181" t="str">
        <f>IF(I128&lt;&gt;"",INDEX('Processed Non-zero TRI Data'!$O:$O,MATCH(I128,'Processed Non-zero TRI Data'!$I:$I,0)),INDEX('Processed Non-zero DMR Data'!$S:$S,MATCH(J128,'Processed Non-zero DMR Data'!$I:$I,0)))</f>
        <v>Impurity in Plastics</v>
      </c>
      <c r="E128" s="181" t="str">
        <f>IF(I128&lt;&gt;"",INDEX('Processed Non-zero TRI Data'!$P:$P,MATCH(I128,'Processed Non-zero TRI Data'!$I:$I,0)),INDEX('Processed Non-zero DMR Data'!$T:$T,MATCH(J128,'Processed Non-zero DMR Data'!$I:$I,0)))</f>
        <v>Plastics SIC/NAICS - EPA-HQ-OPPT-2018-0428-0011 indicates 1,2-dichloropropane can be a residual/byproduct in PVC plastics or a flame retardant plasticizer.</v>
      </c>
      <c r="F128" s="9" t="str">
        <f>_xlfn.XLOOKUP(J128, 'Processed Non-zero DMR Data'!I:I, 'Processed Non-zero DMR Data'!B:B)</f>
        <v>LA PORTE PLANT</v>
      </c>
      <c r="G128" s="9" t="str">
        <f>_xlfn.XLOOKUP(J128, 'Processed Non-zero DMR Data'!I:I, 'Processed Non-zero DMR Data'!C:C)</f>
        <v>LA PORTE</v>
      </c>
      <c r="H128" s="9" t="str">
        <f>_xlfn.XLOOKUP(J128, 'Processed Non-zero DMR Data'!I:I, 'Processed Non-zero DMR Data'!E:E)</f>
        <v>TX</v>
      </c>
      <c r="I128" s="12"/>
      <c r="J128" s="13">
        <v>110045651344</v>
      </c>
      <c r="K128" s="9" t="str">
        <f>IFERROR(INDEX('Raw Non-zero DMR Data'!$C:$C, MATCH(J128,'Raw Non-zero DMR Data'!$D:$D,0)),"")</f>
        <v>TX0007421</v>
      </c>
      <c r="L128" s="9" t="str">
        <f>IFERROR(INDEX('Raw Non-zero DMR Data'!$U:$U, MATCH($J128,'Raw Non-zero DMR Data'!$D:$D,0)),"")</f>
        <v>Vince Bayou-Buffalo Bayou</v>
      </c>
      <c r="M128" s="155">
        <f>IFERROR(INDEX('Raw Non-zero DMR Data'!$T:$T, MATCH($J128,'Raw Non-zero DMR Data'!$D:$D,0)),"")</f>
        <v>120401040703</v>
      </c>
      <c r="N128" s="155" t="str">
        <f>IFERROR(INDEX('Off-site Locations'!$E:$E,MATCH(I128,'Off-site Locations'!$B:$B,0)),"No offsite transfers")</f>
        <v>No offsite transfers</v>
      </c>
      <c r="O128" s="165">
        <f>INDEX('TRI and DMR OES Summary'!D:D,MATCH('Facility Discharge Summary'!D128,'TRI and DMR OES Summary'!A:A,0))</f>
        <v>350</v>
      </c>
      <c r="P128" s="17" cm="1">
        <f t="array" ref="P128">IFERROR(_xlfn.XLOOKUP(1,  (MAX(IF(J128 = 'Processed Non-zero DMR Data'!$I$2:$I$651,'Processed Non-zero DMR Data'!$A$2:$A$651)) = 'Processed Non-zero DMR Data'!$A$2:$A$651)*('Processed Non-zero DMR Data'!$I$2:$I$651 = J128),'Processed Non-zero DMR Data'!$W$2:$W$651), "N/A- Facility Does Not Report DMRs")</f>
        <v>0.16571</v>
      </c>
      <c r="Q128" s="10">
        <f t="shared" si="49"/>
        <v>4.7345714285714283E-4</v>
      </c>
      <c r="R128" s="10" cm="1">
        <f t="array" ref="R128">IF(COUNTIF('Processed Non-zero DMR Data'!$I:$I,$J128)&gt;0,MEDIAN(IF('Processed Non-zero DMR Data'!$I:$I=J128,'Processed Non-zero DMR Data'!$W:$W)),"N/A - Facility Does Not Report DMRs")</f>
        <v>0.16571</v>
      </c>
      <c r="S128" s="10">
        <f t="shared" si="50"/>
        <v>4.7345714285714283E-4</v>
      </c>
      <c r="T128" s="10">
        <f>IF(COUNTIF('Processed Non-zero DMR Data'!$I:$I,$J128)&gt;0,_xlfn.MAXIFS('Processed Non-zero DMR Data'!$W:$W,'Processed Non-zero DMR Data'!$I:$I,$J128), "N/A - Facility Does Not Report DMRs")</f>
        <v>0.16571</v>
      </c>
      <c r="U128" s="10">
        <f t="shared" si="51"/>
        <v>4.7345714285714283E-4</v>
      </c>
      <c r="V128" s="158" cm="1">
        <f t="array" ref="V128">IF(COUNTIF('Processed Non-zero DMR Data'!$I:$I,$J128)&gt;0,INDEX('Processed Non-zero DMR Data'!$A:$A,MATCH(1,($J128='Processed Non-zero DMR Data'!$I:$I)*($T128='Processed Non-zero DMR Data'!$W:$W),0)), "N/A - Facility Does Not Report DMRs")</f>
        <v>2020</v>
      </c>
      <c r="W128" s="17" t="str" cm="1">
        <f t="array" ref="W128">IFERROR(_xlfn.XLOOKUP(1,  (MAX(IF(I128 = 'Processed Non-zero TRI Data'!$I$2:$I$6,'Processed Non-zero TRI Data'!$A$2:$A$6)) = 'Processed Non-zero TRI Data'!$A$2:$A$6)*('Processed Non-zero TRI Data'!$I$2:$I$6 = I128), 'Processed Non-zero TRI Data'!$T$2:$T$6), "N/A- Facility Does Not Report to TRI")</f>
        <v>N/A- Facility Does Not Report to TRI</v>
      </c>
      <c r="X128" s="10" t="str">
        <f t="shared" si="52"/>
        <v>N/A - Facility Does Not Report to TRI</v>
      </c>
      <c r="Y128" s="10" t="str" cm="1">
        <f t="array" ref="Y128">IF(COUNTIF('Processed Non-zero TRI Data'!$I:$I,$I128)&gt;0,MEDIAN(IF('Processed Non-zero TRI Data'!$I:$I=I128,'Processed Non-zero TRI Data'!$T:$T)), "N/A - Facility Does Not Report to TRI")</f>
        <v>N/A - Facility Does Not Report to TRI</v>
      </c>
      <c r="Z128" s="10" t="str">
        <f t="shared" si="53"/>
        <v>N/A - Facility Does Not Report to TRI</v>
      </c>
      <c r="AA128" s="10" t="str">
        <f>IF(COUNTIF('Processed Non-zero TRI Data'!$I:$I,$I128)&gt;0,_xlfn.MAXIFS('Processed Non-zero TRI Data'!$T:$T,'Processed Non-zero TRI Data'!$I:$I,$I128), "N/A - Facility Does Not Report to TRI")</f>
        <v>N/A - Facility Does Not Report to TRI</v>
      </c>
      <c r="AB128" s="10" t="str">
        <f t="shared" si="54"/>
        <v>N/A - Facility Does Not Report to TRI</v>
      </c>
      <c r="AC128" s="158" t="str" cm="1">
        <f t="array" ref="AC128">IFERROR(IF(B128 = "TRI Form R", IF(AA128 = 0, "Facility has no on-site water discharges between 2017-2022.",  IF(COUNTIF('Processed Non-zero TRI Data'!$I:$I,$I128)&gt;0,INDEX('Processed Non-zero TRI Data'!$A:$A,MATCH(1,($I128='Processed Non-zero TRI Data'!$I:$I)*(AA128='Processed Non-zero TRI Data'!$T:$T),0)))), VLOOKUP(I128,#REF!, 2, FALSE)), ("N/A - Facility Does Not Report to TRI"))</f>
        <v>N/A - Facility Does Not Report to TRI</v>
      </c>
      <c r="AD128" s="97" t="str" cm="1">
        <f t="array" ref="AD128">IFERROR(_xlfn.XLOOKUP(1,  (MAX(IF(I128 = 'Processed Non-zero TRI Data'!$I$2:$I$6,'Processed Non-zero TRI Data'!$A$2:$A$6)) = 'Processed Non-zero TRI Data'!$A$2:$A$6)*('Processed Non-zero TRI Data'!$I$2:$I$6 = I128), 'Processed Non-zero TRI Data'!$V$2:$V$6), "N/A- Facility Does Not Report to TRI")</f>
        <v>N/A- Facility Does Not Report to TRI</v>
      </c>
      <c r="AE128" s="9" t="str">
        <f t="shared" si="55"/>
        <v>N/A - Facility Does Not Report to TRI</v>
      </c>
      <c r="AF128" s="9" t="str" cm="1">
        <f t="array" ref="AF128">IF(COUNTIF('Processed Non-zero TRI Data'!$I:$I,$I128)&gt;0,MEDIAN(IF('Processed Non-zero TRI Data'!$I:$I=I128,'Processed Non-zero TRI Data'!$V:$V)), "N/A - Facility Does Not Report to TRI")</f>
        <v>N/A - Facility Does Not Report to TRI</v>
      </c>
      <c r="AG128" s="9" t="str">
        <f t="shared" si="56"/>
        <v>N/A - Facility Does Not Report to TRI</v>
      </c>
      <c r="AH128" s="9" t="str">
        <f>IF(COUNTIF('Processed Non-zero TRI Data'!$I:$I,$I128)&gt;0,_xlfn.MAXIFS('Processed Non-zero TRI Data'!$V:$V,'Processed Non-zero TRI Data'!$I:$I,$I128), "N/A - Facility Does Not Report to TRI")</f>
        <v>N/A - Facility Does Not Report to TRI</v>
      </c>
      <c r="AI128" s="9" t="str">
        <f t="shared" si="57"/>
        <v>N/A - Facility Does Not Report to TRI</v>
      </c>
      <c r="AJ128" s="158" t="str" cm="1">
        <f t="array" ref="AJ128">IF(B128="TRI Form A",AC128,IF(AH128=0,"Facility has no transfers to POTWs between 2019-2023.",IF(COUNTIF('Processed Non-zero TRI Data'!$I:$I,$I128)&gt;0,INDEX('Processed Non-zero TRI Data'!$A:$A,MATCH(1,($I128='Processed Non-zero TRI Data'!$I:$I)*(AH128='Processed Non-zero TRI Data'!$V:$V),0)),"N/A - Facility Does Not Report to TRI")))</f>
        <v>N/A - Facility Does Not Report to TRI</v>
      </c>
      <c r="AK128" s="97" t="str" cm="1">
        <f t="array" ref="AK128">IFERROR(_xlfn.XLOOKUP(1,  (MAX(IF(I128 = 'Processed Non-zero TRI Data'!$I$2:$I$6,'Processed Non-zero TRI Data'!$A$2:$A$6)) = 'Processed Non-zero TRI Data'!$A$2:$A$6)*('Processed Non-zero TRI Data'!$I$2:$I$6 = I128), 'Processed Non-zero TRI Data'!$X$2:$X$6), "N/A- Facility Does Not Report to TRI")</f>
        <v>N/A- Facility Does Not Report to TRI</v>
      </c>
      <c r="AL128" s="9" t="str">
        <f t="shared" si="58"/>
        <v>N/A - Facility Does Not Report to TRI</v>
      </c>
      <c r="AM128" s="9" t="str" cm="1">
        <f t="array" ref="AM128">IF(COUNTIF('Processed Non-zero TRI Data'!$I:$I,$I128)&gt;0,MEDIAN(IF('Processed Non-zero TRI Data'!$I:$I=I128,'Processed Non-zero TRI Data'!$X:$X)), "N/A - Facility Does Not Report to TRI")</f>
        <v>N/A - Facility Does Not Report to TRI</v>
      </c>
      <c r="AN128" s="9" t="str">
        <f t="shared" si="59"/>
        <v>N/A - Facility Does Not Report to TRI</v>
      </c>
      <c r="AO128" s="9" t="str">
        <f>IF(COUNTIF('Processed Non-zero TRI Data'!$I:$I,$I128)&gt;0,_xlfn.MAXIFS('Processed Non-zero TRI Data'!$X:$X,'Processed Non-zero TRI Data'!$I:$I,$I128), "N/A - Facility Does Not Report to TRI")</f>
        <v>N/A - Facility Does Not Report to TRI</v>
      </c>
      <c r="AP128" s="9" t="str">
        <f t="shared" si="60"/>
        <v>N/A - Facility Does Not Report to TRI</v>
      </c>
      <c r="AQ128" s="251" t="str" cm="1">
        <f t="array" ref="AQ128">IF(B128="TRI Form A",AC128,IF(AO128=0,"Facility has no transfers to non-POTWs between 2019-2023.",IF(COUNTIF('Processed Non-zero TRI Data'!$I:$I,$I128)&gt;0,INDEX('Processed Non-zero TRI Data'!$A:$A,MATCH(1,($I128='Processed Non-zero TRI Data'!$I:$I)*(AO128='Processed Non-zero TRI Data'!$X:$X),0)),"N/A - Facility Does Not Report to TRI")))</f>
        <v>N/A - Facility Does Not Report to TRI</v>
      </c>
      <c r="AR128" s="260">
        <f t="shared" si="47"/>
        <v>0</v>
      </c>
      <c r="AS128" s="260">
        <f t="shared" si="48"/>
        <v>0.16571</v>
      </c>
    </row>
    <row r="129" spans="1:45" ht="30" x14ac:dyDescent="0.25">
      <c r="A129" s="12">
        <v>126</v>
      </c>
      <c r="B129" s="10" t="str">
        <f>IFERROR("TRI Form "&amp; VLOOKUP(I129, 'Processed Non-zero TRI Data'!$I$2:$K$6, 3, FALSE), "DMR")</f>
        <v>DMR</v>
      </c>
      <c r="C129" s="181" t="e">
        <f>VLOOKUP(D129,#REF!, 2, FALSE)</f>
        <v>#REF!</v>
      </c>
      <c r="D129" s="181" t="str">
        <f>IF(I129&lt;&gt;"",INDEX('Processed Non-zero TRI Data'!$O:$O,MATCH(I129,'Processed Non-zero TRI Data'!$I:$I,0)),INDEX('Processed Non-zero DMR Data'!$S:$S,MATCH(J129,'Processed Non-zero DMR Data'!$I:$I,0)))</f>
        <v>Waste Handling, Disposal and Treatment (POTW)</v>
      </c>
      <c r="E129" s="181" t="str">
        <f>IF(I129&lt;&gt;"",INDEX('Processed Non-zero TRI Data'!$P:$P,MATCH(I129,'Processed Non-zero TRI Data'!$I:$I,0)),INDEX('Processed Non-zero DMR Data'!$T:$T,MATCH(J129,'Processed Non-zero DMR Data'!$I:$I,0)))</f>
        <v>POTW indicator in DMR</v>
      </c>
      <c r="F129" s="9" t="str">
        <f>_xlfn.XLOOKUP(J129, 'Processed Non-zero DMR Data'!I:I, 'Processed Non-zero DMR Data'!B:B)</f>
        <v>IRVINE STP</v>
      </c>
      <c r="G129" s="9" t="str">
        <f>_xlfn.XLOOKUP(J129, 'Processed Non-zero DMR Data'!I:I, 'Processed Non-zero DMR Data'!C:C)</f>
        <v>IRVINE</v>
      </c>
      <c r="H129" s="9" t="str">
        <f>_xlfn.XLOOKUP(J129, 'Processed Non-zero DMR Data'!I:I, 'Processed Non-zero DMR Data'!E:E)</f>
        <v>KY</v>
      </c>
      <c r="I129" s="12"/>
      <c r="J129" s="13">
        <v>110006749162</v>
      </c>
      <c r="K129" s="9" t="str">
        <f>IFERROR(INDEX('Raw Non-zero DMR Data'!$C:$C, MATCH(J129,'Raw Non-zero DMR Data'!$D:$D,0)),"")</f>
        <v>KY0025909</v>
      </c>
      <c r="L129" s="9" t="str">
        <f>IFERROR(INDEX('Raw Non-zero DMR Data'!$U:$U, MATCH($J129,'Raw Non-zero DMR Data'!$D:$D,0)),"")</f>
        <v>Calloway Creek-Kentucky River</v>
      </c>
      <c r="M129" s="155" t="str">
        <f>IFERROR(INDEX('Raw Non-zero DMR Data'!$T:$T, MATCH($J129,'Raw Non-zero DMR Data'!$D:$D,0)),"")</f>
        <v>051002040505</v>
      </c>
      <c r="N129" s="155" t="str">
        <f>IFERROR(INDEX('Off-site Locations'!$E:$E,MATCH(I129,'Off-site Locations'!$B:$B,0)),"No offsite transfers")</f>
        <v>No offsite transfers</v>
      </c>
      <c r="O129" s="165">
        <f>INDEX('TRI and DMR OES Summary'!D:D,MATCH('Facility Discharge Summary'!D129,'TRI and DMR OES Summary'!A:A,0))</f>
        <v>365</v>
      </c>
      <c r="P129" s="17" cm="1">
        <f t="array" ref="P129">IFERROR(_xlfn.XLOOKUP(1,  (MAX(IF(J129 = 'Processed Non-zero DMR Data'!$I$2:$I$651,'Processed Non-zero DMR Data'!$A$2:$A$651)) = 'Processed Non-zero DMR Data'!$A$2:$A$651)*('Processed Non-zero DMR Data'!$I$2:$I$651 = J129),'Processed Non-zero DMR Data'!$W$2:$W$651), "N/A- Facility Does Not Report DMRs")</f>
        <v>0.58231278750000004</v>
      </c>
      <c r="Q129" s="10">
        <f t="shared" si="49"/>
        <v>1.5953775000000002E-3</v>
      </c>
      <c r="R129" s="10" cm="1">
        <f t="array" ref="R129">IF(COUNTIF('Processed Non-zero DMR Data'!$I:$I,$J129)&gt;0,MEDIAN(IF('Processed Non-zero DMR Data'!$I:$I=J129,'Processed Non-zero DMR Data'!$W:$W)),"N/A - Facility Does Not Report DMRs")</f>
        <v>0.60856176250000005</v>
      </c>
      <c r="S129" s="10">
        <f t="shared" si="50"/>
        <v>1.6672925000000001E-3</v>
      </c>
      <c r="T129" s="10">
        <f>IF(COUNTIF('Processed Non-zero DMR Data'!$I:$I,$J129)&gt;0,_xlfn.MAXIFS('Processed Non-zero DMR Data'!$W:$W,'Processed Non-zero DMR Data'!$I:$I,$J129), "N/A - Facility Does Not Report DMRs")</f>
        <v>0.63481073750000006</v>
      </c>
      <c r="U129" s="10">
        <f t="shared" si="51"/>
        <v>1.7392075000000002E-3</v>
      </c>
      <c r="V129" s="158" cm="1">
        <f t="array" ref="V129">IF(COUNTIF('Processed Non-zero DMR Data'!$I:$I,$J129)&gt;0,INDEX('Processed Non-zero DMR Data'!$A:$A,MATCH(1,($J129='Processed Non-zero DMR Data'!$I:$I)*($T129='Processed Non-zero DMR Data'!$W:$W),0)), "N/A - Facility Does Not Report DMRs")</f>
        <v>2020</v>
      </c>
      <c r="W129" s="17" t="str" cm="1">
        <f t="array" ref="W129">IFERROR(_xlfn.XLOOKUP(1,  (MAX(IF(I129 = 'Processed Non-zero TRI Data'!$I$2:$I$6,'Processed Non-zero TRI Data'!$A$2:$A$6)) = 'Processed Non-zero TRI Data'!$A$2:$A$6)*('Processed Non-zero TRI Data'!$I$2:$I$6 = I129), 'Processed Non-zero TRI Data'!$T$2:$T$6), "N/A- Facility Does Not Report to TRI")</f>
        <v>N/A- Facility Does Not Report to TRI</v>
      </c>
      <c r="X129" s="10" t="str">
        <f t="shared" si="52"/>
        <v>N/A - Facility Does Not Report to TRI</v>
      </c>
      <c r="Y129" s="10" t="str" cm="1">
        <f t="array" ref="Y129">IF(COUNTIF('Processed Non-zero TRI Data'!$I:$I,$I129)&gt;0,MEDIAN(IF('Processed Non-zero TRI Data'!$I:$I=I129,'Processed Non-zero TRI Data'!$T:$T)), "N/A - Facility Does Not Report to TRI")</f>
        <v>N/A - Facility Does Not Report to TRI</v>
      </c>
      <c r="Z129" s="10" t="str">
        <f t="shared" si="53"/>
        <v>N/A - Facility Does Not Report to TRI</v>
      </c>
      <c r="AA129" s="10" t="str">
        <f>IF(COUNTIF('Processed Non-zero TRI Data'!$I:$I,$I129)&gt;0,_xlfn.MAXIFS('Processed Non-zero TRI Data'!$T:$T,'Processed Non-zero TRI Data'!$I:$I,$I129), "N/A - Facility Does Not Report to TRI")</f>
        <v>N/A - Facility Does Not Report to TRI</v>
      </c>
      <c r="AB129" s="10" t="str">
        <f t="shared" si="54"/>
        <v>N/A - Facility Does Not Report to TRI</v>
      </c>
      <c r="AC129" s="158" t="str" cm="1">
        <f t="array" ref="AC129">IFERROR(IF(B129 = "TRI Form R", IF(AA129 = 0, "Facility has no on-site water discharges between 2017-2022.",  IF(COUNTIF('Processed Non-zero TRI Data'!$I:$I,$I129)&gt;0,INDEX('Processed Non-zero TRI Data'!$A:$A,MATCH(1,($I129='Processed Non-zero TRI Data'!$I:$I)*(AA129='Processed Non-zero TRI Data'!$T:$T),0)))), VLOOKUP(I129,#REF!, 2, FALSE)), ("N/A - Facility Does Not Report to TRI"))</f>
        <v>N/A - Facility Does Not Report to TRI</v>
      </c>
      <c r="AD129" s="97" t="str" cm="1">
        <f t="array" ref="AD129">IFERROR(_xlfn.XLOOKUP(1,  (MAX(IF(I129 = 'Processed Non-zero TRI Data'!$I$2:$I$6,'Processed Non-zero TRI Data'!$A$2:$A$6)) = 'Processed Non-zero TRI Data'!$A$2:$A$6)*('Processed Non-zero TRI Data'!$I$2:$I$6 = I129), 'Processed Non-zero TRI Data'!$V$2:$V$6), "N/A- Facility Does Not Report to TRI")</f>
        <v>N/A- Facility Does Not Report to TRI</v>
      </c>
      <c r="AE129" s="9" t="str">
        <f t="shared" si="55"/>
        <v>N/A - Facility Does Not Report to TRI</v>
      </c>
      <c r="AF129" s="9" t="str" cm="1">
        <f t="array" ref="AF129">IF(COUNTIF('Processed Non-zero TRI Data'!$I:$I,$I129)&gt;0,MEDIAN(IF('Processed Non-zero TRI Data'!$I:$I=I129,'Processed Non-zero TRI Data'!$V:$V)), "N/A - Facility Does Not Report to TRI")</f>
        <v>N/A - Facility Does Not Report to TRI</v>
      </c>
      <c r="AG129" s="9" t="str">
        <f t="shared" si="56"/>
        <v>N/A - Facility Does Not Report to TRI</v>
      </c>
      <c r="AH129" s="9" t="str">
        <f>IF(COUNTIF('Processed Non-zero TRI Data'!$I:$I,$I129)&gt;0,_xlfn.MAXIFS('Processed Non-zero TRI Data'!$V:$V,'Processed Non-zero TRI Data'!$I:$I,$I129), "N/A - Facility Does Not Report to TRI")</f>
        <v>N/A - Facility Does Not Report to TRI</v>
      </c>
      <c r="AI129" s="9" t="str">
        <f t="shared" si="57"/>
        <v>N/A - Facility Does Not Report to TRI</v>
      </c>
      <c r="AJ129" s="158" t="str" cm="1">
        <f t="array" ref="AJ129">IF(B129="TRI Form A",AC129,IF(AH129=0,"Facility has no transfers to POTWs between 2019-2023.",IF(COUNTIF('Processed Non-zero TRI Data'!$I:$I,$I129)&gt;0,INDEX('Processed Non-zero TRI Data'!$A:$A,MATCH(1,($I129='Processed Non-zero TRI Data'!$I:$I)*(AH129='Processed Non-zero TRI Data'!$V:$V),0)),"N/A - Facility Does Not Report to TRI")))</f>
        <v>N/A - Facility Does Not Report to TRI</v>
      </c>
      <c r="AK129" s="97" t="str" cm="1">
        <f t="array" ref="AK129">IFERROR(_xlfn.XLOOKUP(1,  (MAX(IF(I129 = 'Processed Non-zero TRI Data'!$I$2:$I$6,'Processed Non-zero TRI Data'!$A$2:$A$6)) = 'Processed Non-zero TRI Data'!$A$2:$A$6)*('Processed Non-zero TRI Data'!$I$2:$I$6 = I129), 'Processed Non-zero TRI Data'!$X$2:$X$6), "N/A- Facility Does Not Report to TRI")</f>
        <v>N/A- Facility Does Not Report to TRI</v>
      </c>
      <c r="AL129" s="9" t="str">
        <f t="shared" si="58"/>
        <v>N/A - Facility Does Not Report to TRI</v>
      </c>
      <c r="AM129" s="9" t="str" cm="1">
        <f t="array" ref="AM129">IF(COUNTIF('Processed Non-zero TRI Data'!$I:$I,$I129)&gt;0,MEDIAN(IF('Processed Non-zero TRI Data'!$I:$I=I129,'Processed Non-zero TRI Data'!$X:$X)), "N/A - Facility Does Not Report to TRI")</f>
        <v>N/A - Facility Does Not Report to TRI</v>
      </c>
      <c r="AN129" s="9" t="str">
        <f t="shared" si="59"/>
        <v>N/A - Facility Does Not Report to TRI</v>
      </c>
      <c r="AO129" s="9" t="str">
        <f>IF(COUNTIF('Processed Non-zero TRI Data'!$I:$I,$I129)&gt;0,_xlfn.MAXIFS('Processed Non-zero TRI Data'!$X:$X,'Processed Non-zero TRI Data'!$I:$I,$I129), "N/A - Facility Does Not Report to TRI")</f>
        <v>N/A - Facility Does Not Report to TRI</v>
      </c>
      <c r="AP129" s="9" t="str">
        <f t="shared" si="60"/>
        <v>N/A - Facility Does Not Report to TRI</v>
      </c>
      <c r="AQ129" s="251" t="str" cm="1">
        <f t="array" ref="AQ129">IF(B129="TRI Form A",AC129,IF(AO129=0,"Facility has no transfers to non-POTWs between 2019-2023.",IF(COUNTIF('Processed Non-zero TRI Data'!$I:$I,$I129)&gt;0,INDEX('Processed Non-zero TRI Data'!$A:$A,MATCH(1,($I129='Processed Non-zero TRI Data'!$I:$I)*(AO129='Processed Non-zero TRI Data'!$X:$X),0)),"N/A - Facility Does Not Report to TRI")))</f>
        <v>N/A - Facility Does Not Report to TRI</v>
      </c>
      <c r="AR129" s="260">
        <f t="shared" si="47"/>
        <v>0</v>
      </c>
      <c r="AS129" s="260">
        <f t="shared" si="48"/>
        <v>0.63481073750000006</v>
      </c>
    </row>
    <row r="130" spans="1:45" ht="30" x14ac:dyDescent="0.25">
      <c r="A130" s="12">
        <v>127</v>
      </c>
      <c r="B130" s="10" t="str">
        <f>IFERROR("TRI Form "&amp; VLOOKUP(I130, 'Processed Non-zero TRI Data'!$I$2:$K$6, 3, FALSE), "DMR")</f>
        <v>DMR</v>
      </c>
      <c r="C130" s="181" t="e">
        <f>VLOOKUP(D130,#REF!, 2, FALSE)</f>
        <v>#REF!</v>
      </c>
      <c r="D130" s="181" t="str">
        <f>IF(I130&lt;&gt;"",INDEX('Processed Non-zero TRI Data'!$O:$O,MATCH(I130,'Processed Non-zero TRI Data'!$I:$I,0)),INDEX('Processed Non-zero DMR Data'!$S:$S,MATCH(J130,'Processed Non-zero DMR Data'!$I:$I,0)))</f>
        <v>Waste Handling, Disposal and Treatment (POTW)</v>
      </c>
      <c r="E130" s="181" t="str">
        <f>IF(I130&lt;&gt;"",INDEX('Processed Non-zero TRI Data'!$P:$P,MATCH(I130,'Processed Non-zero TRI Data'!$I:$I,0)),INDEX('Processed Non-zero DMR Data'!$T:$T,MATCH(J130,'Processed Non-zero DMR Data'!$I:$I,0)))</f>
        <v>POTW indicator in DMR</v>
      </c>
      <c r="F130" s="9" t="str">
        <f>_xlfn.XLOOKUP(J130, 'Processed Non-zero DMR Data'!I:I, 'Processed Non-zero DMR Data'!B:B)</f>
        <v>CAMPBELLSVILLE STP</v>
      </c>
      <c r="G130" s="9" t="str">
        <f>_xlfn.XLOOKUP(J130, 'Processed Non-zero DMR Data'!I:I, 'Processed Non-zero DMR Data'!C:C)</f>
        <v>CAMPBELLSVILLE</v>
      </c>
      <c r="H130" s="9" t="str">
        <f>_xlfn.XLOOKUP(J130, 'Processed Non-zero DMR Data'!I:I, 'Processed Non-zero DMR Data'!E:E)</f>
        <v>KY</v>
      </c>
      <c r="I130" s="12"/>
      <c r="J130" s="13">
        <v>110000736776</v>
      </c>
      <c r="K130" s="9" t="str">
        <f>IFERROR(INDEX('Raw Non-zero DMR Data'!$C:$C, MATCH(J130,'Raw Non-zero DMR Data'!$D:$D,0)),"")</f>
        <v>KY0054437</v>
      </c>
      <c r="L130" s="9" t="str">
        <f>IFERROR(INDEX('Raw Non-zero DMR Data'!$U:$U, MATCH($J130,'Raw Non-zero DMR Data'!$D:$D,0)),"")</f>
        <v>Little Pitman Creek</v>
      </c>
      <c r="M130" s="155" t="str">
        <f>IFERROR(INDEX('Raw Non-zero DMR Data'!$T:$T, MATCH($J130,'Raw Non-zero DMR Data'!$D:$D,0)),"")</f>
        <v>051100010504</v>
      </c>
      <c r="N130" s="155" t="str">
        <f>IFERROR(INDEX('Off-site Locations'!$E:$E,MATCH(I130,'Off-site Locations'!$B:$B,0)),"No offsite transfers")</f>
        <v>No offsite transfers</v>
      </c>
      <c r="O130" s="165">
        <f>INDEX('TRI and DMR OES Summary'!D:D,MATCH('Facility Discharge Summary'!D130,'TRI and DMR OES Summary'!A:A,0))</f>
        <v>365</v>
      </c>
      <c r="P130" s="17" cm="1">
        <f t="array" ref="P130">IFERROR(_xlfn.XLOOKUP(1,  (MAX(IF(J130 = 'Processed Non-zero DMR Data'!$I$2:$I$651,'Processed Non-zero DMR Data'!$A$2:$A$651)) = 'Processed Non-zero DMR Data'!$A$2:$A$651)*('Processed Non-zero DMR Data'!$I$2:$I$651 = J130),'Processed Non-zero DMR Data'!$W$2:$W$651), "N/A- Facility Does Not Report DMRs")</f>
        <v>2.0066650625000002</v>
      </c>
      <c r="Q130" s="10">
        <f t="shared" si="49"/>
        <v>5.4977125000000007E-3</v>
      </c>
      <c r="R130" s="10" cm="1">
        <f t="array" ref="R130">IF(COUNTIF('Processed Non-zero DMR Data'!$I:$I,$J130)&gt;0,MEDIAN(IF('Processed Non-zero DMR Data'!$I:$I=J130,'Processed Non-zero DMR Data'!$W:$W)),"N/A - Facility Does Not Report DMRs")</f>
        <v>2.0066650625000002</v>
      </c>
      <c r="S130" s="10">
        <f t="shared" si="50"/>
        <v>5.4977125000000007E-3</v>
      </c>
      <c r="T130" s="10">
        <f>IF(COUNTIF('Processed Non-zero DMR Data'!$I:$I,$J130)&gt;0,_xlfn.MAXIFS('Processed Non-zero DMR Data'!$W:$W,'Processed Non-zero DMR Data'!$I:$I,$J130), "N/A - Facility Does Not Report DMRs")</f>
        <v>2.0066650625000002</v>
      </c>
      <c r="U130" s="10">
        <f t="shared" si="51"/>
        <v>5.4977125000000007E-3</v>
      </c>
      <c r="V130" s="158" cm="1">
        <f t="array" ref="V130">IF(COUNTIF('Processed Non-zero DMR Data'!$I:$I,$J130)&gt;0,INDEX('Processed Non-zero DMR Data'!$A:$A,MATCH(1,($J130='Processed Non-zero DMR Data'!$I:$I)*($T130='Processed Non-zero DMR Data'!$W:$W),0)), "N/A - Facility Does Not Report DMRs")</f>
        <v>2020</v>
      </c>
      <c r="W130" s="17" t="str" cm="1">
        <f t="array" ref="W130">IFERROR(_xlfn.XLOOKUP(1,  (MAX(IF(I130 = 'Processed Non-zero TRI Data'!$I$2:$I$6,'Processed Non-zero TRI Data'!$A$2:$A$6)) = 'Processed Non-zero TRI Data'!$A$2:$A$6)*('Processed Non-zero TRI Data'!$I$2:$I$6 = I130), 'Processed Non-zero TRI Data'!$T$2:$T$6), "N/A- Facility Does Not Report to TRI")</f>
        <v>N/A- Facility Does Not Report to TRI</v>
      </c>
      <c r="X130" s="10" t="str">
        <f t="shared" si="52"/>
        <v>N/A - Facility Does Not Report to TRI</v>
      </c>
      <c r="Y130" s="10" t="str" cm="1">
        <f t="array" ref="Y130">IF(COUNTIF('Processed Non-zero TRI Data'!$I:$I,$I130)&gt;0,MEDIAN(IF('Processed Non-zero TRI Data'!$I:$I=I130,'Processed Non-zero TRI Data'!$T:$T)), "N/A - Facility Does Not Report to TRI")</f>
        <v>N/A - Facility Does Not Report to TRI</v>
      </c>
      <c r="Z130" s="10" t="str">
        <f t="shared" si="53"/>
        <v>N/A - Facility Does Not Report to TRI</v>
      </c>
      <c r="AA130" s="10" t="str">
        <f>IF(COUNTIF('Processed Non-zero TRI Data'!$I:$I,$I130)&gt;0,_xlfn.MAXIFS('Processed Non-zero TRI Data'!$T:$T,'Processed Non-zero TRI Data'!$I:$I,$I130), "N/A - Facility Does Not Report to TRI")</f>
        <v>N/A - Facility Does Not Report to TRI</v>
      </c>
      <c r="AB130" s="10" t="str">
        <f t="shared" si="54"/>
        <v>N/A - Facility Does Not Report to TRI</v>
      </c>
      <c r="AC130" s="158" t="str" cm="1">
        <f t="array" ref="AC130">IFERROR(IF(B130 = "TRI Form R", IF(AA130 = 0, "Facility has no on-site water discharges between 2017-2022.",  IF(COUNTIF('Processed Non-zero TRI Data'!$I:$I,$I130)&gt;0,INDEX('Processed Non-zero TRI Data'!$A:$A,MATCH(1,($I130='Processed Non-zero TRI Data'!$I:$I)*(AA130='Processed Non-zero TRI Data'!$T:$T),0)))), VLOOKUP(I130,#REF!, 2, FALSE)), ("N/A - Facility Does Not Report to TRI"))</f>
        <v>N/A - Facility Does Not Report to TRI</v>
      </c>
      <c r="AD130" s="97" t="str" cm="1">
        <f t="array" ref="AD130">IFERROR(_xlfn.XLOOKUP(1,  (MAX(IF(I130 = 'Processed Non-zero TRI Data'!$I$2:$I$6,'Processed Non-zero TRI Data'!$A$2:$A$6)) = 'Processed Non-zero TRI Data'!$A$2:$A$6)*('Processed Non-zero TRI Data'!$I$2:$I$6 = I130), 'Processed Non-zero TRI Data'!$V$2:$V$6), "N/A- Facility Does Not Report to TRI")</f>
        <v>N/A- Facility Does Not Report to TRI</v>
      </c>
      <c r="AE130" s="9" t="str">
        <f t="shared" si="55"/>
        <v>N/A - Facility Does Not Report to TRI</v>
      </c>
      <c r="AF130" s="9" t="str" cm="1">
        <f t="array" ref="AF130">IF(COUNTIF('Processed Non-zero TRI Data'!$I:$I,$I130)&gt;0,MEDIAN(IF('Processed Non-zero TRI Data'!$I:$I=I130,'Processed Non-zero TRI Data'!$V:$V)), "N/A - Facility Does Not Report to TRI")</f>
        <v>N/A - Facility Does Not Report to TRI</v>
      </c>
      <c r="AG130" s="9" t="str">
        <f t="shared" si="56"/>
        <v>N/A - Facility Does Not Report to TRI</v>
      </c>
      <c r="AH130" s="9" t="str">
        <f>IF(COUNTIF('Processed Non-zero TRI Data'!$I:$I,$I130)&gt;0,_xlfn.MAXIFS('Processed Non-zero TRI Data'!$V:$V,'Processed Non-zero TRI Data'!$I:$I,$I130), "N/A - Facility Does Not Report to TRI")</f>
        <v>N/A - Facility Does Not Report to TRI</v>
      </c>
      <c r="AI130" s="9" t="str">
        <f t="shared" si="57"/>
        <v>N/A - Facility Does Not Report to TRI</v>
      </c>
      <c r="AJ130" s="158" t="str" cm="1">
        <f t="array" ref="AJ130">IF(B130="TRI Form A",AC130,IF(AH130=0,"Facility has no transfers to POTWs between 2019-2023.",IF(COUNTIF('Processed Non-zero TRI Data'!$I:$I,$I130)&gt;0,INDEX('Processed Non-zero TRI Data'!$A:$A,MATCH(1,($I130='Processed Non-zero TRI Data'!$I:$I)*(AH130='Processed Non-zero TRI Data'!$V:$V),0)),"N/A - Facility Does Not Report to TRI")))</f>
        <v>N/A - Facility Does Not Report to TRI</v>
      </c>
      <c r="AK130" s="97" t="str" cm="1">
        <f t="array" ref="AK130">IFERROR(_xlfn.XLOOKUP(1,  (MAX(IF(I130 = 'Processed Non-zero TRI Data'!$I$2:$I$6,'Processed Non-zero TRI Data'!$A$2:$A$6)) = 'Processed Non-zero TRI Data'!$A$2:$A$6)*('Processed Non-zero TRI Data'!$I$2:$I$6 = I130), 'Processed Non-zero TRI Data'!$X$2:$X$6), "N/A- Facility Does Not Report to TRI")</f>
        <v>N/A- Facility Does Not Report to TRI</v>
      </c>
      <c r="AL130" s="9" t="str">
        <f t="shared" si="58"/>
        <v>N/A - Facility Does Not Report to TRI</v>
      </c>
      <c r="AM130" s="9" t="str" cm="1">
        <f t="array" ref="AM130">IF(COUNTIF('Processed Non-zero TRI Data'!$I:$I,$I130)&gt;0,MEDIAN(IF('Processed Non-zero TRI Data'!$I:$I=I130,'Processed Non-zero TRI Data'!$X:$X)), "N/A - Facility Does Not Report to TRI")</f>
        <v>N/A - Facility Does Not Report to TRI</v>
      </c>
      <c r="AN130" s="9" t="str">
        <f t="shared" si="59"/>
        <v>N/A - Facility Does Not Report to TRI</v>
      </c>
      <c r="AO130" s="9" t="str">
        <f>IF(COUNTIF('Processed Non-zero TRI Data'!$I:$I,$I130)&gt;0,_xlfn.MAXIFS('Processed Non-zero TRI Data'!$X:$X,'Processed Non-zero TRI Data'!$I:$I,$I130), "N/A - Facility Does Not Report to TRI")</f>
        <v>N/A - Facility Does Not Report to TRI</v>
      </c>
      <c r="AP130" s="9" t="str">
        <f t="shared" si="60"/>
        <v>N/A - Facility Does Not Report to TRI</v>
      </c>
      <c r="AQ130" s="251" t="str" cm="1">
        <f t="array" ref="AQ130">IF(B130="TRI Form A",AC130,IF(AO130=0,"Facility has no transfers to non-POTWs between 2019-2023.",IF(COUNTIF('Processed Non-zero TRI Data'!$I:$I,$I130)&gt;0,INDEX('Processed Non-zero TRI Data'!$A:$A,MATCH(1,($I130='Processed Non-zero TRI Data'!$I:$I)*(AO130='Processed Non-zero TRI Data'!$X:$X),0)),"N/A - Facility Does Not Report to TRI")))</f>
        <v>N/A - Facility Does Not Report to TRI</v>
      </c>
      <c r="AR130" s="260">
        <f t="shared" si="47"/>
        <v>0</v>
      </c>
      <c r="AS130" s="260">
        <f t="shared" si="48"/>
        <v>2.0066650625000002</v>
      </c>
    </row>
    <row r="131" spans="1:45" ht="30" x14ac:dyDescent="0.25">
      <c r="A131" s="12">
        <v>128</v>
      </c>
      <c r="B131" s="10" t="str">
        <f>IFERROR("TRI Form "&amp; VLOOKUP(I131, 'Processed Non-zero TRI Data'!$I$2:$K$6, 3, FALSE), "DMR")</f>
        <v>DMR</v>
      </c>
      <c r="C131" s="181" t="e">
        <f>VLOOKUP(D131,#REF!, 2, FALSE)</f>
        <v>#REF!</v>
      </c>
      <c r="D131" s="181" t="str">
        <f>IF(I131&lt;&gt;"",INDEX('Processed Non-zero TRI Data'!$O:$O,MATCH(I131,'Processed Non-zero TRI Data'!$I:$I,0)),INDEX('Processed Non-zero DMR Data'!$S:$S,MATCH(J131,'Processed Non-zero DMR Data'!$I:$I,0)))</f>
        <v>Processing as a reactant</v>
      </c>
      <c r="E131" s="181" t="str">
        <f>IF(I131&lt;&gt;"",INDEX('Processed Non-zero TRI Data'!$P:$P,MATCH(I131,'Processed Non-zero TRI Data'!$I:$I,0)),INDEX('Processed Non-zero DMR Data'!$T:$T,MATCH(J131,'Processed Non-zero DMR Data'!$I:$I,0)))</f>
        <v>Assumed processing as a reactant based on SIC and NAICS; this also matches 1,1,-DCA mapping.</v>
      </c>
      <c r="F131" s="9" t="str">
        <f>_xlfn.XLOOKUP(J131, 'Processed Non-zero DMR Data'!I:I, 'Processed Non-zero DMR Data'!B:B)</f>
        <v>KEESHAN AND BOST CHEMICAL CO., INC.</v>
      </c>
      <c r="G131" s="9" t="str">
        <f>_xlfn.XLOOKUP(J131, 'Processed Non-zero DMR Data'!I:I, 'Processed Non-zero DMR Data'!C:C)</f>
        <v>MANVEL</v>
      </c>
      <c r="H131" s="9" t="str">
        <f>_xlfn.XLOOKUP(J131, 'Processed Non-zero DMR Data'!I:I, 'Processed Non-zero DMR Data'!E:E)</f>
        <v>TX</v>
      </c>
      <c r="I131" s="12"/>
      <c r="J131" s="13">
        <v>110000599479</v>
      </c>
      <c r="K131" s="9" t="str">
        <f>IFERROR(INDEX('Raw Non-zero DMR Data'!$C:$C, MATCH(J131,'Raw Non-zero DMR Data'!$D:$D,0)),"")</f>
        <v>TX0072168</v>
      </c>
      <c r="L131" s="9" t="str">
        <f>IFERROR(INDEX('Raw Non-zero DMR Data'!$U:$U, MATCH($J131,'Raw Non-zero DMR Data'!$D:$D,0)),"")</f>
        <v>Mustang Bayou</v>
      </c>
      <c r="M131" s="155">
        <f>IFERROR(INDEX('Raw Non-zero DMR Data'!$T:$T, MATCH($J131,'Raw Non-zero DMR Data'!$D:$D,0)),"")</f>
        <v>120402040400</v>
      </c>
      <c r="N131" s="155" t="str">
        <f>IFERROR(INDEX('Off-site Locations'!$E:$E,MATCH(I131,'Off-site Locations'!$B:$B,0)),"No offsite transfers")</f>
        <v>No offsite transfers</v>
      </c>
      <c r="O131" s="165">
        <f>INDEX('TRI and DMR OES Summary'!D:D,MATCH('Facility Discharge Summary'!D131,'TRI and DMR OES Summary'!A:A,0))</f>
        <v>350</v>
      </c>
      <c r="P131" s="17" cm="1">
        <f t="array" ref="P131">IFERROR(_xlfn.XLOOKUP(1,  (MAX(IF(J131 = 'Processed Non-zero DMR Data'!$I$2:$I$651,'Processed Non-zero DMR Data'!$A$2:$A$651)) = 'Processed Non-zero DMR Data'!$A$2:$A$651)*('Processed Non-zero DMR Data'!$I$2:$I$651 = J131),'Processed Non-zero DMR Data'!$W$2:$W$651), "N/A- Facility Does Not Report DMRs")</f>
        <v>1.4913900000000001E-2</v>
      </c>
      <c r="Q131" s="10">
        <f t="shared" si="49"/>
        <v>4.2611142857142859E-5</v>
      </c>
      <c r="R131" s="10" cm="1">
        <f t="array" ref="R131">IF(COUNTIF('Processed Non-zero DMR Data'!$I:$I,$J131)&gt;0,MEDIAN(IF('Processed Non-zero DMR Data'!$I:$I=J131,'Processed Non-zero DMR Data'!$W:$W)),"N/A - Facility Does Not Report DMRs")</f>
        <v>1.4913900000000001E-2</v>
      </c>
      <c r="S131" s="10">
        <f t="shared" si="50"/>
        <v>4.2611142857142859E-5</v>
      </c>
      <c r="T131" s="10">
        <f>IF(COUNTIF('Processed Non-zero DMR Data'!$I:$I,$J131)&gt;0,_xlfn.MAXIFS('Processed Non-zero DMR Data'!$W:$W,'Processed Non-zero DMR Data'!$I:$I,$J131), "N/A - Facility Does Not Report DMRs")</f>
        <v>1.4913900000000001E-2</v>
      </c>
      <c r="U131" s="10">
        <f t="shared" si="51"/>
        <v>4.2611142857142859E-5</v>
      </c>
      <c r="V131" s="158" cm="1">
        <f t="array" ref="V131">IF(COUNTIF('Processed Non-zero DMR Data'!$I:$I,$J131)&gt;0,INDEX('Processed Non-zero DMR Data'!$A:$A,MATCH(1,($J131='Processed Non-zero DMR Data'!$I:$I)*($T131='Processed Non-zero DMR Data'!$W:$W),0)), "N/A - Facility Does Not Report DMRs")</f>
        <v>2020</v>
      </c>
      <c r="W131" s="17" t="str" cm="1">
        <f t="array" ref="W131">IFERROR(_xlfn.XLOOKUP(1,  (MAX(IF(I131 = 'Processed Non-zero TRI Data'!$I$2:$I$6,'Processed Non-zero TRI Data'!$A$2:$A$6)) = 'Processed Non-zero TRI Data'!$A$2:$A$6)*('Processed Non-zero TRI Data'!$I$2:$I$6 = I131), 'Processed Non-zero TRI Data'!$T$2:$T$6), "N/A- Facility Does Not Report to TRI")</f>
        <v>N/A- Facility Does Not Report to TRI</v>
      </c>
      <c r="X131" s="10" t="str">
        <f t="shared" si="52"/>
        <v>N/A - Facility Does Not Report to TRI</v>
      </c>
      <c r="Y131" s="10" t="str" cm="1">
        <f t="array" ref="Y131">IF(COUNTIF('Processed Non-zero TRI Data'!$I:$I,$I131)&gt;0,MEDIAN(IF('Processed Non-zero TRI Data'!$I:$I=I131,'Processed Non-zero TRI Data'!$T:$T)), "N/A - Facility Does Not Report to TRI")</f>
        <v>N/A - Facility Does Not Report to TRI</v>
      </c>
      <c r="Z131" s="10" t="str">
        <f t="shared" si="53"/>
        <v>N/A - Facility Does Not Report to TRI</v>
      </c>
      <c r="AA131" s="10" t="str">
        <f>IF(COUNTIF('Processed Non-zero TRI Data'!$I:$I,$I131)&gt;0,_xlfn.MAXIFS('Processed Non-zero TRI Data'!$T:$T,'Processed Non-zero TRI Data'!$I:$I,$I131), "N/A - Facility Does Not Report to TRI")</f>
        <v>N/A - Facility Does Not Report to TRI</v>
      </c>
      <c r="AB131" s="10" t="str">
        <f t="shared" si="54"/>
        <v>N/A - Facility Does Not Report to TRI</v>
      </c>
      <c r="AC131" s="158" t="str" cm="1">
        <f t="array" ref="AC131">IFERROR(IF(B131 = "TRI Form R", IF(AA131 = 0, "Facility has no on-site water discharges between 2017-2022.",  IF(COUNTIF('Processed Non-zero TRI Data'!$I:$I,$I131)&gt;0,INDEX('Processed Non-zero TRI Data'!$A:$A,MATCH(1,($I131='Processed Non-zero TRI Data'!$I:$I)*(AA131='Processed Non-zero TRI Data'!$T:$T),0)))), VLOOKUP(I131,#REF!, 2, FALSE)), ("N/A - Facility Does Not Report to TRI"))</f>
        <v>N/A - Facility Does Not Report to TRI</v>
      </c>
      <c r="AD131" s="97" t="str" cm="1">
        <f t="array" ref="AD131">IFERROR(_xlfn.XLOOKUP(1,  (MAX(IF(I131 = 'Processed Non-zero TRI Data'!$I$2:$I$6,'Processed Non-zero TRI Data'!$A$2:$A$6)) = 'Processed Non-zero TRI Data'!$A$2:$A$6)*('Processed Non-zero TRI Data'!$I$2:$I$6 = I131), 'Processed Non-zero TRI Data'!$V$2:$V$6), "N/A- Facility Does Not Report to TRI")</f>
        <v>N/A- Facility Does Not Report to TRI</v>
      </c>
      <c r="AE131" s="9" t="str">
        <f t="shared" si="55"/>
        <v>N/A - Facility Does Not Report to TRI</v>
      </c>
      <c r="AF131" s="9" t="str" cm="1">
        <f t="array" ref="AF131">IF(COUNTIF('Processed Non-zero TRI Data'!$I:$I,$I131)&gt;0,MEDIAN(IF('Processed Non-zero TRI Data'!$I:$I=I131,'Processed Non-zero TRI Data'!$V:$V)), "N/A - Facility Does Not Report to TRI")</f>
        <v>N/A - Facility Does Not Report to TRI</v>
      </c>
      <c r="AG131" s="9" t="str">
        <f t="shared" si="56"/>
        <v>N/A - Facility Does Not Report to TRI</v>
      </c>
      <c r="AH131" s="9" t="str">
        <f>IF(COUNTIF('Processed Non-zero TRI Data'!$I:$I,$I131)&gt;0,_xlfn.MAXIFS('Processed Non-zero TRI Data'!$V:$V,'Processed Non-zero TRI Data'!$I:$I,$I131), "N/A - Facility Does Not Report to TRI")</f>
        <v>N/A - Facility Does Not Report to TRI</v>
      </c>
      <c r="AI131" s="9" t="str">
        <f t="shared" si="57"/>
        <v>N/A - Facility Does Not Report to TRI</v>
      </c>
      <c r="AJ131" s="158" t="str" cm="1">
        <f t="array" ref="AJ131">IF(B131="TRI Form A",AC131,IF(AH131=0,"Facility has no transfers to POTWs between 2019-2023.",IF(COUNTIF('Processed Non-zero TRI Data'!$I:$I,$I131)&gt;0,INDEX('Processed Non-zero TRI Data'!$A:$A,MATCH(1,($I131='Processed Non-zero TRI Data'!$I:$I)*(AH131='Processed Non-zero TRI Data'!$V:$V),0)),"N/A - Facility Does Not Report to TRI")))</f>
        <v>N/A - Facility Does Not Report to TRI</v>
      </c>
      <c r="AK131" s="97" t="str" cm="1">
        <f t="array" ref="AK131">IFERROR(_xlfn.XLOOKUP(1,  (MAX(IF(I131 = 'Processed Non-zero TRI Data'!$I$2:$I$6,'Processed Non-zero TRI Data'!$A$2:$A$6)) = 'Processed Non-zero TRI Data'!$A$2:$A$6)*('Processed Non-zero TRI Data'!$I$2:$I$6 = I131), 'Processed Non-zero TRI Data'!$X$2:$X$6), "N/A- Facility Does Not Report to TRI")</f>
        <v>N/A- Facility Does Not Report to TRI</v>
      </c>
      <c r="AL131" s="9" t="str">
        <f t="shared" si="58"/>
        <v>N/A - Facility Does Not Report to TRI</v>
      </c>
      <c r="AM131" s="9" t="str" cm="1">
        <f t="array" ref="AM131">IF(COUNTIF('Processed Non-zero TRI Data'!$I:$I,$I131)&gt;0,MEDIAN(IF('Processed Non-zero TRI Data'!$I:$I=I131,'Processed Non-zero TRI Data'!$X:$X)), "N/A - Facility Does Not Report to TRI")</f>
        <v>N/A - Facility Does Not Report to TRI</v>
      </c>
      <c r="AN131" s="9" t="str">
        <f t="shared" si="59"/>
        <v>N/A - Facility Does Not Report to TRI</v>
      </c>
      <c r="AO131" s="9" t="str">
        <f>IF(COUNTIF('Processed Non-zero TRI Data'!$I:$I,$I131)&gt;0,_xlfn.MAXIFS('Processed Non-zero TRI Data'!$X:$X,'Processed Non-zero TRI Data'!$I:$I,$I131), "N/A - Facility Does Not Report to TRI")</f>
        <v>N/A - Facility Does Not Report to TRI</v>
      </c>
      <c r="AP131" s="9" t="str">
        <f t="shared" si="60"/>
        <v>N/A - Facility Does Not Report to TRI</v>
      </c>
      <c r="AQ131" s="251" t="str" cm="1">
        <f t="array" ref="AQ131">IF(B131="TRI Form A",AC131,IF(AO131=0,"Facility has no transfers to non-POTWs between 2019-2023.",IF(COUNTIF('Processed Non-zero TRI Data'!$I:$I,$I131)&gt;0,INDEX('Processed Non-zero TRI Data'!$A:$A,MATCH(1,($I131='Processed Non-zero TRI Data'!$I:$I)*(AO131='Processed Non-zero TRI Data'!$X:$X),0)),"N/A - Facility Does Not Report to TRI")))</f>
        <v>N/A - Facility Does Not Report to TRI</v>
      </c>
      <c r="AR131" s="260">
        <f t="shared" si="47"/>
        <v>0</v>
      </c>
      <c r="AS131" s="260">
        <f t="shared" si="48"/>
        <v>1.4913900000000001E-2</v>
      </c>
    </row>
    <row r="132" spans="1:45" ht="30" x14ac:dyDescent="0.25">
      <c r="A132" s="12">
        <v>129</v>
      </c>
      <c r="B132" s="10" t="str">
        <f>IFERROR("TRI Form "&amp; VLOOKUP(I132, 'Processed Non-zero TRI Data'!$I$2:$K$6, 3, FALSE), "DMR")</f>
        <v>DMR</v>
      </c>
      <c r="C132" s="181" t="e">
        <f>VLOOKUP(D132,#REF!, 2, FALSE)</f>
        <v>#REF!</v>
      </c>
      <c r="D132" s="181" t="str">
        <f>IF(I132&lt;&gt;"",INDEX('Processed Non-zero TRI Data'!$O:$O,MATCH(I132,'Processed Non-zero TRI Data'!$I:$I,0)),INDEX('Processed Non-zero DMR Data'!$S:$S,MATCH(J132,'Processed Non-zero DMR Data'!$I:$I,0)))</f>
        <v>Waste Handling, Disposal and Treatment (POTW)</v>
      </c>
      <c r="E132" s="181" t="str">
        <f>IF(I132&lt;&gt;"",INDEX('Processed Non-zero TRI Data'!$P:$P,MATCH(I132,'Processed Non-zero TRI Data'!$I:$I,0)),INDEX('Processed Non-zero DMR Data'!$T:$T,MATCH(J132,'Processed Non-zero DMR Data'!$I:$I,0)))</f>
        <v>POTW indicator in DMR</v>
      </c>
      <c r="F132" s="9" t="str">
        <f>_xlfn.XLOOKUP(J132, 'Processed Non-zero DMR Data'!I:I, 'Processed Non-zero DMR Data'!B:B)</f>
        <v>WINDOW ROCK WASTEWATER TREATMENT FACILITY</v>
      </c>
      <c r="G132" s="9" t="str">
        <f>_xlfn.XLOOKUP(J132, 'Processed Non-zero DMR Data'!I:I, 'Processed Non-zero DMR Data'!C:C)</f>
        <v>FORT DEFIANCE</v>
      </c>
      <c r="H132" s="9" t="str">
        <f>_xlfn.XLOOKUP(J132, 'Processed Non-zero DMR Data'!I:I, 'Processed Non-zero DMR Data'!E:E)</f>
        <v>AZ</v>
      </c>
      <c r="I132" s="12"/>
      <c r="J132" s="13">
        <v>110024409433</v>
      </c>
      <c r="K132" s="9" t="str">
        <f>IFERROR(INDEX('Raw Non-zero DMR Data'!$C:$C, MATCH(J132,'Raw Non-zero DMR Data'!$D:$D,0)),"")</f>
        <v>NN0021555</v>
      </c>
      <c r="L132" s="9" t="str">
        <f>IFERROR(INDEX('Raw Non-zero DMR Data'!$U:$U, MATCH($J132,'Raw Non-zero DMR Data'!$D:$D,0)),"")</f>
        <v>Black Creek Valley-Black Creek</v>
      </c>
      <c r="M132" s="155">
        <f>IFERROR(INDEX('Raw Non-zero DMR Data'!$T:$T, MATCH($J132,'Raw Non-zero DMR Data'!$D:$D,0)),"")</f>
        <v>150200060604</v>
      </c>
      <c r="N132" s="155" t="str">
        <f>IFERROR(INDEX('Off-site Locations'!$E:$E,MATCH(I132,'Off-site Locations'!$B:$B,0)),"No offsite transfers")</f>
        <v>No offsite transfers</v>
      </c>
      <c r="O132" s="165">
        <f>INDEX('TRI and DMR OES Summary'!D:D,MATCH('Facility Discharge Summary'!D132,'TRI and DMR OES Summary'!A:A,0))</f>
        <v>365</v>
      </c>
      <c r="P132" s="17" cm="1">
        <f t="array" ref="P132">IFERROR(_xlfn.XLOOKUP(1,  (MAX(IF(J132 = 'Processed Non-zero DMR Data'!$I$2:$I$651,'Processed Non-zero DMR Data'!$A$2:$A$651)) = 'Processed Non-zero DMR Data'!$A$2:$A$651)*('Processed Non-zero DMR Data'!$I$2:$I$651 = J132),'Processed Non-zero DMR Data'!$W$2:$W$651), "N/A- Facility Does Not Report DMRs")</f>
        <v>0.45590324999999998</v>
      </c>
      <c r="Q132" s="10">
        <f t="shared" si="49"/>
        <v>1.24905E-3</v>
      </c>
      <c r="R132" s="10" cm="1">
        <f t="array" ref="R132">IF(COUNTIF('Processed Non-zero DMR Data'!$I:$I,$J132)&gt;0,MEDIAN(IF('Processed Non-zero DMR Data'!$I:$I=J132,'Processed Non-zero DMR Data'!$W:$W)),"N/A - Facility Does Not Report DMRs")</f>
        <v>0.899316</v>
      </c>
      <c r="S132" s="10">
        <f t="shared" si="50"/>
        <v>2.4638794520547946E-3</v>
      </c>
      <c r="T132" s="10">
        <f>IF(COUNTIF('Processed Non-zero DMR Data'!$I:$I,$J132)&gt;0,_xlfn.MAXIFS('Processed Non-zero DMR Data'!$W:$W,'Processed Non-zero DMR Data'!$I:$I,$J132), "N/A - Facility Does Not Report DMRs")</f>
        <v>1.1604810000000001</v>
      </c>
      <c r="U132" s="10">
        <f t="shared" si="51"/>
        <v>3.1794000000000002E-3</v>
      </c>
      <c r="V132" s="158" cm="1">
        <f t="array" ref="V132">IF(COUNTIF('Processed Non-zero DMR Data'!$I:$I,$J132)&gt;0,INDEX('Processed Non-zero DMR Data'!$A:$A,MATCH(1,($J132='Processed Non-zero DMR Data'!$I:$I)*($T132='Processed Non-zero DMR Data'!$W:$W),0)), "N/A - Facility Does Not Report DMRs")</f>
        <v>2022</v>
      </c>
      <c r="W132" s="17" t="str" cm="1">
        <f t="array" ref="W132">IFERROR(_xlfn.XLOOKUP(1,  (MAX(IF(I132 = 'Processed Non-zero TRI Data'!$I$2:$I$6,'Processed Non-zero TRI Data'!$A$2:$A$6)) = 'Processed Non-zero TRI Data'!$A$2:$A$6)*('Processed Non-zero TRI Data'!$I$2:$I$6 = I132), 'Processed Non-zero TRI Data'!$T$2:$T$6), "N/A- Facility Does Not Report to TRI")</f>
        <v>N/A- Facility Does Not Report to TRI</v>
      </c>
      <c r="X132" s="10" t="str">
        <f t="shared" si="52"/>
        <v>N/A - Facility Does Not Report to TRI</v>
      </c>
      <c r="Y132" s="10" t="str" cm="1">
        <f t="array" ref="Y132">IF(COUNTIF('Processed Non-zero TRI Data'!$I:$I,$I132)&gt;0,MEDIAN(IF('Processed Non-zero TRI Data'!$I:$I=I132,'Processed Non-zero TRI Data'!$T:$T)), "N/A - Facility Does Not Report to TRI")</f>
        <v>N/A - Facility Does Not Report to TRI</v>
      </c>
      <c r="Z132" s="10" t="str">
        <f t="shared" si="53"/>
        <v>N/A - Facility Does Not Report to TRI</v>
      </c>
      <c r="AA132" s="10" t="str">
        <f>IF(COUNTIF('Processed Non-zero TRI Data'!$I:$I,$I132)&gt;0,_xlfn.MAXIFS('Processed Non-zero TRI Data'!$T:$T,'Processed Non-zero TRI Data'!$I:$I,$I132), "N/A - Facility Does Not Report to TRI")</f>
        <v>N/A - Facility Does Not Report to TRI</v>
      </c>
      <c r="AB132" s="10" t="str">
        <f t="shared" si="54"/>
        <v>N/A - Facility Does Not Report to TRI</v>
      </c>
      <c r="AC132" s="158" t="str" cm="1">
        <f t="array" ref="AC132">IFERROR(IF(B132 = "TRI Form R", IF(AA132 = 0, "Facility has no on-site water discharges between 2017-2022.",  IF(COUNTIF('Processed Non-zero TRI Data'!$I:$I,$I132)&gt;0,INDEX('Processed Non-zero TRI Data'!$A:$A,MATCH(1,($I132='Processed Non-zero TRI Data'!$I:$I)*(AA132='Processed Non-zero TRI Data'!$T:$T),0)))), VLOOKUP(I132,#REF!, 2, FALSE)), ("N/A - Facility Does Not Report to TRI"))</f>
        <v>N/A - Facility Does Not Report to TRI</v>
      </c>
      <c r="AD132" s="97" t="str" cm="1">
        <f t="array" ref="AD132">IFERROR(_xlfn.XLOOKUP(1,  (MAX(IF(I132 = 'Processed Non-zero TRI Data'!$I$2:$I$6,'Processed Non-zero TRI Data'!$A$2:$A$6)) = 'Processed Non-zero TRI Data'!$A$2:$A$6)*('Processed Non-zero TRI Data'!$I$2:$I$6 = I132), 'Processed Non-zero TRI Data'!$V$2:$V$6), "N/A- Facility Does Not Report to TRI")</f>
        <v>N/A- Facility Does Not Report to TRI</v>
      </c>
      <c r="AE132" s="9" t="str">
        <f t="shared" si="55"/>
        <v>N/A - Facility Does Not Report to TRI</v>
      </c>
      <c r="AF132" s="9" t="str" cm="1">
        <f t="array" ref="AF132">IF(COUNTIF('Processed Non-zero TRI Data'!$I:$I,$I132)&gt;0,MEDIAN(IF('Processed Non-zero TRI Data'!$I:$I=I132,'Processed Non-zero TRI Data'!$V:$V)), "N/A - Facility Does Not Report to TRI")</f>
        <v>N/A - Facility Does Not Report to TRI</v>
      </c>
      <c r="AG132" s="9" t="str">
        <f t="shared" si="56"/>
        <v>N/A - Facility Does Not Report to TRI</v>
      </c>
      <c r="AH132" s="9" t="str">
        <f>IF(COUNTIF('Processed Non-zero TRI Data'!$I:$I,$I132)&gt;0,_xlfn.MAXIFS('Processed Non-zero TRI Data'!$V:$V,'Processed Non-zero TRI Data'!$I:$I,$I132), "N/A - Facility Does Not Report to TRI")</f>
        <v>N/A - Facility Does Not Report to TRI</v>
      </c>
      <c r="AI132" s="9" t="str">
        <f t="shared" si="57"/>
        <v>N/A - Facility Does Not Report to TRI</v>
      </c>
      <c r="AJ132" s="158" t="str" cm="1">
        <f t="array" ref="AJ132">IF(B132="TRI Form A",AC132,IF(AH132=0,"Facility has no transfers to POTWs between 2019-2023.",IF(COUNTIF('Processed Non-zero TRI Data'!$I:$I,$I132)&gt;0,INDEX('Processed Non-zero TRI Data'!$A:$A,MATCH(1,($I132='Processed Non-zero TRI Data'!$I:$I)*(AH132='Processed Non-zero TRI Data'!$V:$V),0)),"N/A - Facility Does Not Report to TRI")))</f>
        <v>N/A - Facility Does Not Report to TRI</v>
      </c>
      <c r="AK132" s="97" t="str" cm="1">
        <f t="array" ref="AK132">IFERROR(_xlfn.XLOOKUP(1,  (MAX(IF(I132 = 'Processed Non-zero TRI Data'!$I$2:$I$6,'Processed Non-zero TRI Data'!$A$2:$A$6)) = 'Processed Non-zero TRI Data'!$A$2:$A$6)*('Processed Non-zero TRI Data'!$I$2:$I$6 = I132), 'Processed Non-zero TRI Data'!$X$2:$X$6), "N/A- Facility Does Not Report to TRI")</f>
        <v>N/A- Facility Does Not Report to TRI</v>
      </c>
      <c r="AL132" s="9" t="str">
        <f t="shared" si="58"/>
        <v>N/A - Facility Does Not Report to TRI</v>
      </c>
      <c r="AM132" s="9" t="str" cm="1">
        <f t="array" ref="AM132">IF(COUNTIF('Processed Non-zero TRI Data'!$I:$I,$I132)&gt;0,MEDIAN(IF('Processed Non-zero TRI Data'!$I:$I=I132,'Processed Non-zero TRI Data'!$X:$X)), "N/A - Facility Does Not Report to TRI")</f>
        <v>N/A - Facility Does Not Report to TRI</v>
      </c>
      <c r="AN132" s="9" t="str">
        <f t="shared" si="59"/>
        <v>N/A - Facility Does Not Report to TRI</v>
      </c>
      <c r="AO132" s="9" t="str">
        <f>IF(COUNTIF('Processed Non-zero TRI Data'!$I:$I,$I132)&gt;0,_xlfn.MAXIFS('Processed Non-zero TRI Data'!$X:$X,'Processed Non-zero TRI Data'!$I:$I,$I132), "N/A - Facility Does Not Report to TRI")</f>
        <v>N/A - Facility Does Not Report to TRI</v>
      </c>
      <c r="AP132" s="9" t="str">
        <f t="shared" si="60"/>
        <v>N/A - Facility Does Not Report to TRI</v>
      </c>
      <c r="AQ132" s="251" t="str" cm="1">
        <f t="array" ref="AQ132">IF(B132="TRI Form A",AC132,IF(AO132=0,"Facility has no transfers to non-POTWs between 2019-2023.",IF(COUNTIF('Processed Non-zero TRI Data'!$I:$I,$I132)&gt;0,INDEX('Processed Non-zero TRI Data'!$A:$A,MATCH(1,($I132='Processed Non-zero TRI Data'!$I:$I)*(AO132='Processed Non-zero TRI Data'!$X:$X),0)),"N/A - Facility Does Not Report to TRI")))</f>
        <v>N/A - Facility Does Not Report to TRI</v>
      </c>
      <c r="AR132" s="260">
        <f t="shared" si="47"/>
        <v>0</v>
      </c>
      <c r="AS132" s="260">
        <f t="shared" si="48"/>
        <v>1.1604810000000001</v>
      </c>
    </row>
    <row r="133" spans="1:45" ht="30" x14ac:dyDescent="0.25">
      <c r="A133" s="12">
        <v>130</v>
      </c>
      <c r="B133" s="10" t="str">
        <f>IFERROR("TRI Form "&amp; VLOOKUP(I133, 'Processed Non-zero TRI Data'!$I$2:$K$6, 3, FALSE), "DMR")</f>
        <v>DMR</v>
      </c>
      <c r="C133" s="181" t="e">
        <f>VLOOKUP(D133,#REF!, 2, FALSE)</f>
        <v>#REF!</v>
      </c>
      <c r="D133" s="181" t="str">
        <f>IF(I133&lt;&gt;"",INDEX('Processed Non-zero TRI Data'!$O:$O,MATCH(I133,'Processed Non-zero TRI Data'!$I:$I,0)),INDEX('Processed Non-zero DMR Data'!$S:$S,MATCH(J133,'Processed Non-zero DMR Data'!$I:$I,0)))</f>
        <v>Waste Handling, Disposal and Treatment (POTW)</v>
      </c>
      <c r="E133" s="181" t="str">
        <f>IF(I133&lt;&gt;"",INDEX('Processed Non-zero TRI Data'!$P:$P,MATCH(I133,'Processed Non-zero TRI Data'!$I:$I,0)),INDEX('Processed Non-zero DMR Data'!$T:$T,MATCH(J133,'Processed Non-zero DMR Data'!$I:$I,0)))</f>
        <v>POTW indicator in DMR</v>
      </c>
      <c r="F133" s="9" t="str">
        <f>_xlfn.XLOOKUP(J133, 'Processed Non-zero DMR Data'!I:I, 'Processed Non-zero DMR Data'!B:B)</f>
        <v>KY STATE REFORMATORY</v>
      </c>
      <c r="G133" s="9" t="str">
        <f>_xlfn.XLOOKUP(J133, 'Processed Non-zero DMR Data'!I:I, 'Processed Non-zero DMR Data'!C:C)</f>
        <v>LA GRANGE</v>
      </c>
      <c r="H133" s="9" t="str">
        <f>_xlfn.XLOOKUP(J133, 'Processed Non-zero DMR Data'!I:I, 'Processed Non-zero DMR Data'!E:E)</f>
        <v>KY</v>
      </c>
      <c r="I133" s="12"/>
      <c r="J133" s="13">
        <v>110002108059</v>
      </c>
      <c r="K133" s="9" t="str">
        <f>IFERROR(INDEX('Raw Non-zero DMR Data'!$C:$C, MATCH(J133,'Raw Non-zero DMR Data'!$D:$D,0)),"")</f>
        <v>KY0040126</v>
      </c>
      <c r="L133" s="9" t="str">
        <f>IFERROR(INDEX('Raw Non-zero DMR Data'!$U:$U, MATCH($J133,'Raw Non-zero DMR Data'!$D:$D,0)),"")</f>
        <v>Brush Creek-Harrods Creek</v>
      </c>
      <c r="M133" s="155" t="str">
        <f>IFERROR(INDEX('Raw Non-zero DMR Data'!$T:$T, MATCH($J133,'Raw Non-zero DMR Data'!$D:$D,0)),"")</f>
        <v>051401010502</v>
      </c>
      <c r="N133" s="155" t="str">
        <f>IFERROR(INDEX('Off-site Locations'!$E:$E,MATCH(I133,'Off-site Locations'!$B:$B,0)),"No offsite transfers")</f>
        <v>No offsite transfers</v>
      </c>
      <c r="O133" s="165">
        <f>INDEX('TRI and DMR OES Summary'!D:D,MATCH('Facility Discharge Summary'!D133,'TRI and DMR OES Summary'!A:A,0))</f>
        <v>365</v>
      </c>
      <c r="P133" s="17" cm="1">
        <f t="array" ref="P133">IFERROR(_xlfn.XLOOKUP(1,  (MAX(IF(J133 = 'Processed Non-zero DMR Data'!$I$2:$I$651,'Processed Non-zero DMR Data'!$A$2:$A$651)) = 'Processed Non-zero DMR Data'!$A$2:$A$651)*('Processed Non-zero DMR Data'!$I$2:$I$651 = J133),'Processed Non-zero DMR Data'!$W$2:$W$651), "N/A- Facility Does Not Report DMRs")</f>
        <v>1.7752596249999999</v>
      </c>
      <c r="Q133" s="10">
        <f t="shared" si="49"/>
        <v>4.8637249999999993E-3</v>
      </c>
      <c r="R133" s="10" cm="1">
        <f t="array" ref="R133">IF(COUNTIF('Processed Non-zero DMR Data'!$I:$I,$J133)&gt;0,MEDIAN(IF('Processed Non-zero DMR Data'!$I:$I=J133,'Processed Non-zero DMR Data'!$W:$W)),"N/A - Facility Does Not Report DMRs")</f>
        <v>1.9444964375</v>
      </c>
      <c r="S133" s="10">
        <f t="shared" si="50"/>
        <v>5.3273875E-3</v>
      </c>
      <c r="T133" s="10">
        <f>IF(COUNTIF('Processed Non-zero DMR Data'!$I:$I,$J133)&gt;0,_xlfn.MAXIFS('Processed Non-zero DMR Data'!$W:$W,'Processed Non-zero DMR Data'!$I:$I,$J133), "N/A - Facility Does Not Report DMRs")</f>
        <v>2.1137332500000001</v>
      </c>
      <c r="U133" s="10">
        <f t="shared" si="51"/>
        <v>5.7910500000000007E-3</v>
      </c>
      <c r="V133" s="158" cm="1">
        <f t="array" ref="V133">IF(COUNTIF('Processed Non-zero DMR Data'!$I:$I,$J133)&gt;0,INDEX('Processed Non-zero DMR Data'!$A:$A,MATCH(1,($J133='Processed Non-zero DMR Data'!$I:$I)*($T133='Processed Non-zero DMR Data'!$W:$W),0)), "N/A - Facility Does Not Report DMRs")</f>
        <v>2020</v>
      </c>
      <c r="W133" s="17" t="str" cm="1">
        <f t="array" ref="W133">IFERROR(_xlfn.XLOOKUP(1,  (MAX(IF(I133 = 'Processed Non-zero TRI Data'!$I$2:$I$6,'Processed Non-zero TRI Data'!$A$2:$A$6)) = 'Processed Non-zero TRI Data'!$A$2:$A$6)*('Processed Non-zero TRI Data'!$I$2:$I$6 = I133), 'Processed Non-zero TRI Data'!$T$2:$T$6), "N/A- Facility Does Not Report to TRI")</f>
        <v>N/A- Facility Does Not Report to TRI</v>
      </c>
      <c r="X133" s="10" t="str">
        <f t="shared" si="52"/>
        <v>N/A - Facility Does Not Report to TRI</v>
      </c>
      <c r="Y133" s="10" t="str" cm="1">
        <f t="array" ref="Y133">IF(COUNTIF('Processed Non-zero TRI Data'!$I:$I,$I133)&gt;0,MEDIAN(IF('Processed Non-zero TRI Data'!$I:$I=I133,'Processed Non-zero TRI Data'!$T:$T)), "N/A - Facility Does Not Report to TRI")</f>
        <v>N/A - Facility Does Not Report to TRI</v>
      </c>
      <c r="Z133" s="10" t="str">
        <f t="shared" si="53"/>
        <v>N/A - Facility Does Not Report to TRI</v>
      </c>
      <c r="AA133" s="10" t="str">
        <f>IF(COUNTIF('Processed Non-zero TRI Data'!$I:$I,$I133)&gt;0,_xlfn.MAXIFS('Processed Non-zero TRI Data'!$T:$T,'Processed Non-zero TRI Data'!$I:$I,$I133), "N/A - Facility Does Not Report to TRI")</f>
        <v>N/A - Facility Does Not Report to TRI</v>
      </c>
      <c r="AB133" s="10" t="str">
        <f t="shared" si="54"/>
        <v>N/A - Facility Does Not Report to TRI</v>
      </c>
      <c r="AC133" s="158" t="str" cm="1">
        <f t="array" ref="AC133">IFERROR(IF(B133 = "TRI Form R", IF(AA133 = 0, "Facility has no on-site water discharges between 2017-2022.",  IF(COUNTIF('Processed Non-zero TRI Data'!$I:$I,$I133)&gt;0,INDEX('Processed Non-zero TRI Data'!$A:$A,MATCH(1,($I133='Processed Non-zero TRI Data'!$I:$I)*(AA133='Processed Non-zero TRI Data'!$T:$T),0)))), VLOOKUP(I133,#REF!, 2, FALSE)), ("N/A - Facility Does Not Report to TRI"))</f>
        <v>N/A - Facility Does Not Report to TRI</v>
      </c>
      <c r="AD133" s="97" t="str" cm="1">
        <f t="array" ref="AD133">IFERROR(_xlfn.XLOOKUP(1,  (MAX(IF(I133 = 'Processed Non-zero TRI Data'!$I$2:$I$6,'Processed Non-zero TRI Data'!$A$2:$A$6)) = 'Processed Non-zero TRI Data'!$A$2:$A$6)*('Processed Non-zero TRI Data'!$I$2:$I$6 = I133), 'Processed Non-zero TRI Data'!$V$2:$V$6), "N/A- Facility Does Not Report to TRI")</f>
        <v>N/A- Facility Does Not Report to TRI</v>
      </c>
      <c r="AE133" s="9" t="str">
        <f t="shared" si="55"/>
        <v>N/A - Facility Does Not Report to TRI</v>
      </c>
      <c r="AF133" s="9" t="str" cm="1">
        <f t="array" ref="AF133">IF(COUNTIF('Processed Non-zero TRI Data'!$I:$I,$I133)&gt;0,MEDIAN(IF('Processed Non-zero TRI Data'!$I:$I=I133,'Processed Non-zero TRI Data'!$V:$V)), "N/A - Facility Does Not Report to TRI")</f>
        <v>N/A - Facility Does Not Report to TRI</v>
      </c>
      <c r="AG133" s="9" t="str">
        <f t="shared" si="56"/>
        <v>N/A - Facility Does Not Report to TRI</v>
      </c>
      <c r="AH133" s="9" t="str">
        <f>IF(COUNTIF('Processed Non-zero TRI Data'!$I:$I,$I133)&gt;0,_xlfn.MAXIFS('Processed Non-zero TRI Data'!$V:$V,'Processed Non-zero TRI Data'!$I:$I,$I133), "N/A - Facility Does Not Report to TRI")</f>
        <v>N/A - Facility Does Not Report to TRI</v>
      </c>
      <c r="AI133" s="9" t="str">
        <f t="shared" si="57"/>
        <v>N/A - Facility Does Not Report to TRI</v>
      </c>
      <c r="AJ133" s="158" t="str" cm="1">
        <f t="array" ref="AJ133">IF(B133="TRI Form A",AC133,IF(AH133=0,"Facility has no transfers to POTWs between 2019-2023.",IF(COUNTIF('Processed Non-zero TRI Data'!$I:$I,$I133)&gt;0,INDEX('Processed Non-zero TRI Data'!$A:$A,MATCH(1,($I133='Processed Non-zero TRI Data'!$I:$I)*(AH133='Processed Non-zero TRI Data'!$V:$V),0)),"N/A - Facility Does Not Report to TRI")))</f>
        <v>N/A - Facility Does Not Report to TRI</v>
      </c>
      <c r="AK133" s="97" t="str" cm="1">
        <f t="array" ref="AK133">IFERROR(_xlfn.XLOOKUP(1,  (MAX(IF(I133 = 'Processed Non-zero TRI Data'!$I$2:$I$6,'Processed Non-zero TRI Data'!$A$2:$A$6)) = 'Processed Non-zero TRI Data'!$A$2:$A$6)*('Processed Non-zero TRI Data'!$I$2:$I$6 = I133), 'Processed Non-zero TRI Data'!$X$2:$X$6), "N/A- Facility Does Not Report to TRI")</f>
        <v>N/A- Facility Does Not Report to TRI</v>
      </c>
      <c r="AL133" s="9" t="str">
        <f t="shared" si="58"/>
        <v>N/A - Facility Does Not Report to TRI</v>
      </c>
      <c r="AM133" s="9" t="str" cm="1">
        <f t="array" ref="AM133">IF(COUNTIF('Processed Non-zero TRI Data'!$I:$I,$I133)&gt;0,MEDIAN(IF('Processed Non-zero TRI Data'!$I:$I=I133,'Processed Non-zero TRI Data'!$X:$X)), "N/A - Facility Does Not Report to TRI")</f>
        <v>N/A - Facility Does Not Report to TRI</v>
      </c>
      <c r="AN133" s="9" t="str">
        <f t="shared" si="59"/>
        <v>N/A - Facility Does Not Report to TRI</v>
      </c>
      <c r="AO133" s="9" t="str">
        <f>IF(COUNTIF('Processed Non-zero TRI Data'!$I:$I,$I133)&gt;0,_xlfn.MAXIFS('Processed Non-zero TRI Data'!$X:$X,'Processed Non-zero TRI Data'!$I:$I,$I133), "N/A - Facility Does Not Report to TRI")</f>
        <v>N/A - Facility Does Not Report to TRI</v>
      </c>
      <c r="AP133" s="9" t="str">
        <f t="shared" si="60"/>
        <v>N/A - Facility Does Not Report to TRI</v>
      </c>
      <c r="AQ133" s="251" t="str" cm="1">
        <f t="array" ref="AQ133">IF(B133="TRI Form A",AC133,IF(AO133=0,"Facility has no transfers to non-POTWs between 2019-2023.",IF(COUNTIF('Processed Non-zero TRI Data'!$I:$I,$I133)&gt;0,INDEX('Processed Non-zero TRI Data'!$A:$A,MATCH(1,($I133='Processed Non-zero TRI Data'!$I:$I)*(AO133='Processed Non-zero TRI Data'!$X:$X),0)),"N/A - Facility Does Not Report to TRI")))</f>
        <v>N/A - Facility Does Not Report to TRI</v>
      </c>
      <c r="AR133" s="260">
        <f t="shared" ref="AR133:AR196" si="61">MAX(AA133,AH133,AO133)</f>
        <v>0</v>
      </c>
      <c r="AS133" s="260">
        <f t="shared" ref="AS133:AS196" si="62">T133</f>
        <v>2.1137332500000001</v>
      </c>
    </row>
    <row r="134" spans="1:45" ht="30" x14ac:dyDescent="0.25">
      <c r="A134" s="12">
        <v>131</v>
      </c>
      <c r="B134" s="10" t="str">
        <f>IFERROR("TRI Form "&amp; VLOOKUP(I134, 'Processed Non-zero TRI Data'!$I$2:$K$6, 3, FALSE), "DMR")</f>
        <v>DMR</v>
      </c>
      <c r="C134" s="181" t="e">
        <f>VLOOKUP(D134,#REF!, 2, FALSE)</f>
        <v>#REF!</v>
      </c>
      <c r="D134" s="181" t="str">
        <f>IF(I134&lt;&gt;"",INDEX('Processed Non-zero TRI Data'!$O:$O,MATCH(I134,'Processed Non-zero TRI Data'!$I:$I,0)),INDEX('Processed Non-zero DMR Data'!$S:$S,MATCH(J134,'Processed Non-zero DMR Data'!$I:$I,0)))</f>
        <v>Waste Handling, Disposal and Treatment (POTW)</v>
      </c>
      <c r="E134" s="181" t="str">
        <f>IF(I134&lt;&gt;"",INDEX('Processed Non-zero TRI Data'!$P:$P,MATCH(I134,'Processed Non-zero TRI Data'!$I:$I,0)),INDEX('Processed Non-zero DMR Data'!$T:$T,MATCH(J134,'Processed Non-zero DMR Data'!$I:$I,0)))</f>
        <v>POTW indicator in DMR</v>
      </c>
      <c r="F134" s="9" t="str">
        <f>_xlfn.XLOOKUP(J134, 'Processed Non-zero DMR Data'!I:I, 'Processed Non-zero DMR Data'!B:B)</f>
        <v>NORTHERN KY SANITATION DISTRICT 1 DRY CREEK WWTP</v>
      </c>
      <c r="G134" s="9" t="str">
        <f>_xlfn.XLOOKUP(J134, 'Processed Non-zero DMR Data'!I:I, 'Processed Non-zero DMR Data'!C:C)</f>
        <v>ERLANGER</v>
      </c>
      <c r="H134" s="9" t="str">
        <f>_xlfn.XLOOKUP(J134, 'Processed Non-zero DMR Data'!I:I, 'Processed Non-zero DMR Data'!E:E)</f>
        <v>KY</v>
      </c>
      <c r="I134" s="12"/>
      <c r="J134" s="13">
        <v>110039639736</v>
      </c>
      <c r="K134" s="9" t="str">
        <f>IFERROR(INDEX('Raw Non-zero DMR Data'!$C:$C, MATCH(J134,'Raw Non-zero DMR Data'!$D:$D,0)),"")</f>
        <v>KY0021466</v>
      </c>
      <c r="L134" s="9" t="str">
        <f>IFERROR(INDEX('Raw Non-zero DMR Data'!$U:$U, MATCH($J134,'Raw Non-zero DMR Data'!$D:$D,0)),"")</f>
        <v>Dry Creek-Ohio River</v>
      </c>
      <c r="M134" s="155" t="str">
        <f>IFERROR(INDEX('Raw Non-zero DMR Data'!$T:$T, MATCH($J134,'Raw Non-zero DMR Data'!$D:$D,0)),"")</f>
        <v>050902030202</v>
      </c>
      <c r="N134" s="155" t="str">
        <f>IFERROR(INDEX('Off-site Locations'!$E:$E,MATCH(I134,'Off-site Locations'!$B:$B,0)),"No offsite transfers")</f>
        <v>No offsite transfers</v>
      </c>
      <c r="O134" s="165">
        <f>INDEX('TRI and DMR OES Summary'!D:D,MATCH('Facility Discharge Summary'!D134,'TRI and DMR OES Summary'!A:A,0))</f>
        <v>365</v>
      </c>
      <c r="P134" s="17" cm="1">
        <f t="array" ref="P134">IFERROR(_xlfn.XLOOKUP(1,  (MAX(IF(J134 = 'Processed Non-zero DMR Data'!$I$2:$I$651,'Processed Non-zero DMR Data'!$A$2:$A$651)) = 'Processed Non-zero DMR Data'!$A$2:$A$651)*('Processed Non-zero DMR Data'!$I$2:$I$651 = J134),'Processed Non-zero DMR Data'!$W$2:$W$651), "N/A- Facility Does Not Report DMRs")</f>
        <v>22.366889749999999</v>
      </c>
      <c r="Q134" s="10">
        <f t="shared" si="49"/>
        <v>6.1279149999999998E-2</v>
      </c>
      <c r="R134" s="10" cm="1">
        <f t="array" ref="R134">IF(COUNTIF('Processed Non-zero DMR Data'!$I:$I,$J134)&gt;0,MEDIAN(IF('Processed Non-zero DMR Data'!$I:$I=J134,'Processed Non-zero DMR Data'!$W:$W)),"N/A - Facility Does Not Report DMRs")</f>
        <v>11.1919170770625</v>
      </c>
      <c r="S134" s="10">
        <f t="shared" si="50"/>
        <v>3.0662786512500002E-2</v>
      </c>
      <c r="T134" s="10">
        <f>IF(COUNTIF('Processed Non-zero DMR Data'!$I:$I,$J134)&gt;0,_xlfn.MAXIFS('Processed Non-zero DMR Data'!$W:$W,'Processed Non-zero DMR Data'!$I:$I,$J134), "N/A - Facility Does Not Report DMRs")</f>
        <v>22.366889749999999</v>
      </c>
      <c r="U134" s="10">
        <f t="shared" si="51"/>
        <v>6.1279149999999998E-2</v>
      </c>
      <c r="V134" s="158" cm="1">
        <f t="array" ref="V134">IF(COUNTIF('Processed Non-zero DMR Data'!$I:$I,$J134)&gt;0,INDEX('Processed Non-zero DMR Data'!$A:$A,MATCH(1,($J134='Processed Non-zero DMR Data'!$I:$I)*($T134='Processed Non-zero DMR Data'!$W:$W),0)), "N/A - Facility Does Not Report DMRs")</f>
        <v>2021</v>
      </c>
      <c r="W134" s="17" t="str" cm="1">
        <f t="array" ref="W134">IFERROR(_xlfn.XLOOKUP(1,  (MAX(IF(I134 = 'Processed Non-zero TRI Data'!$I$2:$I$6,'Processed Non-zero TRI Data'!$A$2:$A$6)) = 'Processed Non-zero TRI Data'!$A$2:$A$6)*('Processed Non-zero TRI Data'!$I$2:$I$6 = I134), 'Processed Non-zero TRI Data'!$T$2:$T$6), "N/A- Facility Does Not Report to TRI")</f>
        <v>N/A- Facility Does Not Report to TRI</v>
      </c>
      <c r="X134" s="10" t="str">
        <f t="shared" si="52"/>
        <v>N/A - Facility Does Not Report to TRI</v>
      </c>
      <c r="Y134" s="10" t="str" cm="1">
        <f t="array" ref="Y134">IF(COUNTIF('Processed Non-zero TRI Data'!$I:$I,$I134)&gt;0,MEDIAN(IF('Processed Non-zero TRI Data'!$I:$I=I134,'Processed Non-zero TRI Data'!$T:$T)), "N/A - Facility Does Not Report to TRI")</f>
        <v>N/A - Facility Does Not Report to TRI</v>
      </c>
      <c r="Z134" s="10" t="str">
        <f t="shared" si="53"/>
        <v>N/A - Facility Does Not Report to TRI</v>
      </c>
      <c r="AA134" s="10" t="str">
        <f>IF(COUNTIF('Processed Non-zero TRI Data'!$I:$I,$I134)&gt;0,_xlfn.MAXIFS('Processed Non-zero TRI Data'!$T:$T,'Processed Non-zero TRI Data'!$I:$I,$I134), "N/A - Facility Does Not Report to TRI")</f>
        <v>N/A - Facility Does Not Report to TRI</v>
      </c>
      <c r="AB134" s="10" t="str">
        <f t="shared" si="54"/>
        <v>N/A - Facility Does Not Report to TRI</v>
      </c>
      <c r="AC134" s="158" t="str" cm="1">
        <f t="array" ref="AC134">IFERROR(IF(B134 = "TRI Form R", IF(AA134 = 0, "Facility has no on-site water discharges between 2017-2022.",  IF(COUNTIF('Processed Non-zero TRI Data'!$I:$I,$I134)&gt;0,INDEX('Processed Non-zero TRI Data'!$A:$A,MATCH(1,($I134='Processed Non-zero TRI Data'!$I:$I)*(AA134='Processed Non-zero TRI Data'!$T:$T),0)))), VLOOKUP(I134,#REF!, 2, FALSE)), ("N/A - Facility Does Not Report to TRI"))</f>
        <v>N/A - Facility Does Not Report to TRI</v>
      </c>
      <c r="AD134" s="97" t="str" cm="1">
        <f t="array" ref="AD134">IFERROR(_xlfn.XLOOKUP(1,  (MAX(IF(I134 = 'Processed Non-zero TRI Data'!$I$2:$I$6,'Processed Non-zero TRI Data'!$A$2:$A$6)) = 'Processed Non-zero TRI Data'!$A$2:$A$6)*('Processed Non-zero TRI Data'!$I$2:$I$6 = I134), 'Processed Non-zero TRI Data'!$V$2:$V$6), "N/A- Facility Does Not Report to TRI")</f>
        <v>N/A- Facility Does Not Report to TRI</v>
      </c>
      <c r="AE134" s="9" t="str">
        <f t="shared" si="55"/>
        <v>N/A - Facility Does Not Report to TRI</v>
      </c>
      <c r="AF134" s="9" t="str" cm="1">
        <f t="array" ref="AF134">IF(COUNTIF('Processed Non-zero TRI Data'!$I:$I,$I134)&gt;0,MEDIAN(IF('Processed Non-zero TRI Data'!$I:$I=I134,'Processed Non-zero TRI Data'!$V:$V)), "N/A - Facility Does Not Report to TRI")</f>
        <v>N/A - Facility Does Not Report to TRI</v>
      </c>
      <c r="AG134" s="9" t="str">
        <f t="shared" si="56"/>
        <v>N/A - Facility Does Not Report to TRI</v>
      </c>
      <c r="AH134" s="9" t="str">
        <f>IF(COUNTIF('Processed Non-zero TRI Data'!$I:$I,$I134)&gt;0,_xlfn.MAXIFS('Processed Non-zero TRI Data'!$V:$V,'Processed Non-zero TRI Data'!$I:$I,$I134), "N/A - Facility Does Not Report to TRI")</f>
        <v>N/A - Facility Does Not Report to TRI</v>
      </c>
      <c r="AI134" s="9" t="str">
        <f t="shared" si="57"/>
        <v>N/A - Facility Does Not Report to TRI</v>
      </c>
      <c r="AJ134" s="158" t="str" cm="1">
        <f t="array" ref="AJ134">IF(B134="TRI Form A",AC134,IF(AH134=0,"Facility has no transfers to POTWs between 2019-2023.",IF(COUNTIF('Processed Non-zero TRI Data'!$I:$I,$I134)&gt;0,INDEX('Processed Non-zero TRI Data'!$A:$A,MATCH(1,($I134='Processed Non-zero TRI Data'!$I:$I)*(AH134='Processed Non-zero TRI Data'!$V:$V),0)),"N/A - Facility Does Not Report to TRI")))</f>
        <v>N/A - Facility Does Not Report to TRI</v>
      </c>
      <c r="AK134" s="97" t="str" cm="1">
        <f t="array" ref="AK134">IFERROR(_xlfn.XLOOKUP(1,  (MAX(IF(I134 = 'Processed Non-zero TRI Data'!$I$2:$I$6,'Processed Non-zero TRI Data'!$A$2:$A$6)) = 'Processed Non-zero TRI Data'!$A$2:$A$6)*('Processed Non-zero TRI Data'!$I$2:$I$6 = I134), 'Processed Non-zero TRI Data'!$X$2:$X$6), "N/A- Facility Does Not Report to TRI")</f>
        <v>N/A- Facility Does Not Report to TRI</v>
      </c>
      <c r="AL134" s="9" t="str">
        <f t="shared" si="58"/>
        <v>N/A - Facility Does Not Report to TRI</v>
      </c>
      <c r="AM134" s="9" t="str" cm="1">
        <f t="array" ref="AM134">IF(COUNTIF('Processed Non-zero TRI Data'!$I:$I,$I134)&gt;0,MEDIAN(IF('Processed Non-zero TRI Data'!$I:$I=I134,'Processed Non-zero TRI Data'!$X:$X)), "N/A - Facility Does Not Report to TRI")</f>
        <v>N/A - Facility Does Not Report to TRI</v>
      </c>
      <c r="AN134" s="9" t="str">
        <f t="shared" si="59"/>
        <v>N/A - Facility Does Not Report to TRI</v>
      </c>
      <c r="AO134" s="9" t="str">
        <f>IF(COUNTIF('Processed Non-zero TRI Data'!$I:$I,$I134)&gt;0,_xlfn.MAXIFS('Processed Non-zero TRI Data'!$X:$X,'Processed Non-zero TRI Data'!$I:$I,$I134), "N/A - Facility Does Not Report to TRI")</f>
        <v>N/A - Facility Does Not Report to TRI</v>
      </c>
      <c r="AP134" s="9" t="str">
        <f t="shared" si="60"/>
        <v>N/A - Facility Does Not Report to TRI</v>
      </c>
      <c r="AQ134" s="251" t="str" cm="1">
        <f t="array" ref="AQ134">IF(B134="TRI Form A",AC134,IF(AO134=0,"Facility has no transfers to non-POTWs between 2019-2023.",IF(COUNTIF('Processed Non-zero TRI Data'!$I:$I,$I134)&gt;0,INDEX('Processed Non-zero TRI Data'!$A:$A,MATCH(1,($I134='Processed Non-zero TRI Data'!$I:$I)*(AO134='Processed Non-zero TRI Data'!$X:$X),0)),"N/A - Facility Does Not Report to TRI")))</f>
        <v>N/A - Facility Does Not Report to TRI</v>
      </c>
      <c r="AR134" s="260">
        <f t="shared" si="61"/>
        <v>0</v>
      </c>
      <c r="AS134" s="260">
        <f t="shared" si="62"/>
        <v>22.366889749999999</v>
      </c>
    </row>
    <row r="135" spans="1:45" ht="30" x14ac:dyDescent="0.25">
      <c r="A135" s="12">
        <v>132</v>
      </c>
      <c r="B135" s="10" t="str">
        <f>IFERROR("TRI Form "&amp; VLOOKUP(I135, 'Processed Non-zero TRI Data'!$I$2:$K$6, 3, FALSE), "DMR")</f>
        <v>DMR</v>
      </c>
      <c r="C135" s="181" t="e">
        <f>VLOOKUP(D135,#REF!, 2, FALSE)</f>
        <v>#REF!</v>
      </c>
      <c r="D135" s="181" t="str">
        <f>IF(I135&lt;&gt;"",INDEX('Processed Non-zero TRI Data'!$O:$O,MATCH(I135,'Processed Non-zero TRI Data'!$I:$I,0)),INDEX('Processed Non-zero DMR Data'!$S:$S,MATCH(J135,'Processed Non-zero DMR Data'!$I:$I,0)))</f>
        <v>Waste Handling, Disposal and Treatment (POTW)</v>
      </c>
      <c r="E135" s="181" t="str">
        <f>IF(I135&lt;&gt;"",INDEX('Processed Non-zero TRI Data'!$P:$P,MATCH(I135,'Processed Non-zero TRI Data'!$I:$I,0)),INDEX('Processed Non-zero DMR Data'!$T:$T,MATCH(J135,'Processed Non-zero DMR Data'!$I:$I,0)))</f>
        <v>POTW indicator in DMR</v>
      </c>
      <c r="F135" s="9" t="str">
        <f>_xlfn.XLOOKUP(J135, 'Processed Non-zero DMR Data'!I:I, 'Processed Non-zero DMR Data'!B:B)</f>
        <v>NEVADA CITY WASTEWATER TREATMENT PLANT</v>
      </c>
      <c r="G135" s="9" t="str">
        <f>_xlfn.XLOOKUP(J135, 'Processed Non-zero DMR Data'!I:I, 'Processed Non-zero DMR Data'!C:C)</f>
        <v>NEVADA CITY</v>
      </c>
      <c r="H135" s="9" t="str">
        <f>_xlfn.XLOOKUP(J135, 'Processed Non-zero DMR Data'!I:I, 'Processed Non-zero DMR Data'!E:E)</f>
        <v>CA</v>
      </c>
      <c r="I135" s="12"/>
      <c r="J135" s="13">
        <v>110000519920</v>
      </c>
      <c r="K135" s="9" t="str">
        <f>IFERROR(INDEX('Raw Non-zero DMR Data'!$C:$C, MATCH(J135,'Raw Non-zero DMR Data'!$D:$D,0)),"")</f>
        <v>CA0079901</v>
      </c>
      <c r="L135" s="9" t="str">
        <f>IFERROR(INDEX('Raw Non-zero DMR Data'!$U:$U, MATCH($J135,'Raw Non-zero DMR Data'!$D:$D,0)),"")</f>
        <v>Little Deer Creek-Deer Creek</v>
      </c>
      <c r="M135" s="155">
        <f>IFERROR(INDEX('Raw Non-zero DMR Data'!$T:$T, MATCH($J135,'Raw Non-zero DMR Data'!$D:$D,0)),"")</f>
        <v>180201250802</v>
      </c>
      <c r="N135" s="155" t="str">
        <f>IFERROR(INDEX('Off-site Locations'!$E:$E,MATCH(I135,'Off-site Locations'!$B:$B,0)),"No offsite transfers")</f>
        <v>No offsite transfers</v>
      </c>
      <c r="O135" s="165">
        <f>INDEX('TRI and DMR OES Summary'!D:D,MATCH('Facility Discharge Summary'!D135,'TRI and DMR OES Summary'!A:A,0))</f>
        <v>365</v>
      </c>
      <c r="P135" s="17" cm="1">
        <f t="array" ref="P135">IFERROR(_xlfn.XLOOKUP(1,  (MAX(IF(J135 = 'Processed Non-zero DMR Data'!$I$2:$I$651,'Processed Non-zero DMR Data'!$A$2:$A$651)) = 'Processed Non-zero DMR Data'!$A$2:$A$651)*('Processed Non-zero DMR Data'!$I$2:$I$651 = J135),'Processed Non-zero DMR Data'!$W$2:$W$651), "N/A- Facility Does Not Report DMRs")</f>
        <v>2.7037890120000001E-2</v>
      </c>
      <c r="Q135" s="10">
        <f t="shared" si="49"/>
        <v>7.4076411287671238E-5</v>
      </c>
      <c r="R135" s="10" cm="1">
        <f t="array" ref="R135">IF(COUNTIF('Processed Non-zero DMR Data'!$I:$I,$J135)&gt;0,MEDIAN(IF('Processed Non-zero DMR Data'!$I:$I=J135,'Processed Non-zero DMR Data'!$W:$W)),"N/A - Facility Does Not Report DMRs")</f>
        <v>1.7167594220000002E-2</v>
      </c>
      <c r="S135" s="10">
        <f t="shared" si="50"/>
        <v>4.7034504712328772E-5</v>
      </c>
      <c r="T135" s="10">
        <f>IF(COUNTIF('Processed Non-zero DMR Data'!$I:$I,$J135)&gt;0,_xlfn.MAXIFS('Processed Non-zero DMR Data'!$W:$W,'Processed Non-zero DMR Data'!$I:$I,$J135), "N/A - Facility Does Not Report DMRs")</f>
        <v>2.7037890120000001E-2</v>
      </c>
      <c r="U135" s="10">
        <f t="shared" si="51"/>
        <v>7.4076411287671238E-5</v>
      </c>
      <c r="V135" s="158" cm="1">
        <f t="array" ref="V135">IF(COUNTIF('Processed Non-zero DMR Data'!$I:$I,$J135)&gt;0,INDEX('Processed Non-zero DMR Data'!$A:$A,MATCH(1,($J135='Processed Non-zero DMR Data'!$I:$I)*($T135='Processed Non-zero DMR Data'!$W:$W),0)), "N/A - Facility Does Not Report DMRs")</f>
        <v>2023</v>
      </c>
      <c r="W135" s="17" t="str" cm="1">
        <f t="array" ref="W135">IFERROR(_xlfn.XLOOKUP(1,  (MAX(IF(I135 = 'Processed Non-zero TRI Data'!$I$2:$I$6,'Processed Non-zero TRI Data'!$A$2:$A$6)) = 'Processed Non-zero TRI Data'!$A$2:$A$6)*('Processed Non-zero TRI Data'!$I$2:$I$6 = I135), 'Processed Non-zero TRI Data'!$T$2:$T$6), "N/A- Facility Does Not Report to TRI")</f>
        <v>N/A- Facility Does Not Report to TRI</v>
      </c>
      <c r="X135" s="10" t="str">
        <f t="shared" si="52"/>
        <v>N/A - Facility Does Not Report to TRI</v>
      </c>
      <c r="Y135" s="10" t="str" cm="1">
        <f t="array" ref="Y135">IF(COUNTIF('Processed Non-zero TRI Data'!$I:$I,$I135)&gt;0,MEDIAN(IF('Processed Non-zero TRI Data'!$I:$I=I135,'Processed Non-zero TRI Data'!$T:$T)), "N/A - Facility Does Not Report to TRI")</f>
        <v>N/A - Facility Does Not Report to TRI</v>
      </c>
      <c r="Z135" s="10" t="str">
        <f t="shared" si="53"/>
        <v>N/A - Facility Does Not Report to TRI</v>
      </c>
      <c r="AA135" s="10" t="str">
        <f>IF(COUNTIF('Processed Non-zero TRI Data'!$I:$I,$I135)&gt;0,_xlfn.MAXIFS('Processed Non-zero TRI Data'!$T:$T,'Processed Non-zero TRI Data'!$I:$I,$I135), "N/A - Facility Does Not Report to TRI")</f>
        <v>N/A - Facility Does Not Report to TRI</v>
      </c>
      <c r="AB135" s="10" t="str">
        <f t="shared" si="54"/>
        <v>N/A - Facility Does Not Report to TRI</v>
      </c>
      <c r="AC135" s="158" t="str" cm="1">
        <f t="array" ref="AC135">IFERROR(IF(B135 = "TRI Form R", IF(AA135 = 0, "Facility has no on-site water discharges between 2017-2022.",  IF(COUNTIF('Processed Non-zero TRI Data'!$I:$I,$I135)&gt;0,INDEX('Processed Non-zero TRI Data'!$A:$A,MATCH(1,($I135='Processed Non-zero TRI Data'!$I:$I)*(AA135='Processed Non-zero TRI Data'!$T:$T),0)))), VLOOKUP(I135,#REF!, 2, FALSE)), ("N/A - Facility Does Not Report to TRI"))</f>
        <v>N/A - Facility Does Not Report to TRI</v>
      </c>
      <c r="AD135" s="97" t="str" cm="1">
        <f t="array" ref="AD135">IFERROR(_xlfn.XLOOKUP(1,  (MAX(IF(I135 = 'Processed Non-zero TRI Data'!$I$2:$I$6,'Processed Non-zero TRI Data'!$A$2:$A$6)) = 'Processed Non-zero TRI Data'!$A$2:$A$6)*('Processed Non-zero TRI Data'!$I$2:$I$6 = I135), 'Processed Non-zero TRI Data'!$V$2:$V$6), "N/A- Facility Does Not Report to TRI")</f>
        <v>N/A- Facility Does Not Report to TRI</v>
      </c>
      <c r="AE135" s="9" t="str">
        <f t="shared" si="55"/>
        <v>N/A - Facility Does Not Report to TRI</v>
      </c>
      <c r="AF135" s="9" t="str" cm="1">
        <f t="array" ref="AF135">IF(COUNTIF('Processed Non-zero TRI Data'!$I:$I,$I135)&gt;0,MEDIAN(IF('Processed Non-zero TRI Data'!$I:$I=I135,'Processed Non-zero TRI Data'!$V:$V)), "N/A - Facility Does Not Report to TRI")</f>
        <v>N/A - Facility Does Not Report to TRI</v>
      </c>
      <c r="AG135" s="9" t="str">
        <f t="shared" si="56"/>
        <v>N/A - Facility Does Not Report to TRI</v>
      </c>
      <c r="AH135" s="9" t="str">
        <f>IF(COUNTIF('Processed Non-zero TRI Data'!$I:$I,$I135)&gt;0,_xlfn.MAXIFS('Processed Non-zero TRI Data'!$V:$V,'Processed Non-zero TRI Data'!$I:$I,$I135), "N/A - Facility Does Not Report to TRI")</f>
        <v>N/A - Facility Does Not Report to TRI</v>
      </c>
      <c r="AI135" s="9" t="str">
        <f t="shared" si="57"/>
        <v>N/A - Facility Does Not Report to TRI</v>
      </c>
      <c r="AJ135" s="158" t="str" cm="1">
        <f t="array" ref="AJ135">IF(B135="TRI Form A",AC135,IF(AH135=0,"Facility has no transfers to POTWs between 2019-2023.",IF(COUNTIF('Processed Non-zero TRI Data'!$I:$I,$I135)&gt;0,INDEX('Processed Non-zero TRI Data'!$A:$A,MATCH(1,($I135='Processed Non-zero TRI Data'!$I:$I)*(AH135='Processed Non-zero TRI Data'!$V:$V),0)),"N/A - Facility Does Not Report to TRI")))</f>
        <v>N/A - Facility Does Not Report to TRI</v>
      </c>
      <c r="AK135" s="97" t="str" cm="1">
        <f t="array" ref="AK135">IFERROR(_xlfn.XLOOKUP(1,  (MAX(IF(I135 = 'Processed Non-zero TRI Data'!$I$2:$I$6,'Processed Non-zero TRI Data'!$A$2:$A$6)) = 'Processed Non-zero TRI Data'!$A$2:$A$6)*('Processed Non-zero TRI Data'!$I$2:$I$6 = I135), 'Processed Non-zero TRI Data'!$X$2:$X$6), "N/A- Facility Does Not Report to TRI")</f>
        <v>N/A- Facility Does Not Report to TRI</v>
      </c>
      <c r="AL135" s="9" t="str">
        <f t="shared" si="58"/>
        <v>N/A - Facility Does Not Report to TRI</v>
      </c>
      <c r="AM135" s="9" t="str" cm="1">
        <f t="array" ref="AM135">IF(COUNTIF('Processed Non-zero TRI Data'!$I:$I,$I135)&gt;0,MEDIAN(IF('Processed Non-zero TRI Data'!$I:$I=I135,'Processed Non-zero TRI Data'!$X:$X)), "N/A - Facility Does Not Report to TRI")</f>
        <v>N/A - Facility Does Not Report to TRI</v>
      </c>
      <c r="AN135" s="9" t="str">
        <f t="shared" si="59"/>
        <v>N/A - Facility Does Not Report to TRI</v>
      </c>
      <c r="AO135" s="9" t="str">
        <f>IF(COUNTIF('Processed Non-zero TRI Data'!$I:$I,$I135)&gt;0,_xlfn.MAXIFS('Processed Non-zero TRI Data'!$X:$X,'Processed Non-zero TRI Data'!$I:$I,$I135), "N/A - Facility Does Not Report to TRI")</f>
        <v>N/A - Facility Does Not Report to TRI</v>
      </c>
      <c r="AP135" s="9" t="str">
        <f t="shared" si="60"/>
        <v>N/A - Facility Does Not Report to TRI</v>
      </c>
      <c r="AQ135" s="251" t="str" cm="1">
        <f t="array" ref="AQ135">IF(B135="TRI Form A",AC135,IF(AO135=0,"Facility has no transfers to non-POTWs between 2019-2023.",IF(COUNTIF('Processed Non-zero TRI Data'!$I:$I,$I135)&gt;0,INDEX('Processed Non-zero TRI Data'!$A:$A,MATCH(1,($I135='Processed Non-zero TRI Data'!$I:$I)*(AO135='Processed Non-zero TRI Data'!$X:$X),0)),"N/A - Facility Does Not Report to TRI")))</f>
        <v>N/A - Facility Does Not Report to TRI</v>
      </c>
      <c r="AR135" s="260">
        <f t="shared" si="61"/>
        <v>0</v>
      </c>
      <c r="AS135" s="260">
        <f t="shared" si="62"/>
        <v>2.7037890120000001E-2</v>
      </c>
    </row>
    <row r="136" spans="1:45" ht="30" x14ac:dyDescent="0.25">
      <c r="A136" s="12">
        <v>133</v>
      </c>
      <c r="B136" s="10" t="str">
        <f>IFERROR("TRI Form "&amp; VLOOKUP(I136, 'Processed Non-zero TRI Data'!$I$2:$K$6, 3, FALSE), "DMR")</f>
        <v>DMR</v>
      </c>
      <c r="C136" s="181" t="e">
        <f>VLOOKUP(D136,#REF!, 2, FALSE)</f>
        <v>#REF!</v>
      </c>
      <c r="D136" s="181" t="str">
        <f>IF(I136&lt;&gt;"",INDEX('Processed Non-zero TRI Data'!$O:$O,MATCH(I136,'Processed Non-zero TRI Data'!$I:$I,0)),INDEX('Processed Non-zero DMR Data'!$S:$S,MATCH(J136,'Processed Non-zero DMR Data'!$I:$I,0)))</f>
        <v>Waste Handling, Disposal and Treatment (POTW)</v>
      </c>
      <c r="E136" s="181" t="str">
        <f>IF(I136&lt;&gt;"",INDEX('Processed Non-zero TRI Data'!$P:$P,MATCH(I136,'Processed Non-zero TRI Data'!$I:$I,0)),INDEX('Processed Non-zero DMR Data'!$T:$T,MATCH(J136,'Processed Non-zero DMR Data'!$I:$I,0)))</f>
        <v>POTW indicator in DMR</v>
      </c>
      <c r="F136" s="9" t="str">
        <f>_xlfn.XLOOKUP(J136, 'Processed Non-zero DMR Data'!I:I, 'Processed Non-zero DMR Data'!B:B)</f>
        <v>PADUCAH/MCCRACKEN COUNTY JSA - REIDLAND</v>
      </c>
      <c r="G136" s="9" t="str">
        <f>_xlfn.XLOOKUP(J136, 'Processed Non-zero DMR Data'!I:I, 'Processed Non-zero DMR Data'!C:C)</f>
        <v>REIDLAND</v>
      </c>
      <c r="H136" s="9" t="str">
        <f>_xlfn.XLOOKUP(J136, 'Processed Non-zero DMR Data'!I:I, 'Processed Non-zero DMR Data'!E:E)</f>
        <v>KY</v>
      </c>
      <c r="I136" s="12"/>
      <c r="J136" s="13">
        <v>110006367136</v>
      </c>
      <c r="K136" s="9" t="str">
        <f>IFERROR(INDEX('Raw Non-zero DMR Data'!$C:$C, MATCH(J136,'Raw Non-zero DMR Data'!$D:$D,0)),"")</f>
        <v>KY0025810</v>
      </c>
      <c r="L136" s="9" t="str">
        <f>IFERROR(INDEX('Raw Non-zero DMR Data'!$U:$U, MATCH($J136,'Raw Non-zero DMR Data'!$D:$D,0)),"")</f>
        <v>White Oak Creek-Tennessee River</v>
      </c>
      <c r="M136" s="155" t="str">
        <f>IFERROR(INDEX('Raw Non-zero DMR Data'!$T:$T, MATCH($J136,'Raw Non-zero DMR Data'!$D:$D,0)),"")</f>
        <v>060400060505</v>
      </c>
      <c r="N136" s="155" t="str">
        <f>IFERROR(INDEX('Off-site Locations'!$E:$E,MATCH(I136,'Off-site Locations'!$B:$B,0)),"No offsite transfers")</f>
        <v>No offsite transfers</v>
      </c>
      <c r="O136" s="165">
        <f>INDEX('TRI and DMR OES Summary'!D:D,MATCH('Facility Discharge Summary'!D136,'TRI and DMR OES Summary'!A:A,0))</f>
        <v>365</v>
      </c>
      <c r="P136" s="17" cm="1">
        <f t="array" ref="P136">IFERROR(_xlfn.XLOOKUP(1,  (MAX(IF(J136 = 'Processed Non-zero DMR Data'!$I$2:$I$651,'Processed Non-zero DMR Data'!$A$2:$A$651)) = 'Processed Non-zero DMR Data'!$A$2:$A$651)*('Processed Non-zero DMR Data'!$I$2:$I$651 = J136),'Processed Non-zero DMR Data'!$W$2:$W$651), "N/A- Facility Does Not Report DMRs")</f>
        <v>0.8178628</v>
      </c>
      <c r="Q136" s="10">
        <f t="shared" si="49"/>
        <v>2.2407199999999999E-3</v>
      </c>
      <c r="R136" s="10" cm="1">
        <f t="array" ref="R136">IF(COUNTIF('Processed Non-zero DMR Data'!$I:$I,$J136)&gt;0,MEDIAN(IF('Processed Non-zero DMR Data'!$I:$I=J136,'Processed Non-zero DMR Data'!$W:$W)),"N/A - Facility Does Not Report DMRs")</f>
        <v>0.73013596250000001</v>
      </c>
      <c r="S136" s="10">
        <f t="shared" si="50"/>
        <v>2.0003725E-3</v>
      </c>
      <c r="T136" s="10">
        <f>IF(COUNTIF('Processed Non-zero DMR Data'!$I:$I,$J136)&gt;0,_xlfn.MAXIFS('Processed Non-zero DMR Data'!$W:$W,'Processed Non-zero DMR Data'!$I:$I,$J136), "N/A - Facility Does Not Report DMRs")</f>
        <v>0.8178628</v>
      </c>
      <c r="U136" s="10">
        <f t="shared" si="51"/>
        <v>2.2407199999999999E-3</v>
      </c>
      <c r="V136" s="158" cm="1">
        <f t="array" ref="V136">IF(COUNTIF('Processed Non-zero DMR Data'!$I:$I,$J136)&gt;0,INDEX('Processed Non-zero DMR Data'!$A:$A,MATCH(1,($J136='Processed Non-zero DMR Data'!$I:$I)*($T136='Processed Non-zero DMR Data'!$W:$W),0)), "N/A - Facility Does Not Report DMRs")</f>
        <v>2023</v>
      </c>
      <c r="W136" s="17" t="str" cm="1">
        <f t="array" ref="W136">IFERROR(_xlfn.XLOOKUP(1,  (MAX(IF(I136 = 'Processed Non-zero TRI Data'!$I$2:$I$6,'Processed Non-zero TRI Data'!$A$2:$A$6)) = 'Processed Non-zero TRI Data'!$A$2:$A$6)*('Processed Non-zero TRI Data'!$I$2:$I$6 = I136), 'Processed Non-zero TRI Data'!$T$2:$T$6), "N/A- Facility Does Not Report to TRI")</f>
        <v>N/A- Facility Does Not Report to TRI</v>
      </c>
      <c r="X136" s="10" t="str">
        <f t="shared" si="52"/>
        <v>N/A - Facility Does Not Report to TRI</v>
      </c>
      <c r="Y136" s="10" t="str" cm="1">
        <f t="array" ref="Y136">IF(COUNTIF('Processed Non-zero TRI Data'!$I:$I,$I136)&gt;0,MEDIAN(IF('Processed Non-zero TRI Data'!$I:$I=I136,'Processed Non-zero TRI Data'!$T:$T)), "N/A - Facility Does Not Report to TRI")</f>
        <v>N/A - Facility Does Not Report to TRI</v>
      </c>
      <c r="Z136" s="10" t="str">
        <f t="shared" si="53"/>
        <v>N/A - Facility Does Not Report to TRI</v>
      </c>
      <c r="AA136" s="10" t="str">
        <f>IF(COUNTIF('Processed Non-zero TRI Data'!$I:$I,$I136)&gt;0,_xlfn.MAXIFS('Processed Non-zero TRI Data'!$T:$T,'Processed Non-zero TRI Data'!$I:$I,$I136), "N/A - Facility Does Not Report to TRI")</f>
        <v>N/A - Facility Does Not Report to TRI</v>
      </c>
      <c r="AB136" s="10" t="str">
        <f t="shared" si="54"/>
        <v>N/A - Facility Does Not Report to TRI</v>
      </c>
      <c r="AC136" s="158" t="str" cm="1">
        <f t="array" ref="AC136">IFERROR(IF(B136 = "TRI Form R", IF(AA136 = 0, "Facility has no on-site water discharges between 2017-2022.",  IF(COUNTIF('Processed Non-zero TRI Data'!$I:$I,$I136)&gt;0,INDEX('Processed Non-zero TRI Data'!$A:$A,MATCH(1,($I136='Processed Non-zero TRI Data'!$I:$I)*(AA136='Processed Non-zero TRI Data'!$T:$T),0)))), VLOOKUP(I136,#REF!, 2, FALSE)), ("N/A - Facility Does Not Report to TRI"))</f>
        <v>N/A - Facility Does Not Report to TRI</v>
      </c>
      <c r="AD136" s="97" t="str" cm="1">
        <f t="array" ref="AD136">IFERROR(_xlfn.XLOOKUP(1,  (MAX(IF(I136 = 'Processed Non-zero TRI Data'!$I$2:$I$6,'Processed Non-zero TRI Data'!$A$2:$A$6)) = 'Processed Non-zero TRI Data'!$A$2:$A$6)*('Processed Non-zero TRI Data'!$I$2:$I$6 = I136), 'Processed Non-zero TRI Data'!$V$2:$V$6), "N/A- Facility Does Not Report to TRI")</f>
        <v>N/A- Facility Does Not Report to TRI</v>
      </c>
      <c r="AE136" s="9" t="str">
        <f t="shared" si="55"/>
        <v>N/A - Facility Does Not Report to TRI</v>
      </c>
      <c r="AF136" s="9" t="str" cm="1">
        <f t="array" ref="AF136">IF(COUNTIF('Processed Non-zero TRI Data'!$I:$I,$I136)&gt;0,MEDIAN(IF('Processed Non-zero TRI Data'!$I:$I=I136,'Processed Non-zero TRI Data'!$V:$V)), "N/A - Facility Does Not Report to TRI")</f>
        <v>N/A - Facility Does Not Report to TRI</v>
      </c>
      <c r="AG136" s="9" t="str">
        <f t="shared" si="56"/>
        <v>N/A - Facility Does Not Report to TRI</v>
      </c>
      <c r="AH136" s="9" t="str">
        <f>IF(COUNTIF('Processed Non-zero TRI Data'!$I:$I,$I136)&gt;0,_xlfn.MAXIFS('Processed Non-zero TRI Data'!$V:$V,'Processed Non-zero TRI Data'!$I:$I,$I136), "N/A - Facility Does Not Report to TRI")</f>
        <v>N/A - Facility Does Not Report to TRI</v>
      </c>
      <c r="AI136" s="9" t="str">
        <f t="shared" si="57"/>
        <v>N/A - Facility Does Not Report to TRI</v>
      </c>
      <c r="AJ136" s="158" t="str" cm="1">
        <f t="array" ref="AJ136">IF(B136="TRI Form A",AC136,IF(AH136=0,"Facility has no transfers to POTWs between 2019-2023.",IF(COUNTIF('Processed Non-zero TRI Data'!$I:$I,$I136)&gt;0,INDEX('Processed Non-zero TRI Data'!$A:$A,MATCH(1,($I136='Processed Non-zero TRI Data'!$I:$I)*(AH136='Processed Non-zero TRI Data'!$V:$V),0)),"N/A - Facility Does Not Report to TRI")))</f>
        <v>N/A - Facility Does Not Report to TRI</v>
      </c>
      <c r="AK136" s="97" t="str" cm="1">
        <f t="array" ref="AK136">IFERROR(_xlfn.XLOOKUP(1,  (MAX(IF(I136 = 'Processed Non-zero TRI Data'!$I$2:$I$6,'Processed Non-zero TRI Data'!$A$2:$A$6)) = 'Processed Non-zero TRI Data'!$A$2:$A$6)*('Processed Non-zero TRI Data'!$I$2:$I$6 = I136), 'Processed Non-zero TRI Data'!$X$2:$X$6), "N/A- Facility Does Not Report to TRI")</f>
        <v>N/A- Facility Does Not Report to TRI</v>
      </c>
      <c r="AL136" s="9" t="str">
        <f t="shared" si="58"/>
        <v>N/A - Facility Does Not Report to TRI</v>
      </c>
      <c r="AM136" s="9" t="str" cm="1">
        <f t="array" ref="AM136">IF(COUNTIF('Processed Non-zero TRI Data'!$I:$I,$I136)&gt;0,MEDIAN(IF('Processed Non-zero TRI Data'!$I:$I=I136,'Processed Non-zero TRI Data'!$X:$X)), "N/A - Facility Does Not Report to TRI")</f>
        <v>N/A - Facility Does Not Report to TRI</v>
      </c>
      <c r="AN136" s="9" t="str">
        <f t="shared" si="59"/>
        <v>N/A - Facility Does Not Report to TRI</v>
      </c>
      <c r="AO136" s="9" t="str">
        <f>IF(COUNTIF('Processed Non-zero TRI Data'!$I:$I,$I136)&gt;0,_xlfn.MAXIFS('Processed Non-zero TRI Data'!$X:$X,'Processed Non-zero TRI Data'!$I:$I,$I136), "N/A - Facility Does Not Report to TRI")</f>
        <v>N/A - Facility Does Not Report to TRI</v>
      </c>
      <c r="AP136" s="9" t="str">
        <f t="shared" si="60"/>
        <v>N/A - Facility Does Not Report to TRI</v>
      </c>
      <c r="AQ136" s="251" t="str" cm="1">
        <f t="array" ref="AQ136">IF(B136="TRI Form A",AC136,IF(AO136=0,"Facility has no transfers to non-POTWs between 2019-2023.",IF(COUNTIF('Processed Non-zero TRI Data'!$I:$I,$I136)&gt;0,INDEX('Processed Non-zero TRI Data'!$A:$A,MATCH(1,($I136='Processed Non-zero TRI Data'!$I:$I)*(AO136='Processed Non-zero TRI Data'!$X:$X),0)),"N/A - Facility Does Not Report to TRI")))</f>
        <v>N/A - Facility Does Not Report to TRI</v>
      </c>
      <c r="AR136" s="260">
        <f t="shared" si="61"/>
        <v>0</v>
      </c>
      <c r="AS136" s="260">
        <f t="shared" si="62"/>
        <v>0.8178628</v>
      </c>
    </row>
    <row r="137" spans="1:45" ht="30" x14ac:dyDescent="0.25">
      <c r="A137" s="12">
        <v>134</v>
      </c>
      <c r="B137" s="10" t="str">
        <f>IFERROR("TRI Form "&amp; VLOOKUP(I137, 'Processed Non-zero TRI Data'!$I$2:$K$6, 3, FALSE), "DMR")</f>
        <v>DMR</v>
      </c>
      <c r="C137" s="181" t="e">
        <f>VLOOKUP(D137,#REF!, 2, FALSE)</f>
        <v>#REF!</v>
      </c>
      <c r="D137" s="181" t="str">
        <f>IF(I137&lt;&gt;"",INDEX('Processed Non-zero TRI Data'!$O:$O,MATCH(I137,'Processed Non-zero TRI Data'!$I:$I,0)),INDEX('Processed Non-zero DMR Data'!$S:$S,MATCH(J137,'Processed Non-zero DMR Data'!$I:$I,0)))</f>
        <v>Waste Handling, Disposal and Treatment (POTW)</v>
      </c>
      <c r="E137" s="181" t="str">
        <f>IF(I137&lt;&gt;"",INDEX('Processed Non-zero TRI Data'!$P:$P,MATCH(I137,'Processed Non-zero TRI Data'!$I:$I,0)),INDEX('Processed Non-zero DMR Data'!$T:$T,MATCH(J137,'Processed Non-zero DMR Data'!$I:$I,0)))</f>
        <v>POTW indicator in DMR</v>
      </c>
      <c r="F137" s="9" t="str">
        <f>_xlfn.XLOOKUP(J137, 'Processed Non-zero DMR Data'!I:I, 'Processed Non-zero DMR Data'!B:B)</f>
        <v>BATH COUNTY INDUSTRIAL PARK</v>
      </c>
      <c r="G137" s="9" t="str">
        <f>_xlfn.XLOOKUP(J137, 'Processed Non-zero DMR Data'!I:I, 'Processed Non-zero DMR Data'!C:C)</f>
        <v>OWINGSVILLE</v>
      </c>
      <c r="H137" s="9" t="str">
        <f>_xlfn.XLOOKUP(J137, 'Processed Non-zero DMR Data'!I:I, 'Processed Non-zero DMR Data'!E:E)</f>
        <v>KY</v>
      </c>
      <c r="I137" s="12"/>
      <c r="J137" s="13">
        <v>110030443544</v>
      </c>
      <c r="K137" s="9" t="str">
        <f>IFERROR(INDEX('Raw Non-zero DMR Data'!$C:$C, MATCH(J137,'Raw Non-zero DMR Data'!$D:$D,0)),"")</f>
        <v>KY0106887</v>
      </c>
      <c r="L137" s="9" t="str">
        <f>IFERROR(INDEX('Raw Non-zero DMR Data'!$U:$U, MATCH($J137,'Raw Non-zero DMR Data'!$D:$D,0)),"")</f>
        <v>Mill Creek-Slate Creek</v>
      </c>
      <c r="M137" s="155" t="str">
        <f>IFERROR(INDEX('Raw Non-zero DMR Data'!$T:$T, MATCH($J137,'Raw Non-zero DMR Data'!$D:$D,0)),"")</f>
        <v>051001010704</v>
      </c>
      <c r="N137" s="155" t="str">
        <f>IFERROR(INDEX('Off-site Locations'!$E:$E,MATCH(I137,'Off-site Locations'!$B:$B,0)),"No offsite transfers")</f>
        <v>No offsite transfers</v>
      </c>
      <c r="O137" s="165">
        <f>INDEX('TRI and DMR OES Summary'!D:D,MATCH('Facility Discharge Summary'!D137,'TRI and DMR OES Summary'!A:A,0))</f>
        <v>365</v>
      </c>
      <c r="P137" s="17" cm="1">
        <f t="array" ref="P137">IFERROR(_xlfn.XLOOKUP(1,  (MAX(IF(J137 = 'Processed Non-zero DMR Data'!$I$2:$I$651,'Processed Non-zero DMR Data'!$A$2:$A$651)) = 'Processed Non-zero DMR Data'!$A$2:$A$651)*('Processed Non-zero DMR Data'!$I$2:$I$651 = J137),'Processed Non-zero DMR Data'!$W$2:$W$651), "N/A- Facility Does Not Report DMRs")</f>
        <v>8.6345312499999993E-2</v>
      </c>
      <c r="Q137" s="10">
        <f t="shared" si="49"/>
        <v>2.3656249999999998E-4</v>
      </c>
      <c r="R137" s="10" cm="1">
        <f t="array" ref="R137">IF(COUNTIF('Processed Non-zero DMR Data'!$I:$I,$J137)&gt;0,MEDIAN(IF('Processed Non-zero DMR Data'!$I:$I=J137,'Processed Non-zero DMR Data'!$W:$W)),"N/A - Facility Does Not Report DMRs")</f>
        <v>8.6345312499999993E-2</v>
      </c>
      <c r="S137" s="10">
        <f t="shared" si="50"/>
        <v>2.3656249999999998E-4</v>
      </c>
      <c r="T137" s="10">
        <f>IF(COUNTIF('Processed Non-zero DMR Data'!$I:$I,$J137)&gt;0,_xlfn.MAXIFS('Processed Non-zero DMR Data'!$W:$W,'Processed Non-zero DMR Data'!$I:$I,$J137), "N/A - Facility Does Not Report DMRs")</f>
        <v>8.6345312499999993E-2</v>
      </c>
      <c r="U137" s="10">
        <f t="shared" si="51"/>
        <v>2.3656249999999998E-4</v>
      </c>
      <c r="V137" s="158" cm="1">
        <f t="array" ref="V137">IF(COUNTIF('Processed Non-zero DMR Data'!$I:$I,$J137)&gt;0,INDEX('Processed Non-zero DMR Data'!$A:$A,MATCH(1,($J137='Processed Non-zero DMR Data'!$I:$I)*($T137='Processed Non-zero DMR Data'!$W:$W),0)), "N/A - Facility Does Not Report DMRs")</f>
        <v>2020</v>
      </c>
      <c r="W137" s="17" t="str" cm="1">
        <f t="array" ref="W137">IFERROR(_xlfn.XLOOKUP(1,  (MAX(IF(I137 = 'Processed Non-zero TRI Data'!$I$2:$I$6,'Processed Non-zero TRI Data'!$A$2:$A$6)) = 'Processed Non-zero TRI Data'!$A$2:$A$6)*('Processed Non-zero TRI Data'!$I$2:$I$6 = I137), 'Processed Non-zero TRI Data'!$T$2:$T$6), "N/A- Facility Does Not Report to TRI")</f>
        <v>N/A- Facility Does Not Report to TRI</v>
      </c>
      <c r="X137" s="10" t="str">
        <f t="shared" si="52"/>
        <v>N/A - Facility Does Not Report to TRI</v>
      </c>
      <c r="Y137" s="10" t="str" cm="1">
        <f t="array" ref="Y137">IF(COUNTIF('Processed Non-zero TRI Data'!$I:$I,$I137)&gt;0,MEDIAN(IF('Processed Non-zero TRI Data'!$I:$I=I137,'Processed Non-zero TRI Data'!$T:$T)), "N/A - Facility Does Not Report to TRI")</f>
        <v>N/A - Facility Does Not Report to TRI</v>
      </c>
      <c r="Z137" s="10" t="str">
        <f t="shared" si="53"/>
        <v>N/A - Facility Does Not Report to TRI</v>
      </c>
      <c r="AA137" s="10" t="str">
        <f>IF(COUNTIF('Processed Non-zero TRI Data'!$I:$I,$I137)&gt;0,_xlfn.MAXIFS('Processed Non-zero TRI Data'!$T:$T,'Processed Non-zero TRI Data'!$I:$I,$I137), "N/A - Facility Does Not Report to TRI")</f>
        <v>N/A - Facility Does Not Report to TRI</v>
      </c>
      <c r="AB137" s="10" t="str">
        <f t="shared" si="54"/>
        <v>N/A - Facility Does Not Report to TRI</v>
      </c>
      <c r="AC137" s="158" t="str" cm="1">
        <f t="array" ref="AC137">IFERROR(IF(B137 = "TRI Form R", IF(AA137 = 0, "Facility has no on-site water discharges between 2017-2022.",  IF(COUNTIF('Processed Non-zero TRI Data'!$I:$I,$I137)&gt;0,INDEX('Processed Non-zero TRI Data'!$A:$A,MATCH(1,($I137='Processed Non-zero TRI Data'!$I:$I)*(AA137='Processed Non-zero TRI Data'!$T:$T),0)))), VLOOKUP(I137,#REF!, 2, FALSE)), ("N/A - Facility Does Not Report to TRI"))</f>
        <v>N/A - Facility Does Not Report to TRI</v>
      </c>
      <c r="AD137" s="97" t="str" cm="1">
        <f t="array" ref="AD137">IFERROR(_xlfn.XLOOKUP(1,  (MAX(IF(I137 = 'Processed Non-zero TRI Data'!$I$2:$I$6,'Processed Non-zero TRI Data'!$A$2:$A$6)) = 'Processed Non-zero TRI Data'!$A$2:$A$6)*('Processed Non-zero TRI Data'!$I$2:$I$6 = I137), 'Processed Non-zero TRI Data'!$V$2:$V$6), "N/A- Facility Does Not Report to TRI")</f>
        <v>N/A- Facility Does Not Report to TRI</v>
      </c>
      <c r="AE137" s="9" t="str">
        <f t="shared" si="55"/>
        <v>N/A - Facility Does Not Report to TRI</v>
      </c>
      <c r="AF137" s="9" t="str" cm="1">
        <f t="array" ref="AF137">IF(COUNTIF('Processed Non-zero TRI Data'!$I:$I,$I137)&gt;0,MEDIAN(IF('Processed Non-zero TRI Data'!$I:$I=I137,'Processed Non-zero TRI Data'!$V:$V)), "N/A - Facility Does Not Report to TRI")</f>
        <v>N/A - Facility Does Not Report to TRI</v>
      </c>
      <c r="AG137" s="9" t="str">
        <f t="shared" si="56"/>
        <v>N/A - Facility Does Not Report to TRI</v>
      </c>
      <c r="AH137" s="9" t="str">
        <f>IF(COUNTIF('Processed Non-zero TRI Data'!$I:$I,$I137)&gt;0,_xlfn.MAXIFS('Processed Non-zero TRI Data'!$V:$V,'Processed Non-zero TRI Data'!$I:$I,$I137), "N/A - Facility Does Not Report to TRI")</f>
        <v>N/A - Facility Does Not Report to TRI</v>
      </c>
      <c r="AI137" s="9" t="str">
        <f t="shared" si="57"/>
        <v>N/A - Facility Does Not Report to TRI</v>
      </c>
      <c r="AJ137" s="158" t="str" cm="1">
        <f t="array" ref="AJ137">IF(B137="TRI Form A",AC137,IF(AH137=0,"Facility has no transfers to POTWs between 2019-2023.",IF(COUNTIF('Processed Non-zero TRI Data'!$I:$I,$I137)&gt;0,INDEX('Processed Non-zero TRI Data'!$A:$A,MATCH(1,($I137='Processed Non-zero TRI Data'!$I:$I)*(AH137='Processed Non-zero TRI Data'!$V:$V),0)),"N/A - Facility Does Not Report to TRI")))</f>
        <v>N/A - Facility Does Not Report to TRI</v>
      </c>
      <c r="AK137" s="97" t="str" cm="1">
        <f t="array" ref="AK137">IFERROR(_xlfn.XLOOKUP(1,  (MAX(IF(I137 = 'Processed Non-zero TRI Data'!$I$2:$I$6,'Processed Non-zero TRI Data'!$A$2:$A$6)) = 'Processed Non-zero TRI Data'!$A$2:$A$6)*('Processed Non-zero TRI Data'!$I$2:$I$6 = I137), 'Processed Non-zero TRI Data'!$X$2:$X$6), "N/A- Facility Does Not Report to TRI")</f>
        <v>N/A- Facility Does Not Report to TRI</v>
      </c>
      <c r="AL137" s="9" t="str">
        <f t="shared" si="58"/>
        <v>N/A - Facility Does Not Report to TRI</v>
      </c>
      <c r="AM137" s="9" t="str" cm="1">
        <f t="array" ref="AM137">IF(COUNTIF('Processed Non-zero TRI Data'!$I:$I,$I137)&gt;0,MEDIAN(IF('Processed Non-zero TRI Data'!$I:$I=I137,'Processed Non-zero TRI Data'!$X:$X)), "N/A - Facility Does Not Report to TRI")</f>
        <v>N/A - Facility Does Not Report to TRI</v>
      </c>
      <c r="AN137" s="9" t="str">
        <f t="shared" si="59"/>
        <v>N/A - Facility Does Not Report to TRI</v>
      </c>
      <c r="AO137" s="9" t="str">
        <f>IF(COUNTIF('Processed Non-zero TRI Data'!$I:$I,$I137)&gt;0,_xlfn.MAXIFS('Processed Non-zero TRI Data'!$X:$X,'Processed Non-zero TRI Data'!$I:$I,$I137), "N/A - Facility Does Not Report to TRI")</f>
        <v>N/A - Facility Does Not Report to TRI</v>
      </c>
      <c r="AP137" s="9" t="str">
        <f t="shared" si="60"/>
        <v>N/A - Facility Does Not Report to TRI</v>
      </c>
      <c r="AQ137" s="251" t="str" cm="1">
        <f t="array" ref="AQ137">IF(B137="TRI Form A",AC137,IF(AO137=0,"Facility has no transfers to non-POTWs between 2019-2023.",IF(COUNTIF('Processed Non-zero TRI Data'!$I:$I,$I137)&gt;0,INDEX('Processed Non-zero TRI Data'!$A:$A,MATCH(1,($I137='Processed Non-zero TRI Data'!$I:$I)*(AO137='Processed Non-zero TRI Data'!$X:$X),0)),"N/A - Facility Does Not Report to TRI")))</f>
        <v>N/A - Facility Does Not Report to TRI</v>
      </c>
      <c r="AR137" s="260">
        <f t="shared" si="61"/>
        <v>0</v>
      </c>
      <c r="AS137" s="260">
        <f t="shared" si="62"/>
        <v>8.6345312499999993E-2</v>
      </c>
    </row>
    <row r="138" spans="1:45" ht="30" x14ac:dyDescent="0.25">
      <c r="A138" s="12">
        <v>135</v>
      </c>
      <c r="B138" s="10" t="str">
        <f>IFERROR("TRI Form "&amp; VLOOKUP(I138, 'Processed Non-zero TRI Data'!$I$2:$K$6, 3, FALSE), "DMR")</f>
        <v>DMR</v>
      </c>
      <c r="C138" s="181" t="e">
        <f>VLOOKUP(D138,#REF!, 2, FALSE)</f>
        <v>#REF!</v>
      </c>
      <c r="D138" s="181" t="str">
        <f>IF(I138&lt;&gt;"",INDEX('Processed Non-zero TRI Data'!$O:$O,MATCH(I138,'Processed Non-zero TRI Data'!$I:$I,0)),INDEX('Processed Non-zero DMR Data'!$S:$S,MATCH(J138,'Processed Non-zero DMR Data'!$I:$I,0)))</f>
        <v>Waste Handling, Disposal and Treatment (POTW)</v>
      </c>
      <c r="E138" s="181" t="str">
        <f>IF(I138&lt;&gt;"",INDEX('Processed Non-zero TRI Data'!$P:$P,MATCH(I138,'Processed Non-zero TRI Data'!$I:$I,0)),INDEX('Processed Non-zero DMR Data'!$T:$T,MATCH(J138,'Processed Non-zero DMR Data'!$I:$I,0)))</f>
        <v>POTW indicator in DMR</v>
      </c>
      <c r="F138" s="9" t="str">
        <f>_xlfn.XLOOKUP(J138, 'Processed Non-zero DMR Data'!I:I, 'Processed Non-zero DMR Data'!B:B)</f>
        <v>VERSAILLES STP</v>
      </c>
      <c r="G138" s="9" t="str">
        <f>_xlfn.XLOOKUP(J138, 'Processed Non-zero DMR Data'!I:I, 'Processed Non-zero DMR Data'!C:C)</f>
        <v>VERSAILLES</v>
      </c>
      <c r="H138" s="9" t="str">
        <f>_xlfn.XLOOKUP(J138, 'Processed Non-zero DMR Data'!I:I, 'Processed Non-zero DMR Data'!E:E)</f>
        <v>KY</v>
      </c>
      <c r="I138" s="12"/>
      <c r="J138" s="13">
        <v>110000732226</v>
      </c>
      <c r="K138" s="9" t="str">
        <f>IFERROR(INDEX('Raw Non-zero DMR Data'!$C:$C, MATCH(J138,'Raw Non-zero DMR Data'!$D:$D,0)),"")</f>
        <v>KY0020621</v>
      </c>
      <c r="L138" s="9" t="str">
        <f>IFERROR(INDEX('Raw Non-zero DMR Data'!$U:$U, MATCH($J138,'Raw Non-zero DMR Data'!$D:$D,0)),"")</f>
        <v>Glenns Creek</v>
      </c>
      <c r="M138" s="155" t="str">
        <f>IFERROR(INDEX('Raw Non-zero DMR Data'!$T:$T, MATCH($J138,'Raw Non-zero DMR Data'!$D:$D,0)),"")</f>
        <v>051002050709</v>
      </c>
      <c r="N138" s="155" t="str">
        <f>IFERROR(INDEX('Off-site Locations'!$E:$E,MATCH(I138,'Off-site Locations'!$B:$B,0)),"No offsite transfers")</f>
        <v>No offsite transfers</v>
      </c>
      <c r="O138" s="165">
        <f>INDEX('TRI and DMR OES Summary'!D:D,MATCH('Facility Discharge Summary'!D138,'TRI and DMR OES Summary'!A:A,0))</f>
        <v>365</v>
      </c>
      <c r="P138" s="17" cm="1">
        <f t="array" ref="P138">IFERROR(_xlfn.XLOOKUP(1,  (MAX(IF(J138 = 'Processed Non-zero DMR Data'!$I$2:$I$651,'Processed Non-zero DMR Data'!$A$2:$A$651)) = 'Processed Non-zero DMR Data'!$A$2:$A$651)*('Processed Non-zero DMR Data'!$I$2:$I$651 = J138),'Processed Non-zero DMR Data'!$W$2:$W$651), "N/A- Facility Does Not Report DMRs")</f>
        <v>5.636622</v>
      </c>
      <c r="Q138" s="10">
        <f t="shared" si="49"/>
        <v>1.54428E-2</v>
      </c>
      <c r="R138" s="10" cm="1">
        <f t="array" ref="R138">IF(COUNTIF('Processed Non-zero DMR Data'!$I:$I,$J138)&gt;0,MEDIAN(IF('Processed Non-zero DMR Data'!$I:$I=J138,'Processed Non-zero DMR Data'!$W:$W)),"N/A - Facility Does Not Report DMRs")</f>
        <v>5.636622</v>
      </c>
      <c r="S138" s="10">
        <f t="shared" si="50"/>
        <v>1.54428E-2</v>
      </c>
      <c r="T138" s="10">
        <f>IF(COUNTIF('Processed Non-zero DMR Data'!$I:$I,$J138)&gt;0,_xlfn.MAXIFS('Processed Non-zero DMR Data'!$W:$W,'Processed Non-zero DMR Data'!$I:$I,$J138), "N/A - Facility Does Not Report DMRs")</f>
        <v>5.636622</v>
      </c>
      <c r="U138" s="10">
        <f t="shared" si="51"/>
        <v>1.54428E-2</v>
      </c>
      <c r="V138" s="158" cm="1">
        <f t="array" ref="V138">IF(COUNTIF('Processed Non-zero DMR Data'!$I:$I,$J138)&gt;0,INDEX('Processed Non-zero DMR Data'!$A:$A,MATCH(1,($J138='Processed Non-zero DMR Data'!$I:$I)*($T138='Processed Non-zero DMR Data'!$W:$W),0)), "N/A - Facility Does Not Report DMRs")</f>
        <v>2020</v>
      </c>
      <c r="W138" s="17" t="str" cm="1">
        <f t="array" ref="W138">IFERROR(_xlfn.XLOOKUP(1,  (MAX(IF(I138 = 'Processed Non-zero TRI Data'!$I$2:$I$6,'Processed Non-zero TRI Data'!$A$2:$A$6)) = 'Processed Non-zero TRI Data'!$A$2:$A$6)*('Processed Non-zero TRI Data'!$I$2:$I$6 = I138), 'Processed Non-zero TRI Data'!$T$2:$T$6), "N/A- Facility Does Not Report to TRI")</f>
        <v>N/A- Facility Does Not Report to TRI</v>
      </c>
      <c r="X138" s="10" t="str">
        <f t="shared" si="52"/>
        <v>N/A - Facility Does Not Report to TRI</v>
      </c>
      <c r="Y138" s="10" t="str" cm="1">
        <f t="array" ref="Y138">IF(COUNTIF('Processed Non-zero TRI Data'!$I:$I,$I138)&gt;0,MEDIAN(IF('Processed Non-zero TRI Data'!$I:$I=I138,'Processed Non-zero TRI Data'!$T:$T)), "N/A - Facility Does Not Report to TRI")</f>
        <v>N/A - Facility Does Not Report to TRI</v>
      </c>
      <c r="Z138" s="10" t="str">
        <f t="shared" si="53"/>
        <v>N/A - Facility Does Not Report to TRI</v>
      </c>
      <c r="AA138" s="10" t="str">
        <f>IF(COUNTIF('Processed Non-zero TRI Data'!$I:$I,$I138)&gt;0,_xlfn.MAXIFS('Processed Non-zero TRI Data'!$T:$T,'Processed Non-zero TRI Data'!$I:$I,$I138), "N/A - Facility Does Not Report to TRI")</f>
        <v>N/A - Facility Does Not Report to TRI</v>
      </c>
      <c r="AB138" s="10" t="str">
        <f t="shared" si="54"/>
        <v>N/A - Facility Does Not Report to TRI</v>
      </c>
      <c r="AC138" s="158" t="str" cm="1">
        <f t="array" ref="AC138">IFERROR(IF(B138 = "TRI Form R", IF(AA138 = 0, "Facility has no on-site water discharges between 2017-2022.",  IF(COUNTIF('Processed Non-zero TRI Data'!$I:$I,$I138)&gt;0,INDEX('Processed Non-zero TRI Data'!$A:$A,MATCH(1,($I138='Processed Non-zero TRI Data'!$I:$I)*(AA138='Processed Non-zero TRI Data'!$T:$T),0)))), VLOOKUP(I138,#REF!, 2, FALSE)), ("N/A - Facility Does Not Report to TRI"))</f>
        <v>N/A - Facility Does Not Report to TRI</v>
      </c>
      <c r="AD138" s="97" t="str" cm="1">
        <f t="array" ref="AD138">IFERROR(_xlfn.XLOOKUP(1,  (MAX(IF(I138 = 'Processed Non-zero TRI Data'!$I$2:$I$6,'Processed Non-zero TRI Data'!$A$2:$A$6)) = 'Processed Non-zero TRI Data'!$A$2:$A$6)*('Processed Non-zero TRI Data'!$I$2:$I$6 = I138), 'Processed Non-zero TRI Data'!$V$2:$V$6), "N/A- Facility Does Not Report to TRI")</f>
        <v>N/A- Facility Does Not Report to TRI</v>
      </c>
      <c r="AE138" s="9" t="str">
        <f t="shared" si="55"/>
        <v>N/A - Facility Does Not Report to TRI</v>
      </c>
      <c r="AF138" s="9" t="str" cm="1">
        <f t="array" ref="AF138">IF(COUNTIF('Processed Non-zero TRI Data'!$I:$I,$I138)&gt;0,MEDIAN(IF('Processed Non-zero TRI Data'!$I:$I=I138,'Processed Non-zero TRI Data'!$V:$V)), "N/A - Facility Does Not Report to TRI")</f>
        <v>N/A - Facility Does Not Report to TRI</v>
      </c>
      <c r="AG138" s="9" t="str">
        <f t="shared" si="56"/>
        <v>N/A - Facility Does Not Report to TRI</v>
      </c>
      <c r="AH138" s="9" t="str">
        <f>IF(COUNTIF('Processed Non-zero TRI Data'!$I:$I,$I138)&gt;0,_xlfn.MAXIFS('Processed Non-zero TRI Data'!$V:$V,'Processed Non-zero TRI Data'!$I:$I,$I138), "N/A - Facility Does Not Report to TRI")</f>
        <v>N/A - Facility Does Not Report to TRI</v>
      </c>
      <c r="AI138" s="9" t="str">
        <f t="shared" si="57"/>
        <v>N/A - Facility Does Not Report to TRI</v>
      </c>
      <c r="AJ138" s="158" t="str" cm="1">
        <f t="array" ref="AJ138">IF(B138="TRI Form A",AC138,IF(AH138=0,"Facility has no transfers to POTWs between 2019-2023.",IF(COUNTIF('Processed Non-zero TRI Data'!$I:$I,$I138)&gt;0,INDEX('Processed Non-zero TRI Data'!$A:$A,MATCH(1,($I138='Processed Non-zero TRI Data'!$I:$I)*(AH138='Processed Non-zero TRI Data'!$V:$V),0)),"N/A - Facility Does Not Report to TRI")))</f>
        <v>N/A - Facility Does Not Report to TRI</v>
      </c>
      <c r="AK138" s="97" t="str" cm="1">
        <f t="array" ref="AK138">IFERROR(_xlfn.XLOOKUP(1,  (MAX(IF(I138 = 'Processed Non-zero TRI Data'!$I$2:$I$6,'Processed Non-zero TRI Data'!$A$2:$A$6)) = 'Processed Non-zero TRI Data'!$A$2:$A$6)*('Processed Non-zero TRI Data'!$I$2:$I$6 = I138), 'Processed Non-zero TRI Data'!$X$2:$X$6), "N/A- Facility Does Not Report to TRI")</f>
        <v>N/A- Facility Does Not Report to TRI</v>
      </c>
      <c r="AL138" s="9" t="str">
        <f t="shared" si="58"/>
        <v>N/A - Facility Does Not Report to TRI</v>
      </c>
      <c r="AM138" s="9" t="str" cm="1">
        <f t="array" ref="AM138">IF(COUNTIF('Processed Non-zero TRI Data'!$I:$I,$I138)&gt;0,MEDIAN(IF('Processed Non-zero TRI Data'!$I:$I=I138,'Processed Non-zero TRI Data'!$X:$X)), "N/A - Facility Does Not Report to TRI")</f>
        <v>N/A - Facility Does Not Report to TRI</v>
      </c>
      <c r="AN138" s="9" t="str">
        <f t="shared" si="59"/>
        <v>N/A - Facility Does Not Report to TRI</v>
      </c>
      <c r="AO138" s="9" t="str">
        <f>IF(COUNTIF('Processed Non-zero TRI Data'!$I:$I,$I138)&gt;0,_xlfn.MAXIFS('Processed Non-zero TRI Data'!$X:$X,'Processed Non-zero TRI Data'!$I:$I,$I138), "N/A - Facility Does Not Report to TRI")</f>
        <v>N/A - Facility Does Not Report to TRI</v>
      </c>
      <c r="AP138" s="9" t="str">
        <f t="shared" si="60"/>
        <v>N/A - Facility Does Not Report to TRI</v>
      </c>
      <c r="AQ138" s="251" t="str" cm="1">
        <f t="array" ref="AQ138">IF(B138="TRI Form A",AC138,IF(AO138=0,"Facility has no transfers to non-POTWs between 2019-2023.",IF(COUNTIF('Processed Non-zero TRI Data'!$I:$I,$I138)&gt;0,INDEX('Processed Non-zero TRI Data'!$A:$A,MATCH(1,($I138='Processed Non-zero TRI Data'!$I:$I)*(AO138='Processed Non-zero TRI Data'!$X:$X),0)),"N/A - Facility Does Not Report to TRI")))</f>
        <v>N/A - Facility Does Not Report to TRI</v>
      </c>
      <c r="AR138" s="260">
        <f t="shared" si="61"/>
        <v>0</v>
      </c>
      <c r="AS138" s="260">
        <f t="shared" si="62"/>
        <v>5.636622</v>
      </c>
    </row>
    <row r="139" spans="1:45" ht="30" x14ac:dyDescent="0.25">
      <c r="A139" s="12">
        <v>136</v>
      </c>
      <c r="B139" s="10" t="str">
        <f>IFERROR("TRI Form "&amp; VLOOKUP(I139, 'Processed Non-zero TRI Data'!$I$2:$K$6, 3, FALSE), "DMR")</f>
        <v>DMR</v>
      </c>
      <c r="C139" s="181" t="e">
        <f>VLOOKUP(D139,#REF!, 2, FALSE)</f>
        <v>#REF!</v>
      </c>
      <c r="D139" s="181" t="str">
        <f>IF(I139&lt;&gt;"",INDEX('Processed Non-zero TRI Data'!$O:$O,MATCH(I139,'Processed Non-zero TRI Data'!$I:$I,0)),INDEX('Processed Non-zero DMR Data'!$S:$S,MATCH(J139,'Processed Non-zero DMR Data'!$I:$I,0)))</f>
        <v>Waste Handling, Disposal and Treatment (POTW)</v>
      </c>
      <c r="E139" s="181" t="str">
        <f>IF(I139&lt;&gt;"",INDEX('Processed Non-zero TRI Data'!$P:$P,MATCH(I139,'Processed Non-zero TRI Data'!$I:$I,0)),INDEX('Processed Non-zero DMR Data'!$T:$T,MATCH(J139,'Processed Non-zero DMR Data'!$I:$I,0)))</f>
        <v>POTW indicator in DMR</v>
      </c>
      <c r="F139" s="9" t="str">
        <f>_xlfn.XLOOKUP(J139, 'Processed Non-zero DMR Data'!I:I, 'Processed Non-zero DMR Data'!B:B)</f>
        <v>DEER CREEK WWTP</v>
      </c>
      <c r="G139" s="9" t="str">
        <f>_xlfn.XLOOKUP(J139, 'Processed Non-zero DMR Data'!I:I, 'Processed Non-zero DMR Data'!C:C)</f>
        <v>CAMERON PARK</v>
      </c>
      <c r="H139" s="9" t="str">
        <f>_xlfn.XLOOKUP(J139, 'Processed Non-zero DMR Data'!I:I, 'Processed Non-zero DMR Data'!E:E)</f>
        <v>CA</v>
      </c>
      <c r="I139" s="12"/>
      <c r="J139" s="13">
        <v>110070619860</v>
      </c>
      <c r="K139" s="9" t="str">
        <f>IFERROR(INDEX('Raw Non-zero DMR Data'!$C:$C, MATCH(J139,'Raw Non-zero DMR Data'!$D:$D,0)),"")</f>
        <v>CAC433255</v>
      </c>
      <c r="L139" s="9" t="str">
        <f>IFERROR(INDEX('Raw Non-zero DMR Data'!$U:$U, MATCH($J139,'Raw Non-zero DMR Data'!$D:$D,0)),"")</f>
        <v>Upper Deer Creek</v>
      </c>
      <c r="M139" s="155">
        <f>IFERROR(INDEX('Raw Non-zero DMR Data'!$T:$T, MATCH($J139,'Raw Non-zero DMR Data'!$D:$D,0)),"")</f>
        <v>180400130502</v>
      </c>
      <c r="N139" s="155" t="str">
        <f>IFERROR(INDEX('Off-site Locations'!$E:$E,MATCH(I139,'Off-site Locations'!$B:$B,0)),"No offsite transfers")</f>
        <v>No offsite transfers</v>
      </c>
      <c r="O139" s="165">
        <f>INDEX('TRI and DMR OES Summary'!D:D,MATCH('Facility Discharge Summary'!D139,'TRI and DMR OES Summary'!A:A,0))</f>
        <v>365</v>
      </c>
      <c r="P139" s="17" cm="1">
        <f t="array" ref="P139">IFERROR(_xlfn.XLOOKUP(1,  (MAX(IF(J139 = 'Processed Non-zero DMR Data'!$I$2:$I$651,'Processed Non-zero DMR Data'!$A$2:$A$651)) = 'Processed Non-zero DMR Data'!$A$2:$A$651)*('Processed Non-zero DMR Data'!$I$2:$I$651 = J139),'Processed Non-zero DMR Data'!$W$2:$W$651), "N/A- Facility Does Not Report DMRs")</f>
        <v>7.6614228899999998E-2</v>
      </c>
      <c r="Q139" s="10">
        <f t="shared" si="49"/>
        <v>2.0990199698630137E-4</v>
      </c>
      <c r="R139" s="10" cm="1">
        <f t="array" ref="R139">IF(COUNTIF('Processed Non-zero DMR Data'!$I:$I,$J139)&gt;0,MEDIAN(IF('Processed Non-zero DMR Data'!$I:$I=J139,'Processed Non-zero DMR Data'!$W:$W)),"N/A - Facility Does Not Report DMRs")</f>
        <v>5.4107596950000003E-2</v>
      </c>
      <c r="S139" s="10">
        <f t="shared" si="50"/>
        <v>1.4823999164383564E-4</v>
      </c>
      <c r="T139" s="10">
        <f>IF(COUNTIF('Processed Non-zero DMR Data'!$I:$I,$J139)&gt;0,_xlfn.MAXIFS('Processed Non-zero DMR Data'!$W:$W,'Processed Non-zero DMR Data'!$I:$I,$J139), "N/A - Facility Does Not Report DMRs")</f>
        <v>7.6614228899999998E-2</v>
      </c>
      <c r="U139" s="10">
        <f t="shared" si="51"/>
        <v>2.0990199698630137E-4</v>
      </c>
      <c r="V139" s="158" cm="1">
        <f t="array" ref="V139">IF(COUNTIF('Processed Non-zero DMR Data'!$I:$I,$J139)&gt;0,INDEX('Processed Non-zero DMR Data'!$A:$A,MATCH(1,($J139='Processed Non-zero DMR Data'!$I:$I)*($T139='Processed Non-zero DMR Data'!$W:$W),0)), "N/A - Facility Does Not Report DMRs")</f>
        <v>2021</v>
      </c>
      <c r="W139" s="17" t="str" cm="1">
        <f t="array" ref="W139">IFERROR(_xlfn.XLOOKUP(1,  (MAX(IF(I139 = 'Processed Non-zero TRI Data'!$I$2:$I$6,'Processed Non-zero TRI Data'!$A$2:$A$6)) = 'Processed Non-zero TRI Data'!$A$2:$A$6)*('Processed Non-zero TRI Data'!$I$2:$I$6 = I139), 'Processed Non-zero TRI Data'!$T$2:$T$6), "N/A- Facility Does Not Report to TRI")</f>
        <v>N/A- Facility Does Not Report to TRI</v>
      </c>
      <c r="X139" s="10" t="str">
        <f t="shared" si="52"/>
        <v>N/A - Facility Does Not Report to TRI</v>
      </c>
      <c r="Y139" s="10" t="str" cm="1">
        <f t="array" ref="Y139">IF(COUNTIF('Processed Non-zero TRI Data'!$I:$I,$I139)&gt;0,MEDIAN(IF('Processed Non-zero TRI Data'!$I:$I=I139,'Processed Non-zero TRI Data'!$T:$T)), "N/A - Facility Does Not Report to TRI")</f>
        <v>N/A - Facility Does Not Report to TRI</v>
      </c>
      <c r="Z139" s="10" t="str">
        <f t="shared" si="53"/>
        <v>N/A - Facility Does Not Report to TRI</v>
      </c>
      <c r="AA139" s="10" t="str">
        <f>IF(COUNTIF('Processed Non-zero TRI Data'!$I:$I,$I139)&gt;0,_xlfn.MAXIFS('Processed Non-zero TRI Data'!$T:$T,'Processed Non-zero TRI Data'!$I:$I,$I139), "N/A - Facility Does Not Report to TRI")</f>
        <v>N/A - Facility Does Not Report to TRI</v>
      </c>
      <c r="AB139" s="10" t="str">
        <f t="shared" si="54"/>
        <v>N/A - Facility Does Not Report to TRI</v>
      </c>
      <c r="AC139" s="158" t="str" cm="1">
        <f t="array" ref="AC139">IFERROR(IF(B139 = "TRI Form R", IF(AA139 = 0, "Facility has no on-site water discharges between 2017-2022.",  IF(COUNTIF('Processed Non-zero TRI Data'!$I:$I,$I139)&gt;0,INDEX('Processed Non-zero TRI Data'!$A:$A,MATCH(1,($I139='Processed Non-zero TRI Data'!$I:$I)*(AA139='Processed Non-zero TRI Data'!$T:$T),0)))), VLOOKUP(I139,#REF!, 2, FALSE)), ("N/A - Facility Does Not Report to TRI"))</f>
        <v>N/A - Facility Does Not Report to TRI</v>
      </c>
      <c r="AD139" s="97" t="str" cm="1">
        <f t="array" ref="AD139">IFERROR(_xlfn.XLOOKUP(1,  (MAX(IF(I139 = 'Processed Non-zero TRI Data'!$I$2:$I$6,'Processed Non-zero TRI Data'!$A$2:$A$6)) = 'Processed Non-zero TRI Data'!$A$2:$A$6)*('Processed Non-zero TRI Data'!$I$2:$I$6 = I139), 'Processed Non-zero TRI Data'!$V$2:$V$6), "N/A- Facility Does Not Report to TRI")</f>
        <v>N/A- Facility Does Not Report to TRI</v>
      </c>
      <c r="AE139" s="9" t="str">
        <f t="shared" si="55"/>
        <v>N/A - Facility Does Not Report to TRI</v>
      </c>
      <c r="AF139" s="9" t="str" cm="1">
        <f t="array" ref="AF139">IF(COUNTIF('Processed Non-zero TRI Data'!$I:$I,$I139)&gt;0,MEDIAN(IF('Processed Non-zero TRI Data'!$I:$I=I139,'Processed Non-zero TRI Data'!$V:$V)), "N/A - Facility Does Not Report to TRI")</f>
        <v>N/A - Facility Does Not Report to TRI</v>
      </c>
      <c r="AG139" s="9" t="str">
        <f t="shared" si="56"/>
        <v>N/A - Facility Does Not Report to TRI</v>
      </c>
      <c r="AH139" s="9" t="str">
        <f>IF(COUNTIF('Processed Non-zero TRI Data'!$I:$I,$I139)&gt;0,_xlfn.MAXIFS('Processed Non-zero TRI Data'!$V:$V,'Processed Non-zero TRI Data'!$I:$I,$I139), "N/A - Facility Does Not Report to TRI")</f>
        <v>N/A - Facility Does Not Report to TRI</v>
      </c>
      <c r="AI139" s="9" t="str">
        <f t="shared" si="57"/>
        <v>N/A - Facility Does Not Report to TRI</v>
      </c>
      <c r="AJ139" s="158" t="str" cm="1">
        <f t="array" ref="AJ139">IF(B139="TRI Form A",AC139,IF(AH139=0,"Facility has no transfers to POTWs between 2019-2023.",IF(COUNTIF('Processed Non-zero TRI Data'!$I:$I,$I139)&gt;0,INDEX('Processed Non-zero TRI Data'!$A:$A,MATCH(1,($I139='Processed Non-zero TRI Data'!$I:$I)*(AH139='Processed Non-zero TRI Data'!$V:$V),0)),"N/A - Facility Does Not Report to TRI")))</f>
        <v>N/A - Facility Does Not Report to TRI</v>
      </c>
      <c r="AK139" s="97" t="str" cm="1">
        <f t="array" ref="AK139">IFERROR(_xlfn.XLOOKUP(1,  (MAX(IF(I139 = 'Processed Non-zero TRI Data'!$I$2:$I$6,'Processed Non-zero TRI Data'!$A$2:$A$6)) = 'Processed Non-zero TRI Data'!$A$2:$A$6)*('Processed Non-zero TRI Data'!$I$2:$I$6 = I139), 'Processed Non-zero TRI Data'!$X$2:$X$6), "N/A- Facility Does Not Report to TRI")</f>
        <v>N/A- Facility Does Not Report to TRI</v>
      </c>
      <c r="AL139" s="9" t="str">
        <f t="shared" si="58"/>
        <v>N/A - Facility Does Not Report to TRI</v>
      </c>
      <c r="AM139" s="9" t="str" cm="1">
        <f t="array" ref="AM139">IF(COUNTIF('Processed Non-zero TRI Data'!$I:$I,$I139)&gt;0,MEDIAN(IF('Processed Non-zero TRI Data'!$I:$I=I139,'Processed Non-zero TRI Data'!$X:$X)), "N/A - Facility Does Not Report to TRI")</f>
        <v>N/A - Facility Does Not Report to TRI</v>
      </c>
      <c r="AN139" s="9" t="str">
        <f t="shared" si="59"/>
        <v>N/A - Facility Does Not Report to TRI</v>
      </c>
      <c r="AO139" s="9" t="str">
        <f>IF(COUNTIF('Processed Non-zero TRI Data'!$I:$I,$I139)&gt;0,_xlfn.MAXIFS('Processed Non-zero TRI Data'!$X:$X,'Processed Non-zero TRI Data'!$I:$I,$I139), "N/A - Facility Does Not Report to TRI")</f>
        <v>N/A - Facility Does Not Report to TRI</v>
      </c>
      <c r="AP139" s="9" t="str">
        <f t="shared" si="60"/>
        <v>N/A - Facility Does Not Report to TRI</v>
      </c>
      <c r="AQ139" s="251" t="str" cm="1">
        <f t="array" ref="AQ139">IF(B139="TRI Form A",AC139,IF(AO139=0,"Facility has no transfers to non-POTWs between 2019-2023.",IF(COUNTIF('Processed Non-zero TRI Data'!$I:$I,$I139)&gt;0,INDEX('Processed Non-zero TRI Data'!$A:$A,MATCH(1,($I139='Processed Non-zero TRI Data'!$I:$I)*(AO139='Processed Non-zero TRI Data'!$X:$X),0)),"N/A - Facility Does Not Report to TRI")))</f>
        <v>N/A - Facility Does Not Report to TRI</v>
      </c>
      <c r="AR139" s="260">
        <f t="shared" si="61"/>
        <v>0</v>
      </c>
      <c r="AS139" s="260">
        <f t="shared" si="62"/>
        <v>7.6614228899999998E-2</v>
      </c>
    </row>
    <row r="140" spans="1:45" ht="30" x14ac:dyDescent="0.25">
      <c r="A140" s="12">
        <v>137</v>
      </c>
      <c r="B140" s="10" t="str">
        <f>IFERROR("TRI Form "&amp; VLOOKUP(I140, 'Processed Non-zero TRI Data'!$I$2:$K$6, 3, FALSE), "DMR")</f>
        <v>DMR</v>
      </c>
      <c r="C140" s="181" t="e">
        <f>VLOOKUP(D140,#REF!, 2, FALSE)</f>
        <v>#REF!</v>
      </c>
      <c r="D140" s="181" t="str">
        <f>IF(I140&lt;&gt;"",INDEX('Processed Non-zero TRI Data'!$O:$O,MATCH(I140,'Processed Non-zero TRI Data'!$I:$I,0)),INDEX('Processed Non-zero DMR Data'!$S:$S,MATCH(J140,'Processed Non-zero DMR Data'!$I:$I,0)))</f>
        <v>Waste Handling, Disposal and Treatment (non-POTW WWT)</v>
      </c>
      <c r="E140" s="181" t="str">
        <f>IF(I140&lt;&gt;"",INDEX('Processed Non-zero TRI Data'!$P:$P,MATCH(I140,'Processed Non-zero TRI Data'!$I:$I,0)),INDEX('Processed Non-zero DMR Data'!$T:$T,MATCH(J140,'Processed Non-zero DMR Data'!$I:$I,0)))</f>
        <v>WWT (consistent with 1,1-DCA); per facility type flag, this is a federal establishment so classified as non-POTW WWT.</v>
      </c>
      <c r="F140" s="9" t="str">
        <f>_xlfn.XLOOKUP(J140, 'Processed Non-zero DMR Data'!I:I, 'Processed Non-zero DMR Data'!B:B)</f>
        <v>US MARINE CORPS BASE HAWAII</v>
      </c>
      <c r="G140" s="9" t="str">
        <f>_xlfn.XLOOKUP(J140, 'Processed Non-zero DMR Data'!I:I, 'Processed Non-zero DMR Data'!C:C)</f>
        <v>M C B H KANEOHE BAY</v>
      </c>
      <c r="H140" s="9" t="str">
        <f>_xlfn.XLOOKUP(J140, 'Processed Non-zero DMR Data'!I:I, 'Processed Non-zero DMR Data'!E:E)</f>
        <v>HI</v>
      </c>
      <c r="I140" s="12"/>
      <c r="J140" s="13">
        <v>110041973460</v>
      </c>
      <c r="K140" s="9" t="str">
        <f>IFERROR(INDEX('Raw Non-zero DMR Data'!$C:$C, MATCH(J140,'Raw Non-zero DMR Data'!$D:$D,0)),"")</f>
        <v>HI0110078</v>
      </c>
      <c r="L140" s="9" t="str">
        <f>IFERROR(INDEX('Raw Non-zero DMR Data'!$U:$U, MATCH($J140,'Raw Non-zero DMR Data'!$D:$D,0)),"")</f>
        <v>Heeia Stream-Kaneohe Stream</v>
      </c>
      <c r="M140" s="155">
        <f>IFERROR(INDEX('Raw Non-zero DMR Data'!$T:$T, MATCH($J140,'Raw Non-zero DMR Data'!$D:$D,0)),"")</f>
        <v>200600000205</v>
      </c>
      <c r="N140" s="155" t="str">
        <f>IFERROR(INDEX('Off-site Locations'!$E:$E,MATCH(I140,'Off-site Locations'!$B:$B,0)),"No offsite transfers")</f>
        <v>No offsite transfers</v>
      </c>
      <c r="O140" s="165">
        <f>INDEX('TRI and DMR OES Summary'!D:D,MATCH('Facility Discharge Summary'!D140,'TRI and DMR OES Summary'!A:A,0))</f>
        <v>250</v>
      </c>
      <c r="P140" s="17" cm="1">
        <f t="array" ref="P140">IFERROR(_xlfn.XLOOKUP(1,  (MAX(IF(J140 = 'Processed Non-zero DMR Data'!$I$2:$I$651,'Processed Non-zero DMR Data'!$A$2:$A$651)) = 'Processed Non-zero DMR Data'!$A$2:$A$651)*('Processed Non-zero DMR Data'!$I$2:$I$651 = J140),'Processed Non-zero DMR Data'!$W$2:$W$651), "N/A- Facility Does Not Report DMRs")</f>
        <v>1.6523038999999999</v>
      </c>
      <c r="Q140" s="10">
        <f t="shared" si="49"/>
        <v>6.6092156000000001E-3</v>
      </c>
      <c r="R140" s="10" cm="1">
        <f t="array" ref="R140">IF(COUNTIF('Processed Non-zero DMR Data'!$I:$I,$J140)&gt;0,MEDIAN(IF('Processed Non-zero DMR Data'!$I:$I=J140,'Processed Non-zero DMR Data'!$W:$W)),"N/A - Facility Does Not Report DMRs")</f>
        <v>1.4723602687499999</v>
      </c>
      <c r="S140" s="10">
        <f t="shared" si="50"/>
        <v>5.8894410749999997E-3</v>
      </c>
      <c r="T140" s="10">
        <f>IF(COUNTIF('Processed Non-zero DMR Data'!$I:$I,$J140)&gt;0,_xlfn.MAXIFS('Processed Non-zero DMR Data'!$W:$W,'Processed Non-zero DMR Data'!$I:$I,$J140), "N/A - Facility Does Not Report DMRs")</f>
        <v>1.747629125</v>
      </c>
      <c r="U140" s="10">
        <f t="shared" si="51"/>
        <v>6.9905165000000002E-3</v>
      </c>
      <c r="V140" s="158" cm="1">
        <f t="array" ref="V140">IF(COUNTIF('Processed Non-zero DMR Data'!$I:$I,$J140)&gt;0,INDEX('Processed Non-zero DMR Data'!$A:$A,MATCH(1,($J140='Processed Non-zero DMR Data'!$I:$I)*($T140='Processed Non-zero DMR Data'!$W:$W),0)), "N/A - Facility Does Not Report DMRs")</f>
        <v>2021</v>
      </c>
      <c r="W140" s="17" t="str" cm="1">
        <f t="array" ref="W140">IFERROR(_xlfn.XLOOKUP(1,  (MAX(IF(I140 = 'Processed Non-zero TRI Data'!$I$2:$I$6,'Processed Non-zero TRI Data'!$A$2:$A$6)) = 'Processed Non-zero TRI Data'!$A$2:$A$6)*('Processed Non-zero TRI Data'!$I$2:$I$6 = I140), 'Processed Non-zero TRI Data'!$T$2:$T$6), "N/A- Facility Does Not Report to TRI")</f>
        <v>N/A- Facility Does Not Report to TRI</v>
      </c>
      <c r="X140" s="10" t="str">
        <f t="shared" si="52"/>
        <v>N/A - Facility Does Not Report to TRI</v>
      </c>
      <c r="Y140" s="10" t="str" cm="1">
        <f t="array" ref="Y140">IF(COUNTIF('Processed Non-zero TRI Data'!$I:$I,$I140)&gt;0,MEDIAN(IF('Processed Non-zero TRI Data'!$I:$I=I140,'Processed Non-zero TRI Data'!$T:$T)), "N/A - Facility Does Not Report to TRI")</f>
        <v>N/A - Facility Does Not Report to TRI</v>
      </c>
      <c r="Z140" s="10" t="str">
        <f t="shared" si="53"/>
        <v>N/A - Facility Does Not Report to TRI</v>
      </c>
      <c r="AA140" s="10" t="str">
        <f>IF(COUNTIF('Processed Non-zero TRI Data'!$I:$I,$I140)&gt;0,_xlfn.MAXIFS('Processed Non-zero TRI Data'!$T:$T,'Processed Non-zero TRI Data'!$I:$I,$I140), "N/A - Facility Does Not Report to TRI")</f>
        <v>N/A - Facility Does Not Report to TRI</v>
      </c>
      <c r="AB140" s="10" t="str">
        <f t="shared" si="54"/>
        <v>N/A - Facility Does Not Report to TRI</v>
      </c>
      <c r="AC140" s="158" t="str" cm="1">
        <f t="array" ref="AC140">IFERROR(IF(B140 = "TRI Form R", IF(AA140 = 0, "Facility has no on-site water discharges between 2017-2022.",  IF(COUNTIF('Processed Non-zero TRI Data'!$I:$I,$I140)&gt;0,INDEX('Processed Non-zero TRI Data'!$A:$A,MATCH(1,($I140='Processed Non-zero TRI Data'!$I:$I)*(AA140='Processed Non-zero TRI Data'!$T:$T),0)))), VLOOKUP(I140,#REF!, 2, FALSE)), ("N/A - Facility Does Not Report to TRI"))</f>
        <v>N/A - Facility Does Not Report to TRI</v>
      </c>
      <c r="AD140" s="97" t="str" cm="1">
        <f t="array" ref="AD140">IFERROR(_xlfn.XLOOKUP(1,  (MAX(IF(I140 = 'Processed Non-zero TRI Data'!$I$2:$I$6,'Processed Non-zero TRI Data'!$A$2:$A$6)) = 'Processed Non-zero TRI Data'!$A$2:$A$6)*('Processed Non-zero TRI Data'!$I$2:$I$6 = I140), 'Processed Non-zero TRI Data'!$V$2:$V$6), "N/A- Facility Does Not Report to TRI")</f>
        <v>N/A- Facility Does Not Report to TRI</v>
      </c>
      <c r="AE140" s="9" t="str">
        <f t="shared" si="55"/>
        <v>N/A - Facility Does Not Report to TRI</v>
      </c>
      <c r="AF140" s="9" t="str" cm="1">
        <f t="array" ref="AF140">IF(COUNTIF('Processed Non-zero TRI Data'!$I:$I,$I140)&gt;0,MEDIAN(IF('Processed Non-zero TRI Data'!$I:$I=I140,'Processed Non-zero TRI Data'!$V:$V)), "N/A - Facility Does Not Report to TRI")</f>
        <v>N/A - Facility Does Not Report to TRI</v>
      </c>
      <c r="AG140" s="9" t="str">
        <f t="shared" si="56"/>
        <v>N/A - Facility Does Not Report to TRI</v>
      </c>
      <c r="AH140" s="9" t="str">
        <f>IF(COUNTIF('Processed Non-zero TRI Data'!$I:$I,$I140)&gt;0,_xlfn.MAXIFS('Processed Non-zero TRI Data'!$V:$V,'Processed Non-zero TRI Data'!$I:$I,$I140), "N/A - Facility Does Not Report to TRI")</f>
        <v>N/A - Facility Does Not Report to TRI</v>
      </c>
      <c r="AI140" s="9" t="str">
        <f t="shared" si="57"/>
        <v>N/A - Facility Does Not Report to TRI</v>
      </c>
      <c r="AJ140" s="158" t="str" cm="1">
        <f t="array" ref="AJ140">IF(B140="TRI Form A",AC140,IF(AH140=0,"Facility has no transfers to POTWs between 2019-2023.",IF(COUNTIF('Processed Non-zero TRI Data'!$I:$I,$I140)&gt;0,INDEX('Processed Non-zero TRI Data'!$A:$A,MATCH(1,($I140='Processed Non-zero TRI Data'!$I:$I)*(AH140='Processed Non-zero TRI Data'!$V:$V),0)),"N/A - Facility Does Not Report to TRI")))</f>
        <v>N/A - Facility Does Not Report to TRI</v>
      </c>
      <c r="AK140" s="97" t="str" cm="1">
        <f t="array" ref="AK140">IFERROR(_xlfn.XLOOKUP(1,  (MAX(IF(I140 = 'Processed Non-zero TRI Data'!$I$2:$I$6,'Processed Non-zero TRI Data'!$A$2:$A$6)) = 'Processed Non-zero TRI Data'!$A$2:$A$6)*('Processed Non-zero TRI Data'!$I$2:$I$6 = I140), 'Processed Non-zero TRI Data'!$X$2:$X$6), "N/A- Facility Does Not Report to TRI")</f>
        <v>N/A- Facility Does Not Report to TRI</v>
      </c>
      <c r="AL140" s="9" t="str">
        <f t="shared" si="58"/>
        <v>N/A - Facility Does Not Report to TRI</v>
      </c>
      <c r="AM140" s="9" t="str" cm="1">
        <f t="array" ref="AM140">IF(COUNTIF('Processed Non-zero TRI Data'!$I:$I,$I140)&gt;0,MEDIAN(IF('Processed Non-zero TRI Data'!$I:$I=I140,'Processed Non-zero TRI Data'!$X:$X)), "N/A - Facility Does Not Report to TRI")</f>
        <v>N/A - Facility Does Not Report to TRI</v>
      </c>
      <c r="AN140" s="9" t="str">
        <f t="shared" si="59"/>
        <v>N/A - Facility Does Not Report to TRI</v>
      </c>
      <c r="AO140" s="9" t="str">
        <f>IF(COUNTIF('Processed Non-zero TRI Data'!$I:$I,$I140)&gt;0,_xlfn.MAXIFS('Processed Non-zero TRI Data'!$X:$X,'Processed Non-zero TRI Data'!$I:$I,$I140), "N/A - Facility Does Not Report to TRI")</f>
        <v>N/A - Facility Does Not Report to TRI</v>
      </c>
      <c r="AP140" s="9" t="str">
        <f t="shared" si="60"/>
        <v>N/A - Facility Does Not Report to TRI</v>
      </c>
      <c r="AQ140" s="251" t="str" cm="1">
        <f t="array" ref="AQ140">IF(B140="TRI Form A",AC140,IF(AO140=0,"Facility has no transfers to non-POTWs between 2019-2023.",IF(COUNTIF('Processed Non-zero TRI Data'!$I:$I,$I140)&gt;0,INDEX('Processed Non-zero TRI Data'!$A:$A,MATCH(1,($I140='Processed Non-zero TRI Data'!$I:$I)*(AO140='Processed Non-zero TRI Data'!$X:$X),0)),"N/A - Facility Does Not Report to TRI")))</f>
        <v>N/A - Facility Does Not Report to TRI</v>
      </c>
      <c r="AR140" s="260">
        <f t="shared" si="61"/>
        <v>0</v>
      </c>
      <c r="AS140" s="260">
        <f t="shared" si="62"/>
        <v>1.747629125</v>
      </c>
    </row>
    <row r="141" spans="1:45" ht="30" x14ac:dyDescent="0.25">
      <c r="A141" s="12">
        <v>138</v>
      </c>
      <c r="B141" s="10" t="str">
        <f>IFERROR("TRI Form "&amp; VLOOKUP(I141, 'Processed Non-zero TRI Data'!$I$2:$K$6, 3, FALSE), "DMR")</f>
        <v>DMR</v>
      </c>
      <c r="C141" s="181" t="e">
        <f>VLOOKUP(D141,#REF!, 2, FALSE)</f>
        <v>#REF!</v>
      </c>
      <c r="D141" s="181" t="str">
        <f>IF(I141&lt;&gt;"",INDEX('Processed Non-zero TRI Data'!$O:$O,MATCH(I141,'Processed Non-zero TRI Data'!$I:$I,0)),INDEX('Processed Non-zero DMR Data'!$S:$S,MATCH(J141,'Processed Non-zero DMR Data'!$I:$I,0)))</f>
        <v>Waste Handling, Disposal and Treatment (POTW)</v>
      </c>
      <c r="E141" s="181" t="str">
        <f>IF(I141&lt;&gt;"",INDEX('Processed Non-zero TRI Data'!$P:$P,MATCH(I141,'Processed Non-zero TRI Data'!$I:$I,0)),INDEX('Processed Non-zero DMR Data'!$T:$T,MATCH(J141,'Processed Non-zero DMR Data'!$I:$I,0)))</f>
        <v>POTW indicator in DMR</v>
      </c>
      <c r="F141" s="9" t="str">
        <f>_xlfn.XLOOKUP(J141, 'Processed Non-zero DMR Data'!I:I, 'Processed Non-zero DMR Data'!B:B)</f>
        <v>BENTON STP</v>
      </c>
      <c r="G141" s="9" t="str">
        <f>_xlfn.XLOOKUP(J141, 'Processed Non-zero DMR Data'!I:I, 'Processed Non-zero DMR Data'!C:C)</f>
        <v>BENTON</v>
      </c>
      <c r="H141" s="9" t="str">
        <f>_xlfn.XLOOKUP(J141, 'Processed Non-zero DMR Data'!I:I, 'Processed Non-zero DMR Data'!E:E)</f>
        <v>KY</v>
      </c>
      <c r="I141" s="12"/>
      <c r="J141" s="13">
        <v>110001855635</v>
      </c>
      <c r="K141" s="9" t="str">
        <f>IFERROR(INDEX('Raw Non-zero DMR Data'!$C:$C, MATCH(J141,'Raw Non-zero DMR Data'!$D:$D,0)),"")</f>
        <v>KY0021172</v>
      </c>
      <c r="L141" s="9" t="str">
        <f>IFERROR(INDEX('Raw Non-zero DMR Data'!$U:$U, MATCH($J141,'Raw Non-zero DMR Data'!$D:$D,0)),"")</f>
        <v>Watch Creek-Clarks River</v>
      </c>
      <c r="M141" s="155" t="str">
        <f>IFERROR(INDEX('Raw Non-zero DMR Data'!$T:$T, MATCH($J141,'Raw Non-zero DMR Data'!$D:$D,0)),"")</f>
        <v>060400060402</v>
      </c>
      <c r="N141" s="155" t="str">
        <f>IFERROR(INDEX('Off-site Locations'!$E:$E,MATCH(I141,'Off-site Locations'!$B:$B,0)),"No offsite transfers")</f>
        <v>No offsite transfers</v>
      </c>
      <c r="O141" s="165">
        <f>INDEX('TRI and DMR OES Summary'!D:D,MATCH('Facility Discharge Summary'!D141,'TRI and DMR OES Summary'!A:A,0))</f>
        <v>365</v>
      </c>
      <c r="P141" s="17" cm="1">
        <f t="array" ref="P141">IFERROR(_xlfn.XLOOKUP(1,  (MAX(IF(J141 = 'Processed Non-zero DMR Data'!$I$2:$I$651,'Processed Non-zero DMR Data'!$A$2:$A$651)) = 'Processed Non-zero DMR Data'!$A$2:$A$651)*('Processed Non-zero DMR Data'!$I$2:$I$651 = J141),'Processed Non-zero DMR Data'!$W$2:$W$651), "N/A- Facility Does Not Report DMRs")</f>
        <v>3.4641739375</v>
      </c>
      <c r="Q141" s="10">
        <f t="shared" si="49"/>
        <v>9.4908874999999997E-3</v>
      </c>
      <c r="R141" s="10" cm="1">
        <f t="array" ref="R141">IF(COUNTIF('Processed Non-zero DMR Data'!$I:$I,$J141)&gt;0,MEDIAN(IF('Processed Non-zero DMR Data'!$I:$I=J141,'Processed Non-zero DMR Data'!$W:$W)),"N/A - Facility Does Not Report DMRs")</f>
        <v>4.0568481624999997</v>
      </c>
      <c r="S141" s="10">
        <f t="shared" si="50"/>
        <v>1.1114652499999999E-2</v>
      </c>
      <c r="T141" s="10">
        <f>IF(COUNTIF('Processed Non-zero DMR Data'!$I:$I,$J141)&gt;0,_xlfn.MAXIFS('Processed Non-zero DMR Data'!$W:$W,'Processed Non-zero DMR Data'!$I:$I,$J141), "N/A - Facility Does Not Report DMRs")</f>
        <v>5.7747745000000004</v>
      </c>
      <c r="U141" s="10">
        <f t="shared" si="51"/>
        <v>1.58213E-2</v>
      </c>
      <c r="V141" s="158" cm="1">
        <f t="array" ref="V141">IF(COUNTIF('Processed Non-zero DMR Data'!$I:$I,$J141)&gt;0,INDEX('Processed Non-zero DMR Data'!$A:$A,MATCH(1,($J141='Processed Non-zero DMR Data'!$I:$I)*($T141='Processed Non-zero DMR Data'!$W:$W),0)), "N/A - Facility Does Not Report DMRs")</f>
        <v>2020</v>
      </c>
      <c r="W141" s="17" t="str" cm="1">
        <f t="array" ref="W141">IFERROR(_xlfn.XLOOKUP(1,  (MAX(IF(I141 = 'Processed Non-zero TRI Data'!$I$2:$I$6,'Processed Non-zero TRI Data'!$A$2:$A$6)) = 'Processed Non-zero TRI Data'!$A$2:$A$6)*('Processed Non-zero TRI Data'!$I$2:$I$6 = I141), 'Processed Non-zero TRI Data'!$T$2:$T$6), "N/A- Facility Does Not Report to TRI")</f>
        <v>N/A- Facility Does Not Report to TRI</v>
      </c>
      <c r="X141" s="10" t="str">
        <f t="shared" si="52"/>
        <v>N/A - Facility Does Not Report to TRI</v>
      </c>
      <c r="Y141" s="10" t="str" cm="1">
        <f t="array" ref="Y141">IF(COUNTIF('Processed Non-zero TRI Data'!$I:$I,$I141)&gt;0,MEDIAN(IF('Processed Non-zero TRI Data'!$I:$I=I141,'Processed Non-zero TRI Data'!$T:$T)), "N/A - Facility Does Not Report to TRI")</f>
        <v>N/A - Facility Does Not Report to TRI</v>
      </c>
      <c r="Z141" s="10" t="str">
        <f t="shared" si="53"/>
        <v>N/A - Facility Does Not Report to TRI</v>
      </c>
      <c r="AA141" s="10" t="str">
        <f>IF(COUNTIF('Processed Non-zero TRI Data'!$I:$I,$I141)&gt;0,_xlfn.MAXIFS('Processed Non-zero TRI Data'!$T:$T,'Processed Non-zero TRI Data'!$I:$I,$I141), "N/A - Facility Does Not Report to TRI")</f>
        <v>N/A - Facility Does Not Report to TRI</v>
      </c>
      <c r="AB141" s="10" t="str">
        <f t="shared" si="54"/>
        <v>N/A - Facility Does Not Report to TRI</v>
      </c>
      <c r="AC141" s="158" t="str" cm="1">
        <f t="array" ref="AC141">IFERROR(IF(B141 = "TRI Form R", IF(AA141 = 0, "Facility has no on-site water discharges between 2017-2022.",  IF(COUNTIF('Processed Non-zero TRI Data'!$I:$I,$I141)&gt;0,INDEX('Processed Non-zero TRI Data'!$A:$A,MATCH(1,($I141='Processed Non-zero TRI Data'!$I:$I)*(AA141='Processed Non-zero TRI Data'!$T:$T),0)))), VLOOKUP(I141,#REF!, 2, FALSE)), ("N/A - Facility Does Not Report to TRI"))</f>
        <v>N/A - Facility Does Not Report to TRI</v>
      </c>
      <c r="AD141" s="97" t="str" cm="1">
        <f t="array" ref="AD141">IFERROR(_xlfn.XLOOKUP(1,  (MAX(IF(I141 = 'Processed Non-zero TRI Data'!$I$2:$I$6,'Processed Non-zero TRI Data'!$A$2:$A$6)) = 'Processed Non-zero TRI Data'!$A$2:$A$6)*('Processed Non-zero TRI Data'!$I$2:$I$6 = I141), 'Processed Non-zero TRI Data'!$V$2:$V$6), "N/A- Facility Does Not Report to TRI")</f>
        <v>N/A- Facility Does Not Report to TRI</v>
      </c>
      <c r="AE141" s="9" t="str">
        <f t="shared" si="55"/>
        <v>N/A - Facility Does Not Report to TRI</v>
      </c>
      <c r="AF141" s="9" t="str" cm="1">
        <f t="array" ref="AF141">IF(COUNTIF('Processed Non-zero TRI Data'!$I:$I,$I141)&gt;0,MEDIAN(IF('Processed Non-zero TRI Data'!$I:$I=I141,'Processed Non-zero TRI Data'!$V:$V)), "N/A - Facility Does Not Report to TRI")</f>
        <v>N/A - Facility Does Not Report to TRI</v>
      </c>
      <c r="AG141" s="9" t="str">
        <f t="shared" si="56"/>
        <v>N/A - Facility Does Not Report to TRI</v>
      </c>
      <c r="AH141" s="9" t="str">
        <f>IF(COUNTIF('Processed Non-zero TRI Data'!$I:$I,$I141)&gt;0,_xlfn.MAXIFS('Processed Non-zero TRI Data'!$V:$V,'Processed Non-zero TRI Data'!$I:$I,$I141), "N/A - Facility Does Not Report to TRI")</f>
        <v>N/A - Facility Does Not Report to TRI</v>
      </c>
      <c r="AI141" s="9" t="str">
        <f t="shared" si="57"/>
        <v>N/A - Facility Does Not Report to TRI</v>
      </c>
      <c r="AJ141" s="158" t="str" cm="1">
        <f t="array" ref="AJ141">IF(B141="TRI Form A",AC141,IF(AH141=0,"Facility has no transfers to POTWs between 2019-2023.",IF(COUNTIF('Processed Non-zero TRI Data'!$I:$I,$I141)&gt;0,INDEX('Processed Non-zero TRI Data'!$A:$A,MATCH(1,($I141='Processed Non-zero TRI Data'!$I:$I)*(AH141='Processed Non-zero TRI Data'!$V:$V),0)),"N/A - Facility Does Not Report to TRI")))</f>
        <v>N/A - Facility Does Not Report to TRI</v>
      </c>
      <c r="AK141" s="97" t="str" cm="1">
        <f t="array" ref="AK141">IFERROR(_xlfn.XLOOKUP(1,  (MAX(IF(I141 = 'Processed Non-zero TRI Data'!$I$2:$I$6,'Processed Non-zero TRI Data'!$A$2:$A$6)) = 'Processed Non-zero TRI Data'!$A$2:$A$6)*('Processed Non-zero TRI Data'!$I$2:$I$6 = I141), 'Processed Non-zero TRI Data'!$X$2:$X$6), "N/A- Facility Does Not Report to TRI")</f>
        <v>N/A- Facility Does Not Report to TRI</v>
      </c>
      <c r="AL141" s="9" t="str">
        <f t="shared" si="58"/>
        <v>N/A - Facility Does Not Report to TRI</v>
      </c>
      <c r="AM141" s="9" t="str" cm="1">
        <f t="array" ref="AM141">IF(COUNTIF('Processed Non-zero TRI Data'!$I:$I,$I141)&gt;0,MEDIAN(IF('Processed Non-zero TRI Data'!$I:$I=I141,'Processed Non-zero TRI Data'!$X:$X)), "N/A - Facility Does Not Report to TRI")</f>
        <v>N/A - Facility Does Not Report to TRI</v>
      </c>
      <c r="AN141" s="9" t="str">
        <f t="shared" si="59"/>
        <v>N/A - Facility Does Not Report to TRI</v>
      </c>
      <c r="AO141" s="9" t="str">
        <f>IF(COUNTIF('Processed Non-zero TRI Data'!$I:$I,$I141)&gt;0,_xlfn.MAXIFS('Processed Non-zero TRI Data'!$X:$X,'Processed Non-zero TRI Data'!$I:$I,$I141), "N/A - Facility Does Not Report to TRI")</f>
        <v>N/A - Facility Does Not Report to TRI</v>
      </c>
      <c r="AP141" s="9" t="str">
        <f t="shared" si="60"/>
        <v>N/A - Facility Does Not Report to TRI</v>
      </c>
      <c r="AQ141" s="251" t="str" cm="1">
        <f t="array" ref="AQ141">IF(B141="TRI Form A",AC141,IF(AO141=0,"Facility has no transfers to non-POTWs between 2019-2023.",IF(COUNTIF('Processed Non-zero TRI Data'!$I:$I,$I141)&gt;0,INDEX('Processed Non-zero TRI Data'!$A:$A,MATCH(1,($I141='Processed Non-zero TRI Data'!$I:$I)*(AO141='Processed Non-zero TRI Data'!$X:$X),0)),"N/A - Facility Does Not Report to TRI")))</f>
        <v>N/A - Facility Does Not Report to TRI</v>
      </c>
      <c r="AR141" s="260">
        <f t="shared" si="61"/>
        <v>0</v>
      </c>
      <c r="AS141" s="260">
        <f t="shared" si="62"/>
        <v>5.7747745000000004</v>
      </c>
    </row>
    <row r="142" spans="1:45" ht="30" x14ac:dyDescent="0.25">
      <c r="A142" s="12">
        <v>139</v>
      </c>
      <c r="B142" s="10" t="str">
        <f>IFERROR("TRI Form "&amp; VLOOKUP(I142, 'Processed Non-zero TRI Data'!$I$2:$K$6, 3, FALSE), "DMR")</f>
        <v>DMR</v>
      </c>
      <c r="C142" s="181" t="e">
        <f>VLOOKUP(D142,#REF!, 2, FALSE)</f>
        <v>#REF!</v>
      </c>
      <c r="D142" s="181" t="str">
        <f>IF(I142&lt;&gt;"",INDEX('Processed Non-zero TRI Data'!$O:$O,MATCH(I142,'Processed Non-zero TRI Data'!$I:$I,0)),INDEX('Processed Non-zero DMR Data'!$S:$S,MATCH(J142,'Processed Non-zero DMR Data'!$I:$I,0)))</f>
        <v>Waste Handling, Disposal and Treatment (POTW)</v>
      </c>
      <c r="E142" s="181" t="str">
        <f>IF(I142&lt;&gt;"",INDEX('Processed Non-zero TRI Data'!$P:$P,MATCH(I142,'Processed Non-zero TRI Data'!$I:$I,0)),INDEX('Processed Non-zero DMR Data'!$T:$T,MATCH(J142,'Processed Non-zero DMR Data'!$I:$I,0)))</f>
        <v>POTW indicator in DMR</v>
      </c>
      <c r="F142" s="9" t="str">
        <f>_xlfn.XLOOKUP(J142, 'Processed Non-zero DMR Data'!I:I, 'Processed Non-zero DMR Data'!B:B)</f>
        <v>MORGANFIELD WWTP</v>
      </c>
      <c r="G142" s="9" t="str">
        <f>_xlfn.XLOOKUP(J142, 'Processed Non-zero DMR Data'!I:I, 'Processed Non-zero DMR Data'!C:C)</f>
        <v>MORGANFIELD</v>
      </c>
      <c r="H142" s="9" t="str">
        <f>_xlfn.XLOOKUP(J142, 'Processed Non-zero DMR Data'!I:I, 'Processed Non-zero DMR Data'!E:E)</f>
        <v>KY</v>
      </c>
      <c r="I142" s="12"/>
      <c r="J142" s="13">
        <v>110064612557</v>
      </c>
      <c r="K142" s="9" t="str">
        <f>IFERROR(INDEX('Raw Non-zero DMR Data'!$C:$C, MATCH(J142,'Raw Non-zero DMR Data'!$D:$D,0)),"")</f>
        <v>KY0021440</v>
      </c>
      <c r="L142" s="9" t="str">
        <f>IFERROR(INDEX('Raw Non-zero DMR Data'!$U:$U, MATCH($J142,'Raw Non-zero DMR Data'!$D:$D,0)),"")</f>
        <v>Casey Creek</v>
      </c>
      <c r="M142" s="155" t="str">
        <f>IFERROR(INDEX('Raw Non-zero DMR Data'!$T:$T, MATCH($J142,'Raw Non-zero DMR Data'!$D:$D,0)),"")</f>
        <v>051402020504</v>
      </c>
      <c r="N142" s="155" t="str">
        <f>IFERROR(INDEX('Off-site Locations'!$E:$E,MATCH(I142,'Off-site Locations'!$B:$B,0)),"No offsite transfers")</f>
        <v>No offsite transfers</v>
      </c>
      <c r="O142" s="165">
        <f>INDEX('TRI and DMR OES Summary'!D:D,MATCH('Facility Discharge Summary'!D142,'TRI and DMR OES Summary'!A:A,0))</f>
        <v>365</v>
      </c>
      <c r="P142" s="17" cm="1">
        <f t="array" ref="P142">IFERROR(_xlfn.XLOOKUP(1,  (MAX(IF(J142 = 'Processed Non-zero DMR Data'!$I$2:$I$651,'Processed Non-zero DMR Data'!$A$2:$A$651)) = 'Processed Non-zero DMR Data'!$A$2:$A$651)*('Processed Non-zero DMR Data'!$I$2:$I$651 = J142),'Processed Non-zero DMR Data'!$W$2:$W$651), "N/A- Facility Does Not Report DMRs")</f>
        <v>3.5712421249999999</v>
      </c>
      <c r="Q142" s="10">
        <f t="shared" si="49"/>
        <v>9.7842250000000006E-3</v>
      </c>
      <c r="R142" s="10" cm="1">
        <f t="array" ref="R142">IF(COUNTIF('Processed Non-zero DMR Data'!$I:$I,$J142)&gt;0,MEDIAN(IF('Processed Non-zero DMR Data'!$I:$I=J142,'Processed Non-zero DMR Data'!$W:$W)),"N/A - Facility Does Not Report DMRs")</f>
        <v>5.2463411874999997</v>
      </c>
      <c r="S142" s="10">
        <f t="shared" si="50"/>
        <v>1.4373537499999998E-2</v>
      </c>
      <c r="T142" s="10">
        <f>IF(COUNTIF('Processed Non-zero DMR Data'!$I:$I,$J142)&gt;0,_xlfn.MAXIFS('Processed Non-zero DMR Data'!$W:$W,'Processed Non-zero DMR Data'!$I:$I,$J142), "N/A - Facility Does Not Report DMRs")</f>
        <v>5.9543727500000001</v>
      </c>
      <c r="U142" s="10">
        <f t="shared" si="51"/>
        <v>1.6313350000000001E-2</v>
      </c>
      <c r="V142" s="158" cm="1">
        <f t="array" ref="V142">IF(COUNTIF('Processed Non-zero DMR Data'!$I:$I,$J142)&gt;0,INDEX('Processed Non-zero DMR Data'!$A:$A,MATCH(1,($J142='Processed Non-zero DMR Data'!$I:$I)*($T142='Processed Non-zero DMR Data'!$W:$W),0)), "N/A - Facility Does Not Report DMRs")</f>
        <v>2021</v>
      </c>
      <c r="W142" s="17" t="str" cm="1">
        <f t="array" ref="W142">IFERROR(_xlfn.XLOOKUP(1,  (MAX(IF(I142 = 'Processed Non-zero TRI Data'!$I$2:$I$6,'Processed Non-zero TRI Data'!$A$2:$A$6)) = 'Processed Non-zero TRI Data'!$A$2:$A$6)*('Processed Non-zero TRI Data'!$I$2:$I$6 = I142), 'Processed Non-zero TRI Data'!$T$2:$T$6), "N/A- Facility Does Not Report to TRI")</f>
        <v>N/A- Facility Does Not Report to TRI</v>
      </c>
      <c r="X142" s="10" t="str">
        <f t="shared" si="52"/>
        <v>N/A - Facility Does Not Report to TRI</v>
      </c>
      <c r="Y142" s="10" t="str" cm="1">
        <f t="array" ref="Y142">IF(COUNTIF('Processed Non-zero TRI Data'!$I:$I,$I142)&gt;0,MEDIAN(IF('Processed Non-zero TRI Data'!$I:$I=I142,'Processed Non-zero TRI Data'!$T:$T)), "N/A - Facility Does Not Report to TRI")</f>
        <v>N/A - Facility Does Not Report to TRI</v>
      </c>
      <c r="Z142" s="10" t="str">
        <f t="shared" si="53"/>
        <v>N/A - Facility Does Not Report to TRI</v>
      </c>
      <c r="AA142" s="10" t="str">
        <f>IF(COUNTIF('Processed Non-zero TRI Data'!$I:$I,$I142)&gt;0,_xlfn.MAXIFS('Processed Non-zero TRI Data'!$T:$T,'Processed Non-zero TRI Data'!$I:$I,$I142), "N/A - Facility Does Not Report to TRI")</f>
        <v>N/A - Facility Does Not Report to TRI</v>
      </c>
      <c r="AB142" s="10" t="str">
        <f t="shared" si="54"/>
        <v>N/A - Facility Does Not Report to TRI</v>
      </c>
      <c r="AC142" s="158" t="str" cm="1">
        <f t="array" ref="AC142">IFERROR(IF(B142 = "TRI Form R", IF(AA142 = 0, "Facility has no on-site water discharges between 2017-2022.",  IF(COUNTIF('Processed Non-zero TRI Data'!$I:$I,$I142)&gt;0,INDEX('Processed Non-zero TRI Data'!$A:$A,MATCH(1,($I142='Processed Non-zero TRI Data'!$I:$I)*(AA142='Processed Non-zero TRI Data'!$T:$T),0)))), VLOOKUP(I142,#REF!, 2, FALSE)), ("N/A - Facility Does Not Report to TRI"))</f>
        <v>N/A - Facility Does Not Report to TRI</v>
      </c>
      <c r="AD142" s="97" t="str" cm="1">
        <f t="array" ref="AD142">IFERROR(_xlfn.XLOOKUP(1,  (MAX(IF(I142 = 'Processed Non-zero TRI Data'!$I$2:$I$6,'Processed Non-zero TRI Data'!$A$2:$A$6)) = 'Processed Non-zero TRI Data'!$A$2:$A$6)*('Processed Non-zero TRI Data'!$I$2:$I$6 = I142), 'Processed Non-zero TRI Data'!$V$2:$V$6), "N/A- Facility Does Not Report to TRI")</f>
        <v>N/A- Facility Does Not Report to TRI</v>
      </c>
      <c r="AE142" s="9" t="str">
        <f t="shared" si="55"/>
        <v>N/A - Facility Does Not Report to TRI</v>
      </c>
      <c r="AF142" s="9" t="str" cm="1">
        <f t="array" ref="AF142">IF(COUNTIF('Processed Non-zero TRI Data'!$I:$I,$I142)&gt;0,MEDIAN(IF('Processed Non-zero TRI Data'!$I:$I=I142,'Processed Non-zero TRI Data'!$V:$V)), "N/A - Facility Does Not Report to TRI")</f>
        <v>N/A - Facility Does Not Report to TRI</v>
      </c>
      <c r="AG142" s="9" t="str">
        <f t="shared" si="56"/>
        <v>N/A - Facility Does Not Report to TRI</v>
      </c>
      <c r="AH142" s="9" t="str">
        <f>IF(COUNTIF('Processed Non-zero TRI Data'!$I:$I,$I142)&gt;0,_xlfn.MAXIFS('Processed Non-zero TRI Data'!$V:$V,'Processed Non-zero TRI Data'!$I:$I,$I142), "N/A - Facility Does Not Report to TRI")</f>
        <v>N/A - Facility Does Not Report to TRI</v>
      </c>
      <c r="AI142" s="9" t="str">
        <f t="shared" si="57"/>
        <v>N/A - Facility Does Not Report to TRI</v>
      </c>
      <c r="AJ142" s="158" t="str" cm="1">
        <f t="array" ref="AJ142">IF(B142="TRI Form A",AC142,IF(AH142=0,"Facility has no transfers to POTWs between 2019-2023.",IF(COUNTIF('Processed Non-zero TRI Data'!$I:$I,$I142)&gt;0,INDEX('Processed Non-zero TRI Data'!$A:$A,MATCH(1,($I142='Processed Non-zero TRI Data'!$I:$I)*(AH142='Processed Non-zero TRI Data'!$V:$V),0)),"N/A - Facility Does Not Report to TRI")))</f>
        <v>N/A - Facility Does Not Report to TRI</v>
      </c>
      <c r="AK142" s="97" t="str" cm="1">
        <f t="array" ref="AK142">IFERROR(_xlfn.XLOOKUP(1,  (MAX(IF(I142 = 'Processed Non-zero TRI Data'!$I$2:$I$6,'Processed Non-zero TRI Data'!$A$2:$A$6)) = 'Processed Non-zero TRI Data'!$A$2:$A$6)*('Processed Non-zero TRI Data'!$I$2:$I$6 = I142), 'Processed Non-zero TRI Data'!$X$2:$X$6), "N/A- Facility Does Not Report to TRI")</f>
        <v>N/A- Facility Does Not Report to TRI</v>
      </c>
      <c r="AL142" s="9" t="str">
        <f t="shared" si="58"/>
        <v>N/A - Facility Does Not Report to TRI</v>
      </c>
      <c r="AM142" s="9" t="str" cm="1">
        <f t="array" ref="AM142">IF(COUNTIF('Processed Non-zero TRI Data'!$I:$I,$I142)&gt;0,MEDIAN(IF('Processed Non-zero TRI Data'!$I:$I=I142,'Processed Non-zero TRI Data'!$X:$X)), "N/A - Facility Does Not Report to TRI")</f>
        <v>N/A - Facility Does Not Report to TRI</v>
      </c>
      <c r="AN142" s="9" t="str">
        <f t="shared" si="59"/>
        <v>N/A - Facility Does Not Report to TRI</v>
      </c>
      <c r="AO142" s="9" t="str">
        <f>IF(COUNTIF('Processed Non-zero TRI Data'!$I:$I,$I142)&gt;0,_xlfn.MAXIFS('Processed Non-zero TRI Data'!$X:$X,'Processed Non-zero TRI Data'!$I:$I,$I142), "N/A - Facility Does Not Report to TRI")</f>
        <v>N/A - Facility Does Not Report to TRI</v>
      </c>
      <c r="AP142" s="9" t="str">
        <f t="shared" si="60"/>
        <v>N/A - Facility Does Not Report to TRI</v>
      </c>
      <c r="AQ142" s="251" t="str" cm="1">
        <f t="array" ref="AQ142">IF(B142="TRI Form A",AC142,IF(AO142=0,"Facility has no transfers to non-POTWs between 2019-2023.",IF(COUNTIF('Processed Non-zero TRI Data'!$I:$I,$I142)&gt;0,INDEX('Processed Non-zero TRI Data'!$A:$A,MATCH(1,($I142='Processed Non-zero TRI Data'!$I:$I)*(AO142='Processed Non-zero TRI Data'!$X:$X),0)),"N/A - Facility Does Not Report to TRI")))</f>
        <v>N/A - Facility Does Not Report to TRI</v>
      </c>
      <c r="AR142" s="260">
        <f t="shared" si="61"/>
        <v>0</v>
      </c>
      <c r="AS142" s="260">
        <f t="shared" si="62"/>
        <v>5.9543727500000001</v>
      </c>
    </row>
    <row r="143" spans="1:45" ht="30" x14ac:dyDescent="0.25">
      <c r="A143" s="12">
        <v>140</v>
      </c>
      <c r="B143" s="10" t="str">
        <f>IFERROR("TRI Form "&amp; VLOOKUP(I143, 'Processed Non-zero TRI Data'!$I$2:$K$6, 3, FALSE), "DMR")</f>
        <v>DMR</v>
      </c>
      <c r="C143" s="181" t="e">
        <f>VLOOKUP(D143,#REF!, 2, FALSE)</f>
        <v>#REF!</v>
      </c>
      <c r="D143" s="181" t="str">
        <f>IF(I143&lt;&gt;"",INDEX('Processed Non-zero TRI Data'!$O:$O,MATCH(I143,'Processed Non-zero TRI Data'!$I:$I,0)),INDEX('Processed Non-zero DMR Data'!$S:$S,MATCH(J143,'Processed Non-zero DMR Data'!$I:$I,0)))</f>
        <v xml:space="preserve">Use of laboratory chemicals </v>
      </c>
      <c r="E143" s="181" t="str">
        <f>IF(I143&lt;&gt;"",INDEX('Processed Non-zero TRI Data'!$P:$P,MATCH(I143,'Processed Non-zero TRI Data'!$I:$I,0)),INDEX('Processed Non-zero DMR Data'!$T:$T,MATCH(J143,'Processed Non-zero DMR Data'!$I:$I,0)))</f>
        <v>Facility is a skin care clinic; assumed to be laboratory use. This also matches 1,1-DCA mapping.</v>
      </c>
      <c r="F143" s="9" t="str">
        <f>_xlfn.XLOOKUP(J143, 'Processed Non-zero DMR Data'!I:I, 'Processed Non-zero DMR Data'!B:B)</f>
        <v>AMCOL HEALTH &amp; BEAUTY SOLUTIONS INC</v>
      </c>
      <c r="G143" s="9" t="str">
        <f>_xlfn.XLOOKUP(J143, 'Processed Non-zero DMR Data'!I:I, 'Processed Non-zero DMR Data'!C:C)</f>
        <v>LAFAYETTE</v>
      </c>
      <c r="H143" s="9" t="str">
        <f>_xlfn.XLOOKUP(J143, 'Processed Non-zero DMR Data'!I:I, 'Processed Non-zero DMR Data'!E:E)</f>
        <v>LA</v>
      </c>
      <c r="I143" s="12"/>
      <c r="J143" s="13">
        <v>110000846602</v>
      </c>
      <c r="K143" s="9" t="str">
        <f>IFERROR(INDEX('Raw Non-zero DMR Data'!$C:$C, MATCH(J143,'Raw Non-zero DMR Data'!$D:$D,0)),"")</f>
        <v>LA0108936</v>
      </c>
      <c r="L143" s="9" t="str">
        <f>IFERROR(INDEX('Raw Non-zero DMR Data'!$U:$U, MATCH($J143,'Raw Non-zero DMR Data'!$D:$D,0)),"")</f>
        <v>Francois Coulee-Vermilion River</v>
      </c>
      <c r="M143" s="155" t="str">
        <f>IFERROR(INDEX('Raw Non-zero DMR Data'!$T:$T, MATCH($J143,'Raw Non-zero DMR Data'!$D:$D,0)),"")</f>
        <v>080801030105</v>
      </c>
      <c r="N143" s="155" t="str">
        <f>IFERROR(INDEX('Off-site Locations'!$E:$E,MATCH(I143,'Off-site Locations'!$B:$B,0)),"No offsite transfers")</f>
        <v>No offsite transfers</v>
      </c>
      <c r="O143" s="165">
        <f>INDEX('TRI and DMR OES Summary'!D:D,MATCH('Facility Discharge Summary'!D143,'TRI and DMR OES Summary'!A:A,0))</f>
        <v>260</v>
      </c>
      <c r="P143" s="17" cm="1">
        <f t="array" ref="P143">IFERROR(_xlfn.XLOOKUP(1,  (MAX(IF(J143 = 'Processed Non-zero DMR Data'!$I$2:$I$651,'Processed Non-zero DMR Data'!$A$2:$A$651)) = 'Processed Non-zero DMR Data'!$A$2:$A$651)*('Processed Non-zero DMR Data'!$I$2:$I$651 = J143),'Processed Non-zero DMR Data'!$W$2:$W$651), "N/A- Facility Does Not Report DMRs")</f>
        <v>4.0637557874999997E-3</v>
      </c>
      <c r="Q143" s="10">
        <f t="shared" si="49"/>
        <v>1.5629829951923077E-5</v>
      </c>
      <c r="R143" s="10" cm="1">
        <f t="array" ref="R143">IF(COUNTIF('Processed Non-zero DMR Data'!$I:$I,$J143)&gt;0,MEDIAN(IF('Processed Non-zero DMR Data'!$I:$I=J143,'Processed Non-zero DMR Data'!$W:$W)),"N/A - Facility Does Not Report DMRs")</f>
        <v>4.0637557874999997E-3</v>
      </c>
      <c r="S143" s="10">
        <f t="shared" si="50"/>
        <v>1.5629829951923077E-5</v>
      </c>
      <c r="T143" s="10">
        <f>IF(COUNTIF('Processed Non-zero DMR Data'!$I:$I,$J143)&gt;0,_xlfn.MAXIFS('Processed Non-zero DMR Data'!$W:$W,'Processed Non-zero DMR Data'!$I:$I,$J143), "N/A - Facility Does Not Report DMRs")</f>
        <v>9.5877835000000005E-3</v>
      </c>
      <c r="U143" s="10">
        <f t="shared" si="51"/>
        <v>3.6876090384615385E-5</v>
      </c>
      <c r="V143" s="158" cm="1">
        <f t="array" ref="V143">IF(COUNTIF('Processed Non-zero DMR Data'!$I:$I,$J143)&gt;0,INDEX('Processed Non-zero DMR Data'!$A:$A,MATCH(1,($J143='Processed Non-zero DMR Data'!$I:$I)*($T143='Processed Non-zero DMR Data'!$W:$W),0)), "N/A - Facility Does Not Report DMRs")</f>
        <v>2022</v>
      </c>
      <c r="W143" s="17" t="str" cm="1">
        <f t="array" ref="W143">IFERROR(_xlfn.XLOOKUP(1,  (MAX(IF(I143 = 'Processed Non-zero TRI Data'!$I$2:$I$6,'Processed Non-zero TRI Data'!$A$2:$A$6)) = 'Processed Non-zero TRI Data'!$A$2:$A$6)*('Processed Non-zero TRI Data'!$I$2:$I$6 = I143), 'Processed Non-zero TRI Data'!$T$2:$T$6), "N/A- Facility Does Not Report to TRI")</f>
        <v>N/A- Facility Does Not Report to TRI</v>
      </c>
      <c r="X143" s="10" t="str">
        <f t="shared" si="52"/>
        <v>N/A - Facility Does Not Report to TRI</v>
      </c>
      <c r="Y143" s="10" t="str" cm="1">
        <f t="array" ref="Y143">IF(COUNTIF('Processed Non-zero TRI Data'!$I:$I,$I143)&gt;0,MEDIAN(IF('Processed Non-zero TRI Data'!$I:$I=I143,'Processed Non-zero TRI Data'!$T:$T)), "N/A - Facility Does Not Report to TRI")</f>
        <v>N/A - Facility Does Not Report to TRI</v>
      </c>
      <c r="Z143" s="10" t="str">
        <f t="shared" si="53"/>
        <v>N/A - Facility Does Not Report to TRI</v>
      </c>
      <c r="AA143" s="10" t="str">
        <f>IF(COUNTIF('Processed Non-zero TRI Data'!$I:$I,$I143)&gt;0,_xlfn.MAXIFS('Processed Non-zero TRI Data'!$T:$T,'Processed Non-zero TRI Data'!$I:$I,$I143), "N/A - Facility Does Not Report to TRI")</f>
        <v>N/A - Facility Does Not Report to TRI</v>
      </c>
      <c r="AB143" s="10" t="str">
        <f t="shared" si="54"/>
        <v>N/A - Facility Does Not Report to TRI</v>
      </c>
      <c r="AC143" s="158" t="str" cm="1">
        <f t="array" ref="AC143">IFERROR(IF(B143 = "TRI Form R", IF(AA143 = 0, "Facility has no on-site water discharges between 2017-2022.",  IF(COUNTIF('Processed Non-zero TRI Data'!$I:$I,$I143)&gt;0,INDEX('Processed Non-zero TRI Data'!$A:$A,MATCH(1,($I143='Processed Non-zero TRI Data'!$I:$I)*(AA143='Processed Non-zero TRI Data'!$T:$T),0)))), VLOOKUP(I143,#REF!, 2, FALSE)), ("N/A - Facility Does Not Report to TRI"))</f>
        <v>N/A - Facility Does Not Report to TRI</v>
      </c>
      <c r="AD143" s="97" t="str" cm="1">
        <f t="array" ref="AD143">IFERROR(_xlfn.XLOOKUP(1,  (MAX(IF(I143 = 'Processed Non-zero TRI Data'!$I$2:$I$6,'Processed Non-zero TRI Data'!$A$2:$A$6)) = 'Processed Non-zero TRI Data'!$A$2:$A$6)*('Processed Non-zero TRI Data'!$I$2:$I$6 = I143), 'Processed Non-zero TRI Data'!$V$2:$V$6), "N/A- Facility Does Not Report to TRI")</f>
        <v>N/A- Facility Does Not Report to TRI</v>
      </c>
      <c r="AE143" s="9" t="str">
        <f t="shared" si="55"/>
        <v>N/A - Facility Does Not Report to TRI</v>
      </c>
      <c r="AF143" s="9" t="str" cm="1">
        <f t="array" ref="AF143">IF(COUNTIF('Processed Non-zero TRI Data'!$I:$I,$I143)&gt;0,MEDIAN(IF('Processed Non-zero TRI Data'!$I:$I=I143,'Processed Non-zero TRI Data'!$V:$V)), "N/A - Facility Does Not Report to TRI")</f>
        <v>N/A - Facility Does Not Report to TRI</v>
      </c>
      <c r="AG143" s="9" t="str">
        <f t="shared" si="56"/>
        <v>N/A - Facility Does Not Report to TRI</v>
      </c>
      <c r="AH143" s="9" t="str">
        <f>IF(COUNTIF('Processed Non-zero TRI Data'!$I:$I,$I143)&gt;0,_xlfn.MAXIFS('Processed Non-zero TRI Data'!$V:$V,'Processed Non-zero TRI Data'!$I:$I,$I143), "N/A - Facility Does Not Report to TRI")</f>
        <v>N/A - Facility Does Not Report to TRI</v>
      </c>
      <c r="AI143" s="9" t="str">
        <f t="shared" si="57"/>
        <v>N/A - Facility Does Not Report to TRI</v>
      </c>
      <c r="AJ143" s="158" t="str" cm="1">
        <f t="array" ref="AJ143">IF(B143="TRI Form A",AC143,IF(AH143=0,"Facility has no transfers to POTWs between 2019-2023.",IF(COUNTIF('Processed Non-zero TRI Data'!$I:$I,$I143)&gt;0,INDEX('Processed Non-zero TRI Data'!$A:$A,MATCH(1,($I143='Processed Non-zero TRI Data'!$I:$I)*(AH143='Processed Non-zero TRI Data'!$V:$V),0)),"N/A - Facility Does Not Report to TRI")))</f>
        <v>N/A - Facility Does Not Report to TRI</v>
      </c>
      <c r="AK143" s="97" t="str" cm="1">
        <f t="array" ref="AK143">IFERROR(_xlfn.XLOOKUP(1,  (MAX(IF(I143 = 'Processed Non-zero TRI Data'!$I$2:$I$6,'Processed Non-zero TRI Data'!$A$2:$A$6)) = 'Processed Non-zero TRI Data'!$A$2:$A$6)*('Processed Non-zero TRI Data'!$I$2:$I$6 = I143), 'Processed Non-zero TRI Data'!$X$2:$X$6), "N/A- Facility Does Not Report to TRI")</f>
        <v>N/A- Facility Does Not Report to TRI</v>
      </c>
      <c r="AL143" s="9" t="str">
        <f t="shared" si="58"/>
        <v>N/A - Facility Does Not Report to TRI</v>
      </c>
      <c r="AM143" s="9" t="str" cm="1">
        <f t="array" ref="AM143">IF(COUNTIF('Processed Non-zero TRI Data'!$I:$I,$I143)&gt;0,MEDIAN(IF('Processed Non-zero TRI Data'!$I:$I=I143,'Processed Non-zero TRI Data'!$X:$X)), "N/A - Facility Does Not Report to TRI")</f>
        <v>N/A - Facility Does Not Report to TRI</v>
      </c>
      <c r="AN143" s="9" t="str">
        <f t="shared" si="59"/>
        <v>N/A - Facility Does Not Report to TRI</v>
      </c>
      <c r="AO143" s="9" t="str">
        <f>IF(COUNTIF('Processed Non-zero TRI Data'!$I:$I,$I143)&gt;0,_xlfn.MAXIFS('Processed Non-zero TRI Data'!$X:$X,'Processed Non-zero TRI Data'!$I:$I,$I143), "N/A - Facility Does Not Report to TRI")</f>
        <v>N/A - Facility Does Not Report to TRI</v>
      </c>
      <c r="AP143" s="9" t="str">
        <f t="shared" si="60"/>
        <v>N/A - Facility Does Not Report to TRI</v>
      </c>
      <c r="AQ143" s="251" t="str" cm="1">
        <f t="array" ref="AQ143">IF(B143="TRI Form A",AC143,IF(AO143=0,"Facility has no transfers to non-POTWs between 2019-2023.",IF(COUNTIF('Processed Non-zero TRI Data'!$I:$I,$I143)&gt;0,INDEX('Processed Non-zero TRI Data'!$A:$A,MATCH(1,($I143='Processed Non-zero TRI Data'!$I:$I)*(AO143='Processed Non-zero TRI Data'!$X:$X),0)),"N/A - Facility Does Not Report to TRI")))</f>
        <v>N/A - Facility Does Not Report to TRI</v>
      </c>
      <c r="AR143" s="260">
        <f t="shared" si="61"/>
        <v>0</v>
      </c>
      <c r="AS143" s="260">
        <f t="shared" si="62"/>
        <v>9.5877835000000005E-3</v>
      </c>
    </row>
    <row r="144" spans="1:45" ht="30" x14ac:dyDescent="0.25">
      <c r="A144" s="12">
        <v>141</v>
      </c>
      <c r="B144" s="10" t="str">
        <f>IFERROR("TRI Form "&amp; VLOOKUP(I144, 'Processed Non-zero TRI Data'!$I$2:$K$6, 3, FALSE), "DMR")</f>
        <v>DMR</v>
      </c>
      <c r="C144" s="181" t="e">
        <f>VLOOKUP(D144,#REF!, 2, FALSE)</f>
        <v>#REF!</v>
      </c>
      <c r="D144" s="181" t="str">
        <f>IF(I144&lt;&gt;"",INDEX('Processed Non-zero TRI Data'!$O:$O,MATCH(I144,'Processed Non-zero TRI Data'!$I:$I,0)),INDEX('Processed Non-zero DMR Data'!$S:$S,MATCH(J144,'Processed Non-zero DMR Data'!$I:$I,0)))</f>
        <v>Processing as a reactant</v>
      </c>
      <c r="E144" s="181" t="str">
        <f>IF(I144&lt;&gt;"",INDEX('Processed Non-zero TRI Data'!$P:$P,MATCH(I144,'Processed Non-zero TRI Data'!$I:$I,0)),INDEX('Processed Non-zero DMR Data'!$T:$T,MATCH(J144,'Processed Non-zero DMR Data'!$I:$I,0)))</f>
        <v>Assumed processing as a reactant based on SIC and NAICS; this also matches 1,1,-DCA mapping.</v>
      </c>
      <c r="F144" s="9" t="str">
        <f>_xlfn.XLOOKUP(J144, 'Processed Non-zero DMR Data'!I:I, 'Processed Non-zero DMR Data'!B:B)</f>
        <v>OAK POINT PLANT</v>
      </c>
      <c r="G144" s="9" t="str">
        <f>_xlfn.XLOOKUP(J144, 'Processed Non-zero DMR Data'!I:I, 'Processed Non-zero DMR Data'!C:C)</f>
        <v>BELLE CHASSE</v>
      </c>
      <c r="H144" s="9" t="str">
        <f>_xlfn.XLOOKUP(J144, 'Processed Non-zero DMR Data'!I:I, 'Processed Non-zero DMR Data'!E:E)</f>
        <v>LA</v>
      </c>
      <c r="I144" s="12"/>
      <c r="J144" s="13">
        <v>110000575244</v>
      </c>
      <c r="K144" s="9" t="str">
        <f>IFERROR(INDEX('Raw Non-zero DMR Data'!$C:$C, MATCH(J144,'Raw Non-zero DMR Data'!$D:$D,0)),"")</f>
        <v>LA0005738</v>
      </c>
      <c r="L144" s="9" t="str">
        <f>IFERROR(INDEX('Raw Non-zero DMR Data'!$U:$U, MATCH($J144,'Raw Non-zero DMR Data'!$D:$D,0)),"")</f>
        <v>Planters Canal</v>
      </c>
      <c r="M144" s="155" t="str">
        <f>IFERROR(INDEX('Raw Non-zero DMR Data'!$T:$T, MATCH($J144,'Raw Non-zero DMR Data'!$D:$D,0)),"")</f>
        <v>080903010404</v>
      </c>
      <c r="N144" s="155" t="str">
        <f>IFERROR(INDEX('Off-site Locations'!$E:$E,MATCH(I144,'Off-site Locations'!$B:$B,0)),"No offsite transfers")</f>
        <v>No offsite transfers</v>
      </c>
      <c r="O144" s="165">
        <f>INDEX('TRI and DMR OES Summary'!D:D,MATCH('Facility Discharge Summary'!D144,'TRI and DMR OES Summary'!A:A,0))</f>
        <v>350</v>
      </c>
      <c r="P144" s="17" cm="1">
        <f t="array" ref="P144">IFERROR(_xlfn.XLOOKUP(1,  (MAX(IF(J144 = 'Processed Non-zero DMR Data'!$I$2:$I$651,'Processed Non-zero DMR Data'!$A$2:$A$651)) = 'Processed Non-zero DMR Data'!$A$2:$A$651)*('Processed Non-zero DMR Data'!$I$2:$I$651 = J144),'Processed Non-zero DMR Data'!$W$2:$W$651), "N/A- Facility Does Not Report DMRs")</f>
        <v>3.1064280387500001E-2</v>
      </c>
      <c r="Q144" s="10">
        <f t="shared" si="49"/>
        <v>8.8755086821428573E-5</v>
      </c>
      <c r="R144" s="10" cm="1">
        <f t="array" ref="R144">IF(COUNTIF('Processed Non-zero DMR Data'!$I:$I,$J144)&gt;0,MEDIAN(IF('Processed Non-zero DMR Data'!$I:$I=J144,'Processed Non-zero DMR Data'!$W:$W)),"N/A - Facility Does Not Report DMRs")</f>
        <v>3.1064280387500001E-2</v>
      </c>
      <c r="S144" s="10">
        <f t="shared" si="50"/>
        <v>8.8755086821428573E-5</v>
      </c>
      <c r="T144" s="10">
        <f>IF(COUNTIF('Processed Non-zero DMR Data'!$I:$I,$J144)&gt;0,_xlfn.MAXIFS('Processed Non-zero DMR Data'!$W:$W,'Processed Non-zero DMR Data'!$I:$I,$J144), "N/A - Facility Does Not Report DMRs")</f>
        <v>3.1064280387500001E-2</v>
      </c>
      <c r="U144" s="10">
        <f t="shared" si="51"/>
        <v>8.8755086821428573E-5</v>
      </c>
      <c r="V144" s="158" cm="1">
        <f t="array" ref="V144">IF(COUNTIF('Processed Non-zero DMR Data'!$I:$I,$J144)&gt;0,INDEX('Processed Non-zero DMR Data'!$A:$A,MATCH(1,($J144='Processed Non-zero DMR Data'!$I:$I)*($T144='Processed Non-zero DMR Data'!$W:$W),0)), "N/A - Facility Does Not Report DMRs")</f>
        <v>2020</v>
      </c>
      <c r="W144" s="17" t="str" cm="1">
        <f t="array" ref="W144">IFERROR(_xlfn.XLOOKUP(1,  (MAX(IF(I144 = 'Processed Non-zero TRI Data'!$I$2:$I$6,'Processed Non-zero TRI Data'!$A$2:$A$6)) = 'Processed Non-zero TRI Data'!$A$2:$A$6)*('Processed Non-zero TRI Data'!$I$2:$I$6 = I144), 'Processed Non-zero TRI Data'!$T$2:$T$6), "N/A- Facility Does Not Report to TRI")</f>
        <v>N/A- Facility Does Not Report to TRI</v>
      </c>
      <c r="X144" s="10" t="str">
        <f t="shared" si="52"/>
        <v>N/A - Facility Does Not Report to TRI</v>
      </c>
      <c r="Y144" s="10" t="str" cm="1">
        <f t="array" ref="Y144">IF(COUNTIF('Processed Non-zero TRI Data'!$I:$I,$I144)&gt;0,MEDIAN(IF('Processed Non-zero TRI Data'!$I:$I=I144,'Processed Non-zero TRI Data'!$T:$T)), "N/A - Facility Does Not Report to TRI")</f>
        <v>N/A - Facility Does Not Report to TRI</v>
      </c>
      <c r="Z144" s="10" t="str">
        <f t="shared" si="53"/>
        <v>N/A - Facility Does Not Report to TRI</v>
      </c>
      <c r="AA144" s="10" t="str">
        <f>IF(COUNTIF('Processed Non-zero TRI Data'!$I:$I,$I144)&gt;0,_xlfn.MAXIFS('Processed Non-zero TRI Data'!$T:$T,'Processed Non-zero TRI Data'!$I:$I,$I144), "N/A - Facility Does Not Report to TRI")</f>
        <v>N/A - Facility Does Not Report to TRI</v>
      </c>
      <c r="AB144" s="10" t="str">
        <f t="shared" si="54"/>
        <v>N/A - Facility Does Not Report to TRI</v>
      </c>
      <c r="AC144" s="158" t="str" cm="1">
        <f t="array" ref="AC144">IFERROR(IF(B144 = "TRI Form R", IF(AA144 = 0, "Facility has no on-site water discharges between 2017-2022.",  IF(COUNTIF('Processed Non-zero TRI Data'!$I:$I,$I144)&gt;0,INDEX('Processed Non-zero TRI Data'!$A:$A,MATCH(1,($I144='Processed Non-zero TRI Data'!$I:$I)*(AA144='Processed Non-zero TRI Data'!$T:$T),0)))), VLOOKUP(I144,#REF!, 2, FALSE)), ("N/A - Facility Does Not Report to TRI"))</f>
        <v>N/A - Facility Does Not Report to TRI</v>
      </c>
      <c r="AD144" s="97" t="str" cm="1">
        <f t="array" ref="AD144">IFERROR(_xlfn.XLOOKUP(1,  (MAX(IF(I144 = 'Processed Non-zero TRI Data'!$I$2:$I$6,'Processed Non-zero TRI Data'!$A$2:$A$6)) = 'Processed Non-zero TRI Data'!$A$2:$A$6)*('Processed Non-zero TRI Data'!$I$2:$I$6 = I144), 'Processed Non-zero TRI Data'!$V$2:$V$6), "N/A- Facility Does Not Report to TRI")</f>
        <v>N/A- Facility Does Not Report to TRI</v>
      </c>
      <c r="AE144" s="9" t="str">
        <f t="shared" si="55"/>
        <v>N/A - Facility Does Not Report to TRI</v>
      </c>
      <c r="AF144" s="9" t="str" cm="1">
        <f t="array" ref="AF144">IF(COUNTIF('Processed Non-zero TRI Data'!$I:$I,$I144)&gt;0,MEDIAN(IF('Processed Non-zero TRI Data'!$I:$I=I144,'Processed Non-zero TRI Data'!$V:$V)), "N/A - Facility Does Not Report to TRI")</f>
        <v>N/A - Facility Does Not Report to TRI</v>
      </c>
      <c r="AG144" s="9" t="str">
        <f t="shared" si="56"/>
        <v>N/A - Facility Does Not Report to TRI</v>
      </c>
      <c r="AH144" s="9" t="str">
        <f>IF(COUNTIF('Processed Non-zero TRI Data'!$I:$I,$I144)&gt;0,_xlfn.MAXIFS('Processed Non-zero TRI Data'!$V:$V,'Processed Non-zero TRI Data'!$I:$I,$I144), "N/A - Facility Does Not Report to TRI")</f>
        <v>N/A - Facility Does Not Report to TRI</v>
      </c>
      <c r="AI144" s="9" t="str">
        <f t="shared" si="57"/>
        <v>N/A - Facility Does Not Report to TRI</v>
      </c>
      <c r="AJ144" s="158" t="str" cm="1">
        <f t="array" ref="AJ144">IF(B144="TRI Form A",AC144,IF(AH144=0,"Facility has no transfers to POTWs between 2019-2023.",IF(COUNTIF('Processed Non-zero TRI Data'!$I:$I,$I144)&gt;0,INDEX('Processed Non-zero TRI Data'!$A:$A,MATCH(1,($I144='Processed Non-zero TRI Data'!$I:$I)*(AH144='Processed Non-zero TRI Data'!$V:$V),0)),"N/A - Facility Does Not Report to TRI")))</f>
        <v>N/A - Facility Does Not Report to TRI</v>
      </c>
      <c r="AK144" s="97" t="str" cm="1">
        <f t="array" ref="AK144">IFERROR(_xlfn.XLOOKUP(1,  (MAX(IF(I144 = 'Processed Non-zero TRI Data'!$I$2:$I$6,'Processed Non-zero TRI Data'!$A$2:$A$6)) = 'Processed Non-zero TRI Data'!$A$2:$A$6)*('Processed Non-zero TRI Data'!$I$2:$I$6 = I144), 'Processed Non-zero TRI Data'!$X$2:$X$6), "N/A- Facility Does Not Report to TRI")</f>
        <v>N/A- Facility Does Not Report to TRI</v>
      </c>
      <c r="AL144" s="9" t="str">
        <f t="shared" si="58"/>
        <v>N/A - Facility Does Not Report to TRI</v>
      </c>
      <c r="AM144" s="9" t="str" cm="1">
        <f t="array" ref="AM144">IF(COUNTIF('Processed Non-zero TRI Data'!$I:$I,$I144)&gt;0,MEDIAN(IF('Processed Non-zero TRI Data'!$I:$I=I144,'Processed Non-zero TRI Data'!$X:$X)), "N/A - Facility Does Not Report to TRI")</f>
        <v>N/A - Facility Does Not Report to TRI</v>
      </c>
      <c r="AN144" s="9" t="str">
        <f t="shared" si="59"/>
        <v>N/A - Facility Does Not Report to TRI</v>
      </c>
      <c r="AO144" s="9" t="str">
        <f>IF(COUNTIF('Processed Non-zero TRI Data'!$I:$I,$I144)&gt;0,_xlfn.MAXIFS('Processed Non-zero TRI Data'!$X:$X,'Processed Non-zero TRI Data'!$I:$I,$I144), "N/A - Facility Does Not Report to TRI")</f>
        <v>N/A - Facility Does Not Report to TRI</v>
      </c>
      <c r="AP144" s="9" t="str">
        <f t="shared" si="60"/>
        <v>N/A - Facility Does Not Report to TRI</v>
      </c>
      <c r="AQ144" s="251" t="str" cm="1">
        <f t="array" ref="AQ144">IF(B144="TRI Form A",AC144,IF(AO144=0,"Facility has no transfers to non-POTWs between 2019-2023.",IF(COUNTIF('Processed Non-zero TRI Data'!$I:$I,$I144)&gt;0,INDEX('Processed Non-zero TRI Data'!$A:$A,MATCH(1,($I144='Processed Non-zero TRI Data'!$I:$I)*(AO144='Processed Non-zero TRI Data'!$X:$X),0)),"N/A - Facility Does Not Report to TRI")))</f>
        <v>N/A - Facility Does Not Report to TRI</v>
      </c>
      <c r="AR144" s="260">
        <f t="shared" si="61"/>
        <v>0</v>
      </c>
      <c r="AS144" s="260">
        <f t="shared" si="62"/>
        <v>3.1064280387500001E-2</v>
      </c>
    </row>
    <row r="145" spans="1:45" ht="45" x14ac:dyDescent="0.25">
      <c r="A145" s="12">
        <v>142</v>
      </c>
      <c r="B145" s="10" t="str">
        <f>IFERROR("TRI Form "&amp; VLOOKUP(I145, 'Processed Non-zero TRI Data'!$I$2:$K$6, 3, FALSE), "DMR")</f>
        <v>DMR</v>
      </c>
      <c r="C145" s="181" t="e">
        <f>VLOOKUP(D145,#REF!, 2, FALSE)</f>
        <v>#REF!</v>
      </c>
      <c r="D145" s="181" t="str">
        <f>IF(I145&lt;&gt;"",INDEX('Processed Non-zero TRI Data'!$O:$O,MATCH(I145,'Processed Non-zero TRI Data'!$I:$I,0)),INDEX('Processed Non-zero DMR Data'!$S:$S,MATCH(J145,'Processed Non-zero DMR Data'!$I:$I,0)))</f>
        <v>Impurity in Plastics</v>
      </c>
      <c r="E145" s="181" t="str">
        <f>IF(I145&lt;&gt;"",INDEX('Processed Non-zero TRI Data'!$P:$P,MATCH(I145,'Processed Non-zero TRI Data'!$I:$I,0)),INDEX('Processed Non-zero DMR Data'!$T:$T,MATCH(J145,'Processed Non-zero DMR Data'!$I:$I,0)))</f>
        <v>Plastics SIC/NAICS - EPA-HQ-OPPT-2018-0428-0011 indicates 1,2-dichloropropane can be a residual/byproduct in PVC plastics or a flame retardant plasticizer.</v>
      </c>
      <c r="F145" s="9" t="str">
        <f>_xlfn.XLOOKUP(J145, 'Processed Non-zero DMR Data'!I:I, 'Processed Non-zero DMR Data'!B:B)</f>
        <v>SOLVAY SOLEXIS INC</v>
      </c>
      <c r="G145" s="9" t="str">
        <f>_xlfn.XLOOKUP(J145, 'Processed Non-zero DMR Data'!I:I, 'Processed Non-zero DMR Data'!C:C)</f>
        <v>THOROFARE</v>
      </c>
      <c r="H145" s="9" t="str">
        <f>_xlfn.XLOOKUP(J145, 'Processed Non-zero DMR Data'!I:I, 'Processed Non-zero DMR Data'!E:E)</f>
        <v>NJ</v>
      </c>
      <c r="I145" s="12"/>
      <c r="J145" s="13">
        <v>110013317614</v>
      </c>
      <c r="K145" s="9" t="str">
        <f>IFERROR(INDEX('Raw Non-zero DMR Data'!$C:$C, MATCH(J145,'Raw Non-zero DMR Data'!$D:$D,0)),"")</f>
        <v>NJ0005185</v>
      </c>
      <c r="L145" s="9" t="str">
        <f>IFERROR(INDEX('Raw Non-zero DMR Data'!$U:$U, MATCH($J145,'Raw Non-zero DMR Data'!$D:$D,0)),"")</f>
        <v>Woodbury Creek-Delaware River</v>
      </c>
      <c r="M145" s="155" t="str">
        <f>IFERROR(INDEX('Raw Non-zero DMR Data'!$T:$T, MATCH($J145,'Raw Non-zero DMR Data'!$D:$D,0)),"")</f>
        <v>020402020507</v>
      </c>
      <c r="N145" s="155" t="str">
        <f>IFERROR(INDEX('Off-site Locations'!$E:$E,MATCH(I145,'Off-site Locations'!$B:$B,0)),"No offsite transfers")</f>
        <v>No offsite transfers</v>
      </c>
      <c r="O145" s="165">
        <f>INDEX('TRI and DMR OES Summary'!D:D,MATCH('Facility Discharge Summary'!D145,'TRI and DMR OES Summary'!A:A,0))</f>
        <v>350</v>
      </c>
      <c r="P145" s="17" cm="1">
        <f t="array" ref="P145">IFERROR(_xlfn.XLOOKUP(1,  (MAX(IF(J145 = 'Processed Non-zero DMR Data'!$I$2:$I$651,'Processed Non-zero DMR Data'!$A$2:$A$651)) = 'Processed Non-zero DMR Data'!$A$2:$A$651)*('Processed Non-zero DMR Data'!$I$2:$I$651 = J145),'Processed Non-zero DMR Data'!$W$2:$W$651), "N/A- Facility Does Not Report DMRs")</f>
        <v>3.6661600000000003E-2</v>
      </c>
      <c r="Q145" s="10">
        <f t="shared" si="49"/>
        <v>1.0474742857142858E-4</v>
      </c>
      <c r="R145" s="10" cm="1">
        <f t="array" ref="R145">IF(COUNTIF('Processed Non-zero DMR Data'!$I:$I,$J145)&gt;0,MEDIAN(IF('Processed Non-zero DMR Data'!$I:$I=J145,'Processed Non-zero DMR Data'!$W:$W)),"N/A - Facility Does Not Report DMRs")</f>
        <v>1.6538500000000001E-2</v>
      </c>
      <c r="S145" s="10">
        <f t="shared" si="50"/>
        <v>4.7252857142857147E-5</v>
      </c>
      <c r="T145" s="10">
        <f>IF(COUNTIF('Processed Non-zero DMR Data'!$I:$I,$J145)&gt;0,_xlfn.MAXIFS('Processed Non-zero DMR Data'!$W:$W,'Processed Non-zero DMR Data'!$I:$I,$J145), "N/A - Facility Does Not Report DMRs")</f>
        <v>3.6661600000000003E-2</v>
      </c>
      <c r="U145" s="10">
        <f t="shared" si="51"/>
        <v>1.0474742857142858E-4</v>
      </c>
      <c r="V145" s="158" cm="1">
        <f t="array" ref="V145">IF(COUNTIF('Processed Non-zero DMR Data'!$I:$I,$J145)&gt;0,INDEX('Processed Non-zero DMR Data'!$A:$A,MATCH(1,($J145='Processed Non-zero DMR Data'!$I:$I)*($T145='Processed Non-zero DMR Data'!$W:$W),0)), "N/A - Facility Does Not Report DMRs")</f>
        <v>2023</v>
      </c>
      <c r="W145" s="17" t="str" cm="1">
        <f t="array" ref="W145">IFERROR(_xlfn.XLOOKUP(1,  (MAX(IF(I145 = 'Processed Non-zero TRI Data'!$I$2:$I$6,'Processed Non-zero TRI Data'!$A$2:$A$6)) = 'Processed Non-zero TRI Data'!$A$2:$A$6)*('Processed Non-zero TRI Data'!$I$2:$I$6 = I145), 'Processed Non-zero TRI Data'!$T$2:$T$6), "N/A- Facility Does Not Report to TRI")</f>
        <v>N/A- Facility Does Not Report to TRI</v>
      </c>
      <c r="X145" s="10" t="str">
        <f t="shared" si="52"/>
        <v>N/A - Facility Does Not Report to TRI</v>
      </c>
      <c r="Y145" s="10" t="str" cm="1">
        <f t="array" ref="Y145">IF(COUNTIF('Processed Non-zero TRI Data'!$I:$I,$I145)&gt;0,MEDIAN(IF('Processed Non-zero TRI Data'!$I:$I=I145,'Processed Non-zero TRI Data'!$T:$T)), "N/A - Facility Does Not Report to TRI")</f>
        <v>N/A - Facility Does Not Report to TRI</v>
      </c>
      <c r="Z145" s="10" t="str">
        <f t="shared" si="53"/>
        <v>N/A - Facility Does Not Report to TRI</v>
      </c>
      <c r="AA145" s="10" t="str">
        <f>IF(COUNTIF('Processed Non-zero TRI Data'!$I:$I,$I145)&gt;0,_xlfn.MAXIFS('Processed Non-zero TRI Data'!$T:$T,'Processed Non-zero TRI Data'!$I:$I,$I145), "N/A - Facility Does Not Report to TRI")</f>
        <v>N/A - Facility Does Not Report to TRI</v>
      </c>
      <c r="AB145" s="10" t="str">
        <f t="shared" si="54"/>
        <v>N/A - Facility Does Not Report to TRI</v>
      </c>
      <c r="AC145" s="158" t="str" cm="1">
        <f t="array" ref="AC145">IFERROR(IF(B145 = "TRI Form R", IF(AA145 = 0, "Facility has no on-site water discharges between 2017-2022.",  IF(COUNTIF('Processed Non-zero TRI Data'!$I:$I,$I145)&gt;0,INDEX('Processed Non-zero TRI Data'!$A:$A,MATCH(1,($I145='Processed Non-zero TRI Data'!$I:$I)*(AA145='Processed Non-zero TRI Data'!$T:$T),0)))), VLOOKUP(I145,#REF!, 2, FALSE)), ("N/A - Facility Does Not Report to TRI"))</f>
        <v>N/A - Facility Does Not Report to TRI</v>
      </c>
      <c r="AD145" s="97" t="str" cm="1">
        <f t="array" ref="AD145">IFERROR(_xlfn.XLOOKUP(1,  (MAX(IF(I145 = 'Processed Non-zero TRI Data'!$I$2:$I$6,'Processed Non-zero TRI Data'!$A$2:$A$6)) = 'Processed Non-zero TRI Data'!$A$2:$A$6)*('Processed Non-zero TRI Data'!$I$2:$I$6 = I145), 'Processed Non-zero TRI Data'!$V$2:$V$6), "N/A- Facility Does Not Report to TRI")</f>
        <v>N/A- Facility Does Not Report to TRI</v>
      </c>
      <c r="AE145" s="9" t="str">
        <f t="shared" si="55"/>
        <v>N/A - Facility Does Not Report to TRI</v>
      </c>
      <c r="AF145" s="9" t="str" cm="1">
        <f t="array" ref="AF145">IF(COUNTIF('Processed Non-zero TRI Data'!$I:$I,$I145)&gt;0,MEDIAN(IF('Processed Non-zero TRI Data'!$I:$I=I145,'Processed Non-zero TRI Data'!$V:$V)), "N/A - Facility Does Not Report to TRI")</f>
        <v>N/A - Facility Does Not Report to TRI</v>
      </c>
      <c r="AG145" s="9" t="str">
        <f t="shared" si="56"/>
        <v>N/A - Facility Does Not Report to TRI</v>
      </c>
      <c r="AH145" s="9" t="str">
        <f>IF(COUNTIF('Processed Non-zero TRI Data'!$I:$I,$I145)&gt;0,_xlfn.MAXIFS('Processed Non-zero TRI Data'!$V:$V,'Processed Non-zero TRI Data'!$I:$I,$I145), "N/A - Facility Does Not Report to TRI")</f>
        <v>N/A - Facility Does Not Report to TRI</v>
      </c>
      <c r="AI145" s="9" t="str">
        <f t="shared" si="57"/>
        <v>N/A - Facility Does Not Report to TRI</v>
      </c>
      <c r="AJ145" s="158" t="str" cm="1">
        <f t="array" ref="AJ145">IF(B145="TRI Form A",AC145,IF(AH145=0,"Facility has no transfers to POTWs between 2019-2023.",IF(COUNTIF('Processed Non-zero TRI Data'!$I:$I,$I145)&gt;0,INDEX('Processed Non-zero TRI Data'!$A:$A,MATCH(1,($I145='Processed Non-zero TRI Data'!$I:$I)*(AH145='Processed Non-zero TRI Data'!$V:$V),0)),"N/A - Facility Does Not Report to TRI")))</f>
        <v>N/A - Facility Does Not Report to TRI</v>
      </c>
      <c r="AK145" s="97" t="str" cm="1">
        <f t="array" ref="AK145">IFERROR(_xlfn.XLOOKUP(1,  (MAX(IF(I145 = 'Processed Non-zero TRI Data'!$I$2:$I$6,'Processed Non-zero TRI Data'!$A$2:$A$6)) = 'Processed Non-zero TRI Data'!$A$2:$A$6)*('Processed Non-zero TRI Data'!$I$2:$I$6 = I145), 'Processed Non-zero TRI Data'!$X$2:$X$6), "N/A- Facility Does Not Report to TRI")</f>
        <v>N/A- Facility Does Not Report to TRI</v>
      </c>
      <c r="AL145" s="9" t="str">
        <f t="shared" si="58"/>
        <v>N/A - Facility Does Not Report to TRI</v>
      </c>
      <c r="AM145" s="9" t="str" cm="1">
        <f t="array" ref="AM145">IF(COUNTIF('Processed Non-zero TRI Data'!$I:$I,$I145)&gt;0,MEDIAN(IF('Processed Non-zero TRI Data'!$I:$I=I145,'Processed Non-zero TRI Data'!$X:$X)), "N/A - Facility Does Not Report to TRI")</f>
        <v>N/A - Facility Does Not Report to TRI</v>
      </c>
      <c r="AN145" s="9" t="str">
        <f t="shared" si="59"/>
        <v>N/A - Facility Does Not Report to TRI</v>
      </c>
      <c r="AO145" s="9" t="str">
        <f>IF(COUNTIF('Processed Non-zero TRI Data'!$I:$I,$I145)&gt;0,_xlfn.MAXIFS('Processed Non-zero TRI Data'!$X:$X,'Processed Non-zero TRI Data'!$I:$I,$I145), "N/A - Facility Does Not Report to TRI")</f>
        <v>N/A - Facility Does Not Report to TRI</v>
      </c>
      <c r="AP145" s="9" t="str">
        <f t="shared" si="60"/>
        <v>N/A - Facility Does Not Report to TRI</v>
      </c>
      <c r="AQ145" s="251" t="str" cm="1">
        <f t="array" ref="AQ145">IF(B145="TRI Form A",AC145,IF(AO145=0,"Facility has no transfers to non-POTWs between 2019-2023.",IF(COUNTIF('Processed Non-zero TRI Data'!$I:$I,$I145)&gt;0,INDEX('Processed Non-zero TRI Data'!$A:$A,MATCH(1,($I145='Processed Non-zero TRI Data'!$I:$I)*(AO145='Processed Non-zero TRI Data'!$X:$X),0)),"N/A - Facility Does Not Report to TRI")))</f>
        <v>N/A - Facility Does Not Report to TRI</v>
      </c>
      <c r="AR145" s="260">
        <f t="shared" si="61"/>
        <v>0</v>
      </c>
      <c r="AS145" s="260">
        <f t="shared" si="62"/>
        <v>3.6661600000000003E-2</v>
      </c>
    </row>
    <row r="146" spans="1:45" ht="30" x14ac:dyDescent="0.25">
      <c r="A146" s="12">
        <v>143</v>
      </c>
      <c r="B146" s="10" t="str">
        <f>IFERROR("TRI Form "&amp; VLOOKUP(I146, 'Processed Non-zero TRI Data'!$I$2:$K$6, 3, FALSE), "DMR")</f>
        <v>DMR</v>
      </c>
      <c r="C146" s="181" t="e">
        <f>VLOOKUP(D146,#REF!, 2, FALSE)</f>
        <v>#REF!</v>
      </c>
      <c r="D146" s="181" t="str">
        <f>IF(I146&lt;&gt;"",INDEX('Processed Non-zero TRI Data'!$O:$O,MATCH(I146,'Processed Non-zero TRI Data'!$I:$I,0)),INDEX('Processed Non-zero DMR Data'!$S:$S,MATCH(J146,'Processed Non-zero DMR Data'!$I:$I,0)))</f>
        <v>Waste Handling, Disposal and Treatment (POTW)</v>
      </c>
      <c r="E146" s="181" t="str">
        <f>IF(I146&lt;&gt;"",INDEX('Processed Non-zero TRI Data'!$P:$P,MATCH(I146,'Processed Non-zero TRI Data'!$I:$I,0)),INDEX('Processed Non-zero DMR Data'!$T:$T,MATCH(J146,'Processed Non-zero DMR Data'!$I:$I,0)))</f>
        <v>POTW indicator in DMR</v>
      </c>
      <c r="F146" s="9" t="str">
        <f>_xlfn.XLOOKUP(J146, 'Processed Non-zero DMR Data'!I:I, 'Processed Non-zero DMR Data'!B:B)</f>
        <v>BEREA MUNICIPAL UTILITIES WWTP</v>
      </c>
      <c r="G146" s="9" t="str">
        <f>_xlfn.XLOOKUP(J146, 'Processed Non-zero DMR Data'!I:I, 'Processed Non-zero DMR Data'!C:C)</f>
        <v>BEREA</v>
      </c>
      <c r="H146" s="9" t="str">
        <f>_xlfn.XLOOKUP(J146, 'Processed Non-zero DMR Data'!I:I, 'Processed Non-zero DMR Data'!E:E)</f>
        <v>KY</v>
      </c>
      <c r="I146" s="12"/>
      <c r="J146" s="13">
        <v>110040000398</v>
      </c>
      <c r="K146" s="9" t="str">
        <f>IFERROR(INDEX('Raw Non-zero DMR Data'!$C:$C, MATCH(J146,'Raw Non-zero DMR Data'!$D:$D,0)),"")</f>
        <v>KY0079898</v>
      </c>
      <c r="L146" s="9" t="str">
        <f>IFERROR(INDEX('Raw Non-zero DMR Data'!$U:$U, MATCH($J146,'Raw Non-zero DMR Data'!$D:$D,0)),"")</f>
        <v>Hays Fork-Silver Creek</v>
      </c>
      <c r="M146" s="155" t="str">
        <f>IFERROR(INDEX('Raw Non-zero DMR Data'!$T:$T, MATCH($J146,'Raw Non-zero DMR Data'!$D:$D,0)),"")</f>
        <v>051002050202</v>
      </c>
      <c r="N146" s="155" t="str">
        <f>IFERROR(INDEX('Off-site Locations'!$E:$E,MATCH(I146,'Off-site Locations'!$B:$B,0)),"No offsite transfers")</f>
        <v>No offsite transfers</v>
      </c>
      <c r="O146" s="165">
        <f>INDEX('TRI and DMR OES Summary'!D:D,MATCH('Facility Discharge Summary'!D146,'TRI and DMR OES Summary'!A:A,0))</f>
        <v>365</v>
      </c>
      <c r="P146" s="17" cm="1">
        <f t="array" ref="P146">IFERROR(_xlfn.XLOOKUP(1,  (MAX(IF(J146 = 'Processed Non-zero DMR Data'!$I$2:$I$651,'Processed Non-zero DMR Data'!$A$2:$A$651)) = 'Processed Non-zero DMR Data'!$A$2:$A$651)*('Processed Non-zero DMR Data'!$I$2:$I$651 = J146),'Processed Non-zero DMR Data'!$W$2:$W$651), "N/A- Facility Does Not Report DMRs")</f>
        <v>2.7554516124999999</v>
      </c>
      <c r="Q146" s="10">
        <f t="shared" si="49"/>
        <v>7.5491824999999995E-3</v>
      </c>
      <c r="R146" s="10" cm="1">
        <f t="array" ref="R146">IF(COUNTIF('Processed Non-zero DMR Data'!$I:$I,$J146)&gt;0,MEDIAN(IF('Processed Non-zero DMR Data'!$I:$I=J146,'Processed Non-zero DMR Data'!$W:$W)),"N/A - Facility Does Not Report DMRs")</f>
        <v>2.8017326999999996</v>
      </c>
      <c r="S146" s="10">
        <f t="shared" si="50"/>
        <v>7.6759799999999989E-3</v>
      </c>
      <c r="T146" s="10">
        <f>IF(COUNTIF('Processed Non-zero DMR Data'!$I:$I,$J146)&gt;0,_xlfn.MAXIFS('Processed Non-zero DMR Data'!$W:$W,'Processed Non-zero DMR Data'!$I:$I,$J146), "N/A - Facility Does Not Report DMRs")</f>
        <v>2.8480137874999998</v>
      </c>
      <c r="U146" s="10">
        <f t="shared" si="51"/>
        <v>7.8027774999999992E-3</v>
      </c>
      <c r="V146" s="158" cm="1">
        <f t="array" ref="V146">IF(COUNTIF('Processed Non-zero DMR Data'!$I:$I,$J146)&gt;0,INDEX('Processed Non-zero DMR Data'!$A:$A,MATCH(1,($J146='Processed Non-zero DMR Data'!$I:$I)*($T146='Processed Non-zero DMR Data'!$W:$W),0)), "N/A - Facility Does Not Report DMRs")</f>
        <v>2020</v>
      </c>
      <c r="W146" s="17" t="str" cm="1">
        <f t="array" ref="W146">IFERROR(_xlfn.XLOOKUP(1,  (MAX(IF(I146 = 'Processed Non-zero TRI Data'!$I$2:$I$6,'Processed Non-zero TRI Data'!$A$2:$A$6)) = 'Processed Non-zero TRI Data'!$A$2:$A$6)*('Processed Non-zero TRI Data'!$I$2:$I$6 = I146), 'Processed Non-zero TRI Data'!$T$2:$T$6), "N/A- Facility Does Not Report to TRI")</f>
        <v>N/A- Facility Does Not Report to TRI</v>
      </c>
      <c r="X146" s="10" t="str">
        <f t="shared" si="52"/>
        <v>N/A - Facility Does Not Report to TRI</v>
      </c>
      <c r="Y146" s="10" t="str" cm="1">
        <f t="array" ref="Y146">IF(COUNTIF('Processed Non-zero TRI Data'!$I:$I,$I146)&gt;0,MEDIAN(IF('Processed Non-zero TRI Data'!$I:$I=I146,'Processed Non-zero TRI Data'!$T:$T)), "N/A - Facility Does Not Report to TRI")</f>
        <v>N/A - Facility Does Not Report to TRI</v>
      </c>
      <c r="Z146" s="10" t="str">
        <f t="shared" si="53"/>
        <v>N/A - Facility Does Not Report to TRI</v>
      </c>
      <c r="AA146" s="10" t="str">
        <f>IF(COUNTIF('Processed Non-zero TRI Data'!$I:$I,$I146)&gt;0,_xlfn.MAXIFS('Processed Non-zero TRI Data'!$T:$T,'Processed Non-zero TRI Data'!$I:$I,$I146), "N/A - Facility Does Not Report to TRI")</f>
        <v>N/A - Facility Does Not Report to TRI</v>
      </c>
      <c r="AB146" s="10" t="str">
        <f t="shared" si="54"/>
        <v>N/A - Facility Does Not Report to TRI</v>
      </c>
      <c r="AC146" s="158" t="str" cm="1">
        <f t="array" ref="AC146">IFERROR(IF(B146 = "TRI Form R", IF(AA146 = 0, "Facility has no on-site water discharges between 2017-2022.",  IF(COUNTIF('Processed Non-zero TRI Data'!$I:$I,$I146)&gt;0,INDEX('Processed Non-zero TRI Data'!$A:$A,MATCH(1,($I146='Processed Non-zero TRI Data'!$I:$I)*(AA146='Processed Non-zero TRI Data'!$T:$T),0)))), VLOOKUP(I146,#REF!, 2, FALSE)), ("N/A - Facility Does Not Report to TRI"))</f>
        <v>N/A - Facility Does Not Report to TRI</v>
      </c>
      <c r="AD146" s="97" t="str" cm="1">
        <f t="array" ref="AD146">IFERROR(_xlfn.XLOOKUP(1,  (MAX(IF(I146 = 'Processed Non-zero TRI Data'!$I$2:$I$6,'Processed Non-zero TRI Data'!$A$2:$A$6)) = 'Processed Non-zero TRI Data'!$A$2:$A$6)*('Processed Non-zero TRI Data'!$I$2:$I$6 = I146), 'Processed Non-zero TRI Data'!$V$2:$V$6), "N/A- Facility Does Not Report to TRI")</f>
        <v>N/A- Facility Does Not Report to TRI</v>
      </c>
      <c r="AE146" s="9" t="str">
        <f t="shared" si="55"/>
        <v>N/A - Facility Does Not Report to TRI</v>
      </c>
      <c r="AF146" s="9" t="str" cm="1">
        <f t="array" ref="AF146">IF(COUNTIF('Processed Non-zero TRI Data'!$I:$I,$I146)&gt;0,MEDIAN(IF('Processed Non-zero TRI Data'!$I:$I=I146,'Processed Non-zero TRI Data'!$V:$V)), "N/A - Facility Does Not Report to TRI")</f>
        <v>N/A - Facility Does Not Report to TRI</v>
      </c>
      <c r="AG146" s="9" t="str">
        <f t="shared" si="56"/>
        <v>N/A - Facility Does Not Report to TRI</v>
      </c>
      <c r="AH146" s="9" t="str">
        <f>IF(COUNTIF('Processed Non-zero TRI Data'!$I:$I,$I146)&gt;0,_xlfn.MAXIFS('Processed Non-zero TRI Data'!$V:$V,'Processed Non-zero TRI Data'!$I:$I,$I146), "N/A - Facility Does Not Report to TRI")</f>
        <v>N/A - Facility Does Not Report to TRI</v>
      </c>
      <c r="AI146" s="9" t="str">
        <f t="shared" si="57"/>
        <v>N/A - Facility Does Not Report to TRI</v>
      </c>
      <c r="AJ146" s="158" t="str" cm="1">
        <f t="array" ref="AJ146">IF(B146="TRI Form A",AC146,IF(AH146=0,"Facility has no transfers to POTWs between 2019-2023.",IF(COUNTIF('Processed Non-zero TRI Data'!$I:$I,$I146)&gt;0,INDEX('Processed Non-zero TRI Data'!$A:$A,MATCH(1,($I146='Processed Non-zero TRI Data'!$I:$I)*(AH146='Processed Non-zero TRI Data'!$V:$V),0)),"N/A - Facility Does Not Report to TRI")))</f>
        <v>N/A - Facility Does Not Report to TRI</v>
      </c>
      <c r="AK146" s="97" t="str" cm="1">
        <f t="array" ref="AK146">IFERROR(_xlfn.XLOOKUP(1,  (MAX(IF(I146 = 'Processed Non-zero TRI Data'!$I$2:$I$6,'Processed Non-zero TRI Data'!$A$2:$A$6)) = 'Processed Non-zero TRI Data'!$A$2:$A$6)*('Processed Non-zero TRI Data'!$I$2:$I$6 = I146), 'Processed Non-zero TRI Data'!$X$2:$X$6), "N/A- Facility Does Not Report to TRI")</f>
        <v>N/A- Facility Does Not Report to TRI</v>
      </c>
      <c r="AL146" s="9" t="str">
        <f t="shared" si="58"/>
        <v>N/A - Facility Does Not Report to TRI</v>
      </c>
      <c r="AM146" s="9" t="str" cm="1">
        <f t="array" ref="AM146">IF(COUNTIF('Processed Non-zero TRI Data'!$I:$I,$I146)&gt;0,MEDIAN(IF('Processed Non-zero TRI Data'!$I:$I=I146,'Processed Non-zero TRI Data'!$X:$X)), "N/A - Facility Does Not Report to TRI")</f>
        <v>N/A - Facility Does Not Report to TRI</v>
      </c>
      <c r="AN146" s="9" t="str">
        <f t="shared" si="59"/>
        <v>N/A - Facility Does Not Report to TRI</v>
      </c>
      <c r="AO146" s="9" t="str">
        <f>IF(COUNTIF('Processed Non-zero TRI Data'!$I:$I,$I146)&gt;0,_xlfn.MAXIFS('Processed Non-zero TRI Data'!$X:$X,'Processed Non-zero TRI Data'!$I:$I,$I146), "N/A - Facility Does Not Report to TRI")</f>
        <v>N/A - Facility Does Not Report to TRI</v>
      </c>
      <c r="AP146" s="9" t="str">
        <f t="shared" si="60"/>
        <v>N/A - Facility Does Not Report to TRI</v>
      </c>
      <c r="AQ146" s="251" t="str" cm="1">
        <f t="array" ref="AQ146">IF(B146="TRI Form A",AC146,IF(AO146=0,"Facility has no transfers to non-POTWs between 2019-2023.",IF(COUNTIF('Processed Non-zero TRI Data'!$I:$I,$I146)&gt;0,INDEX('Processed Non-zero TRI Data'!$A:$A,MATCH(1,($I146='Processed Non-zero TRI Data'!$I:$I)*(AO146='Processed Non-zero TRI Data'!$X:$X),0)),"N/A - Facility Does Not Report to TRI")))</f>
        <v>N/A - Facility Does Not Report to TRI</v>
      </c>
      <c r="AR146" s="260">
        <f t="shared" si="61"/>
        <v>0</v>
      </c>
      <c r="AS146" s="260">
        <f t="shared" si="62"/>
        <v>2.8480137874999998</v>
      </c>
    </row>
    <row r="147" spans="1:45" ht="30" x14ac:dyDescent="0.25">
      <c r="A147" s="12">
        <v>144</v>
      </c>
      <c r="B147" s="10" t="str">
        <f>IFERROR("TRI Form "&amp; VLOOKUP(I147, 'Processed Non-zero TRI Data'!$I$2:$K$6, 3, FALSE), "DMR")</f>
        <v>DMR</v>
      </c>
      <c r="C147" s="181" t="e">
        <f>VLOOKUP(D147,#REF!, 2, FALSE)</f>
        <v>#REF!</v>
      </c>
      <c r="D147" s="181" t="str">
        <f>IF(I147&lt;&gt;"",INDEX('Processed Non-zero TRI Data'!$O:$O,MATCH(I147,'Processed Non-zero TRI Data'!$I:$I,0)),INDEX('Processed Non-zero DMR Data'!$S:$S,MATCH(J147,'Processed Non-zero DMR Data'!$I:$I,0)))</f>
        <v>Waste Handling, Disposal and Treatment (POTW)</v>
      </c>
      <c r="E147" s="181" t="str">
        <f>IF(I147&lt;&gt;"",INDEX('Processed Non-zero TRI Data'!$P:$P,MATCH(I147,'Processed Non-zero TRI Data'!$I:$I,0)),INDEX('Processed Non-zero DMR Data'!$T:$T,MATCH(J147,'Processed Non-zero DMR Data'!$I:$I,0)))</f>
        <v>POTW indicator in DMR</v>
      </c>
      <c r="F147" s="9" t="str">
        <f>_xlfn.XLOOKUP(J147, 'Processed Non-zero DMR Data'!I:I, 'Processed Non-zero DMR Data'!B:B)</f>
        <v>OHIO RIVER WWTP</v>
      </c>
      <c r="G147" s="9" t="str">
        <f>_xlfn.XLOOKUP(J147, 'Processed Non-zero DMR Data'!I:I, 'Processed Non-zero DMR Data'!C:C)</f>
        <v>GOSHEN</v>
      </c>
      <c r="H147" s="9" t="str">
        <f>_xlfn.XLOOKUP(J147, 'Processed Non-zero DMR Data'!I:I, 'Processed Non-zero DMR Data'!E:E)</f>
        <v>KY</v>
      </c>
      <c r="I147" s="12"/>
      <c r="J147" s="13">
        <v>110022905588</v>
      </c>
      <c r="K147" s="9" t="str">
        <f>IFERROR(INDEX('Raw Non-zero DMR Data'!$C:$C, MATCH(J147,'Raw Non-zero DMR Data'!$D:$D,0)),"")</f>
        <v>KY0106143</v>
      </c>
      <c r="L147" s="9" t="str">
        <f>IFERROR(INDEX('Raw Non-zero DMR Data'!$U:$U, MATCH($J147,'Raw Non-zero DMR Data'!$D:$D,0)),"")</f>
        <v>Little Huckleberry Creek-Ohio River</v>
      </c>
      <c r="M147" s="155" t="str">
        <f>IFERROR(INDEX('Raw Non-zero DMR Data'!$T:$T, MATCH($J147,'Raw Non-zero DMR Data'!$D:$D,0)),"")</f>
        <v>051401010604</v>
      </c>
      <c r="N147" s="155" t="str">
        <f>IFERROR(INDEX('Off-site Locations'!$E:$E,MATCH(I147,'Off-site Locations'!$B:$B,0)),"No offsite transfers")</f>
        <v>No offsite transfers</v>
      </c>
      <c r="O147" s="165">
        <f>INDEX('TRI and DMR OES Summary'!D:D,MATCH('Facility Discharge Summary'!D147,'TRI and DMR OES Summary'!A:A,0))</f>
        <v>365</v>
      </c>
      <c r="P147" s="17" cm="1">
        <f t="array" ref="P147">IFERROR(_xlfn.XLOOKUP(1,  (MAX(IF(J147 = 'Processed Non-zero DMR Data'!$I$2:$I$651,'Processed Non-zero DMR Data'!$A$2:$A$651)) = 'Processed Non-zero DMR Data'!$A$2:$A$651)*('Processed Non-zero DMR Data'!$I$2:$I$651 = J147),'Processed Non-zero DMR Data'!$W$2:$W$651), "N/A- Facility Does Not Report DMRs")</f>
        <v>2.756142375</v>
      </c>
      <c r="Q147" s="10">
        <f t="shared" si="49"/>
        <v>7.551075E-3</v>
      </c>
      <c r="R147" s="10" cm="1">
        <f t="array" ref="R147">IF(COUNTIF('Processed Non-zero DMR Data'!$I:$I,$J147)&gt;0,MEDIAN(IF('Processed Non-zero DMR Data'!$I:$I=J147,'Processed Non-zero DMR Data'!$W:$W)),"N/A - Facility Does Not Report DMRs")</f>
        <v>2.1310023125000002</v>
      </c>
      <c r="S147" s="10">
        <f t="shared" si="50"/>
        <v>5.8383625000000003E-3</v>
      </c>
      <c r="T147" s="10">
        <f>IF(COUNTIF('Processed Non-zero DMR Data'!$I:$I,$J147)&gt;0,_xlfn.MAXIFS('Processed Non-zero DMR Data'!$W:$W,'Processed Non-zero DMR Data'!$I:$I,$J147), "N/A - Facility Does Not Report DMRs")</f>
        <v>2.756142375</v>
      </c>
      <c r="U147" s="10">
        <f t="shared" si="51"/>
        <v>7.551075E-3</v>
      </c>
      <c r="V147" s="158" cm="1">
        <f t="array" ref="V147">IF(COUNTIF('Processed Non-zero DMR Data'!$I:$I,$J147)&gt;0,INDEX('Processed Non-zero DMR Data'!$A:$A,MATCH(1,($J147='Processed Non-zero DMR Data'!$I:$I)*($T147='Processed Non-zero DMR Data'!$W:$W),0)), "N/A - Facility Does Not Report DMRs")</f>
        <v>2022</v>
      </c>
      <c r="W147" s="17" t="str" cm="1">
        <f t="array" ref="W147">IFERROR(_xlfn.XLOOKUP(1,  (MAX(IF(I147 = 'Processed Non-zero TRI Data'!$I$2:$I$6,'Processed Non-zero TRI Data'!$A$2:$A$6)) = 'Processed Non-zero TRI Data'!$A$2:$A$6)*('Processed Non-zero TRI Data'!$I$2:$I$6 = I147), 'Processed Non-zero TRI Data'!$T$2:$T$6), "N/A- Facility Does Not Report to TRI")</f>
        <v>N/A- Facility Does Not Report to TRI</v>
      </c>
      <c r="X147" s="10" t="str">
        <f t="shared" si="52"/>
        <v>N/A - Facility Does Not Report to TRI</v>
      </c>
      <c r="Y147" s="10" t="str" cm="1">
        <f t="array" ref="Y147">IF(COUNTIF('Processed Non-zero TRI Data'!$I:$I,$I147)&gt;0,MEDIAN(IF('Processed Non-zero TRI Data'!$I:$I=I147,'Processed Non-zero TRI Data'!$T:$T)), "N/A - Facility Does Not Report to TRI")</f>
        <v>N/A - Facility Does Not Report to TRI</v>
      </c>
      <c r="Z147" s="10" t="str">
        <f t="shared" si="53"/>
        <v>N/A - Facility Does Not Report to TRI</v>
      </c>
      <c r="AA147" s="10" t="str">
        <f>IF(COUNTIF('Processed Non-zero TRI Data'!$I:$I,$I147)&gt;0,_xlfn.MAXIFS('Processed Non-zero TRI Data'!$T:$T,'Processed Non-zero TRI Data'!$I:$I,$I147), "N/A - Facility Does Not Report to TRI")</f>
        <v>N/A - Facility Does Not Report to TRI</v>
      </c>
      <c r="AB147" s="10" t="str">
        <f t="shared" si="54"/>
        <v>N/A - Facility Does Not Report to TRI</v>
      </c>
      <c r="AC147" s="158" t="str" cm="1">
        <f t="array" ref="AC147">IFERROR(IF(B147 = "TRI Form R", IF(AA147 = 0, "Facility has no on-site water discharges between 2017-2022.",  IF(COUNTIF('Processed Non-zero TRI Data'!$I:$I,$I147)&gt;0,INDEX('Processed Non-zero TRI Data'!$A:$A,MATCH(1,($I147='Processed Non-zero TRI Data'!$I:$I)*(AA147='Processed Non-zero TRI Data'!$T:$T),0)))), VLOOKUP(I147,#REF!, 2, FALSE)), ("N/A - Facility Does Not Report to TRI"))</f>
        <v>N/A - Facility Does Not Report to TRI</v>
      </c>
      <c r="AD147" s="97" t="str" cm="1">
        <f t="array" ref="AD147">IFERROR(_xlfn.XLOOKUP(1,  (MAX(IF(I147 = 'Processed Non-zero TRI Data'!$I$2:$I$6,'Processed Non-zero TRI Data'!$A$2:$A$6)) = 'Processed Non-zero TRI Data'!$A$2:$A$6)*('Processed Non-zero TRI Data'!$I$2:$I$6 = I147), 'Processed Non-zero TRI Data'!$V$2:$V$6), "N/A- Facility Does Not Report to TRI")</f>
        <v>N/A- Facility Does Not Report to TRI</v>
      </c>
      <c r="AE147" s="9" t="str">
        <f t="shared" si="55"/>
        <v>N/A - Facility Does Not Report to TRI</v>
      </c>
      <c r="AF147" s="9" t="str" cm="1">
        <f t="array" ref="AF147">IF(COUNTIF('Processed Non-zero TRI Data'!$I:$I,$I147)&gt;0,MEDIAN(IF('Processed Non-zero TRI Data'!$I:$I=I147,'Processed Non-zero TRI Data'!$V:$V)), "N/A - Facility Does Not Report to TRI")</f>
        <v>N/A - Facility Does Not Report to TRI</v>
      </c>
      <c r="AG147" s="9" t="str">
        <f t="shared" si="56"/>
        <v>N/A - Facility Does Not Report to TRI</v>
      </c>
      <c r="AH147" s="9" t="str">
        <f>IF(COUNTIF('Processed Non-zero TRI Data'!$I:$I,$I147)&gt;0,_xlfn.MAXIFS('Processed Non-zero TRI Data'!$V:$V,'Processed Non-zero TRI Data'!$I:$I,$I147), "N/A - Facility Does Not Report to TRI")</f>
        <v>N/A - Facility Does Not Report to TRI</v>
      </c>
      <c r="AI147" s="9" t="str">
        <f t="shared" si="57"/>
        <v>N/A - Facility Does Not Report to TRI</v>
      </c>
      <c r="AJ147" s="158" t="str" cm="1">
        <f t="array" ref="AJ147">IF(B147="TRI Form A",AC147,IF(AH147=0,"Facility has no transfers to POTWs between 2019-2023.",IF(COUNTIF('Processed Non-zero TRI Data'!$I:$I,$I147)&gt;0,INDEX('Processed Non-zero TRI Data'!$A:$A,MATCH(1,($I147='Processed Non-zero TRI Data'!$I:$I)*(AH147='Processed Non-zero TRI Data'!$V:$V),0)),"N/A - Facility Does Not Report to TRI")))</f>
        <v>N/A - Facility Does Not Report to TRI</v>
      </c>
      <c r="AK147" s="97" t="str" cm="1">
        <f t="array" ref="AK147">IFERROR(_xlfn.XLOOKUP(1,  (MAX(IF(I147 = 'Processed Non-zero TRI Data'!$I$2:$I$6,'Processed Non-zero TRI Data'!$A$2:$A$6)) = 'Processed Non-zero TRI Data'!$A$2:$A$6)*('Processed Non-zero TRI Data'!$I$2:$I$6 = I147), 'Processed Non-zero TRI Data'!$X$2:$X$6), "N/A- Facility Does Not Report to TRI")</f>
        <v>N/A- Facility Does Not Report to TRI</v>
      </c>
      <c r="AL147" s="9" t="str">
        <f t="shared" si="58"/>
        <v>N/A - Facility Does Not Report to TRI</v>
      </c>
      <c r="AM147" s="9" t="str" cm="1">
        <f t="array" ref="AM147">IF(COUNTIF('Processed Non-zero TRI Data'!$I:$I,$I147)&gt;0,MEDIAN(IF('Processed Non-zero TRI Data'!$I:$I=I147,'Processed Non-zero TRI Data'!$X:$X)), "N/A - Facility Does Not Report to TRI")</f>
        <v>N/A - Facility Does Not Report to TRI</v>
      </c>
      <c r="AN147" s="9" t="str">
        <f t="shared" si="59"/>
        <v>N/A - Facility Does Not Report to TRI</v>
      </c>
      <c r="AO147" s="9" t="str">
        <f>IF(COUNTIF('Processed Non-zero TRI Data'!$I:$I,$I147)&gt;0,_xlfn.MAXIFS('Processed Non-zero TRI Data'!$X:$X,'Processed Non-zero TRI Data'!$I:$I,$I147), "N/A - Facility Does Not Report to TRI")</f>
        <v>N/A - Facility Does Not Report to TRI</v>
      </c>
      <c r="AP147" s="9" t="str">
        <f t="shared" si="60"/>
        <v>N/A - Facility Does Not Report to TRI</v>
      </c>
      <c r="AQ147" s="251" t="str" cm="1">
        <f t="array" ref="AQ147">IF(B147="TRI Form A",AC147,IF(AO147=0,"Facility has no transfers to non-POTWs between 2019-2023.",IF(COUNTIF('Processed Non-zero TRI Data'!$I:$I,$I147)&gt;0,INDEX('Processed Non-zero TRI Data'!$A:$A,MATCH(1,($I147='Processed Non-zero TRI Data'!$I:$I)*(AO147='Processed Non-zero TRI Data'!$X:$X),0)),"N/A - Facility Does Not Report to TRI")))</f>
        <v>N/A - Facility Does Not Report to TRI</v>
      </c>
      <c r="AR147" s="260">
        <f t="shared" si="61"/>
        <v>0</v>
      </c>
      <c r="AS147" s="260">
        <f t="shared" si="62"/>
        <v>2.756142375</v>
      </c>
    </row>
    <row r="148" spans="1:45" ht="45" x14ac:dyDescent="0.25">
      <c r="A148" s="12">
        <v>145</v>
      </c>
      <c r="B148" s="10" t="str">
        <f>IFERROR("TRI Form "&amp; VLOOKUP(I148, 'Processed Non-zero TRI Data'!$I$2:$K$6, 3, FALSE), "DMR")</f>
        <v>DMR</v>
      </c>
      <c r="C148" s="181" t="e">
        <f>VLOOKUP(D148,#REF!, 2, FALSE)</f>
        <v>#REF!</v>
      </c>
      <c r="D148" s="181" t="str">
        <f>IF(I148&lt;&gt;"",INDEX('Processed Non-zero TRI Data'!$O:$O,MATCH(I148,'Processed Non-zero TRI Data'!$I:$I,0)),INDEX('Processed Non-zero DMR Data'!$S:$S,MATCH(J148,'Processed Non-zero DMR Data'!$I:$I,0)))</f>
        <v>Impurity in Plastics</v>
      </c>
      <c r="E148" s="181" t="str">
        <f>IF(I148&lt;&gt;"",INDEX('Processed Non-zero TRI Data'!$P:$P,MATCH(I148,'Processed Non-zero TRI Data'!$I:$I,0)),INDEX('Processed Non-zero DMR Data'!$T:$T,MATCH(J148,'Processed Non-zero DMR Data'!$I:$I,0)))</f>
        <v>Plastics SIC/NAICS - EPA-HQ-OPPT-2018-0428-0011 indicates 1,2-dichloropropane can be a residual/byproduct in PVC plastics or a flame retardant plasticizer.</v>
      </c>
      <c r="F148" s="9" t="str">
        <f>_xlfn.XLOOKUP(J148, 'Processed Non-zero DMR Data'!I:I, 'Processed Non-zero DMR Data'!B:B)</f>
        <v>BRASKEM AMERICA INC - LAPORTE SITE</v>
      </c>
      <c r="G148" s="9" t="str">
        <f>_xlfn.XLOOKUP(J148, 'Processed Non-zero DMR Data'!I:I, 'Processed Non-zero DMR Data'!C:C)</f>
        <v>LA PORTE</v>
      </c>
      <c r="H148" s="9" t="str">
        <f>_xlfn.XLOOKUP(J148, 'Processed Non-zero DMR Data'!I:I, 'Processed Non-zero DMR Data'!E:E)</f>
        <v>TX</v>
      </c>
      <c r="I148" s="12"/>
      <c r="J148" s="13">
        <v>110000463631</v>
      </c>
      <c r="K148" s="9" t="str">
        <f>IFERROR(INDEX('Raw Non-zero DMR Data'!$C:$C, MATCH(J148,'Raw Non-zero DMR Data'!$D:$D,0)),"")</f>
        <v>TX0074276</v>
      </c>
      <c r="L148" s="9" t="str">
        <f>IFERROR(INDEX('Raw Non-zero DMR Data'!$U:$U, MATCH($J148,'Raw Non-zero DMR Data'!$D:$D,0)),"")</f>
        <v>Goose Creek-Frontal Galveston Bay</v>
      </c>
      <c r="M148" s="155">
        <f>IFERROR(INDEX('Raw Non-zero DMR Data'!$T:$T, MATCH($J148,'Raw Non-zero DMR Data'!$D:$D,0)),"")</f>
        <v>120401040706</v>
      </c>
      <c r="N148" s="155" t="str">
        <f>IFERROR(INDEX('Off-site Locations'!$E:$E,MATCH(I148,'Off-site Locations'!$B:$B,0)),"No offsite transfers")</f>
        <v>No offsite transfers</v>
      </c>
      <c r="O148" s="165">
        <f>INDEX('TRI and DMR OES Summary'!D:D,MATCH('Facility Discharge Summary'!D148,'TRI and DMR OES Summary'!A:A,0))</f>
        <v>350</v>
      </c>
      <c r="P148" s="17" cm="1">
        <f t="array" ref="P148">IFERROR(_xlfn.XLOOKUP(1,  (MAX(IF(J148 = 'Processed Non-zero DMR Data'!$I$2:$I$651,'Processed Non-zero DMR Data'!$A$2:$A$651)) = 'Processed Non-zero DMR Data'!$A$2:$A$651)*('Processed Non-zero DMR Data'!$I$2:$I$651 = J148),'Processed Non-zero DMR Data'!$W$2:$W$651), "N/A- Facility Does Not Report DMRs")</f>
        <v>9.6111799999999997E-2</v>
      </c>
      <c r="Q148" s="10">
        <f t="shared" si="49"/>
        <v>2.7460514285714287E-4</v>
      </c>
      <c r="R148" s="10" cm="1">
        <f t="array" ref="R148">IF(COUNTIF('Processed Non-zero DMR Data'!$I:$I,$J148)&gt;0,MEDIAN(IF('Processed Non-zero DMR Data'!$I:$I=J148,'Processed Non-zero DMR Data'!$W:$W)),"N/A - Facility Does Not Report DMRs")</f>
        <v>9.6111799999999997E-2</v>
      </c>
      <c r="S148" s="10">
        <f t="shared" si="50"/>
        <v>2.7460514285714287E-4</v>
      </c>
      <c r="T148" s="10">
        <f>IF(COUNTIF('Processed Non-zero DMR Data'!$I:$I,$J148)&gt;0,_xlfn.MAXIFS('Processed Non-zero DMR Data'!$W:$W,'Processed Non-zero DMR Data'!$I:$I,$J148), "N/A - Facility Does Not Report DMRs")</f>
        <v>9.6111799999999997E-2</v>
      </c>
      <c r="U148" s="10">
        <f t="shared" si="51"/>
        <v>2.7460514285714287E-4</v>
      </c>
      <c r="V148" s="158" cm="1">
        <f t="array" ref="V148">IF(COUNTIF('Processed Non-zero DMR Data'!$I:$I,$J148)&gt;0,INDEX('Processed Non-zero DMR Data'!$A:$A,MATCH(1,($J148='Processed Non-zero DMR Data'!$I:$I)*($T148='Processed Non-zero DMR Data'!$W:$W),0)), "N/A - Facility Does Not Report DMRs")</f>
        <v>2020</v>
      </c>
      <c r="W148" s="17" t="str" cm="1">
        <f t="array" ref="W148">IFERROR(_xlfn.XLOOKUP(1,  (MAX(IF(I148 = 'Processed Non-zero TRI Data'!$I$2:$I$6,'Processed Non-zero TRI Data'!$A$2:$A$6)) = 'Processed Non-zero TRI Data'!$A$2:$A$6)*('Processed Non-zero TRI Data'!$I$2:$I$6 = I148), 'Processed Non-zero TRI Data'!$T$2:$T$6), "N/A- Facility Does Not Report to TRI")</f>
        <v>N/A- Facility Does Not Report to TRI</v>
      </c>
      <c r="X148" s="10" t="str">
        <f t="shared" si="52"/>
        <v>N/A - Facility Does Not Report to TRI</v>
      </c>
      <c r="Y148" s="10" t="str" cm="1">
        <f t="array" ref="Y148">IF(COUNTIF('Processed Non-zero TRI Data'!$I:$I,$I148)&gt;0,MEDIAN(IF('Processed Non-zero TRI Data'!$I:$I=I148,'Processed Non-zero TRI Data'!$T:$T)), "N/A - Facility Does Not Report to TRI")</f>
        <v>N/A - Facility Does Not Report to TRI</v>
      </c>
      <c r="Z148" s="10" t="str">
        <f t="shared" si="53"/>
        <v>N/A - Facility Does Not Report to TRI</v>
      </c>
      <c r="AA148" s="10" t="str">
        <f>IF(COUNTIF('Processed Non-zero TRI Data'!$I:$I,$I148)&gt;0,_xlfn.MAXIFS('Processed Non-zero TRI Data'!$T:$T,'Processed Non-zero TRI Data'!$I:$I,$I148), "N/A - Facility Does Not Report to TRI")</f>
        <v>N/A - Facility Does Not Report to TRI</v>
      </c>
      <c r="AB148" s="10" t="str">
        <f t="shared" si="54"/>
        <v>N/A - Facility Does Not Report to TRI</v>
      </c>
      <c r="AC148" s="158" t="str" cm="1">
        <f t="array" ref="AC148">IFERROR(IF(B148 = "TRI Form R", IF(AA148 = 0, "Facility has no on-site water discharges between 2017-2022.",  IF(COUNTIF('Processed Non-zero TRI Data'!$I:$I,$I148)&gt;0,INDEX('Processed Non-zero TRI Data'!$A:$A,MATCH(1,($I148='Processed Non-zero TRI Data'!$I:$I)*(AA148='Processed Non-zero TRI Data'!$T:$T),0)))), VLOOKUP(I148,#REF!, 2, FALSE)), ("N/A - Facility Does Not Report to TRI"))</f>
        <v>N/A - Facility Does Not Report to TRI</v>
      </c>
      <c r="AD148" s="97" t="str" cm="1">
        <f t="array" ref="AD148">IFERROR(_xlfn.XLOOKUP(1,  (MAX(IF(I148 = 'Processed Non-zero TRI Data'!$I$2:$I$6,'Processed Non-zero TRI Data'!$A$2:$A$6)) = 'Processed Non-zero TRI Data'!$A$2:$A$6)*('Processed Non-zero TRI Data'!$I$2:$I$6 = I148), 'Processed Non-zero TRI Data'!$V$2:$V$6), "N/A- Facility Does Not Report to TRI")</f>
        <v>N/A- Facility Does Not Report to TRI</v>
      </c>
      <c r="AE148" s="9" t="str">
        <f t="shared" si="55"/>
        <v>N/A - Facility Does Not Report to TRI</v>
      </c>
      <c r="AF148" s="9" t="str" cm="1">
        <f t="array" ref="AF148">IF(COUNTIF('Processed Non-zero TRI Data'!$I:$I,$I148)&gt;0,MEDIAN(IF('Processed Non-zero TRI Data'!$I:$I=I148,'Processed Non-zero TRI Data'!$V:$V)), "N/A - Facility Does Not Report to TRI")</f>
        <v>N/A - Facility Does Not Report to TRI</v>
      </c>
      <c r="AG148" s="9" t="str">
        <f t="shared" si="56"/>
        <v>N/A - Facility Does Not Report to TRI</v>
      </c>
      <c r="AH148" s="9" t="str">
        <f>IF(COUNTIF('Processed Non-zero TRI Data'!$I:$I,$I148)&gt;0,_xlfn.MAXIFS('Processed Non-zero TRI Data'!$V:$V,'Processed Non-zero TRI Data'!$I:$I,$I148), "N/A - Facility Does Not Report to TRI")</f>
        <v>N/A - Facility Does Not Report to TRI</v>
      </c>
      <c r="AI148" s="9" t="str">
        <f t="shared" si="57"/>
        <v>N/A - Facility Does Not Report to TRI</v>
      </c>
      <c r="AJ148" s="158" t="str" cm="1">
        <f t="array" ref="AJ148">IF(B148="TRI Form A",AC148,IF(AH148=0,"Facility has no transfers to POTWs between 2019-2023.",IF(COUNTIF('Processed Non-zero TRI Data'!$I:$I,$I148)&gt;0,INDEX('Processed Non-zero TRI Data'!$A:$A,MATCH(1,($I148='Processed Non-zero TRI Data'!$I:$I)*(AH148='Processed Non-zero TRI Data'!$V:$V),0)),"N/A - Facility Does Not Report to TRI")))</f>
        <v>N/A - Facility Does Not Report to TRI</v>
      </c>
      <c r="AK148" s="97" t="str" cm="1">
        <f t="array" ref="AK148">IFERROR(_xlfn.XLOOKUP(1,  (MAX(IF(I148 = 'Processed Non-zero TRI Data'!$I$2:$I$6,'Processed Non-zero TRI Data'!$A$2:$A$6)) = 'Processed Non-zero TRI Data'!$A$2:$A$6)*('Processed Non-zero TRI Data'!$I$2:$I$6 = I148), 'Processed Non-zero TRI Data'!$X$2:$X$6), "N/A- Facility Does Not Report to TRI")</f>
        <v>N/A- Facility Does Not Report to TRI</v>
      </c>
      <c r="AL148" s="9" t="str">
        <f t="shared" si="58"/>
        <v>N/A - Facility Does Not Report to TRI</v>
      </c>
      <c r="AM148" s="9" t="str" cm="1">
        <f t="array" ref="AM148">IF(COUNTIF('Processed Non-zero TRI Data'!$I:$I,$I148)&gt;0,MEDIAN(IF('Processed Non-zero TRI Data'!$I:$I=I148,'Processed Non-zero TRI Data'!$X:$X)), "N/A - Facility Does Not Report to TRI")</f>
        <v>N/A - Facility Does Not Report to TRI</v>
      </c>
      <c r="AN148" s="9" t="str">
        <f t="shared" si="59"/>
        <v>N/A - Facility Does Not Report to TRI</v>
      </c>
      <c r="AO148" s="9" t="str">
        <f>IF(COUNTIF('Processed Non-zero TRI Data'!$I:$I,$I148)&gt;0,_xlfn.MAXIFS('Processed Non-zero TRI Data'!$X:$X,'Processed Non-zero TRI Data'!$I:$I,$I148), "N/A - Facility Does Not Report to TRI")</f>
        <v>N/A - Facility Does Not Report to TRI</v>
      </c>
      <c r="AP148" s="9" t="str">
        <f t="shared" si="60"/>
        <v>N/A - Facility Does Not Report to TRI</v>
      </c>
      <c r="AQ148" s="251" t="str" cm="1">
        <f t="array" ref="AQ148">IF(B148="TRI Form A",AC148,IF(AO148=0,"Facility has no transfers to non-POTWs between 2019-2023.",IF(COUNTIF('Processed Non-zero TRI Data'!$I:$I,$I148)&gt;0,INDEX('Processed Non-zero TRI Data'!$A:$A,MATCH(1,($I148='Processed Non-zero TRI Data'!$I:$I)*(AO148='Processed Non-zero TRI Data'!$X:$X),0)),"N/A - Facility Does Not Report to TRI")))</f>
        <v>N/A - Facility Does Not Report to TRI</v>
      </c>
      <c r="AR148" s="260">
        <f t="shared" si="61"/>
        <v>0</v>
      </c>
      <c r="AS148" s="260">
        <f t="shared" si="62"/>
        <v>9.6111799999999997E-2</v>
      </c>
    </row>
    <row r="149" spans="1:45" ht="30" x14ac:dyDescent="0.25">
      <c r="A149" s="12">
        <v>146</v>
      </c>
      <c r="B149" s="10" t="str">
        <f>IFERROR("TRI Form "&amp; VLOOKUP(I149, 'Processed Non-zero TRI Data'!$I$2:$K$6, 3, FALSE), "DMR")</f>
        <v>DMR</v>
      </c>
      <c r="C149" s="181" t="e">
        <f>VLOOKUP(D149,#REF!, 2, FALSE)</f>
        <v>#REF!</v>
      </c>
      <c r="D149" s="181" t="str">
        <f>IF(I149&lt;&gt;"",INDEX('Processed Non-zero TRI Data'!$O:$O,MATCH(I149,'Processed Non-zero TRI Data'!$I:$I,0)),INDEX('Processed Non-zero DMR Data'!$S:$S,MATCH(J149,'Processed Non-zero DMR Data'!$I:$I,0)))</f>
        <v>Waste Handling, Disposal and Treatment (non-POTW WWT)</v>
      </c>
      <c r="E149" s="181" t="str">
        <f>IF(I149&lt;&gt;"",INDEX('Processed Non-zero TRI Data'!$P:$P,MATCH(I149,'Processed Non-zero TRI Data'!$I:$I,0)),INDEX('Processed Non-zero DMR Data'!$T:$T,MATCH(J149,'Processed Non-zero DMR Data'!$I:$I,0)))</f>
        <v>WWT (consistent with 1,1-DCA); per facility type flag, this is a federal establishment so classified as non-POTW WWT.</v>
      </c>
      <c r="F149" s="9" t="str">
        <f>_xlfn.XLOOKUP(J149, 'Processed Non-zero DMR Data'!I:I, 'Processed Non-zero DMR Data'!B:B)</f>
        <v>NAVY PUBLIC WORKS CENTER</v>
      </c>
      <c r="G149" s="9" t="str">
        <f>_xlfn.XLOOKUP(J149, 'Processed Non-zero DMR Data'!I:I, 'Processed Non-zero DMR Data'!C:C)</f>
        <v>PEARL HARBOR</v>
      </c>
      <c r="H149" s="9" t="str">
        <f>_xlfn.XLOOKUP(J149, 'Processed Non-zero DMR Data'!I:I, 'Processed Non-zero DMR Data'!E:E)</f>
        <v>HI</v>
      </c>
      <c r="I149" s="12"/>
      <c r="J149" s="13">
        <v>110022302417</v>
      </c>
      <c r="K149" s="9" t="str">
        <f>IFERROR(INDEX('Raw Non-zero DMR Data'!$C:$C, MATCH(J149,'Raw Non-zero DMR Data'!$D:$D,0)),"")</f>
        <v>HI0110086</v>
      </c>
      <c r="L149" s="9" t="str">
        <f>IFERROR(INDEX('Raw Non-zero DMR Data'!$U:$U, MATCH($J149,'Raw Non-zero DMR Data'!$D:$D,0)),"")</f>
        <v>Halawa Stream-Waimalu Stream</v>
      </c>
      <c r="M149" s="155">
        <f>IFERROR(INDEX('Raw Non-zero DMR Data'!$T:$T, MATCH($J149,'Raw Non-zero DMR Data'!$D:$D,0)),"")</f>
        <v>200600000401</v>
      </c>
      <c r="N149" s="155" t="str">
        <f>IFERROR(INDEX('Off-site Locations'!$E:$E,MATCH(I149,'Off-site Locations'!$B:$B,0)),"No offsite transfers")</f>
        <v>No offsite transfers</v>
      </c>
      <c r="O149" s="165">
        <f>INDEX('TRI and DMR OES Summary'!D:D,MATCH('Facility Discharge Summary'!D149,'TRI and DMR OES Summary'!A:A,0))</f>
        <v>250</v>
      </c>
      <c r="P149" s="17" cm="1">
        <f t="array" ref="P149">IFERROR(_xlfn.XLOOKUP(1,  (MAX(IF(J149 = 'Processed Non-zero DMR Data'!$I$2:$I$651,'Processed Non-zero DMR Data'!$A$2:$A$651)) = 'Processed Non-zero DMR Data'!$A$2:$A$651)*('Processed Non-zero DMR Data'!$I$2:$I$651 = J149),'Processed Non-zero DMR Data'!$W$2:$W$651), "N/A- Facility Does Not Report DMRs")</f>
        <v>3.8682699999999999</v>
      </c>
      <c r="Q149" s="10">
        <f t="shared" si="49"/>
        <v>1.547308E-2</v>
      </c>
      <c r="R149" s="10" cm="1">
        <f t="array" ref="R149">IF(COUNTIF('Processed Non-zero DMR Data'!$I:$I,$J149)&gt;0,MEDIAN(IF('Processed Non-zero DMR Data'!$I:$I=J149,'Processed Non-zero DMR Data'!$W:$W)),"N/A - Facility Does Not Report DMRs")</f>
        <v>3.8682699999999999</v>
      </c>
      <c r="S149" s="10">
        <f t="shared" si="50"/>
        <v>1.547308E-2</v>
      </c>
      <c r="T149" s="10">
        <f>IF(COUNTIF('Processed Non-zero DMR Data'!$I:$I,$J149)&gt;0,_xlfn.MAXIFS('Processed Non-zero DMR Data'!$W:$W,'Processed Non-zero DMR Data'!$I:$I,$J149), "N/A - Facility Does Not Report DMRs")</f>
        <v>3.8682699999999999</v>
      </c>
      <c r="U149" s="10">
        <f t="shared" si="51"/>
        <v>1.547308E-2</v>
      </c>
      <c r="V149" s="158" cm="1">
        <f t="array" ref="V149">IF(COUNTIF('Processed Non-zero DMR Data'!$I:$I,$J149)&gt;0,INDEX('Processed Non-zero DMR Data'!$A:$A,MATCH(1,($J149='Processed Non-zero DMR Data'!$I:$I)*($T149='Processed Non-zero DMR Data'!$W:$W),0)), "N/A - Facility Does Not Report DMRs")</f>
        <v>2020</v>
      </c>
      <c r="W149" s="17" t="str" cm="1">
        <f t="array" ref="W149">IFERROR(_xlfn.XLOOKUP(1,  (MAX(IF(I149 = 'Processed Non-zero TRI Data'!$I$2:$I$6,'Processed Non-zero TRI Data'!$A$2:$A$6)) = 'Processed Non-zero TRI Data'!$A$2:$A$6)*('Processed Non-zero TRI Data'!$I$2:$I$6 = I149), 'Processed Non-zero TRI Data'!$T$2:$T$6), "N/A- Facility Does Not Report to TRI")</f>
        <v>N/A- Facility Does Not Report to TRI</v>
      </c>
      <c r="X149" s="10" t="str">
        <f t="shared" si="52"/>
        <v>N/A - Facility Does Not Report to TRI</v>
      </c>
      <c r="Y149" s="10" t="str" cm="1">
        <f t="array" ref="Y149">IF(COUNTIF('Processed Non-zero TRI Data'!$I:$I,$I149)&gt;0,MEDIAN(IF('Processed Non-zero TRI Data'!$I:$I=I149,'Processed Non-zero TRI Data'!$T:$T)), "N/A - Facility Does Not Report to TRI")</f>
        <v>N/A - Facility Does Not Report to TRI</v>
      </c>
      <c r="Z149" s="10" t="str">
        <f t="shared" si="53"/>
        <v>N/A - Facility Does Not Report to TRI</v>
      </c>
      <c r="AA149" s="10" t="str">
        <f>IF(COUNTIF('Processed Non-zero TRI Data'!$I:$I,$I149)&gt;0,_xlfn.MAXIFS('Processed Non-zero TRI Data'!$T:$T,'Processed Non-zero TRI Data'!$I:$I,$I149), "N/A - Facility Does Not Report to TRI")</f>
        <v>N/A - Facility Does Not Report to TRI</v>
      </c>
      <c r="AB149" s="10" t="str">
        <f t="shared" si="54"/>
        <v>N/A - Facility Does Not Report to TRI</v>
      </c>
      <c r="AC149" s="158" t="str" cm="1">
        <f t="array" ref="AC149">IFERROR(IF(B149 = "TRI Form R", IF(AA149 = 0, "Facility has no on-site water discharges between 2017-2022.",  IF(COUNTIF('Processed Non-zero TRI Data'!$I:$I,$I149)&gt;0,INDEX('Processed Non-zero TRI Data'!$A:$A,MATCH(1,($I149='Processed Non-zero TRI Data'!$I:$I)*(AA149='Processed Non-zero TRI Data'!$T:$T),0)))), VLOOKUP(I149,#REF!, 2, FALSE)), ("N/A - Facility Does Not Report to TRI"))</f>
        <v>N/A - Facility Does Not Report to TRI</v>
      </c>
      <c r="AD149" s="97" t="str" cm="1">
        <f t="array" ref="AD149">IFERROR(_xlfn.XLOOKUP(1,  (MAX(IF(I149 = 'Processed Non-zero TRI Data'!$I$2:$I$6,'Processed Non-zero TRI Data'!$A$2:$A$6)) = 'Processed Non-zero TRI Data'!$A$2:$A$6)*('Processed Non-zero TRI Data'!$I$2:$I$6 = I149), 'Processed Non-zero TRI Data'!$V$2:$V$6), "N/A- Facility Does Not Report to TRI")</f>
        <v>N/A- Facility Does Not Report to TRI</v>
      </c>
      <c r="AE149" s="9" t="str">
        <f t="shared" si="55"/>
        <v>N/A - Facility Does Not Report to TRI</v>
      </c>
      <c r="AF149" s="9" t="str" cm="1">
        <f t="array" ref="AF149">IF(COUNTIF('Processed Non-zero TRI Data'!$I:$I,$I149)&gt;0,MEDIAN(IF('Processed Non-zero TRI Data'!$I:$I=I149,'Processed Non-zero TRI Data'!$V:$V)), "N/A - Facility Does Not Report to TRI")</f>
        <v>N/A - Facility Does Not Report to TRI</v>
      </c>
      <c r="AG149" s="9" t="str">
        <f t="shared" si="56"/>
        <v>N/A - Facility Does Not Report to TRI</v>
      </c>
      <c r="AH149" s="9" t="str">
        <f>IF(COUNTIF('Processed Non-zero TRI Data'!$I:$I,$I149)&gt;0,_xlfn.MAXIFS('Processed Non-zero TRI Data'!$V:$V,'Processed Non-zero TRI Data'!$I:$I,$I149), "N/A - Facility Does Not Report to TRI")</f>
        <v>N/A - Facility Does Not Report to TRI</v>
      </c>
      <c r="AI149" s="9" t="str">
        <f t="shared" si="57"/>
        <v>N/A - Facility Does Not Report to TRI</v>
      </c>
      <c r="AJ149" s="158" t="str" cm="1">
        <f t="array" ref="AJ149">IF(B149="TRI Form A",AC149,IF(AH149=0,"Facility has no transfers to POTWs between 2019-2023.",IF(COUNTIF('Processed Non-zero TRI Data'!$I:$I,$I149)&gt;0,INDEX('Processed Non-zero TRI Data'!$A:$A,MATCH(1,($I149='Processed Non-zero TRI Data'!$I:$I)*(AH149='Processed Non-zero TRI Data'!$V:$V),0)),"N/A - Facility Does Not Report to TRI")))</f>
        <v>N/A - Facility Does Not Report to TRI</v>
      </c>
      <c r="AK149" s="97" t="str" cm="1">
        <f t="array" ref="AK149">IFERROR(_xlfn.XLOOKUP(1,  (MAX(IF(I149 = 'Processed Non-zero TRI Data'!$I$2:$I$6,'Processed Non-zero TRI Data'!$A$2:$A$6)) = 'Processed Non-zero TRI Data'!$A$2:$A$6)*('Processed Non-zero TRI Data'!$I$2:$I$6 = I149), 'Processed Non-zero TRI Data'!$X$2:$X$6), "N/A- Facility Does Not Report to TRI")</f>
        <v>N/A- Facility Does Not Report to TRI</v>
      </c>
      <c r="AL149" s="9" t="str">
        <f t="shared" si="58"/>
        <v>N/A - Facility Does Not Report to TRI</v>
      </c>
      <c r="AM149" s="9" t="str" cm="1">
        <f t="array" ref="AM149">IF(COUNTIF('Processed Non-zero TRI Data'!$I:$I,$I149)&gt;0,MEDIAN(IF('Processed Non-zero TRI Data'!$I:$I=I149,'Processed Non-zero TRI Data'!$X:$X)), "N/A - Facility Does Not Report to TRI")</f>
        <v>N/A - Facility Does Not Report to TRI</v>
      </c>
      <c r="AN149" s="9" t="str">
        <f t="shared" si="59"/>
        <v>N/A - Facility Does Not Report to TRI</v>
      </c>
      <c r="AO149" s="9" t="str">
        <f>IF(COUNTIF('Processed Non-zero TRI Data'!$I:$I,$I149)&gt;0,_xlfn.MAXIFS('Processed Non-zero TRI Data'!$X:$X,'Processed Non-zero TRI Data'!$I:$I,$I149), "N/A - Facility Does Not Report to TRI")</f>
        <v>N/A - Facility Does Not Report to TRI</v>
      </c>
      <c r="AP149" s="9" t="str">
        <f t="shared" si="60"/>
        <v>N/A - Facility Does Not Report to TRI</v>
      </c>
      <c r="AQ149" s="251" t="str" cm="1">
        <f t="array" ref="AQ149">IF(B149="TRI Form A",AC149,IF(AO149=0,"Facility has no transfers to non-POTWs between 2019-2023.",IF(COUNTIF('Processed Non-zero TRI Data'!$I:$I,$I149)&gt;0,INDEX('Processed Non-zero TRI Data'!$A:$A,MATCH(1,($I149='Processed Non-zero TRI Data'!$I:$I)*(AO149='Processed Non-zero TRI Data'!$X:$X),0)),"N/A - Facility Does Not Report to TRI")))</f>
        <v>N/A - Facility Does Not Report to TRI</v>
      </c>
      <c r="AR149" s="260">
        <f t="shared" si="61"/>
        <v>0</v>
      </c>
      <c r="AS149" s="260">
        <f t="shared" si="62"/>
        <v>3.8682699999999999</v>
      </c>
    </row>
    <row r="150" spans="1:45" ht="30" x14ac:dyDescent="0.25">
      <c r="A150" s="12">
        <v>147</v>
      </c>
      <c r="B150" s="10" t="str">
        <f>IFERROR("TRI Form "&amp; VLOOKUP(I150, 'Processed Non-zero TRI Data'!$I$2:$K$6, 3, FALSE), "DMR")</f>
        <v>DMR</v>
      </c>
      <c r="C150" s="181" t="e">
        <f>VLOOKUP(D150,#REF!, 2, FALSE)</f>
        <v>#REF!</v>
      </c>
      <c r="D150" s="181" t="str">
        <f>IF(I150&lt;&gt;"",INDEX('Processed Non-zero TRI Data'!$O:$O,MATCH(I150,'Processed Non-zero TRI Data'!$I:$I,0)),INDEX('Processed Non-zero DMR Data'!$S:$S,MATCH(J150,'Processed Non-zero DMR Data'!$I:$I,0)))</f>
        <v>Waste Handling, Disposal and Treatment (POTW)</v>
      </c>
      <c r="E150" s="181" t="str">
        <f>IF(I150&lt;&gt;"",INDEX('Processed Non-zero TRI Data'!$P:$P,MATCH(I150,'Processed Non-zero TRI Data'!$I:$I,0)),INDEX('Processed Non-zero DMR Data'!$T:$T,MATCH(J150,'Processed Non-zero DMR Data'!$I:$I,0)))</f>
        <v>POTW indicator in DMR</v>
      </c>
      <c r="F150" s="9" t="str">
        <f>_xlfn.XLOOKUP(J150, 'Processed Non-zero DMR Data'!I:I, 'Processed Non-zero DMR Data'!B:B)</f>
        <v>WESTERN REGIONAL WATER RECLAMATION FACILITY</v>
      </c>
      <c r="G150" s="9" t="str">
        <f>_xlfn.XLOOKUP(J150, 'Processed Non-zero DMR Data'!I:I, 'Processed Non-zero DMR Data'!C:C)</f>
        <v>PETERSBURG</v>
      </c>
      <c r="H150" s="9" t="str">
        <f>_xlfn.XLOOKUP(J150, 'Processed Non-zero DMR Data'!I:I, 'Processed Non-zero DMR Data'!E:E)</f>
        <v>KY</v>
      </c>
      <c r="I150" s="12"/>
      <c r="J150" s="13">
        <v>110055043705</v>
      </c>
      <c r="K150" s="9" t="str">
        <f>IFERROR(INDEX('Raw Non-zero DMR Data'!$C:$C, MATCH(J150,'Raw Non-zero DMR Data'!$D:$D,0)),"")</f>
        <v>KY0107239</v>
      </c>
      <c r="L150" s="9" t="str">
        <f>IFERROR(INDEX('Raw Non-zero DMR Data'!$U:$U, MATCH($J150,'Raw Non-zero DMR Data'!$D:$D,0)),"")</f>
        <v>Middle Creek-Ohio River</v>
      </c>
      <c r="M150" s="155" t="str">
        <f>IFERROR(INDEX('Raw Non-zero DMR Data'!$T:$T, MATCH($J150,'Raw Non-zero DMR Data'!$D:$D,0)),"")</f>
        <v>050902030804</v>
      </c>
      <c r="N150" s="155" t="str">
        <f>IFERROR(INDEX('Off-site Locations'!$E:$E,MATCH(I150,'Off-site Locations'!$B:$B,0)),"No offsite transfers")</f>
        <v>No offsite transfers</v>
      </c>
      <c r="O150" s="165">
        <f>INDEX('TRI and DMR OES Summary'!D:D,MATCH('Facility Discharge Summary'!D150,'TRI and DMR OES Summary'!A:A,0))</f>
        <v>365</v>
      </c>
      <c r="P150" s="17" cm="1">
        <f t="array" ref="P150">IFERROR(_xlfn.XLOOKUP(1,  (MAX(IF(J150 = 'Processed Non-zero DMR Data'!$I$2:$I$651,'Processed Non-zero DMR Data'!$A$2:$A$651)) = 'Processed Non-zero DMR Data'!$A$2:$A$651)*('Processed Non-zero DMR Data'!$I$2:$I$651 = J150),'Processed Non-zero DMR Data'!$W$2:$W$651), "N/A- Facility Does Not Report DMRs")</f>
        <v>5.7747744999999996E-3</v>
      </c>
      <c r="Q150" s="10">
        <f t="shared" si="49"/>
        <v>1.58213E-5</v>
      </c>
      <c r="R150" s="10" cm="1">
        <f t="array" ref="R150">IF(COUNTIF('Processed Non-zero DMR Data'!$I:$I,$J150)&gt;0,MEDIAN(IF('Processed Non-zero DMR Data'!$I:$I=J150,'Processed Non-zero DMR Data'!$W:$W)),"N/A - Facility Does Not Report DMRs")</f>
        <v>5.7747744999999996E-3</v>
      </c>
      <c r="S150" s="10">
        <f t="shared" si="50"/>
        <v>1.58213E-5</v>
      </c>
      <c r="T150" s="10">
        <f>IF(COUNTIF('Processed Non-zero DMR Data'!$I:$I,$J150)&gt;0,_xlfn.MAXIFS('Processed Non-zero DMR Data'!$W:$W,'Processed Non-zero DMR Data'!$I:$I,$J150), "N/A - Facility Does Not Report DMRs")</f>
        <v>5.7747744999999996E-3</v>
      </c>
      <c r="U150" s="10">
        <f t="shared" si="51"/>
        <v>1.58213E-5</v>
      </c>
      <c r="V150" s="158" cm="1">
        <f t="array" ref="V150">IF(COUNTIF('Processed Non-zero DMR Data'!$I:$I,$J150)&gt;0,INDEX('Processed Non-zero DMR Data'!$A:$A,MATCH(1,($J150='Processed Non-zero DMR Data'!$I:$I)*($T150='Processed Non-zero DMR Data'!$W:$W),0)), "N/A - Facility Does Not Report DMRs")</f>
        <v>2020</v>
      </c>
      <c r="W150" s="17" t="str" cm="1">
        <f t="array" ref="W150">IFERROR(_xlfn.XLOOKUP(1,  (MAX(IF(I150 = 'Processed Non-zero TRI Data'!$I$2:$I$6,'Processed Non-zero TRI Data'!$A$2:$A$6)) = 'Processed Non-zero TRI Data'!$A$2:$A$6)*('Processed Non-zero TRI Data'!$I$2:$I$6 = I150), 'Processed Non-zero TRI Data'!$T$2:$T$6), "N/A- Facility Does Not Report to TRI")</f>
        <v>N/A- Facility Does Not Report to TRI</v>
      </c>
      <c r="X150" s="10" t="str">
        <f t="shared" si="52"/>
        <v>N/A - Facility Does Not Report to TRI</v>
      </c>
      <c r="Y150" s="10" t="str" cm="1">
        <f t="array" ref="Y150">IF(COUNTIF('Processed Non-zero TRI Data'!$I:$I,$I150)&gt;0,MEDIAN(IF('Processed Non-zero TRI Data'!$I:$I=I150,'Processed Non-zero TRI Data'!$T:$T)), "N/A - Facility Does Not Report to TRI")</f>
        <v>N/A - Facility Does Not Report to TRI</v>
      </c>
      <c r="Z150" s="10" t="str">
        <f t="shared" si="53"/>
        <v>N/A - Facility Does Not Report to TRI</v>
      </c>
      <c r="AA150" s="10" t="str">
        <f>IF(COUNTIF('Processed Non-zero TRI Data'!$I:$I,$I150)&gt;0,_xlfn.MAXIFS('Processed Non-zero TRI Data'!$T:$T,'Processed Non-zero TRI Data'!$I:$I,$I150), "N/A - Facility Does Not Report to TRI")</f>
        <v>N/A - Facility Does Not Report to TRI</v>
      </c>
      <c r="AB150" s="10" t="str">
        <f t="shared" si="54"/>
        <v>N/A - Facility Does Not Report to TRI</v>
      </c>
      <c r="AC150" s="158" t="str" cm="1">
        <f t="array" ref="AC150">IFERROR(IF(B150 = "TRI Form R", IF(AA150 = 0, "Facility has no on-site water discharges between 2017-2022.",  IF(COUNTIF('Processed Non-zero TRI Data'!$I:$I,$I150)&gt;0,INDEX('Processed Non-zero TRI Data'!$A:$A,MATCH(1,($I150='Processed Non-zero TRI Data'!$I:$I)*(AA150='Processed Non-zero TRI Data'!$T:$T),0)))), VLOOKUP(I150,#REF!, 2, FALSE)), ("N/A - Facility Does Not Report to TRI"))</f>
        <v>N/A - Facility Does Not Report to TRI</v>
      </c>
      <c r="AD150" s="97" t="str" cm="1">
        <f t="array" ref="AD150">IFERROR(_xlfn.XLOOKUP(1,  (MAX(IF(I150 = 'Processed Non-zero TRI Data'!$I$2:$I$6,'Processed Non-zero TRI Data'!$A$2:$A$6)) = 'Processed Non-zero TRI Data'!$A$2:$A$6)*('Processed Non-zero TRI Data'!$I$2:$I$6 = I150), 'Processed Non-zero TRI Data'!$V$2:$V$6), "N/A- Facility Does Not Report to TRI")</f>
        <v>N/A- Facility Does Not Report to TRI</v>
      </c>
      <c r="AE150" s="9" t="str">
        <f t="shared" si="55"/>
        <v>N/A - Facility Does Not Report to TRI</v>
      </c>
      <c r="AF150" s="9" t="str" cm="1">
        <f t="array" ref="AF150">IF(COUNTIF('Processed Non-zero TRI Data'!$I:$I,$I150)&gt;0,MEDIAN(IF('Processed Non-zero TRI Data'!$I:$I=I150,'Processed Non-zero TRI Data'!$V:$V)), "N/A - Facility Does Not Report to TRI")</f>
        <v>N/A - Facility Does Not Report to TRI</v>
      </c>
      <c r="AG150" s="9" t="str">
        <f t="shared" si="56"/>
        <v>N/A - Facility Does Not Report to TRI</v>
      </c>
      <c r="AH150" s="9" t="str">
        <f>IF(COUNTIF('Processed Non-zero TRI Data'!$I:$I,$I150)&gt;0,_xlfn.MAXIFS('Processed Non-zero TRI Data'!$V:$V,'Processed Non-zero TRI Data'!$I:$I,$I150), "N/A - Facility Does Not Report to TRI")</f>
        <v>N/A - Facility Does Not Report to TRI</v>
      </c>
      <c r="AI150" s="9" t="str">
        <f t="shared" si="57"/>
        <v>N/A - Facility Does Not Report to TRI</v>
      </c>
      <c r="AJ150" s="158" t="str" cm="1">
        <f t="array" ref="AJ150">IF(B150="TRI Form A",AC150,IF(AH150=0,"Facility has no transfers to POTWs between 2019-2023.",IF(COUNTIF('Processed Non-zero TRI Data'!$I:$I,$I150)&gt;0,INDEX('Processed Non-zero TRI Data'!$A:$A,MATCH(1,($I150='Processed Non-zero TRI Data'!$I:$I)*(AH150='Processed Non-zero TRI Data'!$V:$V),0)),"N/A - Facility Does Not Report to TRI")))</f>
        <v>N/A - Facility Does Not Report to TRI</v>
      </c>
      <c r="AK150" s="97" t="str" cm="1">
        <f t="array" ref="AK150">IFERROR(_xlfn.XLOOKUP(1,  (MAX(IF(I150 = 'Processed Non-zero TRI Data'!$I$2:$I$6,'Processed Non-zero TRI Data'!$A$2:$A$6)) = 'Processed Non-zero TRI Data'!$A$2:$A$6)*('Processed Non-zero TRI Data'!$I$2:$I$6 = I150), 'Processed Non-zero TRI Data'!$X$2:$X$6), "N/A- Facility Does Not Report to TRI")</f>
        <v>N/A- Facility Does Not Report to TRI</v>
      </c>
      <c r="AL150" s="9" t="str">
        <f t="shared" si="58"/>
        <v>N/A - Facility Does Not Report to TRI</v>
      </c>
      <c r="AM150" s="9" t="str" cm="1">
        <f t="array" ref="AM150">IF(COUNTIF('Processed Non-zero TRI Data'!$I:$I,$I150)&gt;0,MEDIAN(IF('Processed Non-zero TRI Data'!$I:$I=I150,'Processed Non-zero TRI Data'!$X:$X)), "N/A - Facility Does Not Report to TRI")</f>
        <v>N/A - Facility Does Not Report to TRI</v>
      </c>
      <c r="AN150" s="9" t="str">
        <f t="shared" si="59"/>
        <v>N/A - Facility Does Not Report to TRI</v>
      </c>
      <c r="AO150" s="9" t="str">
        <f>IF(COUNTIF('Processed Non-zero TRI Data'!$I:$I,$I150)&gt;0,_xlfn.MAXIFS('Processed Non-zero TRI Data'!$X:$X,'Processed Non-zero TRI Data'!$I:$I,$I150), "N/A - Facility Does Not Report to TRI")</f>
        <v>N/A - Facility Does Not Report to TRI</v>
      </c>
      <c r="AP150" s="9" t="str">
        <f t="shared" si="60"/>
        <v>N/A - Facility Does Not Report to TRI</v>
      </c>
      <c r="AQ150" s="251" t="str" cm="1">
        <f t="array" ref="AQ150">IF(B150="TRI Form A",AC150,IF(AO150=0,"Facility has no transfers to non-POTWs between 2019-2023.",IF(COUNTIF('Processed Non-zero TRI Data'!$I:$I,$I150)&gt;0,INDEX('Processed Non-zero TRI Data'!$A:$A,MATCH(1,($I150='Processed Non-zero TRI Data'!$I:$I)*(AO150='Processed Non-zero TRI Data'!$X:$X),0)),"N/A - Facility Does Not Report to TRI")))</f>
        <v>N/A - Facility Does Not Report to TRI</v>
      </c>
      <c r="AR150" s="260">
        <f t="shared" si="61"/>
        <v>0</v>
      </c>
      <c r="AS150" s="260">
        <f t="shared" si="62"/>
        <v>5.7747744999999996E-3</v>
      </c>
    </row>
    <row r="151" spans="1:45" ht="30" x14ac:dyDescent="0.25">
      <c r="A151" s="12">
        <v>148</v>
      </c>
      <c r="B151" s="10" t="str">
        <f>IFERROR("TRI Form "&amp; VLOOKUP(I151, 'Processed Non-zero TRI Data'!$I$2:$K$6, 3, FALSE), "DMR")</f>
        <v>DMR</v>
      </c>
      <c r="C151" s="181" t="e">
        <f>VLOOKUP(D151,#REF!, 2, FALSE)</f>
        <v>#REF!</v>
      </c>
      <c r="D151" s="181" t="str">
        <f>IF(I151&lt;&gt;"",INDEX('Processed Non-zero TRI Data'!$O:$O,MATCH(I151,'Processed Non-zero TRI Data'!$I:$I,0)),INDEX('Processed Non-zero DMR Data'!$S:$S,MATCH(J151,'Processed Non-zero DMR Data'!$I:$I,0)))</f>
        <v>Waste Handling, Disposal and Treatment (Remediation)</v>
      </c>
      <c r="E151" s="181" t="str">
        <f>IF(I151&lt;&gt;"",INDEX('Processed Non-zero TRI Data'!$P:$P,MATCH(I151,'Processed Non-zero TRI Data'!$I:$I,0)),INDEX('Processed Non-zero DMR Data'!$T:$T,MATCH(J151,'Processed Non-zero DMR Data'!$I:$I,0)))</f>
        <v>Site name indicates remediation</v>
      </c>
      <c r="F151" s="9" t="str">
        <f>_xlfn.XLOOKUP(J151, 'Processed Non-zero DMR Data'!I:I, 'Processed Non-zero DMR Data'!B:B)</f>
        <v>LAS VEGAS CONVENTION AND VISITORS AUTHORITY REMEDIATION SYSTEM</v>
      </c>
      <c r="G151" s="9" t="str">
        <f>_xlfn.XLOOKUP(J151, 'Processed Non-zero DMR Data'!I:I, 'Processed Non-zero DMR Data'!C:C)</f>
        <v>LAS VEGAS</v>
      </c>
      <c r="H151" s="9" t="str">
        <f>_xlfn.XLOOKUP(J151, 'Processed Non-zero DMR Data'!I:I, 'Processed Non-zero DMR Data'!E:E)</f>
        <v>NV</v>
      </c>
      <c r="I151" s="12"/>
      <c r="J151" s="13">
        <v>110059844156</v>
      </c>
      <c r="K151" s="9" t="str">
        <f>IFERROR(INDEX('Raw Non-zero DMR Data'!$C:$C, MATCH(J151,'Raw Non-zero DMR Data'!$D:$D,0)),"")</f>
        <v>NV0024232</v>
      </c>
      <c r="L151" s="9" t="str">
        <f>IFERROR(INDEX('Raw Non-zero DMR Data'!$U:$U, MATCH($J151,'Raw Non-zero DMR Data'!$D:$D,0)),"")</f>
        <v>City of Las Vegas-Las Vegas Wash</v>
      </c>
      <c r="M151" s="155">
        <f>IFERROR(INDEX('Raw Non-zero DMR Data'!$T:$T, MATCH($J151,'Raw Non-zero DMR Data'!$D:$D,0)),"")</f>
        <v>150100150604</v>
      </c>
      <c r="N151" s="155" t="str">
        <f>IFERROR(INDEX('Off-site Locations'!$E:$E,MATCH(I151,'Off-site Locations'!$B:$B,0)),"No offsite transfers")</f>
        <v>No offsite transfers</v>
      </c>
      <c r="O151" s="165">
        <f>INDEX('TRI and DMR OES Summary'!D:D,MATCH('Facility Discharge Summary'!D151,'TRI and DMR OES Summary'!A:A,0))</f>
        <v>250</v>
      </c>
      <c r="P151" s="17" cm="1">
        <f t="array" ref="P151">IFERROR(_xlfn.XLOOKUP(1,  (MAX(IF(J151 = 'Processed Non-zero DMR Data'!$I$2:$I$651,'Processed Non-zero DMR Data'!$A$2:$A$651)) = 'Processed Non-zero DMR Data'!$A$2:$A$651)*('Processed Non-zero DMR Data'!$I$2:$I$651 = J151),'Processed Non-zero DMR Data'!$W$2:$W$651), "N/A- Facility Does Not Report DMRs")</f>
        <v>3.7662098406249997E-2</v>
      </c>
      <c r="Q151" s="10">
        <f t="shared" si="49"/>
        <v>1.50648393625E-4</v>
      </c>
      <c r="R151" s="10" cm="1">
        <f t="array" ref="R151">IF(COUNTIF('Processed Non-zero DMR Data'!$I:$I,$J151)&gt;0,MEDIAN(IF('Processed Non-zero DMR Data'!$I:$I=J151,'Processed Non-zero DMR Data'!$W:$W)),"N/A - Facility Does Not Report DMRs")</f>
        <v>4.09242243125E-2</v>
      </c>
      <c r="S151" s="10">
        <f t="shared" si="50"/>
        <v>1.6369689725000001E-4</v>
      </c>
      <c r="T151" s="10">
        <f>IF(COUNTIF('Processed Non-zero DMR Data'!$I:$I,$J151)&gt;0,_xlfn.MAXIFS('Processed Non-zero DMR Data'!$W:$W,'Processed Non-zero DMR Data'!$I:$I,$J151), "N/A - Facility Does Not Report DMRs")</f>
        <v>4.5219040156250001E-2</v>
      </c>
      <c r="U151" s="10">
        <f t="shared" si="51"/>
        <v>1.8087616062500002E-4</v>
      </c>
      <c r="V151" s="158" cm="1">
        <f t="array" ref="V151">IF(COUNTIF('Processed Non-zero DMR Data'!$I:$I,$J151)&gt;0,INDEX('Processed Non-zero DMR Data'!$A:$A,MATCH(1,($J151='Processed Non-zero DMR Data'!$I:$I)*($T151='Processed Non-zero DMR Data'!$W:$W),0)), "N/A - Facility Does Not Report DMRs")</f>
        <v>2020</v>
      </c>
      <c r="W151" s="17" t="str" cm="1">
        <f t="array" ref="W151">IFERROR(_xlfn.XLOOKUP(1,  (MAX(IF(I151 = 'Processed Non-zero TRI Data'!$I$2:$I$6,'Processed Non-zero TRI Data'!$A$2:$A$6)) = 'Processed Non-zero TRI Data'!$A$2:$A$6)*('Processed Non-zero TRI Data'!$I$2:$I$6 = I151), 'Processed Non-zero TRI Data'!$T$2:$T$6), "N/A- Facility Does Not Report to TRI")</f>
        <v>N/A- Facility Does Not Report to TRI</v>
      </c>
      <c r="X151" s="10" t="str">
        <f t="shared" si="52"/>
        <v>N/A - Facility Does Not Report to TRI</v>
      </c>
      <c r="Y151" s="10" t="str" cm="1">
        <f t="array" ref="Y151">IF(COUNTIF('Processed Non-zero TRI Data'!$I:$I,$I151)&gt;0,MEDIAN(IF('Processed Non-zero TRI Data'!$I:$I=I151,'Processed Non-zero TRI Data'!$T:$T)), "N/A - Facility Does Not Report to TRI")</f>
        <v>N/A - Facility Does Not Report to TRI</v>
      </c>
      <c r="Z151" s="10" t="str">
        <f t="shared" si="53"/>
        <v>N/A - Facility Does Not Report to TRI</v>
      </c>
      <c r="AA151" s="10" t="str">
        <f>IF(COUNTIF('Processed Non-zero TRI Data'!$I:$I,$I151)&gt;0,_xlfn.MAXIFS('Processed Non-zero TRI Data'!$T:$T,'Processed Non-zero TRI Data'!$I:$I,$I151), "N/A - Facility Does Not Report to TRI")</f>
        <v>N/A - Facility Does Not Report to TRI</v>
      </c>
      <c r="AB151" s="10" t="str">
        <f t="shared" si="54"/>
        <v>N/A - Facility Does Not Report to TRI</v>
      </c>
      <c r="AC151" s="158" t="str" cm="1">
        <f t="array" ref="AC151">IFERROR(IF(B151 = "TRI Form R", IF(AA151 = 0, "Facility has no on-site water discharges between 2017-2022.",  IF(COUNTIF('Processed Non-zero TRI Data'!$I:$I,$I151)&gt;0,INDEX('Processed Non-zero TRI Data'!$A:$A,MATCH(1,($I151='Processed Non-zero TRI Data'!$I:$I)*(AA151='Processed Non-zero TRI Data'!$T:$T),0)))), VLOOKUP(I151,#REF!, 2, FALSE)), ("N/A - Facility Does Not Report to TRI"))</f>
        <v>N/A - Facility Does Not Report to TRI</v>
      </c>
      <c r="AD151" s="97" t="str" cm="1">
        <f t="array" ref="AD151">IFERROR(_xlfn.XLOOKUP(1,  (MAX(IF(I151 = 'Processed Non-zero TRI Data'!$I$2:$I$6,'Processed Non-zero TRI Data'!$A$2:$A$6)) = 'Processed Non-zero TRI Data'!$A$2:$A$6)*('Processed Non-zero TRI Data'!$I$2:$I$6 = I151), 'Processed Non-zero TRI Data'!$V$2:$V$6), "N/A- Facility Does Not Report to TRI")</f>
        <v>N/A- Facility Does Not Report to TRI</v>
      </c>
      <c r="AE151" s="9" t="str">
        <f t="shared" si="55"/>
        <v>N/A - Facility Does Not Report to TRI</v>
      </c>
      <c r="AF151" s="9" t="str" cm="1">
        <f t="array" ref="AF151">IF(COUNTIF('Processed Non-zero TRI Data'!$I:$I,$I151)&gt;0,MEDIAN(IF('Processed Non-zero TRI Data'!$I:$I=I151,'Processed Non-zero TRI Data'!$V:$V)), "N/A - Facility Does Not Report to TRI")</f>
        <v>N/A - Facility Does Not Report to TRI</v>
      </c>
      <c r="AG151" s="9" t="str">
        <f t="shared" si="56"/>
        <v>N/A - Facility Does Not Report to TRI</v>
      </c>
      <c r="AH151" s="9" t="str">
        <f>IF(COUNTIF('Processed Non-zero TRI Data'!$I:$I,$I151)&gt;0,_xlfn.MAXIFS('Processed Non-zero TRI Data'!$V:$V,'Processed Non-zero TRI Data'!$I:$I,$I151), "N/A - Facility Does Not Report to TRI")</f>
        <v>N/A - Facility Does Not Report to TRI</v>
      </c>
      <c r="AI151" s="9" t="str">
        <f t="shared" si="57"/>
        <v>N/A - Facility Does Not Report to TRI</v>
      </c>
      <c r="AJ151" s="158" t="str" cm="1">
        <f t="array" ref="AJ151">IF(B151="TRI Form A",AC151,IF(AH151=0,"Facility has no transfers to POTWs between 2019-2023.",IF(COUNTIF('Processed Non-zero TRI Data'!$I:$I,$I151)&gt;0,INDEX('Processed Non-zero TRI Data'!$A:$A,MATCH(1,($I151='Processed Non-zero TRI Data'!$I:$I)*(AH151='Processed Non-zero TRI Data'!$V:$V),0)),"N/A - Facility Does Not Report to TRI")))</f>
        <v>N/A - Facility Does Not Report to TRI</v>
      </c>
      <c r="AK151" s="97" t="str" cm="1">
        <f t="array" ref="AK151">IFERROR(_xlfn.XLOOKUP(1,  (MAX(IF(I151 = 'Processed Non-zero TRI Data'!$I$2:$I$6,'Processed Non-zero TRI Data'!$A$2:$A$6)) = 'Processed Non-zero TRI Data'!$A$2:$A$6)*('Processed Non-zero TRI Data'!$I$2:$I$6 = I151), 'Processed Non-zero TRI Data'!$X$2:$X$6), "N/A- Facility Does Not Report to TRI")</f>
        <v>N/A- Facility Does Not Report to TRI</v>
      </c>
      <c r="AL151" s="9" t="str">
        <f t="shared" si="58"/>
        <v>N/A - Facility Does Not Report to TRI</v>
      </c>
      <c r="AM151" s="9" t="str" cm="1">
        <f t="array" ref="AM151">IF(COUNTIF('Processed Non-zero TRI Data'!$I:$I,$I151)&gt;0,MEDIAN(IF('Processed Non-zero TRI Data'!$I:$I=I151,'Processed Non-zero TRI Data'!$X:$X)), "N/A - Facility Does Not Report to TRI")</f>
        <v>N/A - Facility Does Not Report to TRI</v>
      </c>
      <c r="AN151" s="9" t="str">
        <f t="shared" si="59"/>
        <v>N/A - Facility Does Not Report to TRI</v>
      </c>
      <c r="AO151" s="9" t="str">
        <f>IF(COUNTIF('Processed Non-zero TRI Data'!$I:$I,$I151)&gt;0,_xlfn.MAXIFS('Processed Non-zero TRI Data'!$X:$X,'Processed Non-zero TRI Data'!$I:$I,$I151), "N/A - Facility Does Not Report to TRI")</f>
        <v>N/A - Facility Does Not Report to TRI</v>
      </c>
      <c r="AP151" s="9" t="str">
        <f t="shared" si="60"/>
        <v>N/A - Facility Does Not Report to TRI</v>
      </c>
      <c r="AQ151" s="251" t="str" cm="1">
        <f t="array" ref="AQ151">IF(B151="TRI Form A",AC151,IF(AO151=0,"Facility has no transfers to non-POTWs between 2019-2023.",IF(COUNTIF('Processed Non-zero TRI Data'!$I:$I,$I151)&gt;0,INDEX('Processed Non-zero TRI Data'!$A:$A,MATCH(1,($I151='Processed Non-zero TRI Data'!$I:$I)*(AO151='Processed Non-zero TRI Data'!$X:$X),0)),"N/A - Facility Does Not Report to TRI")))</f>
        <v>N/A - Facility Does Not Report to TRI</v>
      </c>
      <c r="AR151" s="260">
        <f t="shared" si="61"/>
        <v>0</v>
      </c>
      <c r="AS151" s="260">
        <f t="shared" si="62"/>
        <v>4.5219040156250001E-2</v>
      </c>
    </row>
    <row r="152" spans="1:45" ht="30" x14ac:dyDescent="0.25">
      <c r="A152" s="12">
        <v>149</v>
      </c>
      <c r="B152" s="10" t="str">
        <f>IFERROR("TRI Form "&amp; VLOOKUP(I152, 'Processed Non-zero TRI Data'!$I$2:$K$6, 3, FALSE), "DMR")</f>
        <v>DMR</v>
      </c>
      <c r="C152" s="181" t="e">
        <f>VLOOKUP(D152,#REF!, 2, FALSE)</f>
        <v>#REF!</v>
      </c>
      <c r="D152" s="181" t="str">
        <f>IF(I152&lt;&gt;"",INDEX('Processed Non-zero TRI Data'!$O:$O,MATCH(I152,'Processed Non-zero TRI Data'!$I:$I,0)),INDEX('Processed Non-zero DMR Data'!$S:$S,MATCH(J152,'Processed Non-zero DMR Data'!$I:$I,0)))</f>
        <v>Waste Handling, Disposal and Treatment (POTW)</v>
      </c>
      <c r="E152" s="181" t="str">
        <f>IF(I152&lt;&gt;"",INDEX('Processed Non-zero TRI Data'!$P:$P,MATCH(I152,'Processed Non-zero TRI Data'!$I:$I,0)),INDEX('Processed Non-zero DMR Data'!$T:$T,MATCH(J152,'Processed Non-zero DMR Data'!$I:$I,0)))</f>
        <v>POTW indicator in DMR</v>
      </c>
      <c r="F152" s="9" t="str">
        <f>_xlfn.XLOOKUP(J152, 'Processed Non-zero DMR Data'!I:I, 'Processed Non-zero DMR Data'!B:B)</f>
        <v>BEAUMONT WWTF</v>
      </c>
      <c r="G152" s="9" t="str">
        <f>_xlfn.XLOOKUP(J152, 'Processed Non-zero DMR Data'!I:I, 'Processed Non-zero DMR Data'!C:C)</f>
        <v>BEAUMONT</v>
      </c>
      <c r="H152" s="9" t="str">
        <f>_xlfn.XLOOKUP(J152, 'Processed Non-zero DMR Data'!I:I, 'Processed Non-zero DMR Data'!E:E)</f>
        <v>CA</v>
      </c>
      <c r="I152" s="12"/>
      <c r="J152" s="13">
        <v>110055992993</v>
      </c>
      <c r="K152" s="9" t="str">
        <f>IFERROR(INDEX('Raw Non-zero DMR Data'!$C:$C, MATCH(J152,'Raw Non-zero DMR Data'!$D:$D,0)),"")</f>
        <v>CA0105376</v>
      </c>
      <c r="L152" s="9" t="str">
        <f>IFERROR(INDEX('Raw Non-zero DMR Data'!$U:$U, MATCH($J152,'Raw Non-zero DMR Data'!$D:$D,0)),"")</f>
        <v>Little San Gorgonio Creek</v>
      </c>
      <c r="M152" s="155">
        <f>IFERROR(INDEX('Raw Non-zero DMR Data'!$T:$T, MATCH($J152,'Raw Non-zero DMR Data'!$D:$D,0)),"")</f>
        <v>180702030401</v>
      </c>
      <c r="N152" s="155" t="str">
        <f>IFERROR(INDEX('Off-site Locations'!$E:$E,MATCH(I152,'Off-site Locations'!$B:$B,0)),"No offsite transfers")</f>
        <v>No offsite transfers</v>
      </c>
      <c r="O152" s="165">
        <f>INDEX('TRI and DMR OES Summary'!D:D,MATCH('Facility Discharge Summary'!D152,'TRI and DMR OES Summary'!A:A,0))</f>
        <v>365</v>
      </c>
      <c r="P152" s="17" cm="1">
        <f t="array" ref="P152">IFERROR(_xlfn.XLOOKUP(1,  (MAX(IF(J152 = 'Processed Non-zero DMR Data'!$I$2:$I$651,'Processed Non-zero DMR Data'!$A$2:$A$651)) = 'Processed Non-zero DMR Data'!$A$2:$A$651)*('Processed Non-zero DMR Data'!$I$2:$I$651 = J152),'Processed Non-zero DMR Data'!$W$2:$W$651), "N/A- Facility Does Not Report DMRs")</f>
        <v>1.178440825</v>
      </c>
      <c r="Q152" s="10">
        <f t="shared" si="49"/>
        <v>3.2286050000000003E-3</v>
      </c>
      <c r="R152" s="10" cm="1">
        <f t="array" ref="R152">IF(COUNTIF('Processed Non-zero DMR Data'!$I:$I,$J152)&gt;0,MEDIAN(IF('Processed Non-zero DMR Data'!$I:$I=J152,'Processed Non-zero DMR Data'!$W:$W)),"N/A - Facility Does Not Report DMRs")</f>
        <v>0.29588120925</v>
      </c>
      <c r="S152" s="10">
        <f t="shared" si="50"/>
        <v>8.1063344999999999E-4</v>
      </c>
      <c r="T152" s="10">
        <f>IF(COUNTIF('Processed Non-zero DMR Data'!$I:$I,$J152)&gt;0,_xlfn.MAXIFS('Processed Non-zero DMR Data'!$W:$W,'Processed Non-zero DMR Data'!$I:$I,$J152), "N/A - Facility Does Not Report DMRs")</f>
        <v>1.178440825</v>
      </c>
      <c r="U152" s="10">
        <f t="shared" si="51"/>
        <v>3.2286050000000003E-3</v>
      </c>
      <c r="V152" s="158" cm="1">
        <f t="array" ref="V152">IF(COUNTIF('Processed Non-zero DMR Data'!$I:$I,$J152)&gt;0,INDEX('Processed Non-zero DMR Data'!$A:$A,MATCH(1,($J152='Processed Non-zero DMR Data'!$I:$I)*($T152='Processed Non-zero DMR Data'!$W:$W),0)), "N/A - Facility Does Not Report DMRs")</f>
        <v>2023</v>
      </c>
      <c r="W152" s="17" t="str" cm="1">
        <f t="array" ref="W152">IFERROR(_xlfn.XLOOKUP(1,  (MAX(IF(I152 = 'Processed Non-zero TRI Data'!$I$2:$I$6,'Processed Non-zero TRI Data'!$A$2:$A$6)) = 'Processed Non-zero TRI Data'!$A$2:$A$6)*('Processed Non-zero TRI Data'!$I$2:$I$6 = I152), 'Processed Non-zero TRI Data'!$T$2:$T$6), "N/A- Facility Does Not Report to TRI")</f>
        <v>N/A- Facility Does Not Report to TRI</v>
      </c>
      <c r="X152" s="10" t="str">
        <f t="shared" si="52"/>
        <v>N/A - Facility Does Not Report to TRI</v>
      </c>
      <c r="Y152" s="10" t="str" cm="1">
        <f t="array" ref="Y152">IF(COUNTIF('Processed Non-zero TRI Data'!$I:$I,$I152)&gt;0,MEDIAN(IF('Processed Non-zero TRI Data'!$I:$I=I152,'Processed Non-zero TRI Data'!$T:$T)), "N/A - Facility Does Not Report to TRI")</f>
        <v>N/A - Facility Does Not Report to TRI</v>
      </c>
      <c r="Z152" s="10" t="str">
        <f t="shared" si="53"/>
        <v>N/A - Facility Does Not Report to TRI</v>
      </c>
      <c r="AA152" s="10" t="str">
        <f>IF(COUNTIF('Processed Non-zero TRI Data'!$I:$I,$I152)&gt;0,_xlfn.MAXIFS('Processed Non-zero TRI Data'!$T:$T,'Processed Non-zero TRI Data'!$I:$I,$I152), "N/A - Facility Does Not Report to TRI")</f>
        <v>N/A - Facility Does Not Report to TRI</v>
      </c>
      <c r="AB152" s="10" t="str">
        <f t="shared" si="54"/>
        <v>N/A - Facility Does Not Report to TRI</v>
      </c>
      <c r="AC152" s="158" t="str" cm="1">
        <f t="array" ref="AC152">IFERROR(IF(B152 = "TRI Form R", IF(AA152 = 0, "Facility has no on-site water discharges between 2017-2022.",  IF(COUNTIF('Processed Non-zero TRI Data'!$I:$I,$I152)&gt;0,INDEX('Processed Non-zero TRI Data'!$A:$A,MATCH(1,($I152='Processed Non-zero TRI Data'!$I:$I)*(AA152='Processed Non-zero TRI Data'!$T:$T),0)))), VLOOKUP(I152,#REF!, 2, FALSE)), ("N/A - Facility Does Not Report to TRI"))</f>
        <v>N/A - Facility Does Not Report to TRI</v>
      </c>
      <c r="AD152" s="97" t="str" cm="1">
        <f t="array" ref="AD152">IFERROR(_xlfn.XLOOKUP(1,  (MAX(IF(I152 = 'Processed Non-zero TRI Data'!$I$2:$I$6,'Processed Non-zero TRI Data'!$A$2:$A$6)) = 'Processed Non-zero TRI Data'!$A$2:$A$6)*('Processed Non-zero TRI Data'!$I$2:$I$6 = I152), 'Processed Non-zero TRI Data'!$V$2:$V$6), "N/A- Facility Does Not Report to TRI")</f>
        <v>N/A- Facility Does Not Report to TRI</v>
      </c>
      <c r="AE152" s="9" t="str">
        <f t="shared" si="55"/>
        <v>N/A - Facility Does Not Report to TRI</v>
      </c>
      <c r="AF152" s="9" t="str" cm="1">
        <f t="array" ref="AF152">IF(COUNTIF('Processed Non-zero TRI Data'!$I:$I,$I152)&gt;0,MEDIAN(IF('Processed Non-zero TRI Data'!$I:$I=I152,'Processed Non-zero TRI Data'!$V:$V)), "N/A - Facility Does Not Report to TRI")</f>
        <v>N/A - Facility Does Not Report to TRI</v>
      </c>
      <c r="AG152" s="9" t="str">
        <f t="shared" si="56"/>
        <v>N/A - Facility Does Not Report to TRI</v>
      </c>
      <c r="AH152" s="9" t="str">
        <f>IF(COUNTIF('Processed Non-zero TRI Data'!$I:$I,$I152)&gt;0,_xlfn.MAXIFS('Processed Non-zero TRI Data'!$V:$V,'Processed Non-zero TRI Data'!$I:$I,$I152), "N/A - Facility Does Not Report to TRI")</f>
        <v>N/A - Facility Does Not Report to TRI</v>
      </c>
      <c r="AI152" s="9" t="str">
        <f t="shared" si="57"/>
        <v>N/A - Facility Does Not Report to TRI</v>
      </c>
      <c r="AJ152" s="158" t="str" cm="1">
        <f t="array" ref="AJ152">IF(B152="TRI Form A",AC152,IF(AH152=0,"Facility has no transfers to POTWs between 2019-2023.",IF(COUNTIF('Processed Non-zero TRI Data'!$I:$I,$I152)&gt;0,INDEX('Processed Non-zero TRI Data'!$A:$A,MATCH(1,($I152='Processed Non-zero TRI Data'!$I:$I)*(AH152='Processed Non-zero TRI Data'!$V:$V),0)),"N/A - Facility Does Not Report to TRI")))</f>
        <v>N/A - Facility Does Not Report to TRI</v>
      </c>
      <c r="AK152" s="97" t="str" cm="1">
        <f t="array" ref="AK152">IFERROR(_xlfn.XLOOKUP(1,  (MAX(IF(I152 = 'Processed Non-zero TRI Data'!$I$2:$I$6,'Processed Non-zero TRI Data'!$A$2:$A$6)) = 'Processed Non-zero TRI Data'!$A$2:$A$6)*('Processed Non-zero TRI Data'!$I$2:$I$6 = I152), 'Processed Non-zero TRI Data'!$X$2:$X$6), "N/A- Facility Does Not Report to TRI")</f>
        <v>N/A- Facility Does Not Report to TRI</v>
      </c>
      <c r="AL152" s="9" t="str">
        <f t="shared" si="58"/>
        <v>N/A - Facility Does Not Report to TRI</v>
      </c>
      <c r="AM152" s="9" t="str" cm="1">
        <f t="array" ref="AM152">IF(COUNTIF('Processed Non-zero TRI Data'!$I:$I,$I152)&gt;0,MEDIAN(IF('Processed Non-zero TRI Data'!$I:$I=I152,'Processed Non-zero TRI Data'!$X:$X)), "N/A - Facility Does Not Report to TRI")</f>
        <v>N/A - Facility Does Not Report to TRI</v>
      </c>
      <c r="AN152" s="9" t="str">
        <f t="shared" si="59"/>
        <v>N/A - Facility Does Not Report to TRI</v>
      </c>
      <c r="AO152" s="9" t="str">
        <f>IF(COUNTIF('Processed Non-zero TRI Data'!$I:$I,$I152)&gt;0,_xlfn.MAXIFS('Processed Non-zero TRI Data'!$X:$X,'Processed Non-zero TRI Data'!$I:$I,$I152), "N/A - Facility Does Not Report to TRI")</f>
        <v>N/A - Facility Does Not Report to TRI</v>
      </c>
      <c r="AP152" s="9" t="str">
        <f t="shared" si="60"/>
        <v>N/A - Facility Does Not Report to TRI</v>
      </c>
      <c r="AQ152" s="251" t="str" cm="1">
        <f t="array" ref="AQ152">IF(B152="TRI Form A",AC152,IF(AO152=0,"Facility has no transfers to non-POTWs between 2019-2023.",IF(COUNTIF('Processed Non-zero TRI Data'!$I:$I,$I152)&gt;0,INDEX('Processed Non-zero TRI Data'!$A:$A,MATCH(1,($I152='Processed Non-zero TRI Data'!$I:$I)*(AO152='Processed Non-zero TRI Data'!$X:$X),0)),"N/A - Facility Does Not Report to TRI")))</f>
        <v>N/A - Facility Does Not Report to TRI</v>
      </c>
      <c r="AR152" s="260">
        <f t="shared" si="61"/>
        <v>0</v>
      </c>
      <c r="AS152" s="260">
        <f t="shared" si="62"/>
        <v>1.178440825</v>
      </c>
    </row>
    <row r="153" spans="1:45" ht="30" x14ac:dyDescent="0.25">
      <c r="A153" s="12">
        <v>150</v>
      </c>
      <c r="B153" s="10" t="str">
        <f>IFERROR("TRI Form "&amp; VLOOKUP(I153, 'Processed Non-zero TRI Data'!$I$2:$K$6, 3, FALSE), "DMR")</f>
        <v>DMR</v>
      </c>
      <c r="C153" s="181" t="e">
        <f>VLOOKUP(D153,#REF!, 2, FALSE)</f>
        <v>#REF!</v>
      </c>
      <c r="D153" s="181" t="str">
        <f>IF(I153&lt;&gt;"",INDEX('Processed Non-zero TRI Data'!$O:$O,MATCH(I153,'Processed Non-zero TRI Data'!$I:$I,0)),INDEX('Processed Non-zero DMR Data'!$S:$S,MATCH(J153,'Processed Non-zero DMR Data'!$I:$I,0)))</f>
        <v>Processing as a reactant</v>
      </c>
      <c r="E153" s="181" t="str">
        <f>IF(I153&lt;&gt;"",INDEX('Processed Non-zero TRI Data'!$P:$P,MATCH(I153,'Processed Non-zero TRI Data'!$I:$I,0)),INDEX('Processed Non-zero DMR Data'!$T:$T,MATCH(J153,'Processed Non-zero DMR Data'!$I:$I,0)))</f>
        <v>Assumed processing as a reactant based on SIC and NAICS; this also matches 1,1,-DCA mapping.</v>
      </c>
      <c r="F153" s="9" t="str">
        <f>_xlfn.XLOOKUP(J153, 'Processed Non-zero DMR Data'!I:I, 'Processed Non-zero DMR Data'!B:B)</f>
        <v>MONUMENT CHEMICAL HOUSTON</v>
      </c>
      <c r="G153" s="9" t="str">
        <f>_xlfn.XLOOKUP(J153, 'Processed Non-zero DMR Data'!I:I, 'Processed Non-zero DMR Data'!C:C)</f>
        <v>HOUSTON</v>
      </c>
      <c r="H153" s="9" t="str">
        <f>_xlfn.XLOOKUP(J153, 'Processed Non-zero DMR Data'!I:I, 'Processed Non-zero DMR Data'!E:E)</f>
        <v>TX</v>
      </c>
      <c r="I153" s="12"/>
      <c r="J153" s="13">
        <v>110000460983</v>
      </c>
      <c r="K153" s="9" t="str">
        <f>IFERROR(INDEX('Raw Non-zero DMR Data'!$C:$C, MATCH(J153,'Raw Non-zero DMR Data'!$D:$D,0)),"")</f>
        <v>TX0085979</v>
      </c>
      <c r="L153" s="9" t="str">
        <f>IFERROR(INDEX('Raw Non-zero DMR Data'!$U:$U, MATCH($J153,'Raw Non-zero DMR Data'!$D:$D,0)),"")</f>
        <v>Carpenters Bayou</v>
      </c>
      <c r="M153" s="155">
        <f>IFERROR(INDEX('Raw Non-zero DMR Data'!$T:$T, MATCH($J153,'Raw Non-zero DMR Data'!$D:$D,0)),"")</f>
        <v>120401040702</v>
      </c>
      <c r="N153" s="155" t="str">
        <f>IFERROR(INDEX('Off-site Locations'!$E:$E,MATCH(I153,'Off-site Locations'!$B:$B,0)),"No offsite transfers")</f>
        <v>No offsite transfers</v>
      </c>
      <c r="O153" s="165">
        <f>INDEX('TRI and DMR OES Summary'!D:D,MATCH('Facility Discharge Summary'!D153,'TRI and DMR OES Summary'!A:A,0))</f>
        <v>350</v>
      </c>
      <c r="P153" s="17" cm="1">
        <f t="array" ref="P153">IFERROR(_xlfn.XLOOKUP(1,  (MAX(IF(J153 = 'Processed Non-zero DMR Data'!$I$2:$I$651,'Processed Non-zero DMR Data'!$A$2:$A$651)) = 'Processed Non-zero DMR Data'!$A$2:$A$651)*('Processed Non-zero DMR Data'!$I$2:$I$651 = J153),'Processed Non-zero DMR Data'!$W$2:$W$651), "N/A- Facility Does Not Report DMRs")</f>
        <v>0.198852</v>
      </c>
      <c r="Q153" s="10">
        <f t="shared" si="49"/>
        <v>5.6814857142857144E-4</v>
      </c>
      <c r="R153" s="10" cm="1">
        <f t="array" ref="R153">IF(COUNTIF('Processed Non-zero DMR Data'!$I:$I,$J153)&gt;0,MEDIAN(IF('Processed Non-zero DMR Data'!$I:$I=J153,'Processed Non-zero DMR Data'!$W:$W)),"N/A - Facility Does Not Report DMRs")</f>
        <v>0.182281</v>
      </c>
      <c r="S153" s="10">
        <f t="shared" si="50"/>
        <v>5.2080285714285713E-4</v>
      </c>
      <c r="T153" s="10">
        <f>IF(COUNTIF('Processed Non-zero DMR Data'!$I:$I,$J153)&gt;0,_xlfn.MAXIFS('Processed Non-zero DMR Data'!$W:$W,'Processed Non-zero DMR Data'!$I:$I,$J153), "N/A - Facility Does Not Report DMRs")</f>
        <v>0.37450460000000002</v>
      </c>
      <c r="U153" s="10">
        <f t="shared" si="51"/>
        <v>1.0700131428571429E-3</v>
      </c>
      <c r="V153" s="158" cm="1">
        <f t="array" ref="V153">IF(COUNTIF('Processed Non-zero DMR Data'!$I:$I,$J153)&gt;0,INDEX('Processed Non-zero DMR Data'!$A:$A,MATCH(1,($J153='Processed Non-zero DMR Data'!$I:$I)*($T153='Processed Non-zero DMR Data'!$W:$W),0)), "N/A - Facility Does Not Report DMRs")</f>
        <v>2021</v>
      </c>
      <c r="W153" s="17" t="str" cm="1">
        <f t="array" ref="W153">IFERROR(_xlfn.XLOOKUP(1,  (MAX(IF(I153 = 'Processed Non-zero TRI Data'!$I$2:$I$6,'Processed Non-zero TRI Data'!$A$2:$A$6)) = 'Processed Non-zero TRI Data'!$A$2:$A$6)*('Processed Non-zero TRI Data'!$I$2:$I$6 = I153), 'Processed Non-zero TRI Data'!$T$2:$T$6), "N/A- Facility Does Not Report to TRI")</f>
        <v>N/A- Facility Does Not Report to TRI</v>
      </c>
      <c r="X153" s="10" t="str">
        <f t="shared" si="52"/>
        <v>N/A - Facility Does Not Report to TRI</v>
      </c>
      <c r="Y153" s="10" t="str" cm="1">
        <f t="array" ref="Y153">IF(COUNTIF('Processed Non-zero TRI Data'!$I:$I,$I153)&gt;0,MEDIAN(IF('Processed Non-zero TRI Data'!$I:$I=I153,'Processed Non-zero TRI Data'!$T:$T)), "N/A - Facility Does Not Report to TRI")</f>
        <v>N/A - Facility Does Not Report to TRI</v>
      </c>
      <c r="Z153" s="10" t="str">
        <f t="shared" si="53"/>
        <v>N/A - Facility Does Not Report to TRI</v>
      </c>
      <c r="AA153" s="10" t="str">
        <f>IF(COUNTIF('Processed Non-zero TRI Data'!$I:$I,$I153)&gt;0,_xlfn.MAXIFS('Processed Non-zero TRI Data'!$T:$T,'Processed Non-zero TRI Data'!$I:$I,$I153), "N/A - Facility Does Not Report to TRI")</f>
        <v>N/A - Facility Does Not Report to TRI</v>
      </c>
      <c r="AB153" s="10" t="str">
        <f t="shared" si="54"/>
        <v>N/A - Facility Does Not Report to TRI</v>
      </c>
      <c r="AC153" s="158" t="str" cm="1">
        <f t="array" ref="AC153">IFERROR(IF(B153 = "TRI Form R", IF(AA153 = 0, "Facility has no on-site water discharges between 2017-2022.",  IF(COUNTIF('Processed Non-zero TRI Data'!$I:$I,$I153)&gt;0,INDEX('Processed Non-zero TRI Data'!$A:$A,MATCH(1,($I153='Processed Non-zero TRI Data'!$I:$I)*(AA153='Processed Non-zero TRI Data'!$T:$T),0)))), VLOOKUP(I153,#REF!, 2, FALSE)), ("N/A - Facility Does Not Report to TRI"))</f>
        <v>N/A - Facility Does Not Report to TRI</v>
      </c>
      <c r="AD153" s="97" t="str" cm="1">
        <f t="array" ref="AD153">IFERROR(_xlfn.XLOOKUP(1,  (MAX(IF(I153 = 'Processed Non-zero TRI Data'!$I$2:$I$6,'Processed Non-zero TRI Data'!$A$2:$A$6)) = 'Processed Non-zero TRI Data'!$A$2:$A$6)*('Processed Non-zero TRI Data'!$I$2:$I$6 = I153), 'Processed Non-zero TRI Data'!$V$2:$V$6), "N/A- Facility Does Not Report to TRI")</f>
        <v>N/A- Facility Does Not Report to TRI</v>
      </c>
      <c r="AE153" s="9" t="str">
        <f t="shared" si="55"/>
        <v>N/A - Facility Does Not Report to TRI</v>
      </c>
      <c r="AF153" s="9" t="str" cm="1">
        <f t="array" ref="AF153">IF(COUNTIF('Processed Non-zero TRI Data'!$I:$I,$I153)&gt;0,MEDIAN(IF('Processed Non-zero TRI Data'!$I:$I=I153,'Processed Non-zero TRI Data'!$V:$V)), "N/A - Facility Does Not Report to TRI")</f>
        <v>N/A - Facility Does Not Report to TRI</v>
      </c>
      <c r="AG153" s="9" t="str">
        <f t="shared" si="56"/>
        <v>N/A - Facility Does Not Report to TRI</v>
      </c>
      <c r="AH153" s="9" t="str">
        <f>IF(COUNTIF('Processed Non-zero TRI Data'!$I:$I,$I153)&gt;0,_xlfn.MAXIFS('Processed Non-zero TRI Data'!$V:$V,'Processed Non-zero TRI Data'!$I:$I,$I153), "N/A - Facility Does Not Report to TRI")</f>
        <v>N/A - Facility Does Not Report to TRI</v>
      </c>
      <c r="AI153" s="9" t="str">
        <f t="shared" si="57"/>
        <v>N/A - Facility Does Not Report to TRI</v>
      </c>
      <c r="AJ153" s="158" t="str" cm="1">
        <f t="array" ref="AJ153">IF(B153="TRI Form A",AC153,IF(AH153=0,"Facility has no transfers to POTWs between 2019-2023.",IF(COUNTIF('Processed Non-zero TRI Data'!$I:$I,$I153)&gt;0,INDEX('Processed Non-zero TRI Data'!$A:$A,MATCH(1,($I153='Processed Non-zero TRI Data'!$I:$I)*(AH153='Processed Non-zero TRI Data'!$V:$V),0)),"N/A - Facility Does Not Report to TRI")))</f>
        <v>N/A - Facility Does Not Report to TRI</v>
      </c>
      <c r="AK153" s="97" t="str" cm="1">
        <f t="array" ref="AK153">IFERROR(_xlfn.XLOOKUP(1,  (MAX(IF(I153 = 'Processed Non-zero TRI Data'!$I$2:$I$6,'Processed Non-zero TRI Data'!$A$2:$A$6)) = 'Processed Non-zero TRI Data'!$A$2:$A$6)*('Processed Non-zero TRI Data'!$I$2:$I$6 = I153), 'Processed Non-zero TRI Data'!$X$2:$X$6), "N/A- Facility Does Not Report to TRI")</f>
        <v>N/A- Facility Does Not Report to TRI</v>
      </c>
      <c r="AL153" s="9" t="str">
        <f t="shared" si="58"/>
        <v>N/A - Facility Does Not Report to TRI</v>
      </c>
      <c r="AM153" s="9" t="str" cm="1">
        <f t="array" ref="AM153">IF(COUNTIF('Processed Non-zero TRI Data'!$I:$I,$I153)&gt;0,MEDIAN(IF('Processed Non-zero TRI Data'!$I:$I=I153,'Processed Non-zero TRI Data'!$X:$X)), "N/A - Facility Does Not Report to TRI")</f>
        <v>N/A - Facility Does Not Report to TRI</v>
      </c>
      <c r="AN153" s="9" t="str">
        <f t="shared" si="59"/>
        <v>N/A - Facility Does Not Report to TRI</v>
      </c>
      <c r="AO153" s="9" t="str">
        <f>IF(COUNTIF('Processed Non-zero TRI Data'!$I:$I,$I153)&gt;0,_xlfn.MAXIFS('Processed Non-zero TRI Data'!$X:$X,'Processed Non-zero TRI Data'!$I:$I,$I153), "N/A - Facility Does Not Report to TRI")</f>
        <v>N/A - Facility Does Not Report to TRI</v>
      </c>
      <c r="AP153" s="9" t="str">
        <f t="shared" si="60"/>
        <v>N/A - Facility Does Not Report to TRI</v>
      </c>
      <c r="AQ153" s="251" t="str" cm="1">
        <f t="array" ref="AQ153">IF(B153="TRI Form A",AC153,IF(AO153=0,"Facility has no transfers to non-POTWs between 2019-2023.",IF(COUNTIF('Processed Non-zero TRI Data'!$I:$I,$I153)&gt;0,INDEX('Processed Non-zero TRI Data'!$A:$A,MATCH(1,($I153='Processed Non-zero TRI Data'!$I:$I)*(AO153='Processed Non-zero TRI Data'!$X:$X),0)),"N/A - Facility Does Not Report to TRI")))</f>
        <v>N/A - Facility Does Not Report to TRI</v>
      </c>
      <c r="AR153" s="260">
        <f t="shared" si="61"/>
        <v>0</v>
      </c>
      <c r="AS153" s="260">
        <f t="shared" si="62"/>
        <v>0.37450460000000002</v>
      </c>
    </row>
    <row r="154" spans="1:45" ht="60" x14ac:dyDescent="0.25">
      <c r="A154" s="12">
        <v>151</v>
      </c>
      <c r="B154" s="10" t="str">
        <f>IFERROR("TRI Form "&amp; VLOOKUP(I154, 'Processed Non-zero TRI Data'!$I$2:$K$6, 3, FALSE), "DMR")</f>
        <v>DMR</v>
      </c>
      <c r="C154" s="181" t="e">
        <f>VLOOKUP(D154,#REF!, 2, FALSE)</f>
        <v>#REF!</v>
      </c>
      <c r="D154" s="181" t="str">
        <f>IF(I154&lt;&gt;"",INDEX('Processed Non-zero TRI Data'!$O:$O,MATCH(I154,'Processed Non-zero TRI Data'!$I:$I,0)),INDEX('Processed Non-zero DMR Data'!$S:$S,MATCH(J154,'Processed Non-zero DMR Data'!$I:$I,0)))</f>
        <v>Waste Handling, Disposal and Treatment (Remediation)</v>
      </c>
      <c r="E154" s="181" t="str">
        <f>IF(I154&lt;&gt;"",INDEX('Processed Non-zero TRI Data'!$P:$P,MATCH(I154,'Processed Non-zero TRI Data'!$I:$I,0)),INDEX('Processed Non-zero DMR Data'!$T:$T,MATCH(J154,'Processed Non-zero DMR Data'!$I:$I,0)))</f>
        <v>Internet search indicates remediation (https://brownandcaldwell.com/project/fast-track-remediation-and-redevelopment-of-former-manufacturing-site/)</v>
      </c>
      <c r="F154" s="9" t="str">
        <f>_xlfn.XLOOKUP(J154, 'Processed Non-zero DMR Data'!I:I, 'Processed Non-zero DMR Data'!B:B)</f>
        <v>FORMER NUODEX CORP FACILITY</v>
      </c>
      <c r="G154" s="9" t="str">
        <f>_xlfn.XLOOKUP(J154, 'Processed Non-zero DMR Data'!I:I, 'Processed Non-zero DMR Data'!C:C)</f>
        <v>WOODBRIDGE TWP</v>
      </c>
      <c r="H154" s="9" t="str">
        <f>_xlfn.XLOOKUP(J154, 'Processed Non-zero DMR Data'!I:I, 'Processed Non-zero DMR Data'!E:E)</f>
        <v>NJ</v>
      </c>
      <c r="I154" s="12"/>
      <c r="J154" s="13">
        <v>110070215141</v>
      </c>
      <c r="K154" s="9" t="str">
        <f>IFERROR(INDEX('Raw Non-zero DMR Data'!$C:$C, MATCH(J154,'Raw Non-zero DMR Data'!$D:$D,0)),"")</f>
        <v>NJG197548</v>
      </c>
      <c r="L154" s="9" t="str">
        <f>IFERROR(INDEX('Raw Non-zero DMR Data'!$U:$U, MATCH($J154,'Raw Non-zero DMR Data'!$D:$D,0)),"")</f>
        <v>Mill Brook-Raritan River</v>
      </c>
      <c r="M154" s="155" t="str">
        <f>IFERROR(INDEX('Raw Non-zero DMR Data'!$T:$T, MATCH($J154,'Raw Non-zero DMR Data'!$D:$D,0)),"")</f>
        <v>020301050507</v>
      </c>
      <c r="N154" s="155" t="str">
        <f>IFERROR(INDEX('Off-site Locations'!$E:$E,MATCH(I154,'Off-site Locations'!$B:$B,0)),"No offsite transfers")</f>
        <v>No offsite transfers</v>
      </c>
      <c r="O154" s="165">
        <f>INDEX('TRI and DMR OES Summary'!D:D,MATCH('Facility Discharge Summary'!D154,'TRI and DMR OES Summary'!A:A,0))</f>
        <v>250</v>
      </c>
      <c r="P154" s="17" cm="1">
        <f t="array" ref="P154">IFERROR(_xlfn.XLOOKUP(1,  (MAX(IF(J154 = 'Processed Non-zero DMR Data'!$I$2:$I$651,'Processed Non-zero DMR Data'!$A$2:$A$651)) = 'Processed Non-zero DMR Data'!$A$2:$A$651)*('Processed Non-zero DMR Data'!$I$2:$I$651 = J154),'Processed Non-zero DMR Data'!$W$2:$W$651), "N/A- Facility Does Not Report DMRs")</f>
        <v>2.7346469815000001E-3</v>
      </c>
      <c r="Q154" s="10">
        <f t="shared" si="49"/>
        <v>1.0938587926000001E-5</v>
      </c>
      <c r="R154" s="10" cm="1">
        <f t="array" ref="R154">IF(COUNTIF('Processed Non-zero DMR Data'!$I:$I,$J154)&gt;0,MEDIAN(IF('Processed Non-zero DMR Data'!$I:$I=J154,'Processed Non-zero DMR Data'!$W:$W)),"N/A - Facility Does Not Report DMRs")</f>
        <v>3.27622787E-3</v>
      </c>
      <c r="S154" s="10">
        <f t="shared" si="50"/>
        <v>1.3104911480000001E-5</v>
      </c>
      <c r="T154" s="10">
        <f>IF(COUNTIF('Processed Non-zero DMR Data'!$I:$I,$J154)&gt;0,_xlfn.MAXIFS('Processed Non-zero DMR Data'!$W:$W,'Processed Non-zero DMR Data'!$I:$I,$J154), "N/A - Facility Does Not Report DMRs")</f>
        <v>7.2203965825000001E-3</v>
      </c>
      <c r="U154" s="10">
        <f t="shared" si="51"/>
        <v>2.8881586330000001E-5</v>
      </c>
      <c r="V154" s="158" cm="1">
        <f t="array" ref="V154">IF(COUNTIF('Processed Non-zero DMR Data'!$I:$I,$J154)&gt;0,INDEX('Processed Non-zero DMR Data'!$A:$A,MATCH(1,($J154='Processed Non-zero DMR Data'!$I:$I)*($T154='Processed Non-zero DMR Data'!$W:$W),0)), "N/A - Facility Does Not Report DMRs")</f>
        <v>2021</v>
      </c>
      <c r="W154" s="17" t="str" cm="1">
        <f t="array" ref="W154">IFERROR(_xlfn.XLOOKUP(1,  (MAX(IF(I154 = 'Processed Non-zero TRI Data'!$I$2:$I$6,'Processed Non-zero TRI Data'!$A$2:$A$6)) = 'Processed Non-zero TRI Data'!$A$2:$A$6)*('Processed Non-zero TRI Data'!$I$2:$I$6 = I154), 'Processed Non-zero TRI Data'!$T$2:$T$6), "N/A- Facility Does Not Report to TRI")</f>
        <v>N/A- Facility Does Not Report to TRI</v>
      </c>
      <c r="X154" s="10" t="str">
        <f t="shared" si="52"/>
        <v>N/A - Facility Does Not Report to TRI</v>
      </c>
      <c r="Y154" s="10" t="str" cm="1">
        <f t="array" ref="Y154">IF(COUNTIF('Processed Non-zero TRI Data'!$I:$I,$I154)&gt;0,MEDIAN(IF('Processed Non-zero TRI Data'!$I:$I=I154,'Processed Non-zero TRI Data'!$T:$T)), "N/A - Facility Does Not Report to TRI")</f>
        <v>N/A - Facility Does Not Report to TRI</v>
      </c>
      <c r="Z154" s="10" t="str">
        <f t="shared" si="53"/>
        <v>N/A - Facility Does Not Report to TRI</v>
      </c>
      <c r="AA154" s="10" t="str">
        <f>IF(COUNTIF('Processed Non-zero TRI Data'!$I:$I,$I154)&gt;0,_xlfn.MAXIFS('Processed Non-zero TRI Data'!$T:$T,'Processed Non-zero TRI Data'!$I:$I,$I154), "N/A - Facility Does Not Report to TRI")</f>
        <v>N/A - Facility Does Not Report to TRI</v>
      </c>
      <c r="AB154" s="10" t="str">
        <f t="shared" si="54"/>
        <v>N/A - Facility Does Not Report to TRI</v>
      </c>
      <c r="AC154" s="158" t="str" cm="1">
        <f t="array" ref="AC154">IFERROR(IF(B154 = "TRI Form R", IF(AA154 = 0, "Facility has no on-site water discharges between 2017-2022.",  IF(COUNTIF('Processed Non-zero TRI Data'!$I:$I,$I154)&gt;0,INDEX('Processed Non-zero TRI Data'!$A:$A,MATCH(1,($I154='Processed Non-zero TRI Data'!$I:$I)*(AA154='Processed Non-zero TRI Data'!$T:$T),0)))), VLOOKUP(I154,#REF!, 2, FALSE)), ("N/A - Facility Does Not Report to TRI"))</f>
        <v>N/A - Facility Does Not Report to TRI</v>
      </c>
      <c r="AD154" s="97" t="str" cm="1">
        <f t="array" ref="AD154">IFERROR(_xlfn.XLOOKUP(1,  (MAX(IF(I154 = 'Processed Non-zero TRI Data'!$I$2:$I$6,'Processed Non-zero TRI Data'!$A$2:$A$6)) = 'Processed Non-zero TRI Data'!$A$2:$A$6)*('Processed Non-zero TRI Data'!$I$2:$I$6 = I154), 'Processed Non-zero TRI Data'!$V$2:$V$6), "N/A- Facility Does Not Report to TRI")</f>
        <v>N/A- Facility Does Not Report to TRI</v>
      </c>
      <c r="AE154" s="9" t="str">
        <f t="shared" si="55"/>
        <v>N/A - Facility Does Not Report to TRI</v>
      </c>
      <c r="AF154" s="9" t="str" cm="1">
        <f t="array" ref="AF154">IF(COUNTIF('Processed Non-zero TRI Data'!$I:$I,$I154)&gt;0,MEDIAN(IF('Processed Non-zero TRI Data'!$I:$I=I154,'Processed Non-zero TRI Data'!$V:$V)), "N/A - Facility Does Not Report to TRI")</f>
        <v>N/A - Facility Does Not Report to TRI</v>
      </c>
      <c r="AG154" s="9" t="str">
        <f t="shared" si="56"/>
        <v>N/A - Facility Does Not Report to TRI</v>
      </c>
      <c r="AH154" s="9" t="str">
        <f>IF(COUNTIF('Processed Non-zero TRI Data'!$I:$I,$I154)&gt;0,_xlfn.MAXIFS('Processed Non-zero TRI Data'!$V:$V,'Processed Non-zero TRI Data'!$I:$I,$I154), "N/A - Facility Does Not Report to TRI")</f>
        <v>N/A - Facility Does Not Report to TRI</v>
      </c>
      <c r="AI154" s="9" t="str">
        <f t="shared" si="57"/>
        <v>N/A - Facility Does Not Report to TRI</v>
      </c>
      <c r="AJ154" s="158" t="str" cm="1">
        <f t="array" ref="AJ154">IF(B154="TRI Form A",AC154,IF(AH154=0,"Facility has no transfers to POTWs between 2019-2023.",IF(COUNTIF('Processed Non-zero TRI Data'!$I:$I,$I154)&gt;0,INDEX('Processed Non-zero TRI Data'!$A:$A,MATCH(1,($I154='Processed Non-zero TRI Data'!$I:$I)*(AH154='Processed Non-zero TRI Data'!$V:$V),0)),"N/A - Facility Does Not Report to TRI")))</f>
        <v>N/A - Facility Does Not Report to TRI</v>
      </c>
      <c r="AK154" s="97" t="str" cm="1">
        <f t="array" ref="AK154">IFERROR(_xlfn.XLOOKUP(1,  (MAX(IF(I154 = 'Processed Non-zero TRI Data'!$I$2:$I$6,'Processed Non-zero TRI Data'!$A$2:$A$6)) = 'Processed Non-zero TRI Data'!$A$2:$A$6)*('Processed Non-zero TRI Data'!$I$2:$I$6 = I154), 'Processed Non-zero TRI Data'!$X$2:$X$6), "N/A- Facility Does Not Report to TRI")</f>
        <v>N/A- Facility Does Not Report to TRI</v>
      </c>
      <c r="AL154" s="9" t="str">
        <f t="shared" si="58"/>
        <v>N/A - Facility Does Not Report to TRI</v>
      </c>
      <c r="AM154" s="9" t="str" cm="1">
        <f t="array" ref="AM154">IF(COUNTIF('Processed Non-zero TRI Data'!$I:$I,$I154)&gt;0,MEDIAN(IF('Processed Non-zero TRI Data'!$I:$I=I154,'Processed Non-zero TRI Data'!$X:$X)), "N/A - Facility Does Not Report to TRI")</f>
        <v>N/A - Facility Does Not Report to TRI</v>
      </c>
      <c r="AN154" s="9" t="str">
        <f t="shared" si="59"/>
        <v>N/A - Facility Does Not Report to TRI</v>
      </c>
      <c r="AO154" s="9" t="str">
        <f>IF(COUNTIF('Processed Non-zero TRI Data'!$I:$I,$I154)&gt;0,_xlfn.MAXIFS('Processed Non-zero TRI Data'!$X:$X,'Processed Non-zero TRI Data'!$I:$I,$I154), "N/A - Facility Does Not Report to TRI")</f>
        <v>N/A - Facility Does Not Report to TRI</v>
      </c>
      <c r="AP154" s="9" t="str">
        <f t="shared" si="60"/>
        <v>N/A - Facility Does Not Report to TRI</v>
      </c>
      <c r="AQ154" s="251" t="str" cm="1">
        <f t="array" ref="AQ154">IF(B154="TRI Form A",AC154,IF(AO154=0,"Facility has no transfers to non-POTWs between 2019-2023.",IF(COUNTIF('Processed Non-zero TRI Data'!$I:$I,$I154)&gt;0,INDEX('Processed Non-zero TRI Data'!$A:$A,MATCH(1,($I154='Processed Non-zero TRI Data'!$I:$I)*(AO154='Processed Non-zero TRI Data'!$X:$X),0)),"N/A - Facility Does Not Report to TRI")))</f>
        <v>N/A - Facility Does Not Report to TRI</v>
      </c>
      <c r="AR154" s="260">
        <f t="shared" si="61"/>
        <v>0</v>
      </c>
      <c r="AS154" s="260">
        <f t="shared" si="62"/>
        <v>7.2203965825000001E-3</v>
      </c>
    </row>
    <row r="155" spans="1:45" ht="30" x14ac:dyDescent="0.25">
      <c r="A155" s="12">
        <v>152</v>
      </c>
      <c r="B155" s="10" t="str">
        <f>IFERROR("TRI Form "&amp; VLOOKUP(I155, 'Processed Non-zero TRI Data'!$I$2:$K$6, 3, FALSE), "DMR")</f>
        <v>DMR</v>
      </c>
      <c r="C155" s="181" t="e">
        <f>VLOOKUP(D155,#REF!, 2, FALSE)</f>
        <v>#REF!</v>
      </c>
      <c r="D155" s="181" t="str">
        <f>IF(I155&lt;&gt;"",INDEX('Processed Non-zero TRI Data'!$O:$O,MATCH(I155,'Processed Non-zero TRI Data'!$I:$I,0)),INDEX('Processed Non-zero DMR Data'!$S:$S,MATCH(J155,'Processed Non-zero DMR Data'!$I:$I,0)))</f>
        <v>Waste Handling, Disposal and Treatment (POTW)</v>
      </c>
      <c r="E155" s="181" t="str">
        <f>IF(I155&lt;&gt;"",INDEX('Processed Non-zero TRI Data'!$P:$P,MATCH(I155,'Processed Non-zero TRI Data'!$I:$I,0)),INDEX('Processed Non-zero DMR Data'!$T:$T,MATCH(J155,'Processed Non-zero DMR Data'!$I:$I,0)))</f>
        <v>POTW indicator in DMR</v>
      </c>
      <c r="F155" s="9" t="str">
        <f>_xlfn.XLOOKUP(J155, 'Processed Non-zero DMR Data'!I:I, 'Processed Non-zero DMR Data'!B:B)</f>
        <v>LONDON STP</v>
      </c>
      <c r="G155" s="9" t="str">
        <f>_xlfn.XLOOKUP(J155, 'Processed Non-zero DMR Data'!I:I, 'Processed Non-zero DMR Data'!C:C)</f>
        <v>LONDON</v>
      </c>
      <c r="H155" s="9" t="str">
        <f>_xlfn.XLOOKUP(J155, 'Processed Non-zero DMR Data'!I:I, 'Processed Non-zero DMR Data'!E:E)</f>
        <v>KY</v>
      </c>
      <c r="I155" s="12"/>
      <c r="J155" s="13">
        <v>110000557013</v>
      </c>
      <c r="K155" s="9" t="str">
        <f>IFERROR(INDEX('Raw Non-zero DMR Data'!$C:$C, MATCH(J155,'Raw Non-zero DMR Data'!$D:$D,0)),"")</f>
        <v>KY0021270</v>
      </c>
      <c r="L155" s="9" t="str">
        <f>IFERROR(INDEX('Raw Non-zero DMR Data'!$U:$U, MATCH($J155,'Raw Non-zero DMR Data'!$D:$D,0)),"")</f>
        <v>Little Laurel River</v>
      </c>
      <c r="M155" s="155" t="str">
        <f>IFERROR(INDEX('Raw Non-zero DMR Data'!$T:$T, MATCH($J155,'Raw Non-zero DMR Data'!$D:$D,0)),"")</f>
        <v>051301010802</v>
      </c>
      <c r="N155" s="155" t="str">
        <f>IFERROR(INDEX('Off-site Locations'!$E:$E,MATCH(I155,'Off-site Locations'!$B:$B,0)),"No offsite transfers")</f>
        <v>No offsite transfers</v>
      </c>
      <c r="O155" s="165">
        <f>INDEX('TRI and DMR OES Summary'!D:D,MATCH('Facility Discharge Summary'!D155,'TRI and DMR OES Summary'!A:A,0))</f>
        <v>365</v>
      </c>
      <c r="P155" s="17" cm="1">
        <f t="array" ref="P155">IFERROR(_xlfn.XLOOKUP(1,  (MAX(IF(J155 = 'Processed Non-zero DMR Data'!$I$2:$I$651,'Processed Non-zero DMR Data'!$A$2:$A$651)) = 'Processed Non-zero DMR Data'!$A$2:$A$651)*('Processed Non-zero DMR Data'!$I$2:$I$651 = J155),'Processed Non-zero DMR Data'!$W$2:$W$651), "N/A- Facility Does Not Report DMRs")</f>
        <v>2.1586328125000001</v>
      </c>
      <c r="Q155" s="10">
        <f t="shared" si="49"/>
        <v>5.9140625E-3</v>
      </c>
      <c r="R155" s="10" cm="1">
        <f t="array" ref="R155">IF(COUNTIF('Processed Non-zero DMR Data'!$I:$I,$J155)&gt;0,MEDIAN(IF('Processed Non-zero DMR Data'!$I:$I=J155,'Processed Non-zero DMR Data'!$W:$W)),"N/A - Facility Does Not Report DMRs")</f>
        <v>2.49676105625</v>
      </c>
      <c r="S155" s="10">
        <f t="shared" si="50"/>
        <v>6.8404412499999999E-3</v>
      </c>
      <c r="T155" s="10">
        <f>IF(COUNTIF('Processed Non-zero DMR Data'!$I:$I,$J155)&gt;0,_xlfn.MAXIFS('Processed Non-zero DMR Data'!$W:$W,'Processed Non-zero DMR Data'!$I:$I,$J155), "N/A - Facility Does Not Report DMRs")</f>
        <v>2.8348892999999999</v>
      </c>
      <c r="U155" s="10">
        <f t="shared" si="51"/>
        <v>7.7668199999999998E-3</v>
      </c>
      <c r="V155" s="158" cm="1">
        <f t="array" ref="V155">IF(COUNTIF('Processed Non-zero DMR Data'!$I:$I,$J155)&gt;0,INDEX('Processed Non-zero DMR Data'!$A:$A,MATCH(1,($J155='Processed Non-zero DMR Data'!$I:$I)*($T155='Processed Non-zero DMR Data'!$W:$W),0)), "N/A - Facility Does Not Report DMRs")</f>
        <v>2020</v>
      </c>
      <c r="W155" s="17" t="str" cm="1">
        <f t="array" ref="W155">IFERROR(_xlfn.XLOOKUP(1,  (MAX(IF(I155 = 'Processed Non-zero TRI Data'!$I$2:$I$6,'Processed Non-zero TRI Data'!$A$2:$A$6)) = 'Processed Non-zero TRI Data'!$A$2:$A$6)*('Processed Non-zero TRI Data'!$I$2:$I$6 = I155), 'Processed Non-zero TRI Data'!$T$2:$T$6), "N/A- Facility Does Not Report to TRI")</f>
        <v>N/A- Facility Does Not Report to TRI</v>
      </c>
      <c r="X155" s="10" t="str">
        <f t="shared" si="52"/>
        <v>N/A - Facility Does Not Report to TRI</v>
      </c>
      <c r="Y155" s="10" t="str" cm="1">
        <f t="array" ref="Y155">IF(COUNTIF('Processed Non-zero TRI Data'!$I:$I,$I155)&gt;0,MEDIAN(IF('Processed Non-zero TRI Data'!$I:$I=I155,'Processed Non-zero TRI Data'!$T:$T)), "N/A - Facility Does Not Report to TRI")</f>
        <v>N/A - Facility Does Not Report to TRI</v>
      </c>
      <c r="Z155" s="10" t="str">
        <f t="shared" si="53"/>
        <v>N/A - Facility Does Not Report to TRI</v>
      </c>
      <c r="AA155" s="10" t="str">
        <f>IF(COUNTIF('Processed Non-zero TRI Data'!$I:$I,$I155)&gt;0,_xlfn.MAXIFS('Processed Non-zero TRI Data'!$T:$T,'Processed Non-zero TRI Data'!$I:$I,$I155), "N/A - Facility Does Not Report to TRI")</f>
        <v>N/A - Facility Does Not Report to TRI</v>
      </c>
      <c r="AB155" s="10" t="str">
        <f t="shared" si="54"/>
        <v>N/A - Facility Does Not Report to TRI</v>
      </c>
      <c r="AC155" s="158" t="str" cm="1">
        <f t="array" ref="AC155">IFERROR(IF(B155 = "TRI Form R", IF(AA155 = 0, "Facility has no on-site water discharges between 2017-2022.",  IF(COUNTIF('Processed Non-zero TRI Data'!$I:$I,$I155)&gt;0,INDEX('Processed Non-zero TRI Data'!$A:$A,MATCH(1,($I155='Processed Non-zero TRI Data'!$I:$I)*(AA155='Processed Non-zero TRI Data'!$T:$T),0)))), VLOOKUP(I155,#REF!, 2, FALSE)), ("N/A - Facility Does Not Report to TRI"))</f>
        <v>N/A - Facility Does Not Report to TRI</v>
      </c>
      <c r="AD155" s="97" t="str" cm="1">
        <f t="array" ref="AD155">IFERROR(_xlfn.XLOOKUP(1,  (MAX(IF(I155 = 'Processed Non-zero TRI Data'!$I$2:$I$6,'Processed Non-zero TRI Data'!$A$2:$A$6)) = 'Processed Non-zero TRI Data'!$A$2:$A$6)*('Processed Non-zero TRI Data'!$I$2:$I$6 = I155), 'Processed Non-zero TRI Data'!$V$2:$V$6), "N/A- Facility Does Not Report to TRI")</f>
        <v>N/A- Facility Does Not Report to TRI</v>
      </c>
      <c r="AE155" s="9" t="str">
        <f t="shared" si="55"/>
        <v>N/A - Facility Does Not Report to TRI</v>
      </c>
      <c r="AF155" s="9" t="str" cm="1">
        <f t="array" ref="AF155">IF(COUNTIF('Processed Non-zero TRI Data'!$I:$I,$I155)&gt;0,MEDIAN(IF('Processed Non-zero TRI Data'!$I:$I=I155,'Processed Non-zero TRI Data'!$V:$V)), "N/A - Facility Does Not Report to TRI")</f>
        <v>N/A - Facility Does Not Report to TRI</v>
      </c>
      <c r="AG155" s="9" t="str">
        <f t="shared" si="56"/>
        <v>N/A - Facility Does Not Report to TRI</v>
      </c>
      <c r="AH155" s="9" t="str">
        <f>IF(COUNTIF('Processed Non-zero TRI Data'!$I:$I,$I155)&gt;0,_xlfn.MAXIFS('Processed Non-zero TRI Data'!$V:$V,'Processed Non-zero TRI Data'!$I:$I,$I155), "N/A - Facility Does Not Report to TRI")</f>
        <v>N/A - Facility Does Not Report to TRI</v>
      </c>
      <c r="AI155" s="9" t="str">
        <f t="shared" si="57"/>
        <v>N/A - Facility Does Not Report to TRI</v>
      </c>
      <c r="AJ155" s="158" t="str" cm="1">
        <f t="array" ref="AJ155">IF(B155="TRI Form A",AC155,IF(AH155=0,"Facility has no transfers to POTWs between 2019-2023.",IF(COUNTIF('Processed Non-zero TRI Data'!$I:$I,$I155)&gt;0,INDEX('Processed Non-zero TRI Data'!$A:$A,MATCH(1,($I155='Processed Non-zero TRI Data'!$I:$I)*(AH155='Processed Non-zero TRI Data'!$V:$V),0)),"N/A - Facility Does Not Report to TRI")))</f>
        <v>N/A - Facility Does Not Report to TRI</v>
      </c>
      <c r="AK155" s="97" t="str" cm="1">
        <f t="array" ref="AK155">IFERROR(_xlfn.XLOOKUP(1,  (MAX(IF(I155 = 'Processed Non-zero TRI Data'!$I$2:$I$6,'Processed Non-zero TRI Data'!$A$2:$A$6)) = 'Processed Non-zero TRI Data'!$A$2:$A$6)*('Processed Non-zero TRI Data'!$I$2:$I$6 = I155), 'Processed Non-zero TRI Data'!$X$2:$X$6), "N/A- Facility Does Not Report to TRI")</f>
        <v>N/A- Facility Does Not Report to TRI</v>
      </c>
      <c r="AL155" s="9" t="str">
        <f t="shared" si="58"/>
        <v>N/A - Facility Does Not Report to TRI</v>
      </c>
      <c r="AM155" s="9" t="str" cm="1">
        <f t="array" ref="AM155">IF(COUNTIF('Processed Non-zero TRI Data'!$I:$I,$I155)&gt;0,MEDIAN(IF('Processed Non-zero TRI Data'!$I:$I=I155,'Processed Non-zero TRI Data'!$X:$X)), "N/A - Facility Does Not Report to TRI")</f>
        <v>N/A - Facility Does Not Report to TRI</v>
      </c>
      <c r="AN155" s="9" t="str">
        <f t="shared" si="59"/>
        <v>N/A - Facility Does Not Report to TRI</v>
      </c>
      <c r="AO155" s="9" t="str">
        <f>IF(COUNTIF('Processed Non-zero TRI Data'!$I:$I,$I155)&gt;0,_xlfn.MAXIFS('Processed Non-zero TRI Data'!$X:$X,'Processed Non-zero TRI Data'!$I:$I,$I155), "N/A - Facility Does Not Report to TRI")</f>
        <v>N/A - Facility Does Not Report to TRI</v>
      </c>
      <c r="AP155" s="9" t="str">
        <f t="shared" si="60"/>
        <v>N/A - Facility Does Not Report to TRI</v>
      </c>
      <c r="AQ155" s="251" t="str" cm="1">
        <f t="array" ref="AQ155">IF(B155="TRI Form A",AC155,IF(AO155=0,"Facility has no transfers to non-POTWs between 2019-2023.",IF(COUNTIF('Processed Non-zero TRI Data'!$I:$I,$I155)&gt;0,INDEX('Processed Non-zero TRI Data'!$A:$A,MATCH(1,($I155='Processed Non-zero TRI Data'!$I:$I)*(AO155='Processed Non-zero TRI Data'!$X:$X),0)),"N/A - Facility Does Not Report to TRI")))</f>
        <v>N/A - Facility Does Not Report to TRI</v>
      </c>
      <c r="AR155" s="260">
        <f t="shared" si="61"/>
        <v>0</v>
      </c>
      <c r="AS155" s="260">
        <f t="shared" si="62"/>
        <v>2.8348892999999999</v>
      </c>
    </row>
    <row r="156" spans="1:45" ht="30" x14ac:dyDescent="0.25">
      <c r="A156" s="12">
        <v>153</v>
      </c>
      <c r="B156" s="10" t="str">
        <f>IFERROR("TRI Form "&amp; VLOOKUP(I156, 'Processed Non-zero TRI Data'!$I$2:$K$6, 3, FALSE), "DMR")</f>
        <v>DMR</v>
      </c>
      <c r="C156" s="181" t="e">
        <f>VLOOKUP(D156,#REF!, 2, FALSE)</f>
        <v>#REF!</v>
      </c>
      <c r="D156" s="181" t="str">
        <f>IF(I156&lt;&gt;"",INDEX('Processed Non-zero TRI Data'!$O:$O,MATCH(I156,'Processed Non-zero TRI Data'!$I:$I,0)),INDEX('Processed Non-zero DMR Data'!$S:$S,MATCH(J156,'Processed Non-zero DMR Data'!$I:$I,0)))</f>
        <v>Waste Handling, Disposal and Treatment (POTW)</v>
      </c>
      <c r="E156" s="181" t="str">
        <f>IF(I156&lt;&gt;"",INDEX('Processed Non-zero TRI Data'!$P:$P,MATCH(I156,'Processed Non-zero TRI Data'!$I:$I,0)),INDEX('Processed Non-zero DMR Data'!$T:$T,MATCH(J156,'Processed Non-zero DMR Data'!$I:$I,0)))</f>
        <v>POTW indicator in DMR</v>
      </c>
      <c r="F156" s="9" t="str">
        <f>_xlfn.XLOOKUP(J156, 'Processed Non-zero DMR Data'!I:I, 'Processed Non-zero DMR Data'!B:B)</f>
        <v>WAILUA WASTEWATER TREATMENT PLANT</v>
      </c>
      <c r="G156" s="9" t="str">
        <f>_xlfn.XLOOKUP(J156, 'Processed Non-zero DMR Data'!I:I, 'Processed Non-zero DMR Data'!C:C)</f>
        <v>KAPAA</v>
      </c>
      <c r="H156" s="9" t="str">
        <f>_xlfn.XLOOKUP(J156, 'Processed Non-zero DMR Data'!I:I, 'Processed Non-zero DMR Data'!E:E)</f>
        <v>HI</v>
      </c>
      <c r="I156" s="12"/>
      <c r="J156" s="13">
        <v>110010731262</v>
      </c>
      <c r="K156" s="9" t="str">
        <f>IFERROR(INDEX('Raw Non-zero DMR Data'!$C:$C, MATCH(J156,'Raw Non-zero DMR Data'!$D:$D,0)),"")</f>
        <v>HI0020257</v>
      </c>
      <c r="L156" s="9" t="str">
        <f>IFERROR(INDEX('Raw Non-zero DMR Data'!$U:$U, MATCH($J156,'Raw Non-zero DMR Data'!$D:$D,0)),"")</f>
        <v>Kapaa Stream</v>
      </c>
      <c r="M156" s="155">
        <f>IFERROR(INDEX('Raw Non-zero DMR Data'!$T:$T, MATCH($J156,'Raw Non-zero DMR Data'!$D:$D,0)),"")</f>
        <v>200700000202</v>
      </c>
      <c r="N156" s="155" t="str">
        <f>IFERROR(INDEX('Off-site Locations'!$E:$E,MATCH(I156,'Off-site Locations'!$B:$B,0)),"No offsite transfers")</f>
        <v>No offsite transfers</v>
      </c>
      <c r="O156" s="165">
        <f>INDEX('TRI and DMR OES Summary'!D:D,MATCH('Facility Discharge Summary'!D156,'TRI and DMR OES Summary'!A:A,0))</f>
        <v>365</v>
      </c>
      <c r="P156" s="17" cm="1">
        <f t="array" ref="P156">IFERROR(_xlfn.XLOOKUP(1,  (MAX(IF(J156 = 'Processed Non-zero DMR Data'!$I$2:$I$651,'Processed Non-zero DMR Data'!$A$2:$A$651)) = 'Processed Non-zero DMR Data'!$A$2:$A$651)*('Processed Non-zero DMR Data'!$I$2:$I$651 = J156),'Processed Non-zero DMR Data'!$W$2:$W$651), "N/A- Facility Does Not Report DMRs")</f>
        <v>3.2829178575E-2</v>
      </c>
      <c r="Q156" s="10">
        <f t="shared" si="49"/>
        <v>8.9942954999999993E-5</v>
      </c>
      <c r="R156" s="10" cm="1">
        <f t="array" ref="R156">IF(COUNTIF('Processed Non-zero DMR Data'!$I:$I,$J156)&gt;0,MEDIAN(IF('Processed Non-zero DMR Data'!$I:$I=J156,'Processed Non-zero DMR Data'!$W:$W)),"N/A - Facility Does Not Report DMRs")</f>
        <v>0.16699183437499998</v>
      </c>
      <c r="S156" s="10">
        <f t="shared" si="50"/>
        <v>4.5751187499999994E-4</v>
      </c>
      <c r="T156" s="10">
        <f>IF(COUNTIF('Processed Non-zero DMR Data'!$I:$I,$J156)&gt;0,_xlfn.MAXIFS('Processed Non-zero DMR Data'!$W:$W,'Processed Non-zero DMR Data'!$I:$I,$J156), "N/A - Facility Does Not Report DMRs")</f>
        <v>0.21862633125</v>
      </c>
      <c r="U156" s="10">
        <f t="shared" si="51"/>
        <v>5.9897624999999996E-4</v>
      </c>
      <c r="V156" s="158" cm="1">
        <f t="array" ref="V156">IF(COUNTIF('Processed Non-zero DMR Data'!$I:$I,$J156)&gt;0,INDEX('Processed Non-zero DMR Data'!$A:$A,MATCH(1,($J156='Processed Non-zero DMR Data'!$I:$I)*($T156='Processed Non-zero DMR Data'!$W:$W),0)), "N/A - Facility Does Not Report DMRs")</f>
        <v>2022</v>
      </c>
      <c r="W156" s="17" t="str" cm="1">
        <f t="array" ref="W156">IFERROR(_xlfn.XLOOKUP(1,  (MAX(IF(I156 = 'Processed Non-zero TRI Data'!$I$2:$I$6,'Processed Non-zero TRI Data'!$A$2:$A$6)) = 'Processed Non-zero TRI Data'!$A$2:$A$6)*('Processed Non-zero TRI Data'!$I$2:$I$6 = I156), 'Processed Non-zero TRI Data'!$T$2:$T$6), "N/A- Facility Does Not Report to TRI")</f>
        <v>N/A- Facility Does Not Report to TRI</v>
      </c>
      <c r="X156" s="10" t="str">
        <f t="shared" si="52"/>
        <v>N/A - Facility Does Not Report to TRI</v>
      </c>
      <c r="Y156" s="10" t="str" cm="1">
        <f t="array" ref="Y156">IF(COUNTIF('Processed Non-zero TRI Data'!$I:$I,$I156)&gt;0,MEDIAN(IF('Processed Non-zero TRI Data'!$I:$I=I156,'Processed Non-zero TRI Data'!$T:$T)), "N/A - Facility Does Not Report to TRI")</f>
        <v>N/A - Facility Does Not Report to TRI</v>
      </c>
      <c r="Z156" s="10" t="str">
        <f t="shared" si="53"/>
        <v>N/A - Facility Does Not Report to TRI</v>
      </c>
      <c r="AA156" s="10" t="str">
        <f>IF(COUNTIF('Processed Non-zero TRI Data'!$I:$I,$I156)&gt;0,_xlfn.MAXIFS('Processed Non-zero TRI Data'!$T:$T,'Processed Non-zero TRI Data'!$I:$I,$I156), "N/A - Facility Does Not Report to TRI")</f>
        <v>N/A - Facility Does Not Report to TRI</v>
      </c>
      <c r="AB156" s="10" t="str">
        <f t="shared" si="54"/>
        <v>N/A - Facility Does Not Report to TRI</v>
      </c>
      <c r="AC156" s="158" t="str" cm="1">
        <f t="array" ref="AC156">IFERROR(IF(B156 = "TRI Form R", IF(AA156 = 0, "Facility has no on-site water discharges between 2017-2022.",  IF(COUNTIF('Processed Non-zero TRI Data'!$I:$I,$I156)&gt;0,INDEX('Processed Non-zero TRI Data'!$A:$A,MATCH(1,($I156='Processed Non-zero TRI Data'!$I:$I)*(AA156='Processed Non-zero TRI Data'!$T:$T),0)))), VLOOKUP(I156,#REF!, 2, FALSE)), ("N/A - Facility Does Not Report to TRI"))</f>
        <v>N/A - Facility Does Not Report to TRI</v>
      </c>
      <c r="AD156" s="97" t="str" cm="1">
        <f t="array" ref="AD156">IFERROR(_xlfn.XLOOKUP(1,  (MAX(IF(I156 = 'Processed Non-zero TRI Data'!$I$2:$I$6,'Processed Non-zero TRI Data'!$A$2:$A$6)) = 'Processed Non-zero TRI Data'!$A$2:$A$6)*('Processed Non-zero TRI Data'!$I$2:$I$6 = I156), 'Processed Non-zero TRI Data'!$V$2:$V$6), "N/A- Facility Does Not Report to TRI")</f>
        <v>N/A- Facility Does Not Report to TRI</v>
      </c>
      <c r="AE156" s="9" t="str">
        <f t="shared" si="55"/>
        <v>N/A - Facility Does Not Report to TRI</v>
      </c>
      <c r="AF156" s="9" t="str" cm="1">
        <f t="array" ref="AF156">IF(COUNTIF('Processed Non-zero TRI Data'!$I:$I,$I156)&gt;0,MEDIAN(IF('Processed Non-zero TRI Data'!$I:$I=I156,'Processed Non-zero TRI Data'!$V:$V)), "N/A - Facility Does Not Report to TRI")</f>
        <v>N/A - Facility Does Not Report to TRI</v>
      </c>
      <c r="AG156" s="9" t="str">
        <f t="shared" si="56"/>
        <v>N/A - Facility Does Not Report to TRI</v>
      </c>
      <c r="AH156" s="9" t="str">
        <f>IF(COUNTIF('Processed Non-zero TRI Data'!$I:$I,$I156)&gt;0,_xlfn.MAXIFS('Processed Non-zero TRI Data'!$V:$V,'Processed Non-zero TRI Data'!$I:$I,$I156), "N/A - Facility Does Not Report to TRI")</f>
        <v>N/A - Facility Does Not Report to TRI</v>
      </c>
      <c r="AI156" s="9" t="str">
        <f t="shared" si="57"/>
        <v>N/A - Facility Does Not Report to TRI</v>
      </c>
      <c r="AJ156" s="158" t="str" cm="1">
        <f t="array" ref="AJ156">IF(B156="TRI Form A",AC156,IF(AH156=0,"Facility has no transfers to POTWs between 2019-2023.",IF(COUNTIF('Processed Non-zero TRI Data'!$I:$I,$I156)&gt;0,INDEX('Processed Non-zero TRI Data'!$A:$A,MATCH(1,($I156='Processed Non-zero TRI Data'!$I:$I)*(AH156='Processed Non-zero TRI Data'!$V:$V),0)),"N/A - Facility Does Not Report to TRI")))</f>
        <v>N/A - Facility Does Not Report to TRI</v>
      </c>
      <c r="AK156" s="97" t="str" cm="1">
        <f t="array" ref="AK156">IFERROR(_xlfn.XLOOKUP(1,  (MAX(IF(I156 = 'Processed Non-zero TRI Data'!$I$2:$I$6,'Processed Non-zero TRI Data'!$A$2:$A$6)) = 'Processed Non-zero TRI Data'!$A$2:$A$6)*('Processed Non-zero TRI Data'!$I$2:$I$6 = I156), 'Processed Non-zero TRI Data'!$X$2:$X$6), "N/A- Facility Does Not Report to TRI")</f>
        <v>N/A- Facility Does Not Report to TRI</v>
      </c>
      <c r="AL156" s="9" t="str">
        <f t="shared" si="58"/>
        <v>N/A - Facility Does Not Report to TRI</v>
      </c>
      <c r="AM156" s="9" t="str" cm="1">
        <f t="array" ref="AM156">IF(COUNTIF('Processed Non-zero TRI Data'!$I:$I,$I156)&gt;0,MEDIAN(IF('Processed Non-zero TRI Data'!$I:$I=I156,'Processed Non-zero TRI Data'!$X:$X)), "N/A - Facility Does Not Report to TRI")</f>
        <v>N/A - Facility Does Not Report to TRI</v>
      </c>
      <c r="AN156" s="9" t="str">
        <f t="shared" si="59"/>
        <v>N/A - Facility Does Not Report to TRI</v>
      </c>
      <c r="AO156" s="9" t="str">
        <f>IF(COUNTIF('Processed Non-zero TRI Data'!$I:$I,$I156)&gt;0,_xlfn.MAXIFS('Processed Non-zero TRI Data'!$X:$X,'Processed Non-zero TRI Data'!$I:$I,$I156), "N/A - Facility Does Not Report to TRI")</f>
        <v>N/A - Facility Does Not Report to TRI</v>
      </c>
      <c r="AP156" s="9" t="str">
        <f t="shared" si="60"/>
        <v>N/A - Facility Does Not Report to TRI</v>
      </c>
      <c r="AQ156" s="251" t="str" cm="1">
        <f t="array" ref="AQ156">IF(B156="TRI Form A",AC156,IF(AO156=0,"Facility has no transfers to non-POTWs between 2019-2023.",IF(COUNTIF('Processed Non-zero TRI Data'!$I:$I,$I156)&gt;0,INDEX('Processed Non-zero TRI Data'!$A:$A,MATCH(1,($I156='Processed Non-zero TRI Data'!$I:$I)*(AO156='Processed Non-zero TRI Data'!$X:$X),0)),"N/A - Facility Does Not Report to TRI")))</f>
        <v>N/A - Facility Does Not Report to TRI</v>
      </c>
      <c r="AR156" s="260">
        <f t="shared" si="61"/>
        <v>0</v>
      </c>
      <c r="AS156" s="260">
        <f t="shared" si="62"/>
        <v>0.21862633125</v>
      </c>
    </row>
    <row r="157" spans="1:45" ht="30" x14ac:dyDescent="0.25">
      <c r="A157" s="12">
        <v>154</v>
      </c>
      <c r="B157" s="10" t="str">
        <f>IFERROR("TRI Form "&amp; VLOOKUP(I157, 'Processed Non-zero TRI Data'!$I$2:$K$6, 3, FALSE), "DMR")</f>
        <v>DMR</v>
      </c>
      <c r="C157" s="181" t="e">
        <f>VLOOKUP(D157,#REF!, 2, FALSE)</f>
        <v>#REF!</v>
      </c>
      <c r="D157" s="181" t="str">
        <f>IF(I157&lt;&gt;"",INDEX('Processed Non-zero TRI Data'!$O:$O,MATCH(I157,'Processed Non-zero TRI Data'!$I:$I,0)),INDEX('Processed Non-zero DMR Data'!$S:$S,MATCH(J157,'Processed Non-zero DMR Data'!$I:$I,0)))</f>
        <v>Processing as a reactant</v>
      </c>
      <c r="E157" s="181" t="str">
        <f>IF(I157&lt;&gt;"",INDEX('Processed Non-zero TRI Data'!$P:$P,MATCH(I157,'Processed Non-zero TRI Data'!$I:$I,0)),INDEX('Processed Non-zero DMR Data'!$T:$T,MATCH(J157,'Processed Non-zero DMR Data'!$I:$I,0)))</f>
        <v>Facility produces agrochemicals.</v>
      </c>
      <c r="F157" s="9" t="str">
        <f>_xlfn.XLOOKUP(J157, 'Processed Non-zero DMR Data'!I:I, 'Processed Non-zero DMR Data'!B:B)</f>
        <v>BAYER CROPSCIENCE KANSAS CITY</v>
      </c>
      <c r="G157" s="9" t="str">
        <f>_xlfn.XLOOKUP(J157, 'Processed Non-zero DMR Data'!I:I, 'Processed Non-zero DMR Data'!C:C)</f>
        <v>KANSAS CITY</v>
      </c>
      <c r="H157" s="9" t="str">
        <f>_xlfn.XLOOKUP(J157, 'Processed Non-zero DMR Data'!I:I, 'Processed Non-zero DMR Data'!E:E)</f>
        <v>MO</v>
      </c>
      <c r="I157" s="12"/>
      <c r="J157" s="13">
        <v>110000443226</v>
      </c>
      <c r="K157" s="9" t="str">
        <f>IFERROR(INDEX('Raw Non-zero DMR Data'!$C:$C, MATCH(J157,'Raw Non-zero DMR Data'!$D:$D,0)),"")</f>
        <v>MO0002526</v>
      </c>
      <c r="L157" s="9" t="str">
        <f>IFERROR(INDEX('Raw Non-zero DMR Data'!$U:$U, MATCH($J157,'Raw Non-zero DMR Data'!$D:$D,0)),"")</f>
        <v>Buckeye Creek-Missouri River</v>
      </c>
      <c r="M157" s="155">
        <f>IFERROR(INDEX('Raw Non-zero DMR Data'!$T:$T, MATCH($J157,'Raw Non-zero DMR Data'!$D:$D,0)),"")</f>
        <v>103001010301</v>
      </c>
      <c r="N157" s="155" t="str">
        <f>IFERROR(INDEX('Off-site Locations'!$E:$E,MATCH(I157,'Off-site Locations'!$B:$B,0)),"No offsite transfers")</f>
        <v>No offsite transfers</v>
      </c>
      <c r="O157" s="165">
        <f>INDEX('TRI and DMR OES Summary'!D:D,MATCH('Facility Discharge Summary'!D157,'TRI and DMR OES Summary'!A:A,0))</f>
        <v>350</v>
      </c>
      <c r="P157" s="17" cm="1">
        <f t="array" ref="P157">IFERROR(_xlfn.XLOOKUP(1,  (MAX(IF(J157 = 'Processed Non-zero DMR Data'!$I$2:$I$651,'Processed Non-zero DMR Data'!$A$2:$A$651)) = 'Processed Non-zero DMR Data'!$A$2:$A$651)*('Processed Non-zero DMR Data'!$I$2:$I$651 = J157),'Processed Non-zero DMR Data'!$W$2:$W$651), "N/A- Facility Does Not Report DMRs")</f>
        <v>13.2568</v>
      </c>
      <c r="Q157" s="10">
        <f t="shared" si="49"/>
        <v>3.7876571428571426E-2</v>
      </c>
      <c r="R157" s="10" cm="1">
        <f t="array" ref="R157">IF(COUNTIF('Processed Non-zero DMR Data'!$I:$I,$J157)&gt;0,MEDIAN(IF('Processed Non-zero DMR Data'!$I:$I=J157,'Processed Non-zero DMR Data'!$W:$W)),"N/A - Facility Does Not Report DMRs")</f>
        <v>6.628400000000001</v>
      </c>
      <c r="S157" s="10">
        <f t="shared" si="50"/>
        <v>1.8938285714285717E-2</v>
      </c>
      <c r="T157" s="10">
        <f>IF(COUNTIF('Processed Non-zero DMR Data'!$I:$I,$J157)&gt;0,_xlfn.MAXIFS('Processed Non-zero DMR Data'!$W:$W,'Processed Non-zero DMR Data'!$I:$I,$J157), "N/A - Facility Does Not Report DMRs")</f>
        <v>13.2568</v>
      </c>
      <c r="U157" s="10">
        <f t="shared" si="51"/>
        <v>3.7876571428571426E-2</v>
      </c>
      <c r="V157" s="158" cm="1">
        <f t="array" ref="V157">IF(COUNTIF('Processed Non-zero DMR Data'!$I:$I,$J157)&gt;0,INDEX('Processed Non-zero DMR Data'!$A:$A,MATCH(1,($J157='Processed Non-zero DMR Data'!$I:$I)*($T157='Processed Non-zero DMR Data'!$W:$W),0)), "N/A - Facility Does Not Report DMRs")</f>
        <v>2023</v>
      </c>
      <c r="W157" s="17" t="str" cm="1">
        <f t="array" ref="W157">IFERROR(_xlfn.XLOOKUP(1,  (MAX(IF(I157 = 'Processed Non-zero TRI Data'!$I$2:$I$6,'Processed Non-zero TRI Data'!$A$2:$A$6)) = 'Processed Non-zero TRI Data'!$A$2:$A$6)*('Processed Non-zero TRI Data'!$I$2:$I$6 = I157), 'Processed Non-zero TRI Data'!$T$2:$T$6), "N/A- Facility Does Not Report to TRI")</f>
        <v>N/A- Facility Does Not Report to TRI</v>
      </c>
      <c r="X157" s="10" t="str">
        <f t="shared" si="52"/>
        <v>N/A - Facility Does Not Report to TRI</v>
      </c>
      <c r="Y157" s="10" t="str" cm="1">
        <f t="array" ref="Y157">IF(COUNTIF('Processed Non-zero TRI Data'!$I:$I,$I157)&gt;0,MEDIAN(IF('Processed Non-zero TRI Data'!$I:$I=I157,'Processed Non-zero TRI Data'!$T:$T)), "N/A - Facility Does Not Report to TRI")</f>
        <v>N/A - Facility Does Not Report to TRI</v>
      </c>
      <c r="Z157" s="10" t="str">
        <f t="shared" si="53"/>
        <v>N/A - Facility Does Not Report to TRI</v>
      </c>
      <c r="AA157" s="10" t="str">
        <f>IF(COUNTIF('Processed Non-zero TRI Data'!$I:$I,$I157)&gt;0,_xlfn.MAXIFS('Processed Non-zero TRI Data'!$T:$T,'Processed Non-zero TRI Data'!$I:$I,$I157), "N/A - Facility Does Not Report to TRI")</f>
        <v>N/A - Facility Does Not Report to TRI</v>
      </c>
      <c r="AB157" s="10" t="str">
        <f t="shared" si="54"/>
        <v>N/A - Facility Does Not Report to TRI</v>
      </c>
      <c r="AC157" s="158" t="str" cm="1">
        <f t="array" ref="AC157">IFERROR(IF(B157 = "TRI Form R", IF(AA157 = 0, "Facility has no on-site water discharges between 2017-2022.",  IF(COUNTIF('Processed Non-zero TRI Data'!$I:$I,$I157)&gt;0,INDEX('Processed Non-zero TRI Data'!$A:$A,MATCH(1,($I157='Processed Non-zero TRI Data'!$I:$I)*(AA157='Processed Non-zero TRI Data'!$T:$T),0)))), VLOOKUP(I157,#REF!, 2, FALSE)), ("N/A - Facility Does Not Report to TRI"))</f>
        <v>N/A - Facility Does Not Report to TRI</v>
      </c>
      <c r="AD157" s="97" t="str" cm="1">
        <f t="array" ref="AD157">IFERROR(_xlfn.XLOOKUP(1,  (MAX(IF(I157 = 'Processed Non-zero TRI Data'!$I$2:$I$6,'Processed Non-zero TRI Data'!$A$2:$A$6)) = 'Processed Non-zero TRI Data'!$A$2:$A$6)*('Processed Non-zero TRI Data'!$I$2:$I$6 = I157), 'Processed Non-zero TRI Data'!$V$2:$V$6), "N/A- Facility Does Not Report to TRI")</f>
        <v>N/A- Facility Does Not Report to TRI</v>
      </c>
      <c r="AE157" s="9" t="str">
        <f t="shared" si="55"/>
        <v>N/A - Facility Does Not Report to TRI</v>
      </c>
      <c r="AF157" s="9" t="str" cm="1">
        <f t="array" ref="AF157">IF(COUNTIF('Processed Non-zero TRI Data'!$I:$I,$I157)&gt;0,MEDIAN(IF('Processed Non-zero TRI Data'!$I:$I=I157,'Processed Non-zero TRI Data'!$V:$V)), "N/A - Facility Does Not Report to TRI")</f>
        <v>N/A - Facility Does Not Report to TRI</v>
      </c>
      <c r="AG157" s="9" t="str">
        <f t="shared" si="56"/>
        <v>N/A - Facility Does Not Report to TRI</v>
      </c>
      <c r="AH157" s="9" t="str">
        <f>IF(COUNTIF('Processed Non-zero TRI Data'!$I:$I,$I157)&gt;0,_xlfn.MAXIFS('Processed Non-zero TRI Data'!$V:$V,'Processed Non-zero TRI Data'!$I:$I,$I157), "N/A - Facility Does Not Report to TRI")</f>
        <v>N/A - Facility Does Not Report to TRI</v>
      </c>
      <c r="AI157" s="9" t="str">
        <f t="shared" si="57"/>
        <v>N/A - Facility Does Not Report to TRI</v>
      </c>
      <c r="AJ157" s="158" t="str" cm="1">
        <f t="array" ref="AJ157">IF(B157="TRI Form A",AC157,IF(AH157=0,"Facility has no transfers to POTWs between 2019-2023.",IF(COUNTIF('Processed Non-zero TRI Data'!$I:$I,$I157)&gt;0,INDEX('Processed Non-zero TRI Data'!$A:$A,MATCH(1,($I157='Processed Non-zero TRI Data'!$I:$I)*(AH157='Processed Non-zero TRI Data'!$V:$V),0)),"N/A - Facility Does Not Report to TRI")))</f>
        <v>N/A - Facility Does Not Report to TRI</v>
      </c>
      <c r="AK157" s="97" t="str" cm="1">
        <f t="array" ref="AK157">IFERROR(_xlfn.XLOOKUP(1,  (MAX(IF(I157 = 'Processed Non-zero TRI Data'!$I$2:$I$6,'Processed Non-zero TRI Data'!$A$2:$A$6)) = 'Processed Non-zero TRI Data'!$A$2:$A$6)*('Processed Non-zero TRI Data'!$I$2:$I$6 = I157), 'Processed Non-zero TRI Data'!$X$2:$X$6), "N/A- Facility Does Not Report to TRI")</f>
        <v>N/A- Facility Does Not Report to TRI</v>
      </c>
      <c r="AL157" s="9" t="str">
        <f t="shared" si="58"/>
        <v>N/A - Facility Does Not Report to TRI</v>
      </c>
      <c r="AM157" s="9" t="str" cm="1">
        <f t="array" ref="AM157">IF(COUNTIF('Processed Non-zero TRI Data'!$I:$I,$I157)&gt;0,MEDIAN(IF('Processed Non-zero TRI Data'!$I:$I=I157,'Processed Non-zero TRI Data'!$X:$X)), "N/A - Facility Does Not Report to TRI")</f>
        <v>N/A - Facility Does Not Report to TRI</v>
      </c>
      <c r="AN157" s="9" t="str">
        <f t="shared" si="59"/>
        <v>N/A - Facility Does Not Report to TRI</v>
      </c>
      <c r="AO157" s="9" t="str">
        <f>IF(COUNTIF('Processed Non-zero TRI Data'!$I:$I,$I157)&gt;0,_xlfn.MAXIFS('Processed Non-zero TRI Data'!$X:$X,'Processed Non-zero TRI Data'!$I:$I,$I157), "N/A - Facility Does Not Report to TRI")</f>
        <v>N/A - Facility Does Not Report to TRI</v>
      </c>
      <c r="AP157" s="9" t="str">
        <f t="shared" si="60"/>
        <v>N/A - Facility Does Not Report to TRI</v>
      </c>
      <c r="AQ157" s="251" t="str" cm="1">
        <f t="array" ref="AQ157">IF(B157="TRI Form A",AC157,IF(AO157=0,"Facility has no transfers to non-POTWs between 2019-2023.",IF(COUNTIF('Processed Non-zero TRI Data'!$I:$I,$I157)&gt;0,INDEX('Processed Non-zero TRI Data'!$A:$A,MATCH(1,($I157='Processed Non-zero TRI Data'!$I:$I)*(AO157='Processed Non-zero TRI Data'!$X:$X),0)),"N/A - Facility Does Not Report to TRI")))</f>
        <v>N/A - Facility Does Not Report to TRI</v>
      </c>
      <c r="AR157" s="260">
        <f t="shared" si="61"/>
        <v>0</v>
      </c>
      <c r="AS157" s="260">
        <f t="shared" si="62"/>
        <v>13.2568</v>
      </c>
    </row>
    <row r="158" spans="1:45" ht="30" x14ac:dyDescent="0.25">
      <c r="A158" s="12">
        <v>155</v>
      </c>
      <c r="B158" s="10" t="str">
        <f>IFERROR("TRI Form "&amp; VLOOKUP(I158, 'Processed Non-zero TRI Data'!$I$2:$K$6, 3, FALSE), "DMR")</f>
        <v>DMR</v>
      </c>
      <c r="C158" s="181" t="e">
        <f>VLOOKUP(D158,#REF!, 2, FALSE)</f>
        <v>#REF!</v>
      </c>
      <c r="D158" s="181" t="str">
        <f>IF(I158&lt;&gt;"",INDEX('Processed Non-zero TRI Data'!$O:$O,MATCH(I158,'Processed Non-zero TRI Data'!$I:$I,0)),INDEX('Processed Non-zero DMR Data'!$S:$S,MATCH(J158,'Processed Non-zero DMR Data'!$I:$I,0)))</f>
        <v>Waste Handling, Disposal and Treatment (POTW)</v>
      </c>
      <c r="E158" s="181" t="str">
        <f>IF(I158&lt;&gt;"",INDEX('Processed Non-zero TRI Data'!$P:$P,MATCH(I158,'Processed Non-zero TRI Data'!$I:$I,0)),INDEX('Processed Non-zero DMR Data'!$T:$T,MATCH(J158,'Processed Non-zero DMR Data'!$I:$I,0)))</f>
        <v>POTW indicator in DMR</v>
      </c>
      <c r="F158" s="9" t="str">
        <f>_xlfn.XLOOKUP(J158, 'Processed Non-zero DMR Data'!I:I, 'Processed Non-zero DMR Data'!B:B)</f>
        <v>WILLIAMSTOWN/DRY RIDGE WRF</v>
      </c>
      <c r="G158" s="9" t="str">
        <f>_xlfn.XLOOKUP(J158, 'Processed Non-zero DMR Data'!I:I, 'Processed Non-zero DMR Data'!C:C)</f>
        <v>WILLIAMSTOWN</v>
      </c>
      <c r="H158" s="9" t="str">
        <f>_xlfn.XLOOKUP(J158, 'Processed Non-zero DMR Data'!I:I, 'Processed Non-zero DMR Data'!E:E)</f>
        <v>KY</v>
      </c>
      <c r="I158" s="12"/>
      <c r="J158" s="13">
        <v>110045091379</v>
      </c>
      <c r="K158" s="9" t="str">
        <f>IFERROR(INDEX('Raw Non-zero DMR Data'!$C:$C, MATCH(J158,'Raw Non-zero DMR Data'!$D:$D,0)),"")</f>
        <v>KY0109991</v>
      </c>
      <c r="L158" s="9" t="str">
        <f>IFERROR(INDEX('Raw Non-zero DMR Data'!$U:$U, MATCH($J158,'Raw Non-zero DMR Data'!$D:$D,0)),"")</f>
        <v>Clarks Creek</v>
      </c>
      <c r="M158" s="155" t="str">
        <f>IFERROR(INDEX('Raw Non-zero DMR Data'!$T:$T, MATCH($J158,'Raw Non-zero DMR Data'!$D:$D,0)),"")</f>
        <v>051002051308</v>
      </c>
      <c r="N158" s="155" t="str">
        <f>IFERROR(INDEX('Off-site Locations'!$E:$E,MATCH(I158,'Off-site Locations'!$B:$B,0)),"No offsite transfers")</f>
        <v>No offsite transfers</v>
      </c>
      <c r="O158" s="165">
        <f>INDEX('TRI and DMR OES Summary'!D:D,MATCH('Facility Discharge Summary'!D158,'TRI and DMR OES Summary'!A:A,0))</f>
        <v>365</v>
      </c>
      <c r="P158" s="17" cm="1">
        <f t="array" ref="P158">IFERROR(_xlfn.XLOOKUP(1,  (MAX(IF(J158 = 'Processed Non-zero DMR Data'!$I$2:$I$651,'Processed Non-zero DMR Data'!$A$2:$A$651)) = 'Processed Non-zero DMR Data'!$A$2:$A$651)*('Processed Non-zero DMR Data'!$I$2:$I$651 = J158),'Processed Non-zero DMR Data'!$W$2:$W$651), "N/A- Facility Does Not Report DMRs")</f>
        <v>4.5452172500000003</v>
      </c>
      <c r="Q158" s="10">
        <f t="shared" si="49"/>
        <v>1.2452650000000001E-2</v>
      </c>
      <c r="R158" s="10" cm="1">
        <f t="array" ref="R158">IF(COUNTIF('Processed Non-zero DMR Data'!$I:$I,$J158)&gt;0,MEDIAN(IF('Processed Non-zero DMR Data'!$I:$I=J158,'Processed Non-zero DMR Data'!$W:$W)),"N/A - Facility Does Not Report DMRs")</f>
        <v>4.344896125</v>
      </c>
      <c r="S158" s="10">
        <f t="shared" si="50"/>
        <v>1.1903825E-2</v>
      </c>
      <c r="T158" s="10">
        <f>IF(COUNTIF('Processed Non-zero DMR Data'!$I:$I,$J158)&gt;0,_xlfn.MAXIFS('Processed Non-zero DMR Data'!$W:$W,'Processed Non-zero DMR Data'!$I:$I,$J158), "N/A - Facility Does Not Report DMRs")</f>
        <v>4.5452172500000003</v>
      </c>
      <c r="U158" s="10">
        <f t="shared" si="51"/>
        <v>1.2452650000000001E-2</v>
      </c>
      <c r="V158" s="158" cm="1">
        <f t="array" ref="V158">IF(COUNTIF('Processed Non-zero DMR Data'!$I:$I,$J158)&gt;0,INDEX('Processed Non-zero DMR Data'!$A:$A,MATCH(1,($J158='Processed Non-zero DMR Data'!$I:$I)*($T158='Processed Non-zero DMR Data'!$W:$W),0)), "N/A - Facility Does Not Report DMRs")</f>
        <v>2021</v>
      </c>
      <c r="W158" s="17" t="str" cm="1">
        <f t="array" ref="W158">IFERROR(_xlfn.XLOOKUP(1,  (MAX(IF(I158 = 'Processed Non-zero TRI Data'!$I$2:$I$6,'Processed Non-zero TRI Data'!$A$2:$A$6)) = 'Processed Non-zero TRI Data'!$A$2:$A$6)*('Processed Non-zero TRI Data'!$I$2:$I$6 = I158), 'Processed Non-zero TRI Data'!$T$2:$T$6), "N/A- Facility Does Not Report to TRI")</f>
        <v>N/A- Facility Does Not Report to TRI</v>
      </c>
      <c r="X158" s="10" t="str">
        <f t="shared" si="52"/>
        <v>N/A - Facility Does Not Report to TRI</v>
      </c>
      <c r="Y158" s="10" t="str" cm="1">
        <f t="array" ref="Y158">IF(COUNTIF('Processed Non-zero TRI Data'!$I:$I,$I158)&gt;0,MEDIAN(IF('Processed Non-zero TRI Data'!$I:$I=I158,'Processed Non-zero TRI Data'!$T:$T)), "N/A - Facility Does Not Report to TRI")</f>
        <v>N/A - Facility Does Not Report to TRI</v>
      </c>
      <c r="Z158" s="10" t="str">
        <f t="shared" si="53"/>
        <v>N/A - Facility Does Not Report to TRI</v>
      </c>
      <c r="AA158" s="10" t="str">
        <f>IF(COUNTIF('Processed Non-zero TRI Data'!$I:$I,$I158)&gt;0,_xlfn.MAXIFS('Processed Non-zero TRI Data'!$T:$T,'Processed Non-zero TRI Data'!$I:$I,$I158), "N/A - Facility Does Not Report to TRI")</f>
        <v>N/A - Facility Does Not Report to TRI</v>
      </c>
      <c r="AB158" s="10" t="str">
        <f t="shared" si="54"/>
        <v>N/A - Facility Does Not Report to TRI</v>
      </c>
      <c r="AC158" s="158" t="str" cm="1">
        <f t="array" ref="AC158">IFERROR(IF(B158 = "TRI Form R", IF(AA158 = 0, "Facility has no on-site water discharges between 2017-2022.",  IF(COUNTIF('Processed Non-zero TRI Data'!$I:$I,$I158)&gt;0,INDEX('Processed Non-zero TRI Data'!$A:$A,MATCH(1,($I158='Processed Non-zero TRI Data'!$I:$I)*(AA158='Processed Non-zero TRI Data'!$T:$T),0)))), VLOOKUP(I158,#REF!, 2, FALSE)), ("N/A - Facility Does Not Report to TRI"))</f>
        <v>N/A - Facility Does Not Report to TRI</v>
      </c>
      <c r="AD158" s="97" t="str" cm="1">
        <f t="array" ref="AD158">IFERROR(_xlfn.XLOOKUP(1,  (MAX(IF(I158 = 'Processed Non-zero TRI Data'!$I$2:$I$6,'Processed Non-zero TRI Data'!$A$2:$A$6)) = 'Processed Non-zero TRI Data'!$A$2:$A$6)*('Processed Non-zero TRI Data'!$I$2:$I$6 = I158), 'Processed Non-zero TRI Data'!$V$2:$V$6), "N/A- Facility Does Not Report to TRI")</f>
        <v>N/A- Facility Does Not Report to TRI</v>
      </c>
      <c r="AE158" s="9" t="str">
        <f t="shared" si="55"/>
        <v>N/A - Facility Does Not Report to TRI</v>
      </c>
      <c r="AF158" s="9" t="str" cm="1">
        <f t="array" ref="AF158">IF(COUNTIF('Processed Non-zero TRI Data'!$I:$I,$I158)&gt;0,MEDIAN(IF('Processed Non-zero TRI Data'!$I:$I=I158,'Processed Non-zero TRI Data'!$V:$V)), "N/A - Facility Does Not Report to TRI")</f>
        <v>N/A - Facility Does Not Report to TRI</v>
      </c>
      <c r="AG158" s="9" t="str">
        <f t="shared" si="56"/>
        <v>N/A - Facility Does Not Report to TRI</v>
      </c>
      <c r="AH158" s="9" t="str">
        <f>IF(COUNTIF('Processed Non-zero TRI Data'!$I:$I,$I158)&gt;0,_xlfn.MAXIFS('Processed Non-zero TRI Data'!$V:$V,'Processed Non-zero TRI Data'!$I:$I,$I158), "N/A - Facility Does Not Report to TRI")</f>
        <v>N/A - Facility Does Not Report to TRI</v>
      </c>
      <c r="AI158" s="9" t="str">
        <f t="shared" si="57"/>
        <v>N/A - Facility Does Not Report to TRI</v>
      </c>
      <c r="AJ158" s="158" t="str" cm="1">
        <f t="array" ref="AJ158">IF(B158="TRI Form A",AC158,IF(AH158=0,"Facility has no transfers to POTWs between 2019-2023.",IF(COUNTIF('Processed Non-zero TRI Data'!$I:$I,$I158)&gt;0,INDEX('Processed Non-zero TRI Data'!$A:$A,MATCH(1,($I158='Processed Non-zero TRI Data'!$I:$I)*(AH158='Processed Non-zero TRI Data'!$V:$V),0)),"N/A - Facility Does Not Report to TRI")))</f>
        <v>N/A - Facility Does Not Report to TRI</v>
      </c>
      <c r="AK158" s="97" t="str" cm="1">
        <f t="array" ref="AK158">IFERROR(_xlfn.XLOOKUP(1,  (MAX(IF(I158 = 'Processed Non-zero TRI Data'!$I$2:$I$6,'Processed Non-zero TRI Data'!$A$2:$A$6)) = 'Processed Non-zero TRI Data'!$A$2:$A$6)*('Processed Non-zero TRI Data'!$I$2:$I$6 = I158), 'Processed Non-zero TRI Data'!$X$2:$X$6), "N/A- Facility Does Not Report to TRI")</f>
        <v>N/A- Facility Does Not Report to TRI</v>
      </c>
      <c r="AL158" s="9" t="str">
        <f t="shared" si="58"/>
        <v>N/A - Facility Does Not Report to TRI</v>
      </c>
      <c r="AM158" s="9" t="str" cm="1">
        <f t="array" ref="AM158">IF(COUNTIF('Processed Non-zero TRI Data'!$I:$I,$I158)&gt;0,MEDIAN(IF('Processed Non-zero TRI Data'!$I:$I=I158,'Processed Non-zero TRI Data'!$X:$X)), "N/A - Facility Does Not Report to TRI")</f>
        <v>N/A - Facility Does Not Report to TRI</v>
      </c>
      <c r="AN158" s="9" t="str">
        <f t="shared" si="59"/>
        <v>N/A - Facility Does Not Report to TRI</v>
      </c>
      <c r="AO158" s="9" t="str">
        <f>IF(COUNTIF('Processed Non-zero TRI Data'!$I:$I,$I158)&gt;0,_xlfn.MAXIFS('Processed Non-zero TRI Data'!$X:$X,'Processed Non-zero TRI Data'!$I:$I,$I158), "N/A - Facility Does Not Report to TRI")</f>
        <v>N/A - Facility Does Not Report to TRI</v>
      </c>
      <c r="AP158" s="9" t="str">
        <f t="shared" si="60"/>
        <v>N/A - Facility Does Not Report to TRI</v>
      </c>
      <c r="AQ158" s="251" t="str" cm="1">
        <f t="array" ref="AQ158">IF(B158="TRI Form A",AC158,IF(AO158=0,"Facility has no transfers to non-POTWs between 2019-2023.",IF(COUNTIF('Processed Non-zero TRI Data'!$I:$I,$I158)&gt;0,INDEX('Processed Non-zero TRI Data'!$A:$A,MATCH(1,($I158='Processed Non-zero TRI Data'!$I:$I)*(AO158='Processed Non-zero TRI Data'!$X:$X),0)),"N/A - Facility Does Not Report to TRI")))</f>
        <v>N/A - Facility Does Not Report to TRI</v>
      </c>
      <c r="AR158" s="260">
        <f t="shared" si="61"/>
        <v>0</v>
      </c>
      <c r="AS158" s="260">
        <f t="shared" si="62"/>
        <v>4.5452172500000003</v>
      </c>
    </row>
    <row r="159" spans="1:45" ht="30" x14ac:dyDescent="0.25">
      <c r="A159" s="12">
        <v>156</v>
      </c>
      <c r="B159" s="10" t="str">
        <f>IFERROR("TRI Form "&amp; VLOOKUP(I159, 'Processed Non-zero TRI Data'!$I$2:$K$6, 3, FALSE), "DMR")</f>
        <v>DMR</v>
      </c>
      <c r="C159" s="181" t="e">
        <f>VLOOKUP(D159,#REF!, 2, FALSE)</f>
        <v>#REF!</v>
      </c>
      <c r="D159" s="181" t="str">
        <f>IF(I159&lt;&gt;"",INDEX('Processed Non-zero TRI Data'!$O:$O,MATCH(I159,'Processed Non-zero TRI Data'!$I:$I,0)),INDEX('Processed Non-zero DMR Data'!$S:$S,MATCH(J159,'Processed Non-zero DMR Data'!$I:$I,0)))</f>
        <v>Waste Handling, Disposal and Treatment (POTW)</v>
      </c>
      <c r="E159" s="181" t="str">
        <f>IF(I159&lt;&gt;"",INDEX('Processed Non-zero TRI Data'!$P:$P,MATCH(I159,'Processed Non-zero TRI Data'!$I:$I,0)),INDEX('Processed Non-zero DMR Data'!$T:$T,MATCH(J159,'Processed Non-zero DMR Data'!$I:$I,0)))</f>
        <v>POTW indicator in DMR</v>
      </c>
      <c r="F159" s="9" t="str">
        <f>_xlfn.XLOOKUP(J159, 'Processed Non-zero DMR Data'!I:I, 'Processed Non-zero DMR Data'!B:B)</f>
        <v>TUBA CITY WWTP</v>
      </c>
      <c r="G159" s="9" t="str">
        <f>_xlfn.XLOOKUP(J159, 'Processed Non-zero DMR Data'!I:I, 'Processed Non-zero DMR Data'!C:C)</f>
        <v>TUBA CITY</v>
      </c>
      <c r="H159" s="9" t="str">
        <f>_xlfn.XLOOKUP(J159, 'Processed Non-zero DMR Data'!I:I, 'Processed Non-zero DMR Data'!E:E)</f>
        <v>AZ</v>
      </c>
      <c r="I159" s="12"/>
      <c r="J159" s="13">
        <v>110024409344</v>
      </c>
      <c r="K159" s="9" t="str">
        <f>IFERROR(INDEX('Raw Non-zero DMR Data'!$C:$C, MATCH(J159,'Raw Non-zero DMR Data'!$D:$D,0)),"")</f>
        <v>NN0020290</v>
      </c>
      <c r="L159" s="9" t="str">
        <f>IFERROR(INDEX('Raw Non-zero DMR Data'!$U:$U, MATCH($J159,'Raw Non-zero DMR Data'!$D:$D,0)),"")</f>
        <v>Kerley Valley-Moenkopi Wash (Local Drainage)</v>
      </c>
      <c r="M159" s="155">
        <f>IFERROR(INDEX('Raw Non-zero DMR Data'!$T:$T, MATCH($J159,'Raw Non-zero DMR Data'!$D:$D,0)),"")</f>
        <v>150200181004</v>
      </c>
      <c r="N159" s="155" t="str">
        <f>IFERROR(INDEX('Off-site Locations'!$E:$E,MATCH(I159,'Off-site Locations'!$B:$B,0)),"No offsite transfers")</f>
        <v>No offsite transfers</v>
      </c>
      <c r="O159" s="165">
        <f>INDEX('TRI and DMR OES Summary'!D:D,MATCH('Facility Discharge Summary'!D159,'TRI and DMR OES Summary'!A:A,0))</f>
        <v>365</v>
      </c>
      <c r="P159" s="17" cm="1">
        <f t="array" ref="P159">IFERROR(_xlfn.XLOOKUP(1,  (MAX(IF(J159 = 'Processed Non-zero DMR Data'!$I$2:$I$651,'Processed Non-zero DMR Data'!$A$2:$A$651)) = 'Processed Non-zero DMR Data'!$A$2:$A$651)*('Processed Non-zero DMR Data'!$I$2:$I$651 = J159),'Processed Non-zero DMR Data'!$W$2:$W$651), "N/A- Facility Does Not Report DMRs")</f>
        <v>1.2317904</v>
      </c>
      <c r="Q159" s="10">
        <f t="shared" si="49"/>
        <v>3.3747682191780821E-3</v>
      </c>
      <c r="R159" s="10" cm="1">
        <f t="array" ref="R159">IF(COUNTIF('Processed Non-zero DMR Data'!$I:$I,$J159)&gt;0,MEDIAN(IF('Processed Non-zero DMR Data'!$I:$I=J159,'Processed Non-zero DMR Data'!$W:$W)),"N/A - Facility Does Not Report DMRs")</f>
        <v>1.2317904</v>
      </c>
      <c r="S159" s="10">
        <f t="shared" si="50"/>
        <v>3.3747682191780821E-3</v>
      </c>
      <c r="T159" s="10">
        <f>IF(COUNTIF('Processed Non-zero DMR Data'!$I:$I,$J159)&gt;0,_xlfn.MAXIFS('Processed Non-zero DMR Data'!$W:$W,'Processed Non-zero DMR Data'!$I:$I,$J159), "N/A - Facility Does Not Report DMRs")</f>
        <v>1.9834611200000001</v>
      </c>
      <c r="U159" s="10">
        <f t="shared" si="51"/>
        <v>5.434140054794521E-3</v>
      </c>
      <c r="V159" s="158" cm="1">
        <f t="array" ref="V159">IF(COUNTIF('Processed Non-zero DMR Data'!$I:$I,$J159)&gt;0,INDEX('Processed Non-zero DMR Data'!$A:$A,MATCH(1,($J159='Processed Non-zero DMR Data'!$I:$I)*($T159='Processed Non-zero DMR Data'!$W:$W),0)), "N/A - Facility Does Not Report DMRs")</f>
        <v>2022</v>
      </c>
      <c r="W159" s="17" t="str" cm="1">
        <f t="array" ref="W159">IFERROR(_xlfn.XLOOKUP(1,  (MAX(IF(I159 = 'Processed Non-zero TRI Data'!$I$2:$I$6,'Processed Non-zero TRI Data'!$A$2:$A$6)) = 'Processed Non-zero TRI Data'!$A$2:$A$6)*('Processed Non-zero TRI Data'!$I$2:$I$6 = I159), 'Processed Non-zero TRI Data'!$T$2:$T$6), "N/A- Facility Does Not Report to TRI")</f>
        <v>N/A- Facility Does Not Report to TRI</v>
      </c>
      <c r="X159" s="10" t="str">
        <f t="shared" si="52"/>
        <v>N/A - Facility Does Not Report to TRI</v>
      </c>
      <c r="Y159" s="10" t="str" cm="1">
        <f t="array" ref="Y159">IF(COUNTIF('Processed Non-zero TRI Data'!$I:$I,$I159)&gt;0,MEDIAN(IF('Processed Non-zero TRI Data'!$I:$I=I159,'Processed Non-zero TRI Data'!$T:$T)), "N/A - Facility Does Not Report to TRI")</f>
        <v>N/A - Facility Does Not Report to TRI</v>
      </c>
      <c r="Z159" s="10" t="str">
        <f t="shared" si="53"/>
        <v>N/A - Facility Does Not Report to TRI</v>
      </c>
      <c r="AA159" s="10" t="str">
        <f>IF(COUNTIF('Processed Non-zero TRI Data'!$I:$I,$I159)&gt;0,_xlfn.MAXIFS('Processed Non-zero TRI Data'!$T:$T,'Processed Non-zero TRI Data'!$I:$I,$I159), "N/A - Facility Does Not Report to TRI")</f>
        <v>N/A - Facility Does Not Report to TRI</v>
      </c>
      <c r="AB159" s="10" t="str">
        <f t="shared" si="54"/>
        <v>N/A - Facility Does Not Report to TRI</v>
      </c>
      <c r="AC159" s="158" t="str" cm="1">
        <f t="array" ref="AC159">IFERROR(IF(B159 = "TRI Form R", IF(AA159 = 0, "Facility has no on-site water discharges between 2017-2022.",  IF(COUNTIF('Processed Non-zero TRI Data'!$I:$I,$I159)&gt;0,INDEX('Processed Non-zero TRI Data'!$A:$A,MATCH(1,($I159='Processed Non-zero TRI Data'!$I:$I)*(AA159='Processed Non-zero TRI Data'!$T:$T),0)))), VLOOKUP(I159,#REF!, 2, FALSE)), ("N/A - Facility Does Not Report to TRI"))</f>
        <v>N/A - Facility Does Not Report to TRI</v>
      </c>
      <c r="AD159" s="97" t="str" cm="1">
        <f t="array" ref="AD159">IFERROR(_xlfn.XLOOKUP(1,  (MAX(IF(I159 = 'Processed Non-zero TRI Data'!$I$2:$I$6,'Processed Non-zero TRI Data'!$A$2:$A$6)) = 'Processed Non-zero TRI Data'!$A$2:$A$6)*('Processed Non-zero TRI Data'!$I$2:$I$6 = I159), 'Processed Non-zero TRI Data'!$V$2:$V$6), "N/A- Facility Does Not Report to TRI")</f>
        <v>N/A- Facility Does Not Report to TRI</v>
      </c>
      <c r="AE159" s="9" t="str">
        <f t="shared" si="55"/>
        <v>N/A - Facility Does Not Report to TRI</v>
      </c>
      <c r="AF159" s="9" t="str" cm="1">
        <f t="array" ref="AF159">IF(COUNTIF('Processed Non-zero TRI Data'!$I:$I,$I159)&gt;0,MEDIAN(IF('Processed Non-zero TRI Data'!$I:$I=I159,'Processed Non-zero TRI Data'!$V:$V)), "N/A - Facility Does Not Report to TRI")</f>
        <v>N/A - Facility Does Not Report to TRI</v>
      </c>
      <c r="AG159" s="9" t="str">
        <f t="shared" si="56"/>
        <v>N/A - Facility Does Not Report to TRI</v>
      </c>
      <c r="AH159" s="9" t="str">
        <f>IF(COUNTIF('Processed Non-zero TRI Data'!$I:$I,$I159)&gt;0,_xlfn.MAXIFS('Processed Non-zero TRI Data'!$V:$V,'Processed Non-zero TRI Data'!$I:$I,$I159), "N/A - Facility Does Not Report to TRI")</f>
        <v>N/A - Facility Does Not Report to TRI</v>
      </c>
      <c r="AI159" s="9" t="str">
        <f t="shared" si="57"/>
        <v>N/A - Facility Does Not Report to TRI</v>
      </c>
      <c r="AJ159" s="158" t="str" cm="1">
        <f t="array" ref="AJ159">IF(B159="TRI Form A",AC159,IF(AH159=0,"Facility has no transfers to POTWs between 2019-2023.",IF(COUNTIF('Processed Non-zero TRI Data'!$I:$I,$I159)&gt;0,INDEX('Processed Non-zero TRI Data'!$A:$A,MATCH(1,($I159='Processed Non-zero TRI Data'!$I:$I)*(AH159='Processed Non-zero TRI Data'!$V:$V),0)),"N/A - Facility Does Not Report to TRI")))</f>
        <v>N/A - Facility Does Not Report to TRI</v>
      </c>
      <c r="AK159" s="97" t="str" cm="1">
        <f t="array" ref="AK159">IFERROR(_xlfn.XLOOKUP(1,  (MAX(IF(I159 = 'Processed Non-zero TRI Data'!$I$2:$I$6,'Processed Non-zero TRI Data'!$A$2:$A$6)) = 'Processed Non-zero TRI Data'!$A$2:$A$6)*('Processed Non-zero TRI Data'!$I$2:$I$6 = I159), 'Processed Non-zero TRI Data'!$X$2:$X$6), "N/A- Facility Does Not Report to TRI")</f>
        <v>N/A- Facility Does Not Report to TRI</v>
      </c>
      <c r="AL159" s="9" t="str">
        <f t="shared" si="58"/>
        <v>N/A - Facility Does Not Report to TRI</v>
      </c>
      <c r="AM159" s="9" t="str" cm="1">
        <f t="array" ref="AM159">IF(COUNTIF('Processed Non-zero TRI Data'!$I:$I,$I159)&gt;0,MEDIAN(IF('Processed Non-zero TRI Data'!$I:$I=I159,'Processed Non-zero TRI Data'!$X:$X)), "N/A - Facility Does Not Report to TRI")</f>
        <v>N/A - Facility Does Not Report to TRI</v>
      </c>
      <c r="AN159" s="9" t="str">
        <f t="shared" si="59"/>
        <v>N/A - Facility Does Not Report to TRI</v>
      </c>
      <c r="AO159" s="9" t="str">
        <f>IF(COUNTIF('Processed Non-zero TRI Data'!$I:$I,$I159)&gt;0,_xlfn.MAXIFS('Processed Non-zero TRI Data'!$X:$X,'Processed Non-zero TRI Data'!$I:$I,$I159), "N/A - Facility Does Not Report to TRI")</f>
        <v>N/A - Facility Does Not Report to TRI</v>
      </c>
      <c r="AP159" s="9" t="str">
        <f t="shared" si="60"/>
        <v>N/A - Facility Does Not Report to TRI</v>
      </c>
      <c r="AQ159" s="251" t="str" cm="1">
        <f t="array" ref="AQ159">IF(B159="TRI Form A",AC159,IF(AO159=0,"Facility has no transfers to non-POTWs between 2019-2023.",IF(COUNTIF('Processed Non-zero TRI Data'!$I:$I,$I159)&gt;0,INDEX('Processed Non-zero TRI Data'!$A:$A,MATCH(1,($I159='Processed Non-zero TRI Data'!$I:$I)*(AO159='Processed Non-zero TRI Data'!$X:$X),0)),"N/A - Facility Does Not Report to TRI")))</f>
        <v>N/A - Facility Does Not Report to TRI</v>
      </c>
      <c r="AR159" s="260">
        <f t="shared" si="61"/>
        <v>0</v>
      </c>
      <c r="AS159" s="260">
        <f t="shared" si="62"/>
        <v>1.9834611200000001</v>
      </c>
    </row>
    <row r="160" spans="1:45" ht="30" x14ac:dyDescent="0.25">
      <c r="A160" s="12">
        <v>157</v>
      </c>
      <c r="B160" s="10" t="str">
        <f>IFERROR("TRI Form "&amp; VLOOKUP(I160, 'Processed Non-zero TRI Data'!$I$2:$K$6, 3, FALSE), "DMR")</f>
        <v>DMR</v>
      </c>
      <c r="C160" s="181" t="e">
        <f>VLOOKUP(D160,#REF!, 2, FALSE)</f>
        <v>#REF!</v>
      </c>
      <c r="D160" s="181" t="str">
        <f>IF(I160&lt;&gt;"",INDEX('Processed Non-zero TRI Data'!$O:$O,MATCH(I160,'Processed Non-zero TRI Data'!$I:$I,0)),INDEX('Processed Non-zero DMR Data'!$S:$S,MATCH(J160,'Processed Non-zero DMR Data'!$I:$I,0)))</f>
        <v>Unknown</v>
      </c>
      <c r="E160" s="181" t="str">
        <f>IF(I160&lt;&gt;"",INDEX('Processed Non-zero TRI Data'!$P:$P,MATCH(I160,'Processed Non-zero TRI Data'!$I:$I,0)),INDEX('Processed Non-zero DMR Data'!$T:$T,MATCH(J160,'Processed Non-zero DMR Data'!$I:$I,0)))</f>
        <v>24-hr gas station in Las Vegas; no OES to map to.</v>
      </c>
      <c r="F160" s="9" t="str">
        <f>_xlfn.XLOOKUP(J160, 'Processed Non-zero DMR Data'!I:I, 'Processed Non-zero DMR Data'!B:B)</f>
        <v>VILLAGE SHOP #4/SINCLAIR STATION</v>
      </c>
      <c r="G160" s="9" t="str">
        <f>_xlfn.XLOOKUP(J160, 'Processed Non-zero DMR Data'!I:I, 'Processed Non-zero DMR Data'!C:C)</f>
        <v>LAS VEGAS</v>
      </c>
      <c r="H160" s="9" t="str">
        <f>_xlfn.XLOOKUP(J160, 'Processed Non-zero DMR Data'!I:I, 'Processed Non-zero DMR Data'!E:E)</f>
        <v>NV</v>
      </c>
      <c r="I160" s="12"/>
      <c r="J160" s="13">
        <v>110064418553</v>
      </c>
      <c r="K160" s="9" t="str">
        <f>IFERROR(INDEX('Raw Non-zero DMR Data'!$C:$C, MATCH(J160,'Raw Non-zero DMR Data'!$D:$D,0)),"")</f>
        <v>NV0024220</v>
      </c>
      <c r="L160" s="9" t="str">
        <f>IFERROR(INDEX('Raw Non-zero DMR Data'!$U:$U, MATCH($J160,'Raw Non-zero DMR Data'!$D:$D,0)),"")</f>
        <v>City of Las Vegas-Las Vegas Wash</v>
      </c>
      <c r="M160" s="155">
        <f>IFERROR(INDEX('Raw Non-zero DMR Data'!$T:$T, MATCH($J160,'Raw Non-zero DMR Data'!$D:$D,0)),"")</f>
        <v>150100150604</v>
      </c>
      <c r="N160" s="155" t="str">
        <f>IFERROR(INDEX('Off-site Locations'!$E:$E,MATCH(I160,'Off-site Locations'!$B:$B,0)),"No offsite transfers")</f>
        <v>No offsite transfers</v>
      </c>
      <c r="O160" s="165">
        <f>INDEX('TRI and DMR OES Summary'!D:D,MATCH('Facility Discharge Summary'!D160,'TRI and DMR OES Summary'!A:A,0))</f>
        <v>250</v>
      </c>
      <c r="P160" s="17" cm="1">
        <f t="array" ref="P160">IFERROR(_xlfn.XLOOKUP(1,  (MAX(IF(J160 = 'Processed Non-zero DMR Data'!$I$2:$I$651,'Processed Non-zero DMR Data'!$A$2:$A$651)) = 'Processed Non-zero DMR Data'!$A$2:$A$651)*('Processed Non-zero DMR Data'!$I$2:$I$651 = J160),'Processed Non-zero DMR Data'!$W$2:$W$651), "N/A- Facility Does Not Report DMRs")</f>
        <v>4.9734899999999997E-3</v>
      </c>
      <c r="Q160" s="10">
        <f t="shared" si="49"/>
        <v>1.989396E-5</v>
      </c>
      <c r="R160" s="10" cm="1">
        <f t="array" ref="R160">IF(COUNTIF('Processed Non-zero DMR Data'!$I:$I,$J160)&gt;0,MEDIAN(IF('Processed Non-zero DMR Data'!$I:$I=J160,'Processed Non-zero DMR Data'!$W:$W)),"N/A - Facility Does Not Report DMRs")</f>
        <v>6.1132481249999999E-3</v>
      </c>
      <c r="S160" s="10">
        <f t="shared" si="50"/>
        <v>2.4452992500000001E-5</v>
      </c>
      <c r="T160" s="10">
        <f>IF(COUNTIF('Processed Non-zero DMR Data'!$I:$I,$J160)&gt;0,_xlfn.MAXIFS('Processed Non-zero DMR Data'!$W:$W,'Processed Non-zero DMR Data'!$I:$I,$J160), "N/A - Facility Does Not Report DMRs")</f>
        <v>7.2530062500000001E-3</v>
      </c>
      <c r="U160" s="10">
        <f t="shared" si="51"/>
        <v>2.9012025000000001E-5</v>
      </c>
      <c r="V160" s="158" cm="1">
        <f t="array" ref="V160">IF(COUNTIF('Processed Non-zero DMR Data'!$I:$I,$J160)&gt;0,INDEX('Processed Non-zero DMR Data'!$A:$A,MATCH(1,($J160='Processed Non-zero DMR Data'!$I:$I)*($T160='Processed Non-zero DMR Data'!$W:$W),0)), "N/A - Facility Does Not Report DMRs")</f>
        <v>2020</v>
      </c>
      <c r="W160" s="17" t="str" cm="1">
        <f t="array" ref="W160">IFERROR(_xlfn.XLOOKUP(1,  (MAX(IF(I160 = 'Processed Non-zero TRI Data'!$I$2:$I$6,'Processed Non-zero TRI Data'!$A$2:$A$6)) = 'Processed Non-zero TRI Data'!$A$2:$A$6)*('Processed Non-zero TRI Data'!$I$2:$I$6 = I160), 'Processed Non-zero TRI Data'!$T$2:$T$6), "N/A- Facility Does Not Report to TRI")</f>
        <v>N/A- Facility Does Not Report to TRI</v>
      </c>
      <c r="X160" s="10" t="str">
        <f t="shared" si="52"/>
        <v>N/A - Facility Does Not Report to TRI</v>
      </c>
      <c r="Y160" s="10" t="str" cm="1">
        <f t="array" ref="Y160">IF(COUNTIF('Processed Non-zero TRI Data'!$I:$I,$I160)&gt;0,MEDIAN(IF('Processed Non-zero TRI Data'!$I:$I=I160,'Processed Non-zero TRI Data'!$T:$T)), "N/A - Facility Does Not Report to TRI")</f>
        <v>N/A - Facility Does Not Report to TRI</v>
      </c>
      <c r="Z160" s="10" t="str">
        <f t="shared" si="53"/>
        <v>N/A - Facility Does Not Report to TRI</v>
      </c>
      <c r="AA160" s="10" t="str">
        <f>IF(COUNTIF('Processed Non-zero TRI Data'!$I:$I,$I160)&gt;0,_xlfn.MAXIFS('Processed Non-zero TRI Data'!$T:$T,'Processed Non-zero TRI Data'!$I:$I,$I160), "N/A - Facility Does Not Report to TRI")</f>
        <v>N/A - Facility Does Not Report to TRI</v>
      </c>
      <c r="AB160" s="10" t="str">
        <f t="shared" si="54"/>
        <v>N/A - Facility Does Not Report to TRI</v>
      </c>
      <c r="AC160" s="158" t="str" cm="1">
        <f t="array" ref="AC160">IFERROR(IF(B160 = "TRI Form R", IF(AA160 = 0, "Facility has no on-site water discharges between 2017-2022.",  IF(COUNTIF('Processed Non-zero TRI Data'!$I:$I,$I160)&gt;0,INDEX('Processed Non-zero TRI Data'!$A:$A,MATCH(1,($I160='Processed Non-zero TRI Data'!$I:$I)*(AA160='Processed Non-zero TRI Data'!$T:$T),0)))), VLOOKUP(I160,#REF!, 2, FALSE)), ("N/A - Facility Does Not Report to TRI"))</f>
        <v>N/A - Facility Does Not Report to TRI</v>
      </c>
      <c r="AD160" s="97" t="str" cm="1">
        <f t="array" ref="AD160">IFERROR(_xlfn.XLOOKUP(1,  (MAX(IF(I160 = 'Processed Non-zero TRI Data'!$I$2:$I$6,'Processed Non-zero TRI Data'!$A$2:$A$6)) = 'Processed Non-zero TRI Data'!$A$2:$A$6)*('Processed Non-zero TRI Data'!$I$2:$I$6 = I160), 'Processed Non-zero TRI Data'!$V$2:$V$6), "N/A- Facility Does Not Report to TRI")</f>
        <v>N/A- Facility Does Not Report to TRI</v>
      </c>
      <c r="AE160" s="9" t="str">
        <f t="shared" si="55"/>
        <v>N/A - Facility Does Not Report to TRI</v>
      </c>
      <c r="AF160" s="9" t="str" cm="1">
        <f t="array" ref="AF160">IF(COUNTIF('Processed Non-zero TRI Data'!$I:$I,$I160)&gt;0,MEDIAN(IF('Processed Non-zero TRI Data'!$I:$I=I160,'Processed Non-zero TRI Data'!$V:$V)), "N/A - Facility Does Not Report to TRI")</f>
        <v>N/A - Facility Does Not Report to TRI</v>
      </c>
      <c r="AG160" s="9" t="str">
        <f t="shared" si="56"/>
        <v>N/A - Facility Does Not Report to TRI</v>
      </c>
      <c r="AH160" s="9" t="str">
        <f>IF(COUNTIF('Processed Non-zero TRI Data'!$I:$I,$I160)&gt;0,_xlfn.MAXIFS('Processed Non-zero TRI Data'!$V:$V,'Processed Non-zero TRI Data'!$I:$I,$I160), "N/A - Facility Does Not Report to TRI")</f>
        <v>N/A - Facility Does Not Report to TRI</v>
      </c>
      <c r="AI160" s="9" t="str">
        <f t="shared" si="57"/>
        <v>N/A - Facility Does Not Report to TRI</v>
      </c>
      <c r="AJ160" s="158" t="str" cm="1">
        <f t="array" ref="AJ160">IF(B160="TRI Form A",AC160,IF(AH160=0,"Facility has no transfers to POTWs between 2019-2023.",IF(COUNTIF('Processed Non-zero TRI Data'!$I:$I,$I160)&gt;0,INDEX('Processed Non-zero TRI Data'!$A:$A,MATCH(1,($I160='Processed Non-zero TRI Data'!$I:$I)*(AH160='Processed Non-zero TRI Data'!$V:$V),0)),"N/A - Facility Does Not Report to TRI")))</f>
        <v>N/A - Facility Does Not Report to TRI</v>
      </c>
      <c r="AK160" s="97" t="str" cm="1">
        <f t="array" ref="AK160">IFERROR(_xlfn.XLOOKUP(1,  (MAX(IF(I160 = 'Processed Non-zero TRI Data'!$I$2:$I$6,'Processed Non-zero TRI Data'!$A$2:$A$6)) = 'Processed Non-zero TRI Data'!$A$2:$A$6)*('Processed Non-zero TRI Data'!$I$2:$I$6 = I160), 'Processed Non-zero TRI Data'!$X$2:$X$6), "N/A- Facility Does Not Report to TRI")</f>
        <v>N/A- Facility Does Not Report to TRI</v>
      </c>
      <c r="AL160" s="9" t="str">
        <f t="shared" si="58"/>
        <v>N/A - Facility Does Not Report to TRI</v>
      </c>
      <c r="AM160" s="9" t="str" cm="1">
        <f t="array" ref="AM160">IF(COUNTIF('Processed Non-zero TRI Data'!$I:$I,$I160)&gt;0,MEDIAN(IF('Processed Non-zero TRI Data'!$I:$I=I160,'Processed Non-zero TRI Data'!$X:$X)), "N/A - Facility Does Not Report to TRI")</f>
        <v>N/A - Facility Does Not Report to TRI</v>
      </c>
      <c r="AN160" s="9" t="str">
        <f t="shared" si="59"/>
        <v>N/A - Facility Does Not Report to TRI</v>
      </c>
      <c r="AO160" s="9" t="str">
        <f>IF(COUNTIF('Processed Non-zero TRI Data'!$I:$I,$I160)&gt;0,_xlfn.MAXIFS('Processed Non-zero TRI Data'!$X:$X,'Processed Non-zero TRI Data'!$I:$I,$I160), "N/A - Facility Does Not Report to TRI")</f>
        <v>N/A - Facility Does Not Report to TRI</v>
      </c>
      <c r="AP160" s="9" t="str">
        <f t="shared" si="60"/>
        <v>N/A - Facility Does Not Report to TRI</v>
      </c>
      <c r="AQ160" s="251" t="str" cm="1">
        <f t="array" ref="AQ160">IF(B160="TRI Form A",AC160,IF(AO160=0,"Facility has no transfers to non-POTWs between 2019-2023.",IF(COUNTIF('Processed Non-zero TRI Data'!$I:$I,$I160)&gt;0,INDEX('Processed Non-zero TRI Data'!$A:$A,MATCH(1,($I160='Processed Non-zero TRI Data'!$I:$I)*(AO160='Processed Non-zero TRI Data'!$X:$X),0)),"N/A - Facility Does Not Report to TRI")))</f>
        <v>N/A - Facility Does Not Report to TRI</v>
      </c>
      <c r="AR160" s="260">
        <f t="shared" si="61"/>
        <v>0</v>
      </c>
      <c r="AS160" s="260">
        <f t="shared" si="62"/>
        <v>7.2530062500000001E-3</v>
      </c>
    </row>
    <row r="161" spans="1:45" ht="30" x14ac:dyDescent="0.25">
      <c r="A161" s="12">
        <v>158</v>
      </c>
      <c r="B161" s="10" t="str">
        <f>IFERROR("TRI Form "&amp; VLOOKUP(I161, 'Processed Non-zero TRI Data'!$I$2:$K$6, 3, FALSE), "DMR")</f>
        <v>DMR</v>
      </c>
      <c r="C161" s="181" t="e">
        <f>VLOOKUP(D161,#REF!, 2, FALSE)</f>
        <v>#REF!</v>
      </c>
      <c r="D161" s="181" t="str">
        <f>IF(I161&lt;&gt;"",INDEX('Processed Non-zero TRI Data'!$O:$O,MATCH(I161,'Processed Non-zero TRI Data'!$I:$I,0)),INDEX('Processed Non-zero DMR Data'!$S:$S,MATCH(J161,'Processed Non-zero DMR Data'!$I:$I,0)))</f>
        <v>Unknown</v>
      </c>
      <c r="E161" s="181" t="str">
        <f>IF(I161&lt;&gt;"",INDEX('Processed Non-zero TRI Data'!$P:$P,MATCH(I161,'Processed Non-zero TRI Data'!$I:$I,0)),INDEX('Processed Non-zero DMR Data'!$T:$T,MATCH(J161,'Processed Non-zero DMR Data'!$I:$I,0)))</f>
        <v>Apartment complex; no OES to map to.</v>
      </c>
      <c r="F161" s="9" t="str">
        <f>_xlfn.XLOOKUP(J161, 'Processed Non-zero DMR Data'!I:I, 'Processed Non-zero DMR Data'!B:B)</f>
        <v>LAS VEGAS ACADEMY</v>
      </c>
      <c r="G161" s="9" t="str">
        <f>_xlfn.XLOOKUP(J161, 'Processed Non-zero DMR Data'!I:I, 'Processed Non-zero DMR Data'!C:C)</f>
        <v>LAS VEGAS</v>
      </c>
      <c r="H161" s="9" t="str">
        <f>_xlfn.XLOOKUP(J161, 'Processed Non-zero DMR Data'!I:I, 'Processed Non-zero DMR Data'!E:E)</f>
        <v>NV</v>
      </c>
      <c r="I161" s="12"/>
      <c r="J161" s="13">
        <v>110017237373</v>
      </c>
      <c r="K161" s="9" t="str">
        <f>IFERROR(INDEX('Raw Non-zero DMR Data'!$C:$C, MATCH(J161,'Raw Non-zero DMR Data'!$D:$D,0)),"")</f>
        <v>NV0023485</v>
      </c>
      <c r="L161" s="9" t="str">
        <f>IFERROR(INDEX('Raw Non-zero DMR Data'!$U:$U, MATCH($J161,'Raw Non-zero DMR Data'!$D:$D,0)),"")</f>
        <v>City of Las Vegas-Las Vegas Wash</v>
      </c>
      <c r="M161" s="155">
        <f>IFERROR(INDEX('Raw Non-zero DMR Data'!$T:$T, MATCH($J161,'Raw Non-zero DMR Data'!$D:$D,0)),"")</f>
        <v>150100150604</v>
      </c>
      <c r="N161" s="155" t="str">
        <f>IFERROR(INDEX('Off-site Locations'!$E:$E,MATCH(I161,'Off-site Locations'!$B:$B,0)),"No offsite transfers")</f>
        <v>No offsite transfers</v>
      </c>
      <c r="O161" s="165">
        <f>INDEX('TRI and DMR OES Summary'!D:D,MATCH('Facility Discharge Summary'!D161,'TRI and DMR OES Summary'!A:A,0))</f>
        <v>250</v>
      </c>
      <c r="P161" s="17" cm="1">
        <f t="array" ref="P161">IFERROR(_xlfn.XLOOKUP(1,  (MAX(IF(J161 = 'Processed Non-zero DMR Data'!$I$2:$I$651,'Processed Non-zero DMR Data'!$A$2:$A$651)) = 'Processed Non-zero DMR Data'!$A$2:$A$651)*('Processed Non-zero DMR Data'!$I$2:$I$651 = J161),'Processed Non-zero DMR Data'!$W$2:$W$651), "N/A- Facility Does Not Report DMRs")</f>
        <v>3.3501981249999999E-3</v>
      </c>
      <c r="Q161" s="10">
        <f t="shared" si="49"/>
        <v>1.34007925E-5</v>
      </c>
      <c r="R161" s="10" cm="1">
        <f t="array" ref="R161">IF(COUNTIF('Processed Non-zero DMR Data'!$I:$I,$J161)&gt;0,MEDIAN(IF('Processed Non-zero DMR Data'!$I:$I=J161,'Processed Non-zero DMR Data'!$W:$W)),"N/A - Facility Does Not Report DMRs")</f>
        <v>3.3501981249999999E-3</v>
      </c>
      <c r="S161" s="10">
        <f t="shared" si="50"/>
        <v>1.34007925E-5</v>
      </c>
      <c r="T161" s="10">
        <f>IF(COUNTIF('Processed Non-zero DMR Data'!$I:$I,$J161)&gt;0,_xlfn.MAXIFS('Processed Non-zero DMR Data'!$W:$W,'Processed Non-zero DMR Data'!$I:$I,$J161), "N/A - Facility Does Not Report DMRs")</f>
        <v>3.3501981249999999E-3</v>
      </c>
      <c r="U161" s="10">
        <f t="shared" si="51"/>
        <v>1.34007925E-5</v>
      </c>
      <c r="V161" s="158" cm="1">
        <f t="array" ref="V161">IF(COUNTIF('Processed Non-zero DMR Data'!$I:$I,$J161)&gt;0,INDEX('Processed Non-zero DMR Data'!$A:$A,MATCH(1,($J161='Processed Non-zero DMR Data'!$I:$I)*($T161='Processed Non-zero DMR Data'!$W:$W),0)), "N/A - Facility Does Not Report DMRs")</f>
        <v>2020</v>
      </c>
      <c r="W161" s="17" t="str" cm="1">
        <f t="array" ref="W161">IFERROR(_xlfn.XLOOKUP(1,  (MAX(IF(I161 = 'Processed Non-zero TRI Data'!$I$2:$I$6,'Processed Non-zero TRI Data'!$A$2:$A$6)) = 'Processed Non-zero TRI Data'!$A$2:$A$6)*('Processed Non-zero TRI Data'!$I$2:$I$6 = I161), 'Processed Non-zero TRI Data'!$T$2:$T$6), "N/A- Facility Does Not Report to TRI")</f>
        <v>N/A- Facility Does Not Report to TRI</v>
      </c>
      <c r="X161" s="10" t="str">
        <f t="shared" si="52"/>
        <v>N/A - Facility Does Not Report to TRI</v>
      </c>
      <c r="Y161" s="10" t="str" cm="1">
        <f t="array" ref="Y161">IF(COUNTIF('Processed Non-zero TRI Data'!$I:$I,$I161)&gt;0,MEDIAN(IF('Processed Non-zero TRI Data'!$I:$I=I161,'Processed Non-zero TRI Data'!$T:$T)), "N/A - Facility Does Not Report to TRI")</f>
        <v>N/A - Facility Does Not Report to TRI</v>
      </c>
      <c r="Z161" s="10" t="str">
        <f t="shared" si="53"/>
        <v>N/A - Facility Does Not Report to TRI</v>
      </c>
      <c r="AA161" s="10" t="str">
        <f>IF(COUNTIF('Processed Non-zero TRI Data'!$I:$I,$I161)&gt;0,_xlfn.MAXIFS('Processed Non-zero TRI Data'!$T:$T,'Processed Non-zero TRI Data'!$I:$I,$I161), "N/A - Facility Does Not Report to TRI")</f>
        <v>N/A - Facility Does Not Report to TRI</v>
      </c>
      <c r="AB161" s="10" t="str">
        <f t="shared" si="54"/>
        <v>N/A - Facility Does Not Report to TRI</v>
      </c>
      <c r="AC161" s="158" t="str" cm="1">
        <f t="array" ref="AC161">IFERROR(IF(B161 = "TRI Form R", IF(AA161 = 0, "Facility has no on-site water discharges between 2017-2022.",  IF(COUNTIF('Processed Non-zero TRI Data'!$I:$I,$I161)&gt;0,INDEX('Processed Non-zero TRI Data'!$A:$A,MATCH(1,($I161='Processed Non-zero TRI Data'!$I:$I)*(AA161='Processed Non-zero TRI Data'!$T:$T),0)))), VLOOKUP(I161,#REF!, 2, FALSE)), ("N/A - Facility Does Not Report to TRI"))</f>
        <v>N/A - Facility Does Not Report to TRI</v>
      </c>
      <c r="AD161" s="97" t="str" cm="1">
        <f t="array" ref="AD161">IFERROR(_xlfn.XLOOKUP(1,  (MAX(IF(I161 = 'Processed Non-zero TRI Data'!$I$2:$I$6,'Processed Non-zero TRI Data'!$A$2:$A$6)) = 'Processed Non-zero TRI Data'!$A$2:$A$6)*('Processed Non-zero TRI Data'!$I$2:$I$6 = I161), 'Processed Non-zero TRI Data'!$V$2:$V$6), "N/A- Facility Does Not Report to TRI")</f>
        <v>N/A- Facility Does Not Report to TRI</v>
      </c>
      <c r="AE161" s="9" t="str">
        <f t="shared" si="55"/>
        <v>N/A - Facility Does Not Report to TRI</v>
      </c>
      <c r="AF161" s="9" t="str" cm="1">
        <f t="array" ref="AF161">IF(COUNTIF('Processed Non-zero TRI Data'!$I:$I,$I161)&gt;0,MEDIAN(IF('Processed Non-zero TRI Data'!$I:$I=I161,'Processed Non-zero TRI Data'!$V:$V)), "N/A - Facility Does Not Report to TRI")</f>
        <v>N/A - Facility Does Not Report to TRI</v>
      </c>
      <c r="AG161" s="9" t="str">
        <f t="shared" si="56"/>
        <v>N/A - Facility Does Not Report to TRI</v>
      </c>
      <c r="AH161" s="9" t="str">
        <f>IF(COUNTIF('Processed Non-zero TRI Data'!$I:$I,$I161)&gt;0,_xlfn.MAXIFS('Processed Non-zero TRI Data'!$V:$V,'Processed Non-zero TRI Data'!$I:$I,$I161), "N/A - Facility Does Not Report to TRI")</f>
        <v>N/A - Facility Does Not Report to TRI</v>
      </c>
      <c r="AI161" s="9" t="str">
        <f t="shared" si="57"/>
        <v>N/A - Facility Does Not Report to TRI</v>
      </c>
      <c r="AJ161" s="158" t="str" cm="1">
        <f t="array" ref="AJ161">IF(B161="TRI Form A",AC161,IF(AH161=0,"Facility has no transfers to POTWs between 2019-2023.",IF(COUNTIF('Processed Non-zero TRI Data'!$I:$I,$I161)&gt;0,INDEX('Processed Non-zero TRI Data'!$A:$A,MATCH(1,($I161='Processed Non-zero TRI Data'!$I:$I)*(AH161='Processed Non-zero TRI Data'!$V:$V),0)),"N/A - Facility Does Not Report to TRI")))</f>
        <v>N/A - Facility Does Not Report to TRI</v>
      </c>
      <c r="AK161" s="97" t="str" cm="1">
        <f t="array" ref="AK161">IFERROR(_xlfn.XLOOKUP(1,  (MAX(IF(I161 = 'Processed Non-zero TRI Data'!$I$2:$I$6,'Processed Non-zero TRI Data'!$A$2:$A$6)) = 'Processed Non-zero TRI Data'!$A$2:$A$6)*('Processed Non-zero TRI Data'!$I$2:$I$6 = I161), 'Processed Non-zero TRI Data'!$X$2:$X$6), "N/A- Facility Does Not Report to TRI")</f>
        <v>N/A- Facility Does Not Report to TRI</v>
      </c>
      <c r="AL161" s="9" t="str">
        <f t="shared" si="58"/>
        <v>N/A - Facility Does Not Report to TRI</v>
      </c>
      <c r="AM161" s="9" t="str" cm="1">
        <f t="array" ref="AM161">IF(COUNTIF('Processed Non-zero TRI Data'!$I:$I,$I161)&gt;0,MEDIAN(IF('Processed Non-zero TRI Data'!$I:$I=I161,'Processed Non-zero TRI Data'!$X:$X)), "N/A - Facility Does Not Report to TRI")</f>
        <v>N/A - Facility Does Not Report to TRI</v>
      </c>
      <c r="AN161" s="9" t="str">
        <f t="shared" si="59"/>
        <v>N/A - Facility Does Not Report to TRI</v>
      </c>
      <c r="AO161" s="9" t="str">
        <f>IF(COUNTIF('Processed Non-zero TRI Data'!$I:$I,$I161)&gt;0,_xlfn.MAXIFS('Processed Non-zero TRI Data'!$X:$X,'Processed Non-zero TRI Data'!$I:$I,$I161), "N/A - Facility Does Not Report to TRI")</f>
        <v>N/A - Facility Does Not Report to TRI</v>
      </c>
      <c r="AP161" s="9" t="str">
        <f t="shared" si="60"/>
        <v>N/A - Facility Does Not Report to TRI</v>
      </c>
      <c r="AQ161" s="251" t="str" cm="1">
        <f t="array" ref="AQ161">IF(B161="TRI Form A",AC161,IF(AO161=0,"Facility has no transfers to non-POTWs between 2019-2023.",IF(COUNTIF('Processed Non-zero TRI Data'!$I:$I,$I161)&gt;0,INDEX('Processed Non-zero TRI Data'!$A:$A,MATCH(1,($I161='Processed Non-zero TRI Data'!$I:$I)*(AO161='Processed Non-zero TRI Data'!$X:$X),0)),"N/A - Facility Does Not Report to TRI")))</f>
        <v>N/A - Facility Does Not Report to TRI</v>
      </c>
      <c r="AR161" s="260">
        <f t="shared" si="61"/>
        <v>0</v>
      </c>
      <c r="AS161" s="260">
        <f t="shared" si="62"/>
        <v>3.3501981249999999E-3</v>
      </c>
    </row>
    <row r="162" spans="1:45" ht="30" x14ac:dyDescent="0.25">
      <c r="A162" s="12">
        <v>159</v>
      </c>
      <c r="B162" s="10" t="str">
        <f>IFERROR("TRI Form "&amp; VLOOKUP(I162, 'Processed Non-zero TRI Data'!$I$2:$K$6, 3, FALSE), "DMR")</f>
        <v>DMR</v>
      </c>
      <c r="C162" s="181" t="e">
        <f>VLOOKUP(D162,#REF!, 2, FALSE)</f>
        <v>#REF!</v>
      </c>
      <c r="D162" s="181" t="str">
        <f>IF(I162&lt;&gt;"",INDEX('Processed Non-zero TRI Data'!$O:$O,MATCH(I162,'Processed Non-zero TRI Data'!$I:$I,0)),INDEX('Processed Non-zero DMR Data'!$S:$S,MATCH(J162,'Processed Non-zero DMR Data'!$I:$I,0)))</f>
        <v>Waste Handling, Disposal and Treatment (POTW)</v>
      </c>
      <c r="E162" s="181" t="str">
        <f>IF(I162&lt;&gt;"",INDEX('Processed Non-zero TRI Data'!$P:$P,MATCH(I162,'Processed Non-zero TRI Data'!$I:$I,0)),INDEX('Processed Non-zero DMR Data'!$T:$T,MATCH(J162,'Processed Non-zero DMR Data'!$I:$I,0)))</f>
        <v>POTW indicator in DMR</v>
      </c>
      <c r="F162" s="9" t="str">
        <f>_xlfn.XLOOKUP(J162, 'Processed Non-zero DMR Data'!I:I, 'Processed Non-zero DMR Data'!B:B)</f>
        <v>MADISONVILLE STP WEST SIDE</v>
      </c>
      <c r="G162" s="9" t="str">
        <f>_xlfn.XLOOKUP(J162, 'Processed Non-zero DMR Data'!I:I, 'Processed Non-zero DMR Data'!C:C)</f>
        <v>MADISONVILLE</v>
      </c>
      <c r="H162" s="9" t="str">
        <f>_xlfn.XLOOKUP(J162, 'Processed Non-zero DMR Data'!I:I, 'Processed Non-zero DMR Data'!E:E)</f>
        <v>KY</v>
      </c>
      <c r="I162" s="12"/>
      <c r="J162" s="13">
        <v>110002041380</v>
      </c>
      <c r="K162" s="9" t="str">
        <f>IFERROR(INDEX('Raw Non-zero DMR Data'!$C:$C, MATCH(J162,'Raw Non-zero DMR Data'!$D:$D,0)),"")</f>
        <v>KY0098043</v>
      </c>
      <c r="L162" s="9" t="str">
        <f>IFERROR(INDEX('Raw Non-zero DMR Data'!$U:$U, MATCH($J162,'Raw Non-zero DMR Data'!$D:$D,0)),"")</f>
        <v>Greasy Creek-Clear Creek</v>
      </c>
      <c r="M162" s="155" t="str">
        <f>IFERROR(INDEX('Raw Non-zero DMR Data'!$T:$T, MATCH($J162,'Raw Non-zero DMR Data'!$D:$D,0)),"")</f>
        <v>051402050202</v>
      </c>
      <c r="N162" s="155" t="str">
        <f>IFERROR(INDEX('Off-site Locations'!$E:$E,MATCH(I162,'Off-site Locations'!$B:$B,0)),"No offsite transfers")</f>
        <v>No offsite transfers</v>
      </c>
      <c r="O162" s="165">
        <f>INDEX('TRI and DMR OES Summary'!D:D,MATCH('Facility Discharge Summary'!D162,'TRI and DMR OES Summary'!A:A,0))</f>
        <v>365</v>
      </c>
      <c r="P162" s="17" cm="1">
        <f t="array" ref="P162">IFERROR(_xlfn.XLOOKUP(1,  (MAX(IF(J162 = 'Processed Non-zero DMR Data'!$I$2:$I$651,'Processed Non-zero DMR Data'!$A$2:$A$651)) = 'Processed Non-zero DMR Data'!$A$2:$A$651)*('Processed Non-zero DMR Data'!$I$2:$I$651 = J162),'Processed Non-zero DMR Data'!$W$2:$W$651), "N/A- Facility Does Not Report DMRs")</f>
        <v>6.4088944750000003</v>
      </c>
      <c r="Q162" s="10">
        <f t="shared" si="49"/>
        <v>1.7558615E-2</v>
      </c>
      <c r="R162" s="10" cm="1">
        <f t="array" ref="R162">IF(COUNTIF('Processed Non-zero DMR Data'!$I:$I,$J162)&gt;0,MEDIAN(IF('Processed Non-zero DMR Data'!$I:$I=J162,'Processed Non-zero DMR Data'!$W:$W)),"N/A - Facility Does Not Report DMRs")</f>
        <v>6.6741472750000002</v>
      </c>
      <c r="S162" s="10">
        <f t="shared" si="50"/>
        <v>1.8285335E-2</v>
      </c>
      <c r="T162" s="10">
        <f>IF(COUNTIF('Processed Non-zero DMR Data'!$I:$I,$J162)&gt;0,_xlfn.MAXIFS('Processed Non-zero DMR Data'!$W:$W,'Processed Non-zero DMR Data'!$I:$I,$J162), "N/A - Facility Does Not Report DMRs")</f>
        <v>19.372434312500001</v>
      </c>
      <c r="U162" s="10">
        <f t="shared" si="51"/>
        <v>5.3075162500000002E-2</v>
      </c>
      <c r="V162" s="158" cm="1">
        <f t="array" ref="V162">IF(COUNTIF('Processed Non-zero DMR Data'!$I:$I,$J162)&gt;0,INDEX('Processed Non-zero DMR Data'!$A:$A,MATCH(1,($J162='Processed Non-zero DMR Data'!$I:$I)*($T162='Processed Non-zero DMR Data'!$W:$W),0)), "N/A - Facility Does Not Report DMRs")</f>
        <v>2021</v>
      </c>
      <c r="W162" s="17" t="str" cm="1">
        <f t="array" ref="W162">IFERROR(_xlfn.XLOOKUP(1,  (MAX(IF(I162 = 'Processed Non-zero TRI Data'!$I$2:$I$6,'Processed Non-zero TRI Data'!$A$2:$A$6)) = 'Processed Non-zero TRI Data'!$A$2:$A$6)*('Processed Non-zero TRI Data'!$I$2:$I$6 = I162), 'Processed Non-zero TRI Data'!$T$2:$T$6), "N/A- Facility Does Not Report to TRI")</f>
        <v>N/A- Facility Does Not Report to TRI</v>
      </c>
      <c r="X162" s="10" t="str">
        <f t="shared" si="52"/>
        <v>N/A - Facility Does Not Report to TRI</v>
      </c>
      <c r="Y162" s="10" t="str" cm="1">
        <f t="array" ref="Y162">IF(COUNTIF('Processed Non-zero TRI Data'!$I:$I,$I162)&gt;0,MEDIAN(IF('Processed Non-zero TRI Data'!$I:$I=I162,'Processed Non-zero TRI Data'!$T:$T)), "N/A - Facility Does Not Report to TRI")</f>
        <v>N/A - Facility Does Not Report to TRI</v>
      </c>
      <c r="Z162" s="10" t="str">
        <f t="shared" si="53"/>
        <v>N/A - Facility Does Not Report to TRI</v>
      </c>
      <c r="AA162" s="10" t="str">
        <f>IF(COUNTIF('Processed Non-zero TRI Data'!$I:$I,$I162)&gt;0,_xlfn.MAXIFS('Processed Non-zero TRI Data'!$T:$T,'Processed Non-zero TRI Data'!$I:$I,$I162), "N/A - Facility Does Not Report to TRI")</f>
        <v>N/A - Facility Does Not Report to TRI</v>
      </c>
      <c r="AB162" s="10" t="str">
        <f t="shared" si="54"/>
        <v>N/A - Facility Does Not Report to TRI</v>
      </c>
      <c r="AC162" s="158" t="str" cm="1">
        <f t="array" ref="AC162">IFERROR(IF(B162 = "TRI Form R", IF(AA162 = 0, "Facility has no on-site water discharges between 2017-2022.",  IF(COUNTIF('Processed Non-zero TRI Data'!$I:$I,$I162)&gt;0,INDEX('Processed Non-zero TRI Data'!$A:$A,MATCH(1,($I162='Processed Non-zero TRI Data'!$I:$I)*(AA162='Processed Non-zero TRI Data'!$T:$T),0)))), VLOOKUP(I162,#REF!, 2, FALSE)), ("N/A - Facility Does Not Report to TRI"))</f>
        <v>N/A - Facility Does Not Report to TRI</v>
      </c>
      <c r="AD162" s="97" t="str" cm="1">
        <f t="array" ref="AD162">IFERROR(_xlfn.XLOOKUP(1,  (MAX(IF(I162 = 'Processed Non-zero TRI Data'!$I$2:$I$6,'Processed Non-zero TRI Data'!$A$2:$A$6)) = 'Processed Non-zero TRI Data'!$A$2:$A$6)*('Processed Non-zero TRI Data'!$I$2:$I$6 = I162), 'Processed Non-zero TRI Data'!$V$2:$V$6), "N/A- Facility Does Not Report to TRI")</f>
        <v>N/A- Facility Does Not Report to TRI</v>
      </c>
      <c r="AE162" s="9" t="str">
        <f t="shared" si="55"/>
        <v>N/A - Facility Does Not Report to TRI</v>
      </c>
      <c r="AF162" s="9" t="str" cm="1">
        <f t="array" ref="AF162">IF(COUNTIF('Processed Non-zero TRI Data'!$I:$I,$I162)&gt;0,MEDIAN(IF('Processed Non-zero TRI Data'!$I:$I=I162,'Processed Non-zero TRI Data'!$V:$V)), "N/A - Facility Does Not Report to TRI")</f>
        <v>N/A - Facility Does Not Report to TRI</v>
      </c>
      <c r="AG162" s="9" t="str">
        <f t="shared" si="56"/>
        <v>N/A - Facility Does Not Report to TRI</v>
      </c>
      <c r="AH162" s="9" t="str">
        <f>IF(COUNTIF('Processed Non-zero TRI Data'!$I:$I,$I162)&gt;0,_xlfn.MAXIFS('Processed Non-zero TRI Data'!$V:$V,'Processed Non-zero TRI Data'!$I:$I,$I162), "N/A - Facility Does Not Report to TRI")</f>
        <v>N/A - Facility Does Not Report to TRI</v>
      </c>
      <c r="AI162" s="9" t="str">
        <f t="shared" si="57"/>
        <v>N/A - Facility Does Not Report to TRI</v>
      </c>
      <c r="AJ162" s="158" t="str" cm="1">
        <f t="array" ref="AJ162">IF(B162="TRI Form A",AC162,IF(AH162=0,"Facility has no transfers to POTWs between 2019-2023.",IF(COUNTIF('Processed Non-zero TRI Data'!$I:$I,$I162)&gt;0,INDEX('Processed Non-zero TRI Data'!$A:$A,MATCH(1,($I162='Processed Non-zero TRI Data'!$I:$I)*(AH162='Processed Non-zero TRI Data'!$V:$V),0)),"N/A - Facility Does Not Report to TRI")))</f>
        <v>N/A - Facility Does Not Report to TRI</v>
      </c>
      <c r="AK162" s="97" t="str" cm="1">
        <f t="array" ref="AK162">IFERROR(_xlfn.XLOOKUP(1,  (MAX(IF(I162 = 'Processed Non-zero TRI Data'!$I$2:$I$6,'Processed Non-zero TRI Data'!$A$2:$A$6)) = 'Processed Non-zero TRI Data'!$A$2:$A$6)*('Processed Non-zero TRI Data'!$I$2:$I$6 = I162), 'Processed Non-zero TRI Data'!$X$2:$X$6), "N/A- Facility Does Not Report to TRI")</f>
        <v>N/A- Facility Does Not Report to TRI</v>
      </c>
      <c r="AL162" s="9" t="str">
        <f t="shared" si="58"/>
        <v>N/A - Facility Does Not Report to TRI</v>
      </c>
      <c r="AM162" s="9" t="str" cm="1">
        <f t="array" ref="AM162">IF(COUNTIF('Processed Non-zero TRI Data'!$I:$I,$I162)&gt;0,MEDIAN(IF('Processed Non-zero TRI Data'!$I:$I=I162,'Processed Non-zero TRI Data'!$X:$X)), "N/A - Facility Does Not Report to TRI")</f>
        <v>N/A - Facility Does Not Report to TRI</v>
      </c>
      <c r="AN162" s="9" t="str">
        <f t="shared" si="59"/>
        <v>N/A - Facility Does Not Report to TRI</v>
      </c>
      <c r="AO162" s="9" t="str">
        <f>IF(COUNTIF('Processed Non-zero TRI Data'!$I:$I,$I162)&gt;0,_xlfn.MAXIFS('Processed Non-zero TRI Data'!$X:$X,'Processed Non-zero TRI Data'!$I:$I,$I162), "N/A - Facility Does Not Report to TRI")</f>
        <v>N/A - Facility Does Not Report to TRI</v>
      </c>
      <c r="AP162" s="9" t="str">
        <f t="shared" si="60"/>
        <v>N/A - Facility Does Not Report to TRI</v>
      </c>
      <c r="AQ162" s="251" t="str" cm="1">
        <f t="array" ref="AQ162">IF(B162="TRI Form A",AC162,IF(AO162=0,"Facility has no transfers to non-POTWs between 2019-2023.",IF(COUNTIF('Processed Non-zero TRI Data'!$I:$I,$I162)&gt;0,INDEX('Processed Non-zero TRI Data'!$A:$A,MATCH(1,($I162='Processed Non-zero TRI Data'!$I:$I)*(AO162='Processed Non-zero TRI Data'!$X:$X),0)),"N/A - Facility Does Not Report to TRI")))</f>
        <v>N/A - Facility Does Not Report to TRI</v>
      </c>
      <c r="AR162" s="260">
        <f t="shared" si="61"/>
        <v>0</v>
      </c>
      <c r="AS162" s="260">
        <f t="shared" si="62"/>
        <v>19.372434312500001</v>
      </c>
    </row>
    <row r="163" spans="1:45" ht="30" x14ac:dyDescent="0.25">
      <c r="A163" s="12">
        <v>160</v>
      </c>
      <c r="B163" s="10" t="str">
        <f>IFERROR("TRI Form "&amp; VLOOKUP(I163, 'Processed Non-zero TRI Data'!$I$2:$K$6, 3, FALSE), "DMR")</f>
        <v>DMR</v>
      </c>
      <c r="C163" s="181" t="e">
        <f>VLOOKUP(D163,#REF!, 2, FALSE)</f>
        <v>#REF!</v>
      </c>
      <c r="D163" s="181" t="str">
        <f>IF(I163&lt;&gt;"",INDEX('Processed Non-zero TRI Data'!$O:$O,MATCH(I163,'Processed Non-zero TRI Data'!$I:$I,0)),INDEX('Processed Non-zero DMR Data'!$S:$S,MATCH(J163,'Processed Non-zero DMR Data'!$I:$I,0)))</f>
        <v>Waste Handling, Disposal and Treatment (POTW)</v>
      </c>
      <c r="E163" s="181" t="str">
        <f>IF(I163&lt;&gt;"",INDEX('Processed Non-zero TRI Data'!$P:$P,MATCH(I163,'Processed Non-zero TRI Data'!$I:$I,0)),INDEX('Processed Non-zero DMR Data'!$T:$T,MATCH(J163,'Processed Non-zero DMR Data'!$I:$I,0)))</f>
        <v>POTW indicator in DMR</v>
      </c>
      <c r="F163" s="9" t="str">
        <f>_xlfn.XLOOKUP(J163, 'Processed Non-zero DMR Data'!I:I, 'Processed Non-zero DMR Data'!B:B)</f>
        <v>JERRY L RILEY STP</v>
      </c>
      <c r="G163" s="9" t="str">
        <f>_xlfn.XLOOKUP(J163, 'Processed Non-zero DMR Data'!I:I, 'Processed Non-zero DMR Data'!C:C)</f>
        <v>BARDSTOWN</v>
      </c>
      <c r="H163" s="9" t="str">
        <f>_xlfn.XLOOKUP(J163, 'Processed Non-zero DMR Data'!I:I, 'Processed Non-zero DMR Data'!E:E)</f>
        <v>KY</v>
      </c>
      <c r="I163" s="12"/>
      <c r="J163" s="13">
        <v>110009933402</v>
      </c>
      <c r="K163" s="9" t="str">
        <f>IFERROR(INDEX('Raw Non-zero DMR Data'!$C:$C, MATCH(J163,'Raw Non-zero DMR Data'!$D:$D,0)),"")</f>
        <v>KY0104027</v>
      </c>
      <c r="L163" s="9" t="str">
        <f>IFERROR(INDEX('Raw Non-zero DMR Data'!$U:$U, MATCH($J163,'Raw Non-zero DMR Data'!$D:$D,0)),"")</f>
        <v>Buffalo Creek-Beech Fork</v>
      </c>
      <c r="M163" s="155" t="str">
        <f>IFERROR(INDEX('Raw Non-zero DMR Data'!$T:$T, MATCH($J163,'Raw Non-zero DMR Data'!$D:$D,0)),"")</f>
        <v>051401030306</v>
      </c>
      <c r="N163" s="155" t="str">
        <f>IFERROR(INDEX('Off-site Locations'!$E:$E,MATCH(I163,'Off-site Locations'!$B:$B,0)),"No offsite transfers")</f>
        <v>No offsite transfers</v>
      </c>
      <c r="O163" s="165">
        <f>INDEX('TRI and DMR OES Summary'!D:D,MATCH('Facility Discharge Summary'!D163,'TRI and DMR OES Summary'!A:A,0))</f>
        <v>365</v>
      </c>
      <c r="P163" s="17" cm="1">
        <f t="array" ref="P163">IFERROR(_xlfn.XLOOKUP(1,  (MAX(IF(J163 = 'Processed Non-zero DMR Data'!$I$2:$I$651,'Processed Non-zero DMR Data'!$A$2:$A$651)) = 'Processed Non-zero DMR Data'!$A$2:$A$651)*('Processed Non-zero DMR Data'!$I$2:$I$651 = J163),'Processed Non-zero DMR Data'!$W$2:$W$651), "N/A- Facility Does Not Report DMRs")</f>
        <v>1.6219103500000001</v>
      </c>
      <c r="Q163" s="10">
        <f t="shared" si="49"/>
        <v>4.4435899999999999E-3</v>
      </c>
      <c r="R163" s="10" cm="1">
        <f t="array" ref="R163">IF(COUNTIF('Processed Non-zero DMR Data'!$I:$I,$J163)&gt;0,MEDIAN(IF('Processed Non-zero DMR Data'!$I:$I=J163,'Processed Non-zero DMR Data'!$W:$W)),"N/A - Facility Does Not Report DMRs")</f>
        <v>1.421589225</v>
      </c>
      <c r="S163" s="10">
        <f t="shared" si="50"/>
        <v>3.8947649999999997E-3</v>
      </c>
      <c r="T163" s="10">
        <f>IF(COUNTIF('Processed Non-zero DMR Data'!$I:$I,$J163)&gt;0,_xlfn.MAXIFS('Processed Non-zero DMR Data'!$W:$W,'Processed Non-zero DMR Data'!$I:$I,$J163), "N/A - Facility Does Not Report DMRs")</f>
        <v>1.6219103500000001</v>
      </c>
      <c r="U163" s="10">
        <f t="shared" si="51"/>
        <v>4.4435899999999999E-3</v>
      </c>
      <c r="V163" s="158" cm="1">
        <f t="array" ref="V163">IF(COUNTIF('Processed Non-zero DMR Data'!$I:$I,$J163)&gt;0,INDEX('Processed Non-zero DMR Data'!$A:$A,MATCH(1,($J163='Processed Non-zero DMR Data'!$I:$I)*($T163='Processed Non-zero DMR Data'!$W:$W),0)), "N/A - Facility Does Not Report DMRs")</f>
        <v>2021</v>
      </c>
      <c r="W163" s="17" t="str" cm="1">
        <f t="array" ref="W163">IFERROR(_xlfn.XLOOKUP(1,  (MAX(IF(I163 = 'Processed Non-zero TRI Data'!$I$2:$I$6,'Processed Non-zero TRI Data'!$A$2:$A$6)) = 'Processed Non-zero TRI Data'!$A$2:$A$6)*('Processed Non-zero TRI Data'!$I$2:$I$6 = I163), 'Processed Non-zero TRI Data'!$T$2:$T$6), "N/A- Facility Does Not Report to TRI")</f>
        <v>N/A- Facility Does Not Report to TRI</v>
      </c>
      <c r="X163" s="10" t="str">
        <f t="shared" si="52"/>
        <v>N/A - Facility Does Not Report to TRI</v>
      </c>
      <c r="Y163" s="10" t="str" cm="1">
        <f t="array" ref="Y163">IF(COUNTIF('Processed Non-zero TRI Data'!$I:$I,$I163)&gt;0,MEDIAN(IF('Processed Non-zero TRI Data'!$I:$I=I163,'Processed Non-zero TRI Data'!$T:$T)), "N/A - Facility Does Not Report to TRI")</f>
        <v>N/A - Facility Does Not Report to TRI</v>
      </c>
      <c r="Z163" s="10" t="str">
        <f t="shared" si="53"/>
        <v>N/A - Facility Does Not Report to TRI</v>
      </c>
      <c r="AA163" s="10" t="str">
        <f>IF(COUNTIF('Processed Non-zero TRI Data'!$I:$I,$I163)&gt;0,_xlfn.MAXIFS('Processed Non-zero TRI Data'!$T:$T,'Processed Non-zero TRI Data'!$I:$I,$I163), "N/A - Facility Does Not Report to TRI")</f>
        <v>N/A - Facility Does Not Report to TRI</v>
      </c>
      <c r="AB163" s="10" t="str">
        <f t="shared" si="54"/>
        <v>N/A - Facility Does Not Report to TRI</v>
      </c>
      <c r="AC163" s="158" t="str" cm="1">
        <f t="array" ref="AC163">IFERROR(IF(B163 = "TRI Form R", IF(AA163 = 0, "Facility has no on-site water discharges between 2017-2022.",  IF(COUNTIF('Processed Non-zero TRI Data'!$I:$I,$I163)&gt;0,INDEX('Processed Non-zero TRI Data'!$A:$A,MATCH(1,($I163='Processed Non-zero TRI Data'!$I:$I)*(AA163='Processed Non-zero TRI Data'!$T:$T),0)))), VLOOKUP(I163,#REF!, 2, FALSE)), ("N/A - Facility Does Not Report to TRI"))</f>
        <v>N/A - Facility Does Not Report to TRI</v>
      </c>
      <c r="AD163" s="97" t="str" cm="1">
        <f t="array" ref="AD163">IFERROR(_xlfn.XLOOKUP(1,  (MAX(IF(I163 = 'Processed Non-zero TRI Data'!$I$2:$I$6,'Processed Non-zero TRI Data'!$A$2:$A$6)) = 'Processed Non-zero TRI Data'!$A$2:$A$6)*('Processed Non-zero TRI Data'!$I$2:$I$6 = I163), 'Processed Non-zero TRI Data'!$V$2:$V$6), "N/A- Facility Does Not Report to TRI")</f>
        <v>N/A- Facility Does Not Report to TRI</v>
      </c>
      <c r="AE163" s="9" t="str">
        <f t="shared" si="55"/>
        <v>N/A - Facility Does Not Report to TRI</v>
      </c>
      <c r="AF163" s="9" t="str" cm="1">
        <f t="array" ref="AF163">IF(COUNTIF('Processed Non-zero TRI Data'!$I:$I,$I163)&gt;0,MEDIAN(IF('Processed Non-zero TRI Data'!$I:$I=I163,'Processed Non-zero TRI Data'!$V:$V)), "N/A - Facility Does Not Report to TRI")</f>
        <v>N/A - Facility Does Not Report to TRI</v>
      </c>
      <c r="AG163" s="9" t="str">
        <f t="shared" si="56"/>
        <v>N/A - Facility Does Not Report to TRI</v>
      </c>
      <c r="AH163" s="9" t="str">
        <f>IF(COUNTIF('Processed Non-zero TRI Data'!$I:$I,$I163)&gt;0,_xlfn.MAXIFS('Processed Non-zero TRI Data'!$V:$V,'Processed Non-zero TRI Data'!$I:$I,$I163), "N/A - Facility Does Not Report to TRI")</f>
        <v>N/A - Facility Does Not Report to TRI</v>
      </c>
      <c r="AI163" s="9" t="str">
        <f t="shared" si="57"/>
        <v>N/A - Facility Does Not Report to TRI</v>
      </c>
      <c r="AJ163" s="158" t="str" cm="1">
        <f t="array" ref="AJ163">IF(B163="TRI Form A",AC163,IF(AH163=0,"Facility has no transfers to POTWs between 2019-2023.",IF(COUNTIF('Processed Non-zero TRI Data'!$I:$I,$I163)&gt;0,INDEX('Processed Non-zero TRI Data'!$A:$A,MATCH(1,($I163='Processed Non-zero TRI Data'!$I:$I)*(AH163='Processed Non-zero TRI Data'!$V:$V),0)),"N/A - Facility Does Not Report to TRI")))</f>
        <v>N/A - Facility Does Not Report to TRI</v>
      </c>
      <c r="AK163" s="97" t="str" cm="1">
        <f t="array" ref="AK163">IFERROR(_xlfn.XLOOKUP(1,  (MAX(IF(I163 = 'Processed Non-zero TRI Data'!$I$2:$I$6,'Processed Non-zero TRI Data'!$A$2:$A$6)) = 'Processed Non-zero TRI Data'!$A$2:$A$6)*('Processed Non-zero TRI Data'!$I$2:$I$6 = I163), 'Processed Non-zero TRI Data'!$X$2:$X$6), "N/A- Facility Does Not Report to TRI")</f>
        <v>N/A- Facility Does Not Report to TRI</v>
      </c>
      <c r="AL163" s="9" t="str">
        <f t="shared" si="58"/>
        <v>N/A - Facility Does Not Report to TRI</v>
      </c>
      <c r="AM163" s="9" t="str" cm="1">
        <f t="array" ref="AM163">IF(COUNTIF('Processed Non-zero TRI Data'!$I:$I,$I163)&gt;0,MEDIAN(IF('Processed Non-zero TRI Data'!$I:$I=I163,'Processed Non-zero TRI Data'!$X:$X)), "N/A - Facility Does Not Report to TRI")</f>
        <v>N/A - Facility Does Not Report to TRI</v>
      </c>
      <c r="AN163" s="9" t="str">
        <f t="shared" si="59"/>
        <v>N/A - Facility Does Not Report to TRI</v>
      </c>
      <c r="AO163" s="9" t="str">
        <f>IF(COUNTIF('Processed Non-zero TRI Data'!$I:$I,$I163)&gt;0,_xlfn.MAXIFS('Processed Non-zero TRI Data'!$X:$X,'Processed Non-zero TRI Data'!$I:$I,$I163), "N/A - Facility Does Not Report to TRI")</f>
        <v>N/A - Facility Does Not Report to TRI</v>
      </c>
      <c r="AP163" s="9" t="str">
        <f t="shared" si="60"/>
        <v>N/A - Facility Does Not Report to TRI</v>
      </c>
      <c r="AQ163" s="251" t="str" cm="1">
        <f t="array" ref="AQ163">IF(B163="TRI Form A",AC163,IF(AO163=0,"Facility has no transfers to non-POTWs between 2019-2023.",IF(COUNTIF('Processed Non-zero TRI Data'!$I:$I,$I163)&gt;0,INDEX('Processed Non-zero TRI Data'!$A:$A,MATCH(1,($I163='Processed Non-zero TRI Data'!$I:$I)*(AO163='Processed Non-zero TRI Data'!$X:$X),0)),"N/A - Facility Does Not Report to TRI")))</f>
        <v>N/A - Facility Does Not Report to TRI</v>
      </c>
      <c r="AR163" s="260">
        <f t="shared" si="61"/>
        <v>0</v>
      </c>
      <c r="AS163" s="260">
        <f t="shared" si="62"/>
        <v>1.6219103500000001</v>
      </c>
    </row>
    <row r="164" spans="1:45" ht="30" x14ac:dyDescent="0.25">
      <c r="A164" s="12">
        <v>161</v>
      </c>
      <c r="B164" s="10" t="str">
        <f>IFERROR("TRI Form "&amp; VLOOKUP(I164, 'Processed Non-zero TRI Data'!$I$2:$K$6, 3, FALSE), "DMR")</f>
        <v>DMR</v>
      </c>
      <c r="C164" s="181" t="e">
        <f>VLOOKUP(D164,#REF!, 2, FALSE)</f>
        <v>#REF!</v>
      </c>
      <c r="D164" s="181" t="str">
        <f>IF(I164&lt;&gt;"",INDEX('Processed Non-zero TRI Data'!$O:$O,MATCH(I164,'Processed Non-zero TRI Data'!$I:$I,0)),INDEX('Processed Non-zero DMR Data'!$S:$S,MATCH(J164,'Processed Non-zero DMR Data'!$I:$I,0)))</f>
        <v>Waste Handling, Disposal and Treatment (POTW)</v>
      </c>
      <c r="E164" s="181" t="str">
        <f>IF(I164&lt;&gt;"",INDEX('Processed Non-zero TRI Data'!$P:$P,MATCH(I164,'Processed Non-zero TRI Data'!$I:$I,0)),INDEX('Processed Non-zero DMR Data'!$T:$T,MATCH(J164,'Processed Non-zero DMR Data'!$I:$I,0)))</f>
        <v>POTW indicator in DMR</v>
      </c>
      <c r="F164" s="9" t="str">
        <f>_xlfn.XLOOKUP(J164, 'Processed Non-zero DMR Data'!I:I, 'Processed Non-zero DMR Data'!B:B)</f>
        <v>GREENUP JOINT SEWER AGENCY</v>
      </c>
      <c r="G164" s="9" t="str">
        <f>_xlfn.XLOOKUP(J164, 'Processed Non-zero DMR Data'!I:I, 'Processed Non-zero DMR Data'!C:C)</f>
        <v>WURTLAND</v>
      </c>
      <c r="H164" s="9" t="str">
        <f>_xlfn.XLOOKUP(J164, 'Processed Non-zero DMR Data'!I:I, 'Processed Non-zero DMR Data'!E:E)</f>
        <v>KY</v>
      </c>
      <c r="I164" s="12"/>
      <c r="J164" s="13">
        <v>110000759723</v>
      </c>
      <c r="K164" s="9" t="str">
        <f>IFERROR(INDEX('Raw Non-zero DMR Data'!$C:$C, MATCH(J164,'Raw Non-zero DMR Data'!$D:$D,0)),"")</f>
        <v>KY0033553</v>
      </c>
      <c r="L164" s="9" t="str">
        <f>IFERROR(INDEX('Raw Non-zero DMR Data'!$U:$U, MATCH($J164,'Raw Non-zero DMR Data'!$D:$D,0)),"")</f>
        <v>Pond Run-Ohio River</v>
      </c>
      <c r="M164" s="155" t="str">
        <f>IFERROR(INDEX('Raw Non-zero DMR Data'!$T:$T, MATCH($J164,'Raw Non-zero DMR Data'!$D:$D,0)),"")</f>
        <v>050901030105</v>
      </c>
      <c r="N164" s="155" t="str">
        <f>IFERROR(INDEX('Off-site Locations'!$E:$E,MATCH(I164,'Off-site Locations'!$B:$B,0)),"No offsite transfers")</f>
        <v>No offsite transfers</v>
      </c>
      <c r="O164" s="165">
        <f>INDEX('TRI and DMR OES Summary'!D:D,MATCH('Facility Discharge Summary'!D164,'TRI and DMR OES Summary'!A:A,0))</f>
        <v>365</v>
      </c>
      <c r="P164" s="17" cm="1">
        <f t="array" ref="P164">IFERROR(_xlfn.XLOOKUP(1,  (MAX(IF(J164 = 'Processed Non-zero DMR Data'!$I$2:$I$651,'Processed Non-zero DMR Data'!$A$2:$A$651)) = 'Processed Non-zero DMR Data'!$A$2:$A$651)*('Processed Non-zero DMR Data'!$I$2:$I$651 = J164),'Processed Non-zero DMR Data'!$W$2:$W$651), "N/A- Facility Does Not Report DMRs")</f>
        <v>1.0050594374999999</v>
      </c>
      <c r="Q164" s="10">
        <f t="shared" si="49"/>
        <v>2.7535874999999998E-3</v>
      </c>
      <c r="R164" s="10" cm="1">
        <f t="array" ref="R164">IF(COUNTIF('Processed Non-zero DMR Data'!$I:$I,$J164)&gt;0,MEDIAN(IF('Processed Non-zero DMR Data'!$I:$I=J164,'Processed Non-zero DMR Data'!$W:$W)),"N/A - Facility Does Not Report DMRs")</f>
        <v>1.1932922187499999</v>
      </c>
      <c r="S164" s="10">
        <f t="shared" si="50"/>
        <v>3.2692937499999995E-3</v>
      </c>
      <c r="T164" s="10">
        <f>IF(COUNTIF('Processed Non-zero DMR Data'!$I:$I,$J164)&gt;0,_xlfn.MAXIFS('Processed Non-zero DMR Data'!$W:$W,'Processed Non-zero DMR Data'!$I:$I,$J164), "N/A - Facility Does Not Report DMRs")</f>
        <v>1.3815249999999999</v>
      </c>
      <c r="U164" s="10">
        <f t="shared" si="51"/>
        <v>3.7849999999999997E-3</v>
      </c>
      <c r="V164" s="158" cm="1">
        <f t="array" ref="V164">IF(COUNTIF('Processed Non-zero DMR Data'!$I:$I,$J164)&gt;0,INDEX('Processed Non-zero DMR Data'!$A:$A,MATCH(1,($J164='Processed Non-zero DMR Data'!$I:$I)*($T164='Processed Non-zero DMR Data'!$W:$W),0)), "N/A - Facility Does Not Report DMRs")</f>
        <v>2020</v>
      </c>
      <c r="W164" s="17" t="str" cm="1">
        <f t="array" ref="W164">IFERROR(_xlfn.XLOOKUP(1,  (MAX(IF(I164 = 'Processed Non-zero TRI Data'!$I$2:$I$6,'Processed Non-zero TRI Data'!$A$2:$A$6)) = 'Processed Non-zero TRI Data'!$A$2:$A$6)*('Processed Non-zero TRI Data'!$I$2:$I$6 = I164), 'Processed Non-zero TRI Data'!$T$2:$T$6), "N/A- Facility Does Not Report to TRI")</f>
        <v>N/A- Facility Does Not Report to TRI</v>
      </c>
      <c r="X164" s="10" t="str">
        <f t="shared" si="52"/>
        <v>N/A - Facility Does Not Report to TRI</v>
      </c>
      <c r="Y164" s="10" t="str" cm="1">
        <f t="array" ref="Y164">IF(COUNTIF('Processed Non-zero TRI Data'!$I:$I,$I164)&gt;0,MEDIAN(IF('Processed Non-zero TRI Data'!$I:$I=I164,'Processed Non-zero TRI Data'!$T:$T)), "N/A - Facility Does Not Report to TRI")</f>
        <v>N/A - Facility Does Not Report to TRI</v>
      </c>
      <c r="Z164" s="10" t="str">
        <f t="shared" si="53"/>
        <v>N/A - Facility Does Not Report to TRI</v>
      </c>
      <c r="AA164" s="10" t="str">
        <f>IF(COUNTIF('Processed Non-zero TRI Data'!$I:$I,$I164)&gt;0,_xlfn.MAXIFS('Processed Non-zero TRI Data'!$T:$T,'Processed Non-zero TRI Data'!$I:$I,$I164), "N/A - Facility Does Not Report to TRI")</f>
        <v>N/A - Facility Does Not Report to TRI</v>
      </c>
      <c r="AB164" s="10" t="str">
        <f t="shared" si="54"/>
        <v>N/A - Facility Does Not Report to TRI</v>
      </c>
      <c r="AC164" s="158" t="str" cm="1">
        <f t="array" ref="AC164">IFERROR(IF(B164 = "TRI Form R", IF(AA164 = 0, "Facility has no on-site water discharges between 2017-2022.",  IF(COUNTIF('Processed Non-zero TRI Data'!$I:$I,$I164)&gt;0,INDEX('Processed Non-zero TRI Data'!$A:$A,MATCH(1,($I164='Processed Non-zero TRI Data'!$I:$I)*(AA164='Processed Non-zero TRI Data'!$T:$T),0)))), VLOOKUP(I164,#REF!, 2, FALSE)), ("N/A - Facility Does Not Report to TRI"))</f>
        <v>N/A - Facility Does Not Report to TRI</v>
      </c>
      <c r="AD164" s="97" t="str" cm="1">
        <f t="array" ref="AD164">IFERROR(_xlfn.XLOOKUP(1,  (MAX(IF(I164 = 'Processed Non-zero TRI Data'!$I$2:$I$6,'Processed Non-zero TRI Data'!$A$2:$A$6)) = 'Processed Non-zero TRI Data'!$A$2:$A$6)*('Processed Non-zero TRI Data'!$I$2:$I$6 = I164), 'Processed Non-zero TRI Data'!$V$2:$V$6), "N/A- Facility Does Not Report to TRI")</f>
        <v>N/A- Facility Does Not Report to TRI</v>
      </c>
      <c r="AE164" s="9" t="str">
        <f t="shared" si="55"/>
        <v>N/A - Facility Does Not Report to TRI</v>
      </c>
      <c r="AF164" s="9" t="str" cm="1">
        <f t="array" ref="AF164">IF(COUNTIF('Processed Non-zero TRI Data'!$I:$I,$I164)&gt;0,MEDIAN(IF('Processed Non-zero TRI Data'!$I:$I=I164,'Processed Non-zero TRI Data'!$V:$V)), "N/A - Facility Does Not Report to TRI")</f>
        <v>N/A - Facility Does Not Report to TRI</v>
      </c>
      <c r="AG164" s="9" t="str">
        <f t="shared" si="56"/>
        <v>N/A - Facility Does Not Report to TRI</v>
      </c>
      <c r="AH164" s="9" t="str">
        <f>IF(COUNTIF('Processed Non-zero TRI Data'!$I:$I,$I164)&gt;0,_xlfn.MAXIFS('Processed Non-zero TRI Data'!$V:$V,'Processed Non-zero TRI Data'!$I:$I,$I164), "N/A - Facility Does Not Report to TRI")</f>
        <v>N/A - Facility Does Not Report to TRI</v>
      </c>
      <c r="AI164" s="9" t="str">
        <f t="shared" si="57"/>
        <v>N/A - Facility Does Not Report to TRI</v>
      </c>
      <c r="AJ164" s="158" t="str" cm="1">
        <f t="array" ref="AJ164">IF(B164="TRI Form A",AC164,IF(AH164=0,"Facility has no transfers to POTWs between 2019-2023.",IF(COUNTIF('Processed Non-zero TRI Data'!$I:$I,$I164)&gt;0,INDEX('Processed Non-zero TRI Data'!$A:$A,MATCH(1,($I164='Processed Non-zero TRI Data'!$I:$I)*(AH164='Processed Non-zero TRI Data'!$V:$V),0)),"N/A - Facility Does Not Report to TRI")))</f>
        <v>N/A - Facility Does Not Report to TRI</v>
      </c>
      <c r="AK164" s="97" t="str" cm="1">
        <f t="array" ref="AK164">IFERROR(_xlfn.XLOOKUP(1,  (MAX(IF(I164 = 'Processed Non-zero TRI Data'!$I$2:$I$6,'Processed Non-zero TRI Data'!$A$2:$A$6)) = 'Processed Non-zero TRI Data'!$A$2:$A$6)*('Processed Non-zero TRI Data'!$I$2:$I$6 = I164), 'Processed Non-zero TRI Data'!$X$2:$X$6), "N/A- Facility Does Not Report to TRI")</f>
        <v>N/A- Facility Does Not Report to TRI</v>
      </c>
      <c r="AL164" s="9" t="str">
        <f t="shared" si="58"/>
        <v>N/A - Facility Does Not Report to TRI</v>
      </c>
      <c r="AM164" s="9" t="str" cm="1">
        <f t="array" ref="AM164">IF(COUNTIF('Processed Non-zero TRI Data'!$I:$I,$I164)&gt;0,MEDIAN(IF('Processed Non-zero TRI Data'!$I:$I=I164,'Processed Non-zero TRI Data'!$X:$X)), "N/A - Facility Does Not Report to TRI")</f>
        <v>N/A - Facility Does Not Report to TRI</v>
      </c>
      <c r="AN164" s="9" t="str">
        <f t="shared" si="59"/>
        <v>N/A - Facility Does Not Report to TRI</v>
      </c>
      <c r="AO164" s="9" t="str">
        <f>IF(COUNTIF('Processed Non-zero TRI Data'!$I:$I,$I164)&gt;0,_xlfn.MAXIFS('Processed Non-zero TRI Data'!$X:$X,'Processed Non-zero TRI Data'!$I:$I,$I164), "N/A - Facility Does Not Report to TRI")</f>
        <v>N/A - Facility Does Not Report to TRI</v>
      </c>
      <c r="AP164" s="9" t="str">
        <f t="shared" si="60"/>
        <v>N/A - Facility Does Not Report to TRI</v>
      </c>
      <c r="AQ164" s="251" t="str" cm="1">
        <f t="array" ref="AQ164">IF(B164="TRI Form A",AC164,IF(AO164=0,"Facility has no transfers to non-POTWs between 2019-2023.",IF(COUNTIF('Processed Non-zero TRI Data'!$I:$I,$I164)&gt;0,INDEX('Processed Non-zero TRI Data'!$A:$A,MATCH(1,($I164='Processed Non-zero TRI Data'!$I:$I)*(AO164='Processed Non-zero TRI Data'!$X:$X),0)),"N/A - Facility Does Not Report to TRI")))</f>
        <v>N/A - Facility Does Not Report to TRI</v>
      </c>
      <c r="AR164" s="260">
        <f t="shared" si="61"/>
        <v>0</v>
      </c>
      <c r="AS164" s="260">
        <f t="shared" si="62"/>
        <v>1.3815249999999999</v>
      </c>
    </row>
    <row r="165" spans="1:45" ht="30" x14ac:dyDescent="0.25">
      <c r="A165" s="12">
        <v>162</v>
      </c>
      <c r="B165" s="10" t="str">
        <f>IFERROR("TRI Form "&amp; VLOOKUP(I165, 'Processed Non-zero TRI Data'!$I$2:$K$6, 3, FALSE), "DMR")</f>
        <v>DMR</v>
      </c>
      <c r="C165" s="181" t="e">
        <f>VLOOKUP(D165,#REF!, 2, FALSE)</f>
        <v>#REF!</v>
      </c>
      <c r="D165" s="181" t="str">
        <f>IF(I165&lt;&gt;"",INDEX('Processed Non-zero TRI Data'!$O:$O,MATCH(I165,'Processed Non-zero TRI Data'!$I:$I,0)),INDEX('Processed Non-zero DMR Data'!$S:$S,MATCH(J165,'Processed Non-zero DMR Data'!$I:$I,0)))</f>
        <v>Waste Handling, Disposal and Treatment (POTW)</v>
      </c>
      <c r="E165" s="181" t="str">
        <f>IF(I165&lt;&gt;"",INDEX('Processed Non-zero TRI Data'!$P:$P,MATCH(I165,'Processed Non-zero TRI Data'!$I:$I,0)),INDEX('Processed Non-zero DMR Data'!$T:$T,MATCH(J165,'Processed Non-zero DMR Data'!$I:$I,0)))</f>
        <v>POTW indicator in DMR</v>
      </c>
      <c r="F165" s="9" t="str">
        <f>_xlfn.XLOOKUP(J165, 'Processed Non-zero DMR Data'!I:I, 'Processed Non-zero DMR Data'!B:B)</f>
        <v>DANVILLE STP</v>
      </c>
      <c r="G165" s="9" t="str">
        <f>_xlfn.XLOOKUP(J165, 'Processed Non-zero DMR Data'!I:I, 'Processed Non-zero DMR Data'!C:C)</f>
        <v>DANVILLE</v>
      </c>
      <c r="H165" s="9" t="str">
        <f>_xlfn.XLOOKUP(J165, 'Processed Non-zero DMR Data'!I:I, 'Processed Non-zero DMR Data'!E:E)</f>
        <v>KY</v>
      </c>
      <c r="I165" s="12"/>
      <c r="J165" s="13">
        <v>110000732351</v>
      </c>
      <c r="K165" s="9" t="str">
        <f>IFERROR(INDEX('Raw Non-zero DMR Data'!$C:$C, MATCH(J165,'Raw Non-zero DMR Data'!$D:$D,0)),"")</f>
        <v>KY0057193</v>
      </c>
      <c r="L165" s="9" t="str">
        <f>IFERROR(INDEX('Raw Non-zero DMR Data'!$U:$U, MATCH($J165,'Raw Non-zero DMR Data'!$D:$D,0)),"")</f>
        <v>Clarks Run</v>
      </c>
      <c r="M165" s="155" t="str">
        <f>IFERROR(INDEX('Raw Non-zero DMR Data'!$T:$T, MATCH($J165,'Raw Non-zero DMR Data'!$D:$D,0)),"")</f>
        <v>051002050505</v>
      </c>
      <c r="N165" s="155" t="str">
        <f>IFERROR(INDEX('Off-site Locations'!$E:$E,MATCH(I165,'Off-site Locations'!$B:$B,0)),"No offsite transfers")</f>
        <v>No offsite transfers</v>
      </c>
      <c r="O165" s="165">
        <f>INDEX('TRI and DMR OES Summary'!D:D,MATCH('Facility Discharge Summary'!D165,'TRI and DMR OES Summary'!A:A,0))</f>
        <v>365</v>
      </c>
      <c r="P165" s="17" cm="1">
        <f t="array" ref="P165">IFERROR(_xlfn.XLOOKUP(1,  (MAX(IF(J165 = 'Processed Non-zero DMR Data'!$I$2:$I$651,'Processed Non-zero DMR Data'!$A$2:$A$651)) = 'Processed Non-zero DMR Data'!$A$2:$A$651)*('Processed Non-zero DMR Data'!$I$2:$I$651 = J165),'Processed Non-zero DMR Data'!$W$2:$W$651), "N/A- Facility Does Not Report DMRs")</f>
        <v>15.404003749999999</v>
      </c>
      <c r="Q165" s="10">
        <f t="shared" si="49"/>
        <v>4.2202749999999997E-2</v>
      </c>
      <c r="R165" s="10" cm="1">
        <f t="array" ref="R165">IF(COUNTIF('Processed Non-zero DMR Data'!$I:$I,$J165)&gt;0,MEDIAN(IF('Processed Non-zero DMR Data'!$I:$I=J165,'Processed Non-zero DMR Data'!$W:$W)),"N/A - Facility Does Not Report DMRs")</f>
        <v>20.412031875</v>
      </c>
      <c r="S165" s="10">
        <f t="shared" si="50"/>
        <v>5.5923374999999997E-2</v>
      </c>
      <c r="T165" s="10">
        <f>IF(COUNTIF('Processed Non-zero DMR Data'!$I:$I,$J165)&gt;0,_xlfn.MAXIFS('Processed Non-zero DMR Data'!$W:$W,'Processed Non-zero DMR Data'!$I:$I,$J165), "N/A - Facility Does Not Report DMRs")</f>
        <v>25.316445625</v>
      </c>
      <c r="U165" s="10">
        <f t="shared" si="51"/>
        <v>6.9360124999999995E-2</v>
      </c>
      <c r="V165" s="158" cm="1">
        <f t="array" ref="V165">IF(COUNTIF('Processed Non-zero DMR Data'!$I:$I,$J165)&gt;0,INDEX('Processed Non-zero DMR Data'!$A:$A,MATCH(1,($J165='Processed Non-zero DMR Data'!$I:$I)*($T165='Processed Non-zero DMR Data'!$W:$W),0)), "N/A - Facility Does Not Report DMRs")</f>
        <v>2021</v>
      </c>
      <c r="W165" s="17" t="str" cm="1">
        <f t="array" ref="W165">IFERROR(_xlfn.XLOOKUP(1,  (MAX(IF(I165 = 'Processed Non-zero TRI Data'!$I$2:$I$6,'Processed Non-zero TRI Data'!$A$2:$A$6)) = 'Processed Non-zero TRI Data'!$A$2:$A$6)*('Processed Non-zero TRI Data'!$I$2:$I$6 = I165), 'Processed Non-zero TRI Data'!$T$2:$T$6), "N/A- Facility Does Not Report to TRI")</f>
        <v>N/A- Facility Does Not Report to TRI</v>
      </c>
      <c r="X165" s="10" t="str">
        <f t="shared" si="52"/>
        <v>N/A - Facility Does Not Report to TRI</v>
      </c>
      <c r="Y165" s="10" t="str" cm="1">
        <f t="array" ref="Y165">IF(COUNTIF('Processed Non-zero TRI Data'!$I:$I,$I165)&gt;0,MEDIAN(IF('Processed Non-zero TRI Data'!$I:$I=I165,'Processed Non-zero TRI Data'!$T:$T)), "N/A - Facility Does Not Report to TRI")</f>
        <v>N/A - Facility Does Not Report to TRI</v>
      </c>
      <c r="Z165" s="10" t="str">
        <f t="shared" si="53"/>
        <v>N/A - Facility Does Not Report to TRI</v>
      </c>
      <c r="AA165" s="10" t="str">
        <f>IF(COUNTIF('Processed Non-zero TRI Data'!$I:$I,$I165)&gt;0,_xlfn.MAXIFS('Processed Non-zero TRI Data'!$T:$T,'Processed Non-zero TRI Data'!$I:$I,$I165), "N/A - Facility Does Not Report to TRI")</f>
        <v>N/A - Facility Does Not Report to TRI</v>
      </c>
      <c r="AB165" s="10" t="str">
        <f t="shared" si="54"/>
        <v>N/A - Facility Does Not Report to TRI</v>
      </c>
      <c r="AC165" s="158" t="str" cm="1">
        <f t="array" ref="AC165">IFERROR(IF(B165 = "TRI Form R", IF(AA165 = 0, "Facility has no on-site water discharges between 2017-2022.",  IF(COUNTIF('Processed Non-zero TRI Data'!$I:$I,$I165)&gt;0,INDEX('Processed Non-zero TRI Data'!$A:$A,MATCH(1,($I165='Processed Non-zero TRI Data'!$I:$I)*(AA165='Processed Non-zero TRI Data'!$T:$T),0)))), VLOOKUP(I165,#REF!, 2, FALSE)), ("N/A - Facility Does Not Report to TRI"))</f>
        <v>N/A - Facility Does Not Report to TRI</v>
      </c>
      <c r="AD165" s="97" t="str" cm="1">
        <f t="array" ref="AD165">IFERROR(_xlfn.XLOOKUP(1,  (MAX(IF(I165 = 'Processed Non-zero TRI Data'!$I$2:$I$6,'Processed Non-zero TRI Data'!$A$2:$A$6)) = 'Processed Non-zero TRI Data'!$A$2:$A$6)*('Processed Non-zero TRI Data'!$I$2:$I$6 = I165), 'Processed Non-zero TRI Data'!$V$2:$V$6), "N/A- Facility Does Not Report to TRI")</f>
        <v>N/A- Facility Does Not Report to TRI</v>
      </c>
      <c r="AE165" s="9" t="str">
        <f t="shared" si="55"/>
        <v>N/A - Facility Does Not Report to TRI</v>
      </c>
      <c r="AF165" s="9" t="str" cm="1">
        <f t="array" ref="AF165">IF(COUNTIF('Processed Non-zero TRI Data'!$I:$I,$I165)&gt;0,MEDIAN(IF('Processed Non-zero TRI Data'!$I:$I=I165,'Processed Non-zero TRI Data'!$V:$V)), "N/A - Facility Does Not Report to TRI")</f>
        <v>N/A - Facility Does Not Report to TRI</v>
      </c>
      <c r="AG165" s="9" t="str">
        <f t="shared" si="56"/>
        <v>N/A - Facility Does Not Report to TRI</v>
      </c>
      <c r="AH165" s="9" t="str">
        <f>IF(COUNTIF('Processed Non-zero TRI Data'!$I:$I,$I165)&gt;0,_xlfn.MAXIFS('Processed Non-zero TRI Data'!$V:$V,'Processed Non-zero TRI Data'!$I:$I,$I165), "N/A - Facility Does Not Report to TRI")</f>
        <v>N/A - Facility Does Not Report to TRI</v>
      </c>
      <c r="AI165" s="9" t="str">
        <f t="shared" si="57"/>
        <v>N/A - Facility Does Not Report to TRI</v>
      </c>
      <c r="AJ165" s="158" t="str" cm="1">
        <f t="array" ref="AJ165">IF(B165="TRI Form A",AC165,IF(AH165=0,"Facility has no transfers to POTWs between 2019-2023.",IF(COUNTIF('Processed Non-zero TRI Data'!$I:$I,$I165)&gt;0,INDEX('Processed Non-zero TRI Data'!$A:$A,MATCH(1,($I165='Processed Non-zero TRI Data'!$I:$I)*(AH165='Processed Non-zero TRI Data'!$V:$V),0)),"N/A - Facility Does Not Report to TRI")))</f>
        <v>N/A - Facility Does Not Report to TRI</v>
      </c>
      <c r="AK165" s="97" t="str" cm="1">
        <f t="array" ref="AK165">IFERROR(_xlfn.XLOOKUP(1,  (MAX(IF(I165 = 'Processed Non-zero TRI Data'!$I$2:$I$6,'Processed Non-zero TRI Data'!$A$2:$A$6)) = 'Processed Non-zero TRI Data'!$A$2:$A$6)*('Processed Non-zero TRI Data'!$I$2:$I$6 = I165), 'Processed Non-zero TRI Data'!$X$2:$X$6), "N/A- Facility Does Not Report to TRI")</f>
        <v>N/A- Facility Does Not Report to TRI</v>
      </c>
      <c r="AL165" s="9" t="str">
        <f t="shared" si="58"/>
        <v>N/A - Facility Does Not Report to TRI</v>
      </c>
      <c r="AM165" s="9" t="str" cm="1">
        <f t="array" ref="AM165">IF(COUNTIF('Processed Non-zero TRI Data'!$I:$I,$I165)&gt;0,MEDIAN(IF('Processed Non-zero TRI Data'!$I:$I=I165,'Processed Non-zero TRI Data'!$X:$X)), "N/A - Facility Does Not Report to TRI")</f>
        <v>N/A - Facility Does Not Report to TRI</v>
      </c>
      <c r="AN165" s="9" t="str">
        <f t="shared" si="59"/>
        <v>N/A - Facility Does Not Report to TRI</v>
      </c>
      <c r="AO165" s="9" t="str">
        <f>IF(COUNTIF('Processed Non-zero TRI Data'!$I:$I,$I165)&gt;0,_xlfn.MAXIFS('Processed Non-zero TRI Data'!$X:$X,'Processed Non-zero TRI Data'!$I:$I,$I165), "N/A - Facility Does Not Report to TRI")</f>
        <v>N/A - Facility Does Not Report to TRI</v>
      </c>
      <c r="AP165" s="9" t="str">
        <f t="shared" si="60"/>
        <v>N/A - Facility Does Not Report to TRI</v>
      </c>
      <c r="AQ165" s="251" t="str" cm="1">
        <f t="array" ref="AQ165">IF(B165="TRI Form A",AC165,IF(AO165=0,"Facility has no transfers to non-POTWs between 2019-2023.",IF(COUNTIF('Processed Non-zero TRI Data'!$I:$I,$I165)&gt;0,INDEX('Processed Non-zero TRI Data'!$A:$A,MATCH(1,($I165='Processed Non-zero TRI Data'!$I:$I)*(AO165='Processed Non-zero TRI Data'!$X:$X),0)),"N/A - Facility Does Not Report to TRI")))</f>
        <v>N/A - Facility Does Not Report to TRI</v>
      </c>
      <c r="AR165" s="260">
        <f t="shared" si="61"/>
        <v>0</v>
      </c>
      <c r="AS165" s="260">
        <f t="shared" si="62"/>
        <v>25.316445625</v>
      </c>
    </row>
    <row r="166" spans="1:45" ht="30" x14ac:dyDescent="0.25">
      <c r="A166" s="12">
        <v>163</v>
      </c>
      <c r="B166" s="10" t="str">
        <f>IFERROR("TRI Form "&amp; VLOOKUP(I166, 'Processed Non-zero TRI Data'!$I$2:$K$6, 3, FALSE), "DMR")</f>
        <v>DMR</v>
      </c>
      <c r="C166" s="181" t="e">
        <f>VLOOKUP(D166,#REF!, 2, FALSE)</f>
        <v>#REF!</v>
      </c>
      <c r="D166" s="181" t="str">
        <f>IF(I166&lt;&gt;"",INDEX('Processed Non-zero TRI Data'!$O:$O,MATCH(I166,'Processed Non-zero TRI Data'!$I:$I,0)),INDEX('Processed Non-zero DMR Data'!$S:$S,MATCH(J166,'Processed Non-zero DMR Data'!$I:$I,0)))</f>
        <v>Waste Handling, Disposal and Treatment (POTW)</v>
      </c>
      <c r="E166" s="181" t="str">
        <f>IF(I166&lt;&gt;"",INDEX('Processed Non-zero TRI Data'!$P:$P,MATCH(I166,'Processed Non-zero TRI Data'!$I:$I,0)),INDEX('Processed Non-zero DMR Data'!$T:$T,MATCH(J166,'Processed Non-zero DMR Data'!$I:$I,0)))</f>
        <v>POTW indicator in DMR</v>
      </c>
      <c r="F166" s="9" t="str">
        <f>_xlfn.XLOOKUP(J166, 'Processed Non-zero DMR Data'!I:I, 'Processed Non-zero DMR Data'!B:B)</f>
        <v>RED RIVER WWTP</v>
      </c>
      <c r="G166" s="9" t="str">
        <f>_xlfn.XLOOKUP(J166, 'Processed Non-zero DMR Data'!I:I, 'Processed Non-zero DMR Data'!C:C)</f>
        <v>STANTON</v>
      </c>
      <c r="H166" s="9" t="str">
        <f>_xlfn.XLOOKUP(J166, 'Processed Non-zero DMR Data'!I:I, 'Processed Non-zero DMR Data'!E:E)</f>
        <v>KY</v>
      </c>
      <c r="I166" s="12"/>
      <c r="J166" s="13">
        <v>110009938470</v>
      </c>
      <c r="K166" s="9" t="str">
        <f>IFERROR(INDEX('Raw Non-zero DMR Data'!$C:$C, MATCH(J166,'Raw Non-zero DMR Data'!$D:$D,0)),"")</f>
        <v>KY0034428</v>
      </c>
      <c r="L166" s="9" t="str">
        <f>IFERROR(INDEX('Raw Non-zero DMR Data'!$U:$U, MATCH($J166,'Raw Non-zero DMR Data'!$D:$D,0)),"")</f>
        <v>Black Creek-Red River</v>
      </c>
      <c r="M166" s="155" t="str">
        <f>IFERROR(INDEX('Raw Non-zero DMR Data'!$T:$T, MATCH($J166,'Raw Non-zero DMR Data'!$D:$D,0)),"")</f>
        <v>051002040302</v>
      </c>
      <c r="N166" s="155" t="str">
        <f>IFERROR(INDEX('Off-site Locations'!$E:$E,MATCH(I166,'Off-site Locations'!$B:$B,0)),"No offsite transfers")</f>
        <v>No offsite transfers</v>
      </c>
      <c r="O166" s="165">
        <f>INDEX('TRI and DMR OES Summary'!D:D,MATCH('Facility Discharge Summary'!D166,'TRI and DMR OES Summary'!A:A,0))</f>
        <v>365</v>
      </c>
      <c r="P166" s="17" cm="1">
        <f t="array" ref="P166">IFERROR(_xlfn.XLOOKUP(1,  (MAX(IF(J166 = 'Processed Non-zero DMR Data'!$I$2:$I$651,'Processed Non-zero DMR Data'!$A$2:$A$651)) = 'Processed Non-zero DMR Data'!$A$2:$A$651)*('Processed Non-zero DMR Data'!$I$2:$I$651 = J166),'Processed Non-zero DMR Data'!$W$2:$W$651), "N/A- Facility Does Not Report DMRs")</f>
        <v>3.9718843750000001</v>
      </c>
      <c r="Q166" s="10">
        <f t="shared" si="49"/>
        <v>1.0881875000000001E-2</v>
      </c>
      <c r="R166" s="10" cm="1">
        <f t="array" ref="R166">IF(COUNTIF('Processed Non-zero DMR Data'!$I:$I,$J166)&gt;0,MEDIAN(IF('Processed Non-zero DMR Data'!$I:$I=J166,'Processed Non-zero DMR Data'!$W:$W)),"N/A - Facility Does Not Report DMRs")</f>
        <v>3.9718843750000001</v>
      </c>
      <c r="S166" s="10">
        <f t="shared" si="50"/>
        <v>1.0881875000000001E-2</v>
      </c>
      <c r="T166" s="10">
        <f>IF(COUNTIF('Processed Non-zero DMR Data'!$I:$I,$J166)&gt;0,_xlfn.MAXIFS('Processed Non-zero DMR Data'!$W:$W,'Processed Non-zero DMR Data'!$I:$I,$J166), "N/A - Facility Does Not Report DMRs")</f>
        <v>3.9718843750000001</v>
      </c>
      <c r="U166" s="10">
        <f t="shared" si="51"/>
        <v>1.0881875000000001E-2</v>
      </c>
      <c r="V166" s="158" cm="1">
        <f t="array" ref="V166">IF(COUNTIF('Processed Non-zero DMR Data'!$I:$I,$J166)&gt;0,INDEX('Processed Non-zero DMR Data'!$A:$A,MATCH(1,($J166='Processed Non-zero DMR Data'!$I:$I)*($T166='Processed Non-zero DMR Data'!$W:$W),0)), "N/A - Facility Does Not Report DMRs")</f>
        <v>2021</v>
      </c>
      <c r="W166" s="17" t="str" cm="1">
        <f t="array" ref="W166">IFERROR(_xlfn.XLOOKUP(1,  (MAX(IF(I166 = 'Processed Non-zero TRI Data'!$I$2:$I$6,'Processed Non-zero TRI Data'!$A$2:$A$6)) = 'Processed Non-zero TRI Data'!$A$2:$A$6)*('Processed Non-zero TRI Data'!$I$2:$I$6 = I166), 'Processed Non-zero TRI Data'!$T$2:$T$6), "N/A- Facility Does Not Report to TRI")</f>
        <v>N/A- Facility Does Not Report to TRI</v>
      </c>
      <c r="X166" s="10" t="str">
        <f t="shared" si="52"/>
        <v>N/A - Facility Does Not Report to TRI</v>
      </c>
      <c r="Y166" s="10" t="str" cm="1">
        <f t="array" ref="Y166">IF(COUNTIF('Processed Non-zero TRI Data'!$I:$I,$I166)&gt;0,MEDIAN(IF('Processed Non-zero TRI Data'!$I:$I=I166,'Processed Non-zero TRI Data'!$T:$T)), "N/A - Facility Does Not Report to TRI")</f>
        <v>N/A - Facility Does Not Report to TRI</v>
      </c>
      <c r="Z166" s="10" t="str">
        <f t="shared" si="53"/>
        <v>N/A - Facility Does Not Report to TRI</v>
      </c>
      <c r="AA166" s="10" t="str">
        <f>IF(COUNTIF('Processed Non-zero TRI Data'!$I:$I,$I166)&gt;0,_xlfn.MAXIFS('Processed Non-zero TRI Data'!$T:$T,'Processed Non-zero TRI Data'!$I:$I,$I166), "N/A - Facility Does Not Report to TRI")</f>
        <v>N/A - Facility Does Not Report to TRI</v>
      </c>
      <c r="AB166" s="10" t="str">
        <f t="shared" si="54"/>
        <v>N/A - Facility Does Not Report to TRI</v>
      </c>
      <c r="AC166" s="158" t="str" cm="1">
        <f t="array" ref="AC166">IFERROR(IF(B166 = "TRI Form R", IF(AA166 = 0, "Facility has no on-site water discharges between 2017-2022.",  IF(COUNTIF('Processed Non-zero TRI Data'!$I:$I,$I166)&gt;0,INDEX('Processed Non-zero TRI Data'!$A:$A,MATCH(1,($I166='Processed Non-zero TRI Data'!$I:$I)*(AA166='Processed Non-zero TRI Data'!$T:$T),0)))), VLOOKUP(I166,#REF!, 2, FALSE)), ("N/A - Facility Does Not Report to TRI"))</f>
        <v>N/A - Facility Does Not Report to TRI</v>
      </c>
      <c r="AD166" s="97" t="str" cm="1">
        <f t="array" ref="AD166">IFERROR(_xlfn.XLOOKUP(1,  (MAX(IF(I166 = 'Processed Non-zero TRI Data'!$I$2:$I$6,'Processed Non-zero TRI Data'!$A$2:$A$6)) = 'Processed Non-zero TRI Data'!$A$2:$A$6)*('Processed Non-zero TRI Data'!$I$2:$I$6 = I166), 'Processed Non-zero TRI Data'!$V$2:$V$6), "N/A- Facility Does Not Report to TRI")</f>
        <v>N/A- Facility Does Not Report to TRI</v>
      </c>
      <c r="AE166" s="9" t="str">
        <f t="shared" si="55"/>
        <v>N/A - Facility Does Not Report to TRI</v>
      </c>
      <c r="AF166" s="9" t="str" cm="1">
        <f t="array" ref="AF166">IF(COUNTIF('Processed Non-zero TRI Data'!$I:$I,$I166)&gt;0,MEDIAN(IF('Processed Non-zero TRI Data'!$I:$I=I166,'Processed Non-zero TRI Data'!$V:$V)), "N/A - Facility Does Not Report to TRI")</f>
        <v>N/A - Facility Does Not Report to TRI</v>
      </c>
      <c r="AG166" s="9" t="str">
        <f t="shared" si="56"/>
        <v>N/A - Facility Does Not Report to TRI</v>
      </c>
      <c r="AH166" s="9" t="str">
        <f>IF(COUNTIF('Processed Non-zero TRI Data'!$I:$I,$I166)&gt;0,_xlfn.MAXIFS('Processed Non-zero TRI Data'!$V:$V,'Processed Non-zero TRI Data'!$I:$I,$I166), "N/A - Facility Does Not Report to TRI")</f>
        <v>N/A - Facility Does Not Report to TRI</v>
      </c>
      <c r="AI166" s="9" t="str">
        <f t="shared" si="57"/>
        <v>N/A - Facility Does Not Report to TRI</v>
      </c>
      <c r="AJ166" s="158" t="str" cm="1">
        <f t="array" ref="AJ166">IF(B166="TRI Form A",AC166,IF(AH166=0,"Facility has no transfers to POTWs between 2019-2023.",IF(COUNTIF('Processed Non-zero TRI Data'!$I:$I,$I166)&gt;0,INDEX('Processed Non-zero TRI Data'!$A:$A,MATCH(1,($I166='Processed Non-zero TRI Data'!$I:$I)*(AH166='Processed Non-zero TRI Data'!$V:$V),0)),"N/A - Facility Does Not Report to TRI")))</f>
        <v>N/A - Facility Does Not Report to TRI</v>
      </c>
      <c r="AK166" s="97" t="str" cm="1">
        <f t="array" ref="AK166">IFERROR(_xlfn.XLOOKUP(1,  (MAX(IF(I166 = 'Processed Non-zero TRI Data'!$I$2:$I$6,'Processed Non-zero TRI Data'!$A$2:$A$6)) = 'Processed Non-zero TRI Data'!$A$2:$A$6)*('Processed Non-zero TRI Data'!$I$2:$I$6 = I166), 'Processed Non-zero TRI Data'!$X$2:$X$6), "N/A- Facility Does Not Report to TRI")</f>
        <v>N/A- Facility Does Not Report to TRI</v>
      </c>
      <c r="AL166" s="9" t="str">
        <f t="shared" si="58"/>
        <v>N/A - Facility Does Not Report to TRI</v>
      </c>
      <c r="AM166" s="9" t="str" cm="1">
        <f t="array" ref="AM166">IF(COUNTIF('Processed Non-zero TRI Data'!$I:$I,$I166)&gt;0,MEDIAN(IF('Processed Non-zero TRI Data'!$I:$I=I166,'Processed Non-zero TRI Data'!$X:$X)), "N/A - Facility Does Not Report to TRI")</f>
        <v>N/A - Facility Does Not Report to TRI</v>
      </c>
      <c r="AN166" s="9" t="str">
        <f t="shared" si="59"/>
        <v>N/A - Facility Does Not Report to TRI</v>
      </c>
      <c r="AO166" s="9" t="str">
        <f>IF(COUNTIF('Processed Non-zero TRI Data'!$I:$I,$I166)&gt;0,_xlfn.MAXIFS('Processed Non-zero TRI Data'!$X:$X,'Processed Non-zero TRI Data'!$I:$I,$I166), "N/A - Facility Does Not Report to TRI")</f>
        <v>N/A - Facility Does Not Report to TRI</v>
      </c>
      <c r="AP166" s="9" t="str">
        <f t="shared" si="60"/>
        <v>N/A - Facility Does Not Report to TRI</v>
      </c>
      <c r="AQ166" s="251" t="str" cm="1">
        <f t="array" ref="AQ166">IF(B166="TRI Form A",AC166,IF(AO166=0,"Facility has no transfers to non-POTWs between 2019-2023.",IF(COUNTIF('Processed Non-zero TRI Data'!$I:$I,$I166)&gt;0,INDEX('Processed Non-zero TRI Data'!$A:$A,MATCH(1,($I166='Processed Non-zero TRI Data'!$I:$I)*(AO166='Processed Non-zero TRI Data'!$X:$X),0)),"N/A - Facility Does Not Report to TRI")))</f>
        <v>N/A - Facility Does Not Report to TRI</v>
      </c>
      <c r="AR166" s="260">
        <f t="shared" si="61"/>
        <v>0</v>
      </c>
      <c r="AS166" s="260">
        <f t="shared" si="62"/>
        <v>3.9718843750000001</v>
      </c>
    </row>
    <row r="167" spans="1:45" ht="30" x14ac:dyDescent="0.25">
      <c r="A167" s="12">
        <v>164</v>
      </c>
      <c r="B167" s="10" t="str">
        <f>IFERROR("TRI Form "&amp; VLOOKUP(I167, 'Processed Non-zero TRI Data'!$I$2:$K$6, 3, FALSE), "DMR")</f>
        <v>DMR</v>
      </c>
      <c r="C167" s="181" t="e">
        <f>VLOOKUP(D167,#REF!, 2, FALSE)</f>
        <v>#REF!</v>
      </c>
      <c r="D167" s="181" t="str">
        <f>IF(I167&lt;&gt;"",INDEX('Processed Non-zero TRI Data'!$O:$O,MATCH(I167,'Processed Non-zero TRI Data'!$I:$I,0)),INDEX('Processed Non-zero DMR Data'!$S:$S,MATCH(J167,'Processed Non-zero DMR Data'!$I:$I,0)))</f>
        <v>Waste Handling, Disposal and Treatment (POTW)</v>
      </c>
      <c r="E167" s="181" t="str">
        <f>IF(I167&lt;&gt;"",INDEX('Processed Non-zero TRI Data'!$P:$P,MATCH(I167,'Processed Non-zero TRI Data'!$I:$I,0)),INDEX('Processed Non-zero DMR Data'!$T:$T,MATCH(J167,'Processed Non-zero DMR Data'!$I:$I,0)))</f>
        <v>POTW indicator in DMR</v>
      </c>
      <c r="F167" s="9" t="str">
        <f>_xlfn.XLOOKUP(J167, 'Processed Non-zero DMR Data'!I:I, 'Processed Non-zero DMR Data'!B:B)</f>
        <v>OLDHAM COUNTY ENVIRONMENTAL AUTHORITY REGIONAL WWTP</v>
      </c>
      <c r="G167" s="9" t="str">
        <f>_xlfn.XLOOKUP(J167, 'Processed Non-zero DMR Data'!I:I, 'Processed Non-zero DMR Data'!C:C)</f>
        <v>CRESTWOOD</v>
      </c>
      <c r="H167" s="9" t="str">
        <f>_xlfn.XLOOKUP(J167, 'Processed Non-zero DMR Data'!I:I, 'Processed Non-zero DMR Data'!E:E)</f>
        <v>KY</v>
      </c>
      <c r="I167" s="12"/>
      <c r="J167" s="13">
        <v>110064615590</v>
      </c>
      <c r="K167" s="9" t="str">
        <f>IFERROR(INDEX('Raw Non-zero DMR Data'!$C:$C, MATCH(J167,'Raw Non-zero DMR Data'!$D:$D,0)),"")</f>
        <v>KY0111716</v>
      </c>
      <c r="L167" s="9" t="str">
        <f>IFERROR(INDEX('Raw Non-zero DMR Data'!$U:$U, MATCH($J167,'Raw Non-zero DMR Data'!$D:$D,0)),"")</f>
        <v>South Fork Harrods Creek</v>
      </c>
      <c r="M167" s="155" t="str">
        <f>IFERROR(INDEX('Raw Non-zero DMR Data'!$T:$T, MATCH($J167,'Raw Non-zero DMR Data'!$D:$D,0)),"")</f>
        <v>051401010504</v>
      </c>
      <c r="N167" s="155" t="str">
        <f>IFERROR(INDEX('Off-site Locations'!$E:$E,MATCH(I167,'Off-site Locations'!$B:$B,0)),"No offsite transfers")</f>
        <v>No offsite transfers</v>
      </c>
      <c r="O167" s="165">
        <f>INDEX('TRI and DMR OES Summary'!D:D,MATCH('Facility Discharge Summary'!D167,'TRI and DMR OES Summary'!A:A,0))</f>
        <v>365</v>
      </c>
      <c r="P167" s="17" cm="1">
        <f t="array" ref="P167">IFERROR(_xlfn.XLOOKUP(1,  (MAX(IF(J167 = 'Processed Non-zero DMR Data'!$I$2:$I$651,'Processed Non-zero DMR Data'!$A$2:$A$651)) = 'Processed Non-zero DMR Data'!$A$2:$A$651)*('Processed Non-zero DMR Data'!$I$2:$I$651 = J167),'Processed Non-zero DMR Data'!$W$2:$W$651), "N/A- Facility Does Not Report DMRs")</f>
        <v>0.74256968749999996</v>
      </c>
      <c r="Q167" s="10">
        <f t="shared" si="49"/>
        <v>2.0344374999999998E-3</v>
      </c>
      <c r="R167" s="10" cm="1">
        <f t="array" ref="R167">IF(COUNTIF('Processed Non-zero DMR Data'!$I:$I,$J167)&gt;0,MEDIAN(IF('Processed Non-zero DMR Data'!$I:$I=J167,'Processed Non-zero DMR Data'!$W:$W)),"N/A - Facility Does Not Report DMRs")</f>
        <v>0.97397512500000005</v>
      </c>
      <c r="S167" s="10">
        <f t="shared" si="50"/>
        <v>2.6684250000000003E-3</v>
      </c>
      <c r="T167" s="10">
        <f>IF(COUNTIF('Processed Non-zero DMR Data'!$I:$I,$J167)&gt;0,_xlfn.MAXIFS('Processed Non-zero DMR Data'!$W:$W,'Processed Non-zero DMR Data'!$I:$I,$J167), "N/A - Facility Does Not Report DMRs")</f>
        <v>1.1846576874999999</v>
      </c>
      <c r="U167" s="10">
        <f t="shared" si="51"/>
        <v>3.2456374999999997E-3</v>
      </c>
      <c r="V167" s="158" cm="1">
        <f t="array" ref="V167">IF(COUNTIF('Processed Non-zero DMR Data'!$I:$I,$J167)&gt;0,INDEX('Processed Non-zero DMR Data'!$A:$A,MATCH(1,($J167='Processed Non-zero DMR Data'!$I:$I)*($T167='Processed Non-zero DMR Data'!$W:$W),0)), "N/A - Facility Does Not Report DMRs")</f>
        <v>2021</v>
      </c>
      <c r="W167" s="17" t="str" cm="1">
        <f t="array" ref="W167">IFERROR(_xlfn.XLOOKUP(1,  (MAX(IF(I167 = 'Processed Non-zero TRI Data'!$I$2:$I$6,'Processed Non-zero TRI Data'!$A$2:$A$6)) = 'Processed Non-zero TRI Data'!$A$2:$A$6)*('Processed Non-zero TRI Data'!$I$2:$I$6 = I167), 'Processed Non-zero TRI Data'!$T$2:$T$6), "N/A- Facility Does Not Report to TRI")</f>
        <v>N/A- Facility Does Not Report to TRI</v>
      </c>
      <c r="X167" s="10" t="str">
        <f t="shared" si="52"/>
        <v>N/A - Facility Does Not Report to TRI</v>
      </c>
      <c r="Y167" s="10" t="str" cm="1">
        <f t="array" ref="Y167">IF(COUNTIF('Processed Non-zero TRI Data'!$I:$I,$I167)&gt;0,MEDIAN(IF('Processed Non-zero TRI Data'!$I:$I=I167,'Processed Non-zero TRI Data'!$T:$T)), "N/A - Facility Does Not Report to TRI")</f>
        <v>N/A - Facility Does Not Report to TRI</v>
      </c>
      <c r="Z167" s="10" t="str">
        <f t="shared" si="53"/>
        <v>N/A - Facility Does Not Report to TRI</v>
      </c>
      <c r="AA167" s="10" t="str">
        <f>IF(COUNTIF('Processed Non-zero TRI Data'!$I:$I,$I167)&gt;0,_xlfn.MAXIFS('Processed Non-zero TRI Data'!$T:$T,'Processed Non-zero TRI Data'!$I:$I,$I167), "N/A - Facility Does Not Report to TRI")</f>
        <v>N/A - Facility Does Not Report to TRI</v>
      </c>
      <c r="AB167" s="10" t="str">
        <f t="shared" si="54"/>
        <v>N/A - Facility Does Not Report to TRI</v>
      </c>
      <c r="AC167" s="158" t="str" cm="1">
        <f t="array" ref="AC167">IFERROR(IF(B167 = "TRI Form R", IF(AA167 = 0, "Facility has no on-site water discharges between 2017-2022.",  IF(COUNTIF('Processed Non-zero TRI Data'!$I:$I,$I167)&gt;0,INDEX('Processed Non-zero TRI Data'!$A:$A,MATCH(1,($I167='Processed Non-zero TRI Data'!$I:$I)*(AA167='Processed Non-zero TRI Data'!$T:$T),0)))), VLOOKUP(I167,#REF!, 2, FALSE)), ("N/A - Facility Does Not Report to TRI"))</f>
        <v>N/A - Facility Does Not Report to TRI</v>
      </c>
      <c r="AD167" s="97" t="str" cm="1">
        <f t="array" ref="AD167">IFERROR(_xlfn.XLOOKUP(1,  (MAX(IF(I167 = 'Processed Non-zero TRI Data'!$I$2:$I$6,'Processed Non-zero TRI Data'!$A$2:$A$6)) = 'Processed Non-zero TRI Data'!$A$2:$A$6)*('Processed Non-zero TRI Data'!$I$2:$I$6 = I167), 'Processed Non-zero TRI Data'!$V$2:$V$6), "N/A- Facility Does Not Report to TRI")</f>
        <v>N/A- Facility Does Not Report to TRI</v>
      </c>
      <c r="AE167" s="9" t="str">
        <f t="shared" si="55"/>
        <v>N/A - Facility Does Not Report to TRI</v>
      </c>
      <c r="AF167" s="9" t="str" cm="1">
        <f t="array" ref="AF167">IF(COUNTIF('Processed Non-zero TRI Data'!$I:$I,$I167)&gt;0,MEDIAN(IF('Processed Non-zero TRI Data'!$I:$I=I167,'Processed Non-zero TRI Data'!$V:$V)), "N/A - Facility Does Not Report to TRI")</f>
        <v>N/A - Facility Does Not Report to TRI</v>
      </c>
      <c r="AG167" s="9" t="str">
        <f t="shared" si="56"/>
        <v>N/A - Facility Does Not Report to TRI</v>
      </c>
      <c r="AH167" s="9" t="str">
        <f>IF(COUNTIF('Processed Non-zero TRI Data'!$I:$I,$I167)&gt;0,_xlfn.MAXIFS('Processed Non-zero TRI Data'!$V:$V,'Processed Non-zero TRI Data'!$I:$I,$I167), "N/A - Facility Does Not Report to TRI")</f>
        <v>N/A - Facility Does Not Report to TRI</v>
      </c>
      <c r="AI167" s="9" t="str">
        <f t="shared" si="57"/>
        <v>N/A - Facility Does Not Report to TRI</v>
      </c>
      <c r="AJ167" s="158" t="str" cm="1">
        <f t="array" ref="AJ167">IF(B167="TRI Form A",AC167,IF(AH167=0,"Facility has no transfers to POTWs between 2019-2023.",IF(COUNTIF('Processed Non-zero TRI Data'!$I:$I,$I167)&gt;0,INDEX('Processed Non-zero TRI Data'!$A:$A,MATCH(1,($I167='Processed Non-zero TRI Data'!$I:$I)*(AH167='Processed Non-zero TRI Data'!$V:$V),0)),"N/A - Facility Does Not Report to TRI")))</f>
        <v>N/A - Facility Does Not Report to TRI</v>
      </c>
      <c r="AK167" s="97" t="str" cm="1">
        <f t="array" ref="AK167">IFERROR(_xlfn.XLOOKUP(1,  (MAX(IF(I167 = 'Processed Non-zero TRI Data'!$I$2:$I$6,'Processed Non-zero TRI Data'!$A$2:$A$6)) = 'Processed Non-zero TRI Data'!$A$2:$A$6)*('Processed Non-zero TRI Data'!$I$2:$I$6 = I167), 'Processed Non-zero TRI Data'!$X$2:$X$6), "N/A- Facility Does Not Report to TRI")</f>
        <v>N/A- Facility Does Not Report to TRI</v>
      </c>
      <c r="AL167" s="9" t="str">
        <f t="shared" si="58"/>
        <v>N/A - Facility Does Not Report to TRI</v>
      </c>
      <c r="AM167" s="9" t="str" cm="1">
        <f t="array" ref="AM167">IF(COUNTIF('Processed Non-zero TRI Data'!$I:$I,$I167)&gt;0,MEDIAN(IF('Processed Non-zero TRI Data'!$I:$I=I167,'Processed Non-zero TRI Data'!$X:$X)), "N/A - Facility Does Not Report to TRI")</f>
        <v>N/A - Facility Does Not Report to TRI</v>
      </c>
      <c r="AN167" s="9" t="str">
        <f t="shared" si="59"/>
        <v>N/A - Facility Does Not Report to TRI</v>
      </c>
      <c r="AO167" s="9" t="str">
        <f>IF(COUNTIF('Processed Non-zero TRI Data'!$I:$I,$I167)&gt;0,_xlfn.MAXIFS('Processed Non-zero TRI Data'!$X:$X,'Processed Non-zero TRI Data'!$I:$I,$I167), "N/A - Facility Does Not Report to TRI")</f>
        <v>N/A - Facility Does Not Report to TRI</v>
      </c>
      <c r="AP167" s="9" t="str">
        <f t="shared" si="60"/>
        <v>N/A - Facility Does Not Report to TRI</v>
      </c>
      <c r="AQ167" s="251" t="str" cm="1">
        <f t="array" ref="AQ167">IF(B167="TRI Form A",AC167,IF(AO167=0,"Facility has no transfers to non-POTWs between 2019-2023.",IF(COUNTIF('Processed Non-zero TRI Data'!$I:$I,$I167)&gt;0,INDEX('Processed Non-zero TRI Data'!$A:$A,MATCH(1,($I167='Processed Non-zero TRI Data'!$I:$I)*(AO167='Processed Non-zero TRI Data'!$X:$X),0)),"N/A - Facility Does Not Report to TRI")))</f>
        <v>N/A - Facility Does Not Report to TRI</v>
      </c>
      <c r="AR167" s="260">
        <f t="shared" si="61"/>
        <v>0</v>
      </c>
      <c r="AS167" s="260">
        <f t="shared" si="62"/>
        <v>1.1846576874999999</v>
      </c>
    </row>
    <row r="168" spans="1:45" ht="30" x14ac:dyDescent="0.25">
      <c r="A168" s="12">
        <v>165</v>
      </c>
      <c r="B168" s="10" t="str">
        <f>IFERROR("TRI Form "&amp; VLOOKUP(I168, 'Processed Non-zero TRI Data'!$I$2:$K$6, 3, FALSE), "DMR")</f>
        <v>DMR</v>
      </c>
      <c r="C168" s="181" t="e">
        <f>VLOOKUP(D168,#REF!, 2, FALSE)</f>
        <v>#REF!</v>
      </c>
      <c r="D168" s="181" t="str">
        <f>IF(I168&lt;&gt;"",INDEX('Processed Non-zero TRI Data'!$O:$O,MATCH(I168,'Processed Non-zero TRI Data'!$I:$I,0)),INDEX('Processed Non-zero DMR Data'!$S:$S,MATCH(J168,'Processed Non-zero DMR Data'!$I:$I,0)))</f>
        <v>Unknown</v>
      </c>
      <c r="E168" s="181" t="str">
        <f>IF(I168&lt;&gt;"",INDEX('Processed Non-zero TRI Data'!$P:$P,MATCH(I168,'Processed Non-zero TRI Data'!$I:$I,0)),INDEX('Processed Non-zero DMR Data'!$T:$T,MATCH(J168,'Processed Non-zero DMR Data'!$I:$I,0)))</f>
        <v>Facility is an oil field; no OES to map to.</v>
      </c>
      <c r="F168" s="9" t="str">
        <f>_xlfn.XLOOKUP(J168, 'Processed Non-zero DMR Data'!I:I, 'Processed Non-zero DMR Data'!B:B)</f>
        <v>INGLEWOOD OIL FIELD</v>
      </c>
      <c r="G168" s="9" t="str">
        <f>_xlfn.XLOOKUP(J168, 'Processed Non-zero DMR Data'!I:I, 'Processed Non-zero DMR Data'!C:C)</f>
        <v>LOS ANGELES</v>
      </c>
      <c r="H168" s="9" t="str">
        <f>_xlfn.XLOOKUP(J168, 'Processed Non-zero DMR Data'!I:I, 'Processed Non-zero DMR Data'!E:E)</f>
        <v>CA</v>
      </c>
      <c r="I168" s="12"/>
      <c r="J168" s="13">
        <v>110064624018</v>
      </c>
      <c r="K168" s="9" t="str">
        <f>IFERROR(INDEX('Raw Non-zero DMR Data'!$C:$C, MATCH(J168,'Raw Non-zero DMR Data'!$D:$D,0)),"")</f>
        <v>CA0057827</v>
      </c>
      <c r="L168" s="9" t="str">
        <f>IFERROR(INDEX('Raw Non-zero DMR Data'!$U:$U, MATCH($J168,'Raw Non-zero DMR Data'!$D:$D,0)),"")</f>
        <v>Ballona Creek</v>
      </c>
      <c r="M168" s="155">
        <f>IFERROR(INDEX('Raw Non-zero DMR Data'!$T:$T, MATCH($J168,'Raw Non-zero DMR Data'!$D:$D,0)),"")</f>
        <v>180701040300</v>
      </c>
      <c r="N168" s="155" t="str">
        <f>IFERROR(INDEX('Off-site Locations'!$E:$E,MATCH(I168,'Off-site Locations'!$B:$B,0)),"No offsite transfers")</f>
        <v>No offsite transfers</v>
      </c>
      <c r="O168" s="165">
        <f>INDEX('TRI and DMR OES Summary'!D:D,MATCH('Facility Discharge Summary'!D168,'TRI and DMR OES Summary'!A:A,0))</f>
        <v>250</v>
      </c>
      <c r="P168" s="17" cm="1">
        <f t="array" ref="P168">IFERROR(_xlfn.XLOOKUP(1,  (MAX(IF(J168 = 'Processed Non-zero DMR Data'!$I$2:$I$651,'Processed Non-zero DMR Data'!$A$2:$A$651)) = 'Processed Non-zero DMR Data'!$A$2:$A$651)*('Processed Non-zero DMR Data'!$I$2:$I$651 = J168),'Processed Non-zero DMR Data'!$W$2:$W$651), "N/A- Facility Does Not Report DMRs")</f>
        <v>0.20771228375</v>
      </c>
      <c r="Q168" s="10">
        <f t="shared" si="49"/>
        <v>8.3084913500000004E-4</v>
      </c>
      <c r="R168" s="10" cm="1">
        <f t="array" ref="R168">IF(COUNTIF('Processed Non-zero DMR Data'!$I:$I,$J168)&gt;0,MEDIAN(IF('Processed Non-zero DMR Data'!$I:$I=J168,'Processed Non-zero DMR Data'!$W:$W)),"N/A - Facility Does Not Report DMRs")</f>
        <v>0.195036791875</v>
      </c>
      <c r="S168" s="10">
        <f t="shared" si="50"/>
        <v>7.801471675E-4</v>
      </c>
      <c r="T168" s="10">
        <f>IF(COUNTIF('Processed Non-zero DMR Data'!$I:$I,$J168)&gt;0,_xlfn.MAXIFS('Processed Non-zero DMR Data'!$W:$W,'Processed Non-zero DMR Data'!$I:$I,$J168), "N/A - Facility Does Not Report DMRs")</f>
        <v>0.69490707500000004</v>
      </c>
      <c r="U168" s="10">
        <f t="shared" si="51"/>
        <v>2.7796283000000002E-3</v>
      </c>
      <c r="V168" s="158" cm="1">
        <f t="array" ref="V168">IF(COUNTIF('Processed Non-zero DMR Data'!$I:$I,$J168)&gt;0,INDEX('Processed Non-zero DMR Data'!$A:$A,MATCH(1,($J168='Processed Non-zero DMR Data'!$I:$I)*($T168='Processed Non-zero DMR Data'!$W:$W),0)), "N/A - Facility Does Not Report DMRs")</f>
        <v>2022</v>
      </c>
      <c r="W168" s="17" t="str" cm="1">
        <f t="array" ref="W168">IFERROR(_xlfn.XLOOKUP(1,  (MAX(IF(I168 = 'Processed Non-zero TRI Data'!$I$2:$I$6,'Processed Non-zero TRI Data'!$A$2:$A$6)) = 'Processed Non-zero TRI Data'!$A$2:$A$6)*('Processed Non-zero TRI Data'!$I$2:$I$6 = I168), 'Processed Non-zero TRI Data'!$T$2:$T$6), "N/A- Facility Does Not Report to TRI")</f>
        <v>N/A- Facility Does Not Report to TRI</v>
      </c>
      <c r="X168" s="10" t="str">
        <f t="shared" si="52"/>
        <v>N/A - Facility Does Not Report to TRI</v>
      </c>
      <c r="Y168" s="10" t="str" cm="1">
        <f t="array" ref="Y168">IF(COUNTIF('Processed Non-zero TRI Data'!$I:$I,$I168)&gt;0,MEDIAN(IF('Processed Non-zero TRI Data'!$I:$I=I168,'Processed Non-zero TRI Data'!$T:$T)), "N/A - Facility Does Not Report to TRI")</f>
        <v>N/A - Facility Does Not Report to TRI</v>
      </c>
      <c r="Z168" s="10" t="str">
        <f t="shared" si="53"/>
        <v>N/A - Facility Does Not Report to TRI</v>
      </c>
      <c r="AA168" s="10" t="str">
        <f>IF(COUNTIF('Processed Non-zero TRI Data'!$I:$I,$I168)&gt;0,_xlfn.MAXIFS('Processed Non-zero TRI Data'!$T:$T,'Processed Non-zero TRI Data'!$I:$I,$I168), "N/A - Facility Does Not Report to TRI")</f>
        <v>N/A - Facility Does Not Report to TRI</v>
      </c>
      <c r="AB168" s="10" t="str">
        <f t="shared" si="54"/>
        <v>N/A - Facility Does Not Report to TRI</v>
      </c>
      <c r="AC168" s="158" t="str" cm="1">
        <f t="array" ref="AC168">IFERROR(IF(B168 = "TRI Form R", IF(AA168 = 0, "Facility has no on-site water discharges between 2017-2022.",  IF(COUNTIF('Processed Non-zero TRI Data'!$I:$I,$I168)&gt;0,INDEX('Processed Non-zero TRI Data'!$A:$A,MATCH(1,($I168='Processed Non-zero TRI Data'!$I:$I)*(AA168='Processed Non-zero TRI Data'!$T:$T),0)))), VLOOKUP(I168,#REF!, 2, FALSE)), ("N/A - Facility Does Not Report to TRI"))</f>
        <v>N/A - Facility Does Not Report to TRI</v>
      </c>
      <c r="AD168" s="97" t="str" cm="1">
        <f t="array" ref="AD168">IFERROR(_xlfn.XLOOKUP(1,  (MAX(IF(I168 = 'Processed Non-zero TRI Data'!$I$2:$I$6,'Processed Non-zero TRI Data'!$A$2:$A$6)) = 'Processed Non-zero TRI Data'!$A$2:$A$6)*('Processed Non-zero TRI Data'!$I$2:$I$6 = I168), 'Processed Non-zero TRI Data'!$V$2:$V$6), "N/A- Facility Does Not Report to TRI")</f>
        <v>N/A- Facility Does Not Report to TRI</v>
      </c>
      <c r="AE168" s="9" t="str">
        <f t="shared" si="55"/>
        <v>N/A - Facility Does Not Report to TRI</v>
      </c>
      <c r="AF168" s="9" t="str" cm="1">
        <f t="array" ref="AF168">IF(COUNTIF('Processed Non-zero TRI Data'!$I:$I,$I168)&gt;0,MEDIAN(IF('Processed Non-zero TRI Data'!$I:$I=I168,'Processed Non-zero TRI Data'!$V:$V)), "N/A - Facility Does Not Report to TRI")</f>
        <v>N/A - Facility Does Not Report to TRI</v>
      </c>
      <c r="AG168" s="9" t="str">
        <f t="shared" si="56"/>
        <v>N/A - Facility Does Not Report to TRI</v>
      </c>
      <c r="AH168" s="9" t="str">
        <f>IF(COUNTIF('Processed Non-zero TRI Data'!$I:$I,$I168)&gt;0,_xlfn.MAXIFS('Processed Non-zero TRI Data'!$V:$V,'Processed Non-zero TRI Data'!$I:$I,$I168), "N/A - Facility Does Not Report to TRI")</f>
        <v>N/A - Facility Does Not Report to TRI</v>
      </c>
      <c r="AI168" s="9" t="str">
        <f t="shared" si="57"/>
        <v>N/A - Facility Does Not Report to TRI</v>
      </c>
      <c r="AJ168" s="158" t="str" cm="1">
        <f t="array" ref="AJ168">IF(B168="TRI Form A",AC168,IF(AH168=0,"Facility has no transfers to POTWs between 2019-2023.",IF(COUNTIF('Processed Non-zero TRI Data'!$I:$I,$I168)&gt;0,INDEX('Processed Non-zero TRI Data'!$A:$A,MATCH(1,($I168='Processed Non-zero TRI Data'!$I:$I)*(AH168='Processed Non-zero TRI Data'!$V:$V),0)),"N/A - Facility Does Not Report to TRI")))</f>
        <v>N/A - Facility Does Not Report to TRI</v>
      </c>
      <c r="AK168" s="97" t="str" cm="1">
        <f t="array" ref="AK168">IFERROR(_xlfn.XLOOKUP(1,  (MAX(IF(I168 = 'Processed Non-zero TRI Data'!$I$2:$I$6,'Processed Non-zero TRI Data'!$A$2:$A$6)) = 'Processed Non-zero TRI Data'!$A$2:$A$6)*('Processed Non-zero TRI Data'!$I$2:$I$6 = I168), 'Processed Non-zero TRI Data'!$X$2:$X$6), "N/A- Facility Does Not Report to TRI")</f>
        <v>N/A- Facility Does Not Report to TRI</v>
      </c>
      <c r="AL168" s="9" t="str">
        <f t="shared" si="58"/>
        <v>N/A - Facility Does Not Report to TRI</v>
      </c>
      <c r="AM168" s="9" t="str" cm="1">
        <f t="array" ref="AM168">IF(COUNTIF('Processed Non-zero TRI Data'!$I:$I,$I168)&gt;0,MEDIAN(IF('Processed Non-zero TRI Data'!$I:$I=I168,'Processed Non-zero TRI Data'!$X:$X)), "N/A - Facility Does Not Report to TRI")</f>
        <v>N/A - Facility Does Not Report to TRI</v>
      </c>
      <c r="AN168" s="9" t="str">
        <f t="shared" si="59"/>
        <v>N/A - Facility Does Not Report to TRI</v>
      </c>
      <c r="AO168" s="9" t="str">
        <f>IF(COUNTIF('Processed Non-zero TRI Data'!$I:$I,$I168)&gt;0,_xlfn.MAXIFS('Processed Non-zero TRI Data'!$X:$X,'Processed Non-zero TRI Data'!$I:$I,$I168), "N/A - Facility Does Not Report to TRI")</f>
        <v>N/A - Facility Does Not Report to TRI</v>
      </c>
      <c r="AP168" s="9" t="str">
        <f t="shared" si="60"/>
        <v>N/A - Facility Does Not Report to TRI</v>
      </c>
      <c r="AQ168" s="251" t="str" cm="1">
        <f t="array" ref="AQ168">IF(B168="TRI Form A",AC168,IF(AO168=0,"Facility has no transfers to non-POTWs between 2019-2023.",IF(COUNTIF('Processed Non-zero TRI Data'!$I:$I,$I168)&gt;0,INDEX('Processed Non-zero TRI Data'!$A:$A,MATCH(1,($I168='Processed Non-zero TRI Data'!$I:$I)*(AO168='Processed Non-zero TRI Data'!$X:$X),0)),"N/A - Facility Does Not Report to TRI")))</f>
        <v>N/A - Facility Does Not Report to TRI</v>
      </c>
      <c r="AR168" s="260">
        <f t="shared" si="61"/>
        <v>0</v>
      </c>
      <c r="AS168" s="260">
        <f t="shared" si="62"/>
        <v>0.69490707500000004</v>
      </c>
    </row>
    <row r="169" spans="1:45" ht="30" x14ac:dyDescent="0.25">
      <c r="A169" s="12">
        <v>166</v>
      </c>
      <c r="B169" s="10" t="str">
        <f>IFERROR("TRI Form "&amp; VLOOKUP(I169, 'Processed Non-zero TRI Data'!$I$2:$K$6, 3, FALSE), "DMR")</f>
        <v>DMR</v>
      </c>
      <c r="C169" s="181" t="e">
        <f>VLOOKUP(D169,#REF!, 2, FALSE)</f>
        <v>#REF!</v>
      </c>
      <c r="D169" s="181" t="str">
        <f>IF(I169&lt;&gt;"",INDEX('Processed Non-zero TRI Data'!$O:$O,MATCH(I169,'Processed Non-zero TRI Data'!$I:$I,0)),INDEX('Processed Non-zero DMR Data'!$S:$S,MATCH(J169,'Processed Non-zero DMR Data'!$I:$I,0)))</f>
        <v>Waste Handling, Disposal and Treatment (non-POTW WWT)</v>
      </c>
      <c r="E169" s="181" t="str">
        <f>IF(I169&lt;&gt;"",INDEX('Processed Non-zero TRI Data'!$P:$P,MATCH(I169,'Processed Non-zero TRI Data'!$I:$I,0)),INDEX('Processed Non-zero DMR Data'!$T:$T,MATCH(J169,'Processed Non-zero DMR Data'!$I:$I,0)))</f>
        <v>Water treatment plant; non-POTW WWT per facility type flag.</v>
      </c>
      <c r="F169" s="9" t="str">
        <f>_xlfn.XLOOKUP(J169, 'Processed Non-zero DMR Data'!I:I, 'Processed Non-zero DMR Data'!B:B)</f>
        <v>PARADISE ID WTP, MAGALIA</v>
      </c>
      <c r="G169" s="9" t="str">
        <f>_xlfn.XLOOKUP(J169, 'Processed Non-zero DMR Data'!I:I, 'Processed Non-zero DMR Data'!C:C)</f>
        <v>MAGALIA</v>
      </c>
      <c r="H169" s="9" t="str">
        <f>_xlfn.XLOOKUP(J169, 'Processed Non-zero DMR Data'!I:I, 'Processed Non-zero DMR Data'!E:E)</f>
        <v>CA</v>
      </c>
      <c r="I169" s="12"/>
      <c r="J169" s="13">
        <v>110000520026</v>
      </c>
      <c r="K169" s="9" t="str">
        <f>IFERROR(INDEX('Raw Non-zero DMR Data'!$C:$C, MATCH(J169,'Raw Non-zero DMR Data'!$D:$D,0)),"")</f>
        <v>CA0083488</v>
      </c>
      <c r="L169" s="9" t="str">
        <f>IFERROR(INDEX('Raw Non-zero DMR Data'!$U:$U, MATCH($J169,'Raw Non-zero DMR Data'!$D:$D,0)),"")</f>
        <v>Little Butte Creek</v>
      </c>
      <c r="M169" s="155">
        <f>IFERROR(INDEX('Raw Non-zero DMR Data'!$T:$T, MATCH($J169,'Raw Non-zero DMR Data'!$D:$D,0)),"")</f>
        <v>180201580201</v>
      </c>
      <c r="N169" s="155" t="str">
        <f>IFERROR(INDEX('Off-site Locations'!$E:$E,MATCH(I169,'Off-site Locations'!$B:$B,0)),"No offsite transfers")</f>
        <v>No offsite transfers</v>
      </c>
      <c r="O169" s="165">
        <f>INDEX('TRI and DMR OES Summary'!D:D,MATCH('Facility Discharge Summary'!D169,'TRI and DMR OES Summary'!A:A,0))</f>
        <v>250</v>
      </c>
      <c r="P169" s="17" cm="1">
        <f t="array" ref="P169">IFERROR(_xlfn.XLOOKUP(1,  (MAX(IF(J169 = 'Processed Non-zero DMR Data'!$I$2:$I$651,'Processed Non-zero DMR Data'!$A$2:$A$651)) = 'Processed Non-zero DMR Data'!$A$2:$A$651)*('Processed Non-zero DMR Data'!$I$2:$I$651 = J169),'Processed Non-zero DMR Data'!$W$2:$W$651), "N/A- Facility Does Not Report DMRs")</f>
        <v>1.84323500775E-2</v>
      </c>
      <c r="Q169" s="10">
        <f t="shared" si="49"/>
        <v>7.3729400310000004E-5</v>
      </c>
      <c r="R169" s="10" cm="1">
        <f t="array" ref="R169">IF(COUNTIF('Processed Non-zero DMR Data'!$I:$I,$J169)&gt;0,MEDIAN(IF('Processed Non-zero DMR Data'!$I:$I=J169,'Processed Non-zero DMR Data'!$W:$W)),"N/A - Facility Does Not Report DMRs")</f>
        <v>1.84323500775E-2</v>
      </c>
      <c r="S169" s="10">
        <f t="shared" si="50"/>
        <v>7.3729400310000004E-5</v>
      </c>
      <c r="T169" s="10">
        <f>IF(COUNTIF('Processed Non-zero DMR Data'!$I:$I,$J169)&gt;0,_xlfn.MAXIFS('Processed Non-zero DMR Data'!$W:$W,'Processed Non-zero DMR Data'!$I:$I,$J169), "N/A - Facility Does Not Report DMRs")</f>
        <v>1.84323500775E-2</v>
      </c>
      <c r="U169" s="10">
        <f t="shared" si="51"/>
        <v>7.3729400310000004E-5</v>
      </c>
      <c r="V169" s="158" cm="1">
        <f t="array" ref="V169">IF(COUNTIF('Processed Non-zero DMR Data'!$I:$I,$J169)&gt;0,INDEX('Processed Non-zero DMR Data'!$A:$A,MATCH(1,($J169='Processed Non-zero DMR Data'!$I:$I)*($T169='Processed Non-zero DMR Data'!$W:$W),0)), "N/A - Facility Does Not Report DMRs")</f>
        <v>2021</v>
      </c>
      <c r="W169" s="17" t="str" cm="1">
        <f t="array" ref="W169">IFERROR(_xlfn.XLOOKUP(1,  (MAX(IF(I169 = 'Processed Non-zero TRI Data'!$I$2:$I$6,'Processed Non-zero TRI Data'!$A$2:$A$6)) = 'Processed Non-zero TRI Data'!$A$2:$A$6)*('Processed Non-zero TRI Data'!$I$2:$I$6 = I169), 'Processed Non-zero TRI Data'!$T$2:$T$6), "N/A- Facility Does Not Report to TRI")</f>
        <v>N/A- Facility Does Not Report to TRI</v>
      </c>
      <c r="X169" s="10" t="str">
        <f t="shared" si="52"/>
        <v>N/A - Facility Does Not Report to TRI</v>
      </c>
      <c r="Y169" s="10" t="str" cm="1">
        <f t="array" ref="Y169">IF(COUNTIF('Processed Non-zero TRI Data'!$I:$I,$I169)&gt;0,MEDIAN(IF('Processed Non-zero TRI Data'!$I:$I=I169,'Processed Non-zero TRI Data'!$T:$T)), "N/A - Facility Does Not Report to TRI")</f>
        <v>N/A - Facility Does Not Report to TRI</v>
      </c>
      <c r="Z169" s="10" t="str">
        <f t="shared" si="53"/>
        <v>N/A - Facility Does Not Report to TRI</v>
      </c>
      <c r="AA169" s="10" t="str">
        <f>IF(COUNTIF('Processed Non-zero TRI Data'!$I:$I,$I169)&gt;0,_xlfn.MAXIFS('Processed Non-zero TRI Data'!$T:$T,'Processed Non-zero TRI Data'!$I:$I,$I169), "N/A - Facility Does Not Report to TRI")</f>
        <v>N/A - Facility Does Not Report to TRI</v>
      </c>
      <c r="AB169" s="10" t="str">
        <f t="shared" si="54"/>
        <v>N/A - Facility Does Not Report to TRI</v>
      </c>
      <c r="AC169" s="158" t="str" cm="1">
        <f t="array" ref="AC169">IFERROR(IF(B169 = "TRI Form R", IF(AA169 = 0, "Facility has no on-site water discharges between 2017-2022.",  IF(COUNTIF('Processed Non-zero TRI Data'!$I:$I,$I169)&gt;0,INDEX('Processed Non-zero TRI Data'!$A:$A,MATCH(1,($I169='Processed Non-zero TRI Data'!$I:$I)*(AA169='Processed Non-zero TRI Data'!$T:$T),0)))), VLOOKUP(I169,#REF!, 2, FALSE)), ("N/A - Facility Does Not Report to TRI"))</f>
        <v>N/A - Facility Does Not Report to TRI</v>
      </c>
      <c r="AD169" s="97" t="str" cm="1">
        <f t="array" ref="AD169">IFERROR(_xlfn.XLOOKUP(1,  (MAX(IF(I169 = 'Processed Non-zero TRI Data'!$I$2:$I$6,'Processed Non-zero TRI Data'!$A$2:$A$6)) = 'Processed Non-zero TRI Data'!$A$2:$A$6)*('Processed Non-zero TRI Data'!$I$2:$I$6 = I169), 'Processed Non-zero TRI Data'!$V$2:$V$6), "N/A- Facility Does Not Report to TRI")</f>
        <v>N/A- Facility Does Not Report to TRI</v>
      </c>
      <c r="AE169" s="9" t="str">
        <f t="shared" si="55"/>
        <v>N/A - Facility Does Not Report to TRI</v>
      </c>
      <c r="AF169" s="9" t="str" cm="1">
        <f t="array" ref="AF169">IF(COUNTIF('Processed Non-zero TRI Data'!$I:$I,$I169)&gt;0,MEDIAN(IF('Processed Non-zero TRI Data'!$I:$I=I169,'Processed Non-zero TRI Data'!$V:$V)), "N/A - Facility Does Not Report to TRI")</f>
        <v>N/A - Facility Does Not Report to TRI</v>
      </c>
      <c r="AG169" s="9" t="str">
        <f t="shared" si="56"/>
        <v>N/A - Facility Does Not Report to TRI</v>
      </c>
      <c r="AH169" s="9" t="str">
        <f>IF(COUNTIF('Processed Non-zero TRI Data'!$I:$I,$I169)&gt;0,_xlfn.MAXIFS('Processed Non-zero TRI Data'!$V:$V,'Processed Non-zero TRI Data'!$I:$I,$I169), "N/A - Facility Does Not Report to TRI")</f>
        <v>N/A - Facility Does Not Report to TRI</v>
      </c>
      <c r="AI169" s="9" t="str">
        <f t="shared" si="57"/>
        <v>N/A - Facility Does Not Report to TRI</v>
      </c>
      <c r="AJ169" s="158" t="str" cm="1">
        <f t="array" ref="AJ169">IF(B169="TRI Form A",AC169,IF(AH169=0,"Facility has no transfers to POTWs between 2019-2023.",IF(COUNTIF('Processed Non-zero TRI Data'!$I:$I,$I169)&gt;0,INDEX('Processed Non-zero TRI Data'!$A:$A,MATCH(1,($I169='Processed Non-zero TRI Data'!$I:$I)*(AH169='Processed Non-zero TRI Data'!$V:$V),0)),"N/A - Facility Does Not Report to TRI")))</f>
        <v>N/A - Facility Does Not Report to TRI</v>
      </c>
      <c r="AK169" s="97" t="str" cm="1">
        <f t="array" ref="AK169">IFERROR(_xlfn.XLOOKUP(1,  (MAX(IF(I169 = 'Processed Non-zero TRI Data'!$I$2:$I$6,'Processed Non-zero TRI Data'!$A$2:$A$6)) = 'Processed Non-zero TRI Data'!$A$2:$A$6)*('Processed Non-zero TRI Data'!$I$2:$I$6 = I169), 'Processed Non-zero TRI Data'!$X$2:$X$6), "N/A- Facility Does Not Report to TRI")</f>
        <v>N/A- Facility Does Not Report to TRI</v>
      </c>
      <c r="AL169" s="9" t="str">
        <f t="shared" si="58"/>
        <v>N/A - Facility Does Not Report to TRI</v>
      </c>
      <c r="AM169" s="9" t="str" cm="1">
        <f t="array" ref="AM169">IF(COUNTIF('Processed Non-zero TRI Data'!$I:$I,$I169)&gt;0,MEDIAN(IF('Processed Non-zero TRI Data'!$I:$I=I169,'Processed Non-zero TRI Data'!$X:$X)), "N/A - Facility Does Not Report to TRI")</f>
        <v>N/A - Facility Does Not Report to TRI</v>
      </c>
      <c r="AN169" s="9" t="str">
        <f t="shared" si="59"/>
        <v>N/A - Facility Does Not Report to TRI</v>
      </c>
      <c r="AO169" s="9" t="str">
        <f>IF(COUNTIF('Processed Non-zero TRI Data'!$I:$I,$I169)&gt;0,_xlfn.MAXIFS('Processed Non-zero TRI Data'!$X:$X,'Processed Non-zero TRI Data'!$I:$I,$I169), "N/A - Facility Does Not Report to TRI")</f>
        <v>N/A - Facility Does Not Report to TRI</v>
      </c>
      <c r="AP169" s="9" t="str">
        <f t="shared" si="60"/>
        <v>N/A - Facility Does Not Report to TRI</v>
      </c>
      <c r="AQ169" s="251" t="str" cm="1">
        <f t="array" ref="AQ169">IF(B169="TRI Form A",AC169,IF(AO169=0,"Facility has no transfers to non-POTWs between 2019-2023.",IF(COUNTIF('Processed Non-zero TRI Data'!$I:$I,$I169)&gt;0,INDEX('Processed Non-zero TRI Data'!$A:$A,MATCH(1,($I169='Processed Non-zero TRI Data'!$I:$I)*(AO169='Processed Non-zero TRI Data'!$X:$X),0)),"N/A - Facility Does Not Report to TRI")))</f>
        <v>N/A - Facility Does Not Report to TRI</v>
      </c>
      <c r="AR169" s="260">
        <f t="shared" si="61"/>
        <v>0</v>
      </c>
      <c r="AS169" s="260">
        <f t="shared" si="62"/>
        <v>1.84323500775E-2</v>
      </c>
    </row>
    <row r="170" spans="1:45" ht="30" x14ac:dyDescent="0.25">
      <c r="A170" s="12">
        <v>167</v>
      </c>
      <c r="B170" s="10" t="str">
        <f>IFERROR("TRI Form "&amp; VLOOKUP(I170, 'Processed Non-zero TRI Data'!$I$2:$K$6, 3, FALSE), "DMR")</f>
        <v>DMR</v>
      </c>
      <c r="C170" s="181" t="e">
        <f>VLOOKUP(D170,#REF!, 2, FALSE)</f>
        <v>#REF!</v>
      </c>
      <c r="D170" s="181" t="str">
        <f>IF(I170&lt;&gt;"",INDEX('Processed Non-zero TRI Data'!$O:$O,MATCH(I170,'Processed Non-zero TRI Data'!$I:$I,0)),INDEX('Processed Non-zero DMR Data'!$S:$S,MATCH(J170,'Processed Non-zero DMR Data'!$I:$I,0)))</f>
        <v>Waste Handling, Disposal and Treatment (POTW)</v>
      </c>
      <c r="E170" s="181" t="str">
        <f>IF(I170&lt;&gt;"",INDEX('Processed Non-zero TRI Data'!$P:$P,MATCH(I170,'Processed Non-zero TRI Data'!$I:$I,0)),INDEX('Processed Non-zero DMR Data'!$T:$T,MATCH(J170,'Processed Non-zero DMR Data'!$I:$I,0)))</f>
        <v>POTW indicator in DMR</v>
      </c>
      <c r="F170" s="9" t="str">
        <f>_xlfn.XLOOKUP(J170, 'Processed Non-zero DMR Data'!I:I, 'Processed Non-zero DMR Data'!B:B)</f>
        <v>CYNTHIANA STP (NEW)</v>
      </c>
      <c r="G170" s="9" t="str">
        <f>_xlfn.XLOOKUP(J170, 'Processed Non-zero DMR Data'!I:I, 'Processed Non-zero DMR Data'!C:C)</f>
        <v>CYNTHIANA</v>
      </c>
      <c r="H170" s="9" t="str">
        <f>_xlfn.XLOOKUP(J170, 'Processed Non-zero DMR Data'!I:I, 'Processed Non-zero DMR Data'!E:E)</f>
        <v>KY</v>
      </c>
      <c r="I170" s="12"/>
      <c r="J170" s="13">
        <v>110020737540</v>
      </c>
      <c r="K170" s="9" t="str">
        <f>IFERROR(INDEX('Raw Non-zero DMR Data'!$C:$C, MATCH(J170,'Raw Non-zero DMR Data'!$D:$D,0)),"")</f>
        <v>KY0105856</v>
      </c>
      <c r="L170" s="9" t="str">
        <f>IFERROR(INDEX('Raw Non-zero DMR Data'!$U:$U, MATCH($J170,'Raw Non-zero DMR Data'!$D:$D,0)),"")</f>
        <v>Indian Creek-South Fork Licking River</v>
      </c>
      <c r="M170" s="155" t="str">
        <f>IFERROR(INDEX('Raw Non-zero DMR Data'!$T:$T, MATCH($J170,'Raw Non-zero DMR Data'!$D:$D,0)),"")</f>
        <v>051001020403</v>
      </c>
      <c r="N170" s="155" t="str">
        <f>IFERROR(INDEX('Off-site Locations'!$E:$E,MATCH(I170,'Off-site Locations'!$B:$B,0)),"No offsite transfers")</f>
        <v>No offsite transfers</v>
      </c>
      <c r="O170" s="165">
        <f>INDEX('TRI and DMR OES Summary'!D:D,MATCH('Facility Discharge Summary'!D170,'TRI and DMR OES Summary'!A:A,0))</f>
        <v>365</v>
      </c>
      <c r="P170" s="17" cm="1">
        <f t="array" ref="P170">IFERROR(_xlfn.XLOOKUP(1,  (MAX(IF(J170 = 'Processed Non-zero DMR Data'!$I$2:$I$651,'Processed Non-zero DMR Data'!$A$2:$A$651)) = 'Processed Non-zero DMR Data'!$A$2:$A$651)*('Processed Non-zero DMR Data'!$I$2:$I$651 = J170),'Processed Non-zero DMR Data'!$W$2:$W$651), "N/A- Facility Does Not Report DMRs")</f>
        <v>2.9322868125000001</v>
      </c>
      <c r="Q170" s="10">
        <f t="shared" si="49"/>
        <v>8.0336625000000002E-3</v>
      </c>
      <c r="R170" s="10" cm="1">
        <f t="array" ref="R170">IF(COUNTIF('Processed Non-zero DMR Data'!$I:$I,$J170)&gt;0,MEDIAN(IF('Processed Non-zero DMR Data'!$I:$I=J170,'Processed Non-zero DMR Data'!$W:$W)),"N/A - Facility Does Not Report DMRs")</f>
        <v>2.9222707562500001</v>
      </c>
      <c r="S170" s="10">
        <f t="shared" si="50"/>
        <v>8.0062212500000007E-3</v>
      </c>
      <c r="T170" s="10">
        <f>IF(COUNTIF('Processed Non-zero DMR Data'!$I:$I,$J170)&gt;0,_xlfn.MAXIFS('Processed Non-zero DMR Data'!$W:$W,'Processed Non-zero DMR Data'!$I:$I,$J170), "N/A - Facility Does Not Report DMRs")</f>
        <v>2.9322868125000001</v>
      </c>
      <c r="U170" s="10">
        <f t="shared" si="51"/>
        <v>8.0336625000000002E-3</v>
      </c>
      <c r="V170" s="158" cm="1">
        <f t="array" ref="V170">IF(COUNTIF('Processed Non-zero DMR Data'!$I:$I,$J170)&gt;0,INDEX('Processed Non-zero DMR Data'!$A:$A,MATCH(1,($J170='Processed Non-zero DMR Data'!$I:$I)*($T170='Processed Non-zero DMR Data'!$W:$W),0)), "N/A - Facility Does Not Report DMRs")</f>
        <v>2023</v>
      </c>
      <c r="W170" s="17" t="str" cm="1">
        <f t="array" ref="W170">IFERROR(_xlfn.XLOOKUP(1,  (MAX(IF(I170 = 'Processed Non-zero TRI Data'!$I$2:$I$6,'Processed Non-zero TRI Data'!$A$2:$A$6)) = 'Processed Non-zero TRI Data'!$A$2:$A$6)*('Processed Non-zero TRI Data'!$I$2:$I$6 = I170), 'Processed Non-zero TRI Data'!$T$2:$T$6), "N/A- Facility Does Not Report to TRI")</f>
        <v>N/A- Facility Does Not Report to TRI</v>
      </c>
      <c r="X170" s="10" t="str">
        <f t="shared" si="52"/>
        <v>N/A - Facility Does Not Report to TRI</v>
      </c>
      <c r="Y170" s="10" t="str" cm="1">
        <f t="array" ref="Y170">IF(COUNTIF('Processed Non-zero TRI Data'!$I:$I,$I170)&gt;0,MEDIAN(IF('Processed Non-zero TRI Data'!$I:$I=I170,'Processed Non-zero TRI Data'!$T:$T)), "N/A - Facility Does Not Report to TRI")</f>
        <v>N/A - Facility Does Not Report to TRI</v>
      </c>
      <c r="Z170" s="10" t="str">
        <f t="shared" si="53"/>
        <v>N/A - Facility Does Not Report to TRI</v>
      </c>
      <c r="AA170" s="10" t="str">
        <f>IF(COUNTIF('Processed Non-zero TRI Data'!$I:$I,$I170)&gt;0,_xlfn.MAXIFS('Processed Non-zero TRI Data'!$T:$T,'Processed Non-zero TRI Data'!$I:$I,$I170), "N/A - Facility Does Not Report to TRI")</f>
        <v>N/A - Facility Does Not Report to TRI</v>
      </c>
      <c r="AB170" s="10" t="str">
        <f t="shared" si="54"/>
        <v>N/A - Facility Does Not Report to TRI</v>
      </c>
      <c r="AC170" s="158" t="str" cm="1">
        <f t="array" ref="AC170">IFERROR(IF(B170 = "TRI Form R", IF(AA170 = 0, "Facility has no on-site water discharges between 2017-2022.",  IF(COUNTIF('Processed Non-zero TRI Data'!$I:$I,$I170)&gt;0,INDEX('Processed Non-zero TRI Data'!$A:$A,MATCH(1,($I170='Processed Non-zero TRI Data'!$I:$I)*(AA170='Processed Non-zero TRI Data'!$T:$T),0)))), VLOOKUP(I170,#REF!, 2, FALSE)), ("N/A - Facility Does Not Report to TRI"))</f>
        <v>N/A - Facility Does Not Report to TRI</v>
      </c>
      <c r="AD170" s="97" t="str" cm="1">
        <f t="array" ref="AD170">IFERROR(_xlfn.XLOOKUP(1,  (MAX(IF(I170 = 'Processed Non-zero TRI Data'!$I$2:$I$6,'Processed Non-zero TRI Data'!$A$2:$A$6)) = 'Processed Non-zero TRI Data'!$A$2:$A$6)*('Processed Non-zero TRI Data'!$I$2:$I$6 = I170), 'Processed Non-zero TRI Data'!$V$2:$V$6), "N/A- Facility Does Not Report to TRI")</f>
        <v>N/A- Facility Does Not Report to TRI</v>
      </c>
      <c r="AE170" s="9" t="str">
        <f t="shared" si="55"/>
        <v>N/A - Facility Does Not Report to TRI</v>
      </c>
      <c r="AF170" s="9" t="str" cm="1">
        <f t="array" ref="AF170">IF(COUNTIF('Processed Non-zero TRI Data'!$I:$I,$I170)&gt;0,MEDIAN(IF('Processed Non-zero TRI Data'!$I:$I=I170,'Processed Non-zero TRI Data'!$V:$V)), "N/A - Facility Does Not Report to TRI")</f>
        <v>N/A - Facility Does Not Report to TRI</v>
      </c>
      <c r="AG170" s="9" t="str">
        <f t="shared" si="56"/>
        <v>N/A - Facility Does Not Report to TRI</v>
      </c>
      <c r="AH170" s="9" t="str">
        <f>IF(COUNTIF('Processed Non-zero TRI Data'!$I:$I,$I170)&gt;0,_xlfn.MAXIFS('Processed Non-zero TRI Data'!$V:$V,'Processed Non-zero TRI Data'!$I:$I,$I170), "N/A - Facility Does Not Report to TRI")</f>
        <v>N/A - Facility Does Not Report to TRI</v>
      </c>
      <c r="AI170" s="9" t="str">
        <f t="shared" si="57"/>
        <v>N/A - Facility Does Not Report to TRI</v>
      </c>
      <c r="AJ170" s="158" t="str" cm="1">
        <f t="array" ref="AJ170">IF(B170="TRI Form A",AC170,IF(AH170=0,"Facility has no transfers to POTWs between 2019-2023.",IF(COUNTIF('Processed Non-zero TRI Data'!$I:$I,$I170)&gt;0,INDEX('Processed Non-zero TRI Data'!$A:$A,MATCH(1,($I170='Processed Non-zero TRI Data'!$I:$I)*(AH170='Processed Non-zero TRI Data'!$V:$V),0)),"N/A - Facility Does Not Report to TRI")))</f>
        <v>N/A - Facility Does Not Report to TRI</v>
      </c>
      <c r="AK170" s="97" t="str" cm="1">
        <f t="array" ref="AK170">IFERROR(_xlfn.XLOOKUP(1,  (MAX(IF(I170 = 'Processed Non-zero TRI Data'!$I$2:$I$6,'Processed Non-zero TRI Data'!$A$2:$A$6)) = 'Processed Non-zero TRI Data'!$A$2:$A$6)*('Processed Non-zero TRI Data'!$I$2:$I$6 = I170), 'Processed Non-zero TRI Data'!$X$2:$X$6), "N/A- Facility Does Not Report to TRI")</f>
        <v>N/A- Facility Does Not Report to TRI</v>
      </c>
      <c r="AL170" s="9" t="str">
        <f t="shared" si="58"/>
        <v>N/A - Facility Does Not Report to TRI</v>
      </c>
      <c r="AM170" s="9" t="str" cm="1">
        <f t="array" ref="AM170">IF(COUNTIF('Processed Non-zero TRI Data'!$I:$I,$I170)&gt;0,MEDIAN(IF('Processed Non-zero TRI Data'!$I:$I=I170,'Processed Non-zero TRI Data'!$X:$X)), "N/A - Facility Does Not Report to TRI")</f>
        <v>N/A - Facility Does Not Report to TRI</v>
      </c>
      <c r="AN170" s="9" t="str">
        <f t="shared" si="59"/>
        <v>N/A - Facility Does Not Report to TRI</v>
      </c>
      <c r="AO170" s="9" t="str">
        <f>IF(COUNTIF('Processed Non-zero TRI Data'!$I:$I,$I170)&gt;0,_xlfn.MAXIFS('Processed Non-zero TRI Data'!$X:$X,'Processed Non-zero TRI Data'!$I:$I,$I170), "N/A - Facility Does Not Report to TRI")</f>
        <v>N/A - Facility Does Not Report to TRI</v>
      </c>
      <c r="AP170" s="9" t="str">
        <f t="shared" si="60"/>
        <v>N/A - Facility Does Not Report to TRI</v>
      </c>
      <c r="AQ170" s="251" t="str" cm="1">
        <f t="array" ref="AQ170">IF(B170="TRI Form A",AC170,IF(AO170=0,"Facility has no transfers to non-POTWs between 2019-2023.",IF(COUNTIF('Processed Non-zero TRI Data'!$I:$I,$I170)&gt;0,INDEX('Processed Non-zero TRI Data'!$A:$A,MATCH(1,($I170='Processed Non-zero TRI Data'!$I:$I)*(AO170='Processed Non-zero TRI Data'!$X:$X),0)),"N/A - Facility Does Not Report to TRI")))</f>
        <v>N/A - Facility Does Not Report to TRI</v>
      </c>
      <c r="AR170" s="260">
        <f t="shared" si="61"/>
        <v>0</v>
      </c>
      <c r="AS170" s="260">
        <f t="shared" si="62"/>
        <v>2.9322868125000001</v>
      </c>
    </row>
    <row r="171" spans="1:45" ht="30" x14ac:dyDescent="0.25">
      <c r="A171" s="12">
        <v>168</v>
      </c>
      <c r="B171" s="10" t="str">
        <f>IFERROR("TRI Form "&amp; VLOOKUP(I171, 'Processed Non-zero TRI Data'!$I$2:$K$6, 3, FALSE), "DMR")</f>
        <v>DMR</v>
      </c>
      <c r="C171" s="181" t="e">
        <f>VLOOKUP(D171,#REF!, 2, FALSE)</f>
        <v>#REF!</v>
      </c>
      <c r="D171" s="181" t="str">
        <f>IF(I171&lt;&gt;"",INDEX('Processed Non-zero TRI Data'!$O:$O,MATCH(I171,'Processed Non-zero TRI Data'!$I:$I,0)),INDEX('Processed Non-zero DMR Data'!$S:$S,MATCH(J171,'Processed Non-zero DMR Data'!$I:$I,0)))</f>
        <v>Processing as a reactant</v>
      </c>
      <c r="E171" s="181" t="str">
        <f>IF(I171&lt;&gt;"",INDEX('Processed Non-zero TRI Data'!$P:$P,MATCH(I171,'Processed Non-zero TRI Data'!$I:$I,0)),INDEX('Processed Non-zero DMR Data'!$T:$T,MATCH(J171,'Processed Non-zero DMR Data'!$I:$I,0)))</f>
        <v>Commercial flooring product manufacturer; assumed processing as a reactant.</v>
      </c>
      <c r="F171" s="9" t="str">
        <f>_xlfn.XLOOKUP(J171, 'Processed Non-zero DMR Data'!I:I, 'Processed Non-zero DMR Data'!B:B)</f>
        <v>SHAW INDUSTRIES GROUP INC PLANT 8S</v>
      </c>
      <c r="G171" s="9" t="str">
        <f>_xlfn.XLOOKUP(J171, 'Processed Non-zero DMR Data'!I:I, 'Processed Non-zero DMR Data'!C:C)</f>
        <v>COLUMBIA</v>
      </c>
      <c r="H171" s="9" t="str">
        <f>_xlfn.XLOOKUP(J171, 'Processed Non-zero DMR Data'!I:I, 'Processed Non-zero DMR Data'!E:E)</f>
        <v>SC</v>
      </c>
      <c r="I171" s="12"/>
      <c r="J171" s="13">
        <v>110000854246</v>
      </c>
      <c r="K171" s="9" t="str">
        <f>IFERROR(INDEX('Raw Non-zero DMR Data'!$C:$C, MATCH(J171,'Raw Non-zero DMR Data'!$D:$D,0)),"")</f>
        <v>SC0003557</v>
      </c>
      <c r="L171" s="9" t="str">
        <f>IFERROR(INDEX('Raw Non-zero DMR Data'!$U:$U, MATCH($J171,'Raw Non-zero DMR Data'!$D:$D,0)),"")</f>
        <v>Outlet Saluda River</v>
      </c>
      <c r="M171" s="155" t="str">
        <f>IFERROR(INDEX('Raw Non-zero DMR Data'!$T:$T, MATCH($J171,'Raw Non-zero DMR Data'!$D:$D,0)),"")</f>
        <v>030501091403</v>
      </c>
      <c r="N171" s="155" t="str">
        <f>IFERROR(INDEX('Off-site Locations'!$E:$E,MATCH(I171,'Off-site Locations'!$B:$B,0)),"No offsite transfers")</f>
        <v>No offsite transfers</v>
      </c>
      <c r="O171" s="165">
        <f>INDEX('TRI and DMR OES Summary'!D:D,MATCH('Facility Discharge Summary'!D171,'TRI and DMR OES Summary'!A:A,0))</f>
        <v>350</v>
      </c>
      <c r="P171" s="17" cm="1">
        <f t="array" ref="P171">IFERROR(_xlfn.XLOOKUP(1,  (MAX(IF(J171 = 'Processed Non-zero DMR Data'!$I$2:$I$651,'Processed Non-zero DMR Data'!$A$2:$A$651)) = 'Processed Non-zero DMR Data'!$A$2:$A$651)*('Processed Non-zero DMR Data'!$I$2:$I$651 = J171),'Processed Non-zero DMR Data'!$W$2:$W$651), "N/A- Facility Does Not Report DMRs")</f>
        <v>0.33141999999999999</v>
      </c>
      <c r="Q171" s="10">
        <f t="shared" si="49"/>
        <v>9.4691428571428565E-4</v>
      </c>
      <c r="R171" s="10" cm="1">
        <f t="array" ref="R171">IF(COUNTIF('Processed Non-zero DMR Data'!$I:$I,$J171)&gt;0,MEDIAN(IF('Processed Non-zero DMR Data'!$I:$I=J171,'Processed Non-zero DMR Data'!$W:$W)),"N/A - Facility Does Not Report DMRs")</f>
        <v>0.33141999999999999</v>
      </c>
      <c r="S171" s="10">
        <f t="shared" si="50"/>
        <v>9.4691428571428565E-4</v>
      </c>
      <c r="T171" s="10">
        <f>IF(COUNTIF('Processed Non-zero DMR Data'!$I:$I,$J171)&gt;0,_xlfn.MAXIFS('Processed Non-zero DMR Data'!$W:$W,'Processed Non-zero DMR Data'!$I:$I,$J171), "N/A - Facility Does Not Report DMRs")</f>
        <v>0.33141999999999999</v>
      </c>
      <c r="U171" s="10">
        <f t="shared" si="51"/>
        <v>9.4691428571428565E-4</v>
      </c>
      <c r="V171" s="158" cm="1">
        <f t="array" ref="V171">IF(COUNTIF('Processed Non-zero DMR Data'!$I:$I,$J171)&gt;0,INDEX('Processed Non-zero DMR Data'!$A:$A,MATCH(1,($J171='Processed Non-zero DMR Data'!$I:$I)*($T171='Processed Non-zero DMR Data'!$W:$W),0)), "N/A - Facility Does Not Report DMRs")</f>
        <v>2021</v>
      </c>
      <c r="W171" s="17" t="str" cm="1">
        <f t="array" ref="W171">IFERROR(_xlfn.XLOOKUP(1,  (MAX(IF(I171 = 'Processed Non-zero TRI Data'!$I$2:$I$6,'Processed Non-zero TRI Data'!$A$2:$A$6)) = 'Processed Non-zero TRI Data'!$A$2:$A$6)*('Processed Non-zero TRI Data'!$I$2:$I$6 = I171), 'Processed Non-zero TRI Data'!$T$2:$T$6), "N/A- Facility Does Not Report to TRI")</f>
        <v>N/A- Facility Does Not Report to TRI</v>
      </c>
      <c r="X171" s="10" t="str">
        <f t="shared" si="52"/>
        <v>N/A - Facility Does Not Report to TRI</v>
      </c>
      <c r="Y171" s="10" t="str" cm="1">
        <f t="array" ref="Y171">IF(COUNTIF('Processed Non-zero TRI Data'!$I:$I,$I171)&gt;0,MEDIAN(IF('Processed Non-zero TRI Data'!$I:$I=I171,'Processed Non-zero TRI Data'!$T:$T)), "N/A - Facility Does Not Report to TRI")</f>
        <v>N/A - Facility Does Not Report to TRI</v>
      </c>
      <c r="Z171" s="10" t="str">
        <f t="shared" si="53"/>
        <v>N/A - Facility Does Not Report to TRI</v>
      </c>
      <c r="AA171" s="10" t="str">
        <f>IF(COUNTIF('Processed Non-zero TRI Data'!$I:$I,$I171)&gt;0,_xlfn.MAXIFS('Processed Non-zero TRI Data'!$T:$T,'Processed Non-zero TRI Data'!$I:$I,$I171), "N/A - Facility Does Not Report to TRI")</f>
        <v>N/A - Facility Does Not Report to TRI</v>
      </c>
      <c r="AB171" s="10" t="str">
        <f t="shared" si="54"/>
        <v>N/A - Facility Does Not Report to TRI</v>
      </c>
      <c r="AC171" s="158" t="str" cm="1">
        <f t="array" ref="AC171">IFERROR(IF(B171 = "TRI Form R", IF(AA171 = 0, "Facility has no on-site water discharges between 2017-2022.",  IF(COUNTIF('Processed Non-zero TRI Data'!$I:$I,$I171)&gt;0,INDEX('Processed Non-zero TRI Data'!$A:$A,MATCH(1,($I171='Processed Non-zero TRI Data'!$I:$I)*(AA171='Processed Non-zero TRI Data'!$T:$T),0)))), VLOOKUP(I171,#REF!, 2, FALSE)), ("N/A - Facility Does Not Report to TRI"))</f>
        <v>N/A - Facility Does Not Report to TRI</v>
      </c>
      <c r="AD171" s="97" t="str" cm="1">
        <f t="array" ref="AD171">IFERROR(_xlfn.XLOOKUP(1,  (MAX(IF(I171 = 'Processed Non-zero TRI Data'!$I$2:$I$6,'Processed Non-zero TRI Data'!$A$2:$A$6)) = 'Processed Non-zero TRI Data'!$A$2:$A$6)*('Processed Non-zero TRI Data'!$I$2:$I$6 = I171), 'Processed Non-zero TRI Data'!$V$2:$V$6), "N/A- Facility Does Not Report to TRI")</f>
        <v>N/A- Facility Does Not Report to TRI</v>
      </c>
      <c r="AE171" s="9" t="str">
        <f t="shared" si="55"/>
        <v>N/A - Facility Does Not Report to TRI</v>
      </c>
      <c r="AF171" s="9" t="str" cm="1">
        <f t="array" ref="AF171">IF(COUNTIF('Processed Non-zero TRI Data'!$I:$I,$I171)&gt;0,MEDIAN(IF('Processed Non-zero TRI Data'!$I:$I=I171,'Processed Non-zero TRI Data'!$V:$V)), "N/A - Facility Does Not Report to TRI")</f>
        <v>N/A - Facility Does Not Report to TRI</v>
      </c>
      <c r="AG171" s="9" t="str">
        <f t="shared" si="56"/>
        <v>N/A - Facility Does Not Report to TRI</v>
      </c>
      <c r="AH171" s="9" t="str">
        <f>IF(COUNTIF('Processed Non-zero TRI Data'!$I:$I,$I171)&gt;0,_xlfn.MAXIFS('Processed Non-zero TRI Data'!$V:$V,'Processed Non-zero TRI Data'!$I:$I,$I171), "N/A - Facility Does Not Report to TRI")</f>
        <v>N/A - Facility Does Not Report to TRI</v>
      </c>
      <c r="AI171" s="9" t="str">
        <f t="shared" si="57"/>
        <v>N/A - Facility Does Not Report to TRI</v>
      </c>
      <c r="AJ171" s="158" t="str" cm="1">
        <f t="array" ref="AJ171">IF(B171="TRI Form A",AC171,IF(AH171=0,"Facility has no transfers to POTWs between 2019-2023.",IF(COUNTIF('Processed Non-zero TRI Data'!$I:$I,$I171)&gt;0,INDEX('Processed Non-zero TRI Data'!$A:$A,MATCH(1,($I171='Processed Non-zero TRI Data'!$I:$I)*(AH171='Processed Non-zero TRI Data'!$V:$V),0)),"N/A - Facility Does Not Report to TRI")))</f>
        <v>N/A - Facility Does Not Report to TRI</v>
      </c>
      <c r="AK171" s="97" t="str" cm="1">
        <f t="array" ref="AK171">IFERROR(_xlfn.XLOOKUP(1,  (MAX(IF(I171 = 'Processed Non-zero TRI Data'!$I$2:$I$6,'Processed Non-zero TRI Data'!$A$2:$A$6)) = 'Processed Non-zero TRI Data'!$A$2:$A$6)*('Processed Non-zero TRI Data'!$I$2:$I$6 = I171), 'Processed Non-zero TRI Data'!$X$2:$X$6), "N/A- Facility Does Not Report to TRI")</f>
        <v>N/A- Facility Does Not Report to TRI</v>
      </c>
      <c r="AL171" s="9" t="str">
        <f t="shared" si="58"/>
        <v>N/A - Facility Does Not Report to TRI</v>
      </c>
      <c r="AM171" s="9" t="str" cm="1">
        <f t="array" ref="AM171">IF(COUNTIF('Processed Non-zero TRI Data'!$I:$I,$I171)&gt;0,MEDIAN(IF('Processed Non-zero TRI Data'!$I:$I=I171,'Processed Non-zero TRI Data'!$X:$X)), "N/A - Facility Does Not Report to TRI")</f>
        <v>N/A - Facility Does Not Report to TRI</v>
      </c>
      <c r="AN171" s="9" t="str">
        <f t="shared" si="59"/>
        <v>N/A - Facility Does Not Report to TRI</v>
      </c>
      <c r="AO171" s="9" t="str">
        <f>IF(COUNTIF('Processed Non-zero TRI Data'!$I:$I,$I171)&gt;0,_xlfn.MAXIFS('Processed Non-zero TRI Data'!$X:$X,'Processed Non-zero TRI Data'!$I:$I,$I171), "N/A - Facility Does Not Report to TRI")</f>
        <v>N/A - Facility Does Not Report to TRI</v>
      </c>
      <c r="AP171" s="9" t="str">
        <f t="shared" si="60"/>
        <v>N/A - Facility Does Not Report to TRI</v>
      </c>
      <c r="AQ171" s="251" t="str" cm="1">
        <f t="array" ref="AQ171">IF(B171="TRI Form A",AC171,IF(AO171=0,"Facility has no transfers to non-POTWs between 2019-2023.",IF(COUNTIF('Processed Non-zero TRI Data'!$I:$I,$I171)&gt;0,INDEX('Processed Non-zero TRI Data'!$A:$A,MATCH(1,($I171='Processed Non-zero TRI Data'!$I:$I)*(AO171='Processed Non-zero TRI Data'!$X:$X),0)),"N/A - Facility Does Not Report to TRI")))</f>
        <v>N/A - Facility Does Not Report to TRI</v>
      </c>
      <c r="AR171" s="260">
        <f t="shared" si="61"/>
        <v>0</v>
      </c>
      <c r="AS171" s="260">
        <f t="shared" si="62"/>
        <v>0.33141999999999999</v>
      </c>
    </row>
    <row r="172" spans="1:45" ht="30" x14ac:dyDescent="0.25">
      <c r="A172" s="12">
        <v>169</v>
      </c>
      <c r="B172" s="10" t="str">
        <f>IFERROR("TRI Form "&amp; VLOOKUP(I172, 'Processed Non-zero TRI Data'!$I$2:$K$6, 3, FALSE), "DMR")</f>
        <v>DMR</v>
      </c>
      <c r="C172" s="181" t="e">
        <f>VLOOKUP(D172,#REF!, 2, FALSE)</f>
        <v>#REF!</v>
      </c>
      <c r="D172" s="181" t="str">
        <f>IF(I172&lt;&gt;"",INDEX('Processed Non-zero TRI Data'!$O:$O,MATCH(I172,'Processed Non-zero TRI Data'!$I:$I,0)),INDEX('Processed Non-zero DMR Data'!$S:$S,MATCH(J172,'Processed Non-zero DMR Data'!$I:$I,0)))</f>
        <v>Waste Handling, Disposal and Treatment (POTW)</v>
      </c>
      <c r="E172" s="181" t="str">
        <f>IF(I172&lt;&gt;"",INDEX('Processed Non-zero TRI Data'!$P:$P,MATCH(I172,'Processed Non-zero TRI Data'!$I:$I,0)),INDEX('Processed Non-zero DMR Data'!$T:$T,MATCH(J172,'Processed Non-zero DMR Data'!$I:$I,0)))</f>
        <v>POTW indicator in DMR</v>
      </c>
      <c r="F172" s="9" t="str">
        <f>_xlfn.XLOOKUP(J172, 'Processed Non-zero DMR Data'!I:I, 'Processed Non-zero DMR Data'!B:B)</f>
        <v>JACKSON WWTP</v>
      </c>
      <c r="G172" s="9" t="str">
        <f>_xlfn.XLOOKUP(J172, 'Processed Non-zero DMR Data'!I:I, 'Processed Non-zero DMR Data'!C:C)</f>
        <v>JACKSON</v>
      </c>
      <c r="H172" s="9" t="str">
        <f>_xlfn.XLOOKUP(J172, 'Processed Non-zero DMR Data'!I:I, 'Processed Non-zero DMR Data'!E:E)</f>
        <v>CA</v>
      </c>
      <c r="I172" s="12"/>
      <c r="J172" s="13">
        <v>110011373637</v>
      </c>
      <c r="K172" s="9" t="str">
        <f>IFERROR(INDEX('Raw Non-zero DMR Data'!$C:$C, MATCH(J172,'Raw Non-zero DMR Data'!$D:$D,0)),"")</f>
        <v>CA0079391</v>
      </c>
      <c r="L172" s="9" t="str">
        <f>IFERROR(INDEX('Raw Non-zero DMR Data'!$U:$U, MATCH($J172,'Raw Non-zero DMR Data'!$D:$D,0)),"")</f>
        <v>Middle Jackson Creek</v>
      </c>
      <c r="M172" s="155">
        <f>IFERROR(INDEX('Raw Non-zero DMR Data'!$T:$T, MATCH($J172,'Raw Non-zero DMR Data'!$D:$D,0)),"")</f>
        <v>180400120702</v>
      </c>
      <c r="N172" s="155" t="str">
        <f>IFERROR(INDEX('Off-site Locations'!$E:$E,MATCH(I172,'Off-site Locations'!$B:$B,0)),"No offsite transfers")</f>
        <v>No offsite transfers</v>
      </c>
      <c r="O172" s="165">
        <f>INDEX('TRI and DMR OES Summary'!D:D,MATCH('Facility Discharge Summary'!D172,'TRI and DMR OES Summary'!A:A,0))</f>
        <v>365</v>
      </c>
      <c r="P172" s="17" cm="1">
        <f t="array" ref="P172">IFERROR(_xlfn.XLOOKUP(1,  (MAX(IF(J172 = 'Processed Non-zero DMR Data'!$I$2:$I$651,'Processed Non-zero DMR Data'!$A$2:$A$651)) = 'Processed Non-zero DMR Data'!$A$2:$A$651)*('Processed Non-zero DMR Data'!$I$2:$I$651 = J172),'Processed Non-zero DMR Data'!$W$2:$W$651), "N/A- Facility Does Not Report DMRs")</f>
        <v>0.13427665999999999</v>
      </c>
      <c r="Q172" s="10">
        <f t="shared" si="49"/>
        <v>3.6788126027397259E-4</v>
      </c>
      <c r="R172" s="10" cm="1">
        <f t="array" ref="R172">IF(COUNTIF('Processed Non-zero DMR Data'!$I:$I,$J172)&gt;0,MEDIAN(IF('Processed Non-zero DMR Data'!$I:$I=J172,'Processed Non-zero DMR Data'!$W:$W)),"N/A - Facility Does Not Report DMRs")</f>
        <v>0.13427665999999999</v>
      </c>
      <c r="S172" s="10">
        <f t="shared" si="50"/>
        <v>3.6788126027397259E-4</v>
      </c>
      <c r="T172" s="10">
        <f>IF(COUNTIF('Processed Non-zero DMR Data'!$I:$I,$J172)&gt;0,_xlfn.MAXIFS('Processed Non-zero DMR Data'!$W:$W,'Processed Non-zero DMR Data'!$I:$I,$J172), "N/A - Facility Does Not Report DMRs")</f>
        <v>0.13427665999999999</v>
      </c>
      <c r="U172" s="10">
        <f t="shared" si="51"/>
        <v>3.6788126027397259E-4</v>
      </c>
      <c r="V172" s="158" cm="1">
        <f t="array" ref="V172">IF(COUNTIF('Processed Non-zero DMR Data'!$I:$I,$J172)&gt;0,INDEX('Processed Non-zero DMR Data'!$A:$A,MATCH(1,($J172='Processed Non-zero DMR Data'!$I:$I)*($T172='Processed Non-zero DMR Data'!$W:$W),0)), "N/A - Facility Does Not Report DMRs")</f>
        <v>2021</v>
      </c>
      <c r="W172" s="17" t="str" cm="1">
        <f t="array" ref="W172">IFERROR(_xlfn.XLOOKUP(1,  (MAX(IF(I172 = 'Processed Non-zero TRI Data'!$I$2:$I$6,'Processed Non-zero TRI Data'!$A$2:$A$6)) = 'Processed Non-zero TRI Data'!$A$2:$A$6)*('Processed Non-zero TRI Data'!$I$2:$I$6 = I172), 'Processed Non-zero TRI Data'!$T$2:$T$6), "N/A- Facility Does Not Report to TRI")</f>
        <v>N/A- Facility Does Not Report to TRI</v>
      </c>
      <c r="X172" s="10" t="str">
        <f t="shared" si="52"/>
        <v>N/A - Facility Does Not Report to TRI</v>
      </c>
      <c r="Y172" s="10" t="str" cm="1">
        <f t="array" ref="Y172">IF(COUNTIF('Processed Non-zero TRI Data'!$I:$I,$I172)&gt;0,MEDIAN(IF('Processed Non-zero TRI Data'!$I:$I=I172,'Processed Non-zero TRI Data'!$T:$T)), "N/A - Facility Does Not Report to TRI")</f>
        <v>N/A - Facility Does Not Report to TRI</v>
      </c>
      <c r="Z172" s="10" t="str">
        <f t="shared" si="53"/>
        <v>N/A - Facility Does Not Report to TRI</v>
      </c>
      <c r="AA172" s="10" t="str">
        <f>IF(COUNTIF('Processed Non-zero TRI Data'!$I:$I,$I172)&gt;0,_xlfn.MAXIFS('Processed Non-zero TRI Data'!$T:$T,'Processed Non-zero TRI Data'!$I:$I,$I172), "N/A - Facility Does Not Report to TRI")</f>
        <v>N/A - Facility Does Not Report to TRI</v>
      </c>
      <c r="AB172" s="10" t="str">
        <f t="shared" si="54"/>
        <v>N/A - Facility Does Not Report to TRI</v>
      </c>
      <c r="AC172" s="158" t="str" cm="1">
        <f t="array" ref="AC172">IFERROR(IF(B172 = "TRI Form R", IF(AA172 = 0, "Facility has no on-site water discharges between 2017-2022.",  IF(COUNTIF('Processed Non-zero TRI Data'!$I:$I,$I172)&gt;0,INDEX('Processed Non-zero TRI Data'!$A:$A,MATCH(1,($I172='Processed Non-zero TRI Data'!$I:$I)*(AA172='Processed Non-zero TRI Data'!$T:$T),0)))), VLOOKUP(I172,#REF!, 2, FALSE)), ("N/A - Facility Does Not Report to TRI"))</f>
        <v>N/A - Facility Does Not Report to TRI</v>
      </c>
      <c r="AD172" s="97" t="str" cm="1">
        <f t="array" ref="AD172">IFERROR(_xlfn.XLOOKUP(1,  (MAX(IF(I172 = 'Processed Non-zero TRI Data'!$I$2:$I$6,'Processed Non-zero TRI Data'!$A$2:$A$6)) = 'Processed Non-zero TRI Data'!$A$2:$A$6)*('Processed Non-zero TRI Data'!$I$2:$I$6 = I172), 'Processed Non-zero TRI Data'!$V$2:$V$6), "N/A- Facility Does Not Report to TRI")</f>
        <v>N/A- Facility Does Not Report to TRI</v>
      </c>
      <c r="AE172" s="9" t="str">
        <f t="shared" si="55"/>
        <v>N/A - Facility Does Not Report to TRI</v>
      </c>
      <c r="AF172" s="9" t="str" cm="1">
        <f t="array" ref="AF172">IF(COUNTIF('Processed Non-zero TRI Data'!$I:$I,$I172)&gt;0,MEDIAN(IF('Processed Non-zero TRI Data'!$I:$I=I172,'Processed Non-zero TRI Data'!$V:$V)), "N/A - Facility Does Not Report to TRI")</f>
        <v>N/A - Facility Does Not Report to TRI</v>
      </c>
      <c r="AG172" s="9" t="str">
        <f t="shared" si="56"/>
        <v>N/A - Facility Does Not Report to TRI</v>
      </c>
      <c r="AH172" s="9" t="str">
        <f>IF(COUNTIF('Processed Non-zero TRI Data'!$I:$I,$I172)&gt;0,_xlfn.MAXIFS('Processed Non-zero TRI Data'!$V:$V,'Processed Non-zero TRI Data'!$I:$I,$I172), "N/A - Facility Does Not Report to TRI")</f>
        <v>N/A - Facility Does Not Report to TRI</v>
      </c>
      <c r="AI172" s="9" t="str">
        <f t="shared" si="57"/>
        <v>N/A - Facility Does Not Report to TRI</v>
      </c>
      <c r="AJ172" s="158" t="str" cm="1">
        <f t="array" ref="AJ172">IF(B172="TRI Form A",AC172,IF(AH172=0,"Facility has no transfers to POTWs between 2019-2023.",IF(COUNTIF('Processed Non-zero TRI Data'!$I:$I,$I172)&gt;0,INDEX('Processed Non-zero TRI Data'!$A:$A,MATCH(1,($I172='Processed Non-zero TRI Data'!$I:$I)*(AH172='Processed Non-zero TRI Data'!$V:$V),0)),"N/A - Facility Does Not Report to TRI")))</f>
        <v>N/A - Facility Does Not Report to TRI</v>
      </c>
      <c r="AK172" s="97" t="str" cm="1">
        <f t="array" ref="AK172">IFERROR(_xlfn.XLOOKUP(1,  (MAX(IF(I172 = 'Processed Non-zero TRI Data'!$I$2:$I$6,'Processed Non-zero TRI Data'!$A$2:$A$6)) = 'Processed Non-zero TRI Data'!$A$2:$A$6)*('Processed Non-zero TRI Data'!$I$2:$I$6 = I172), 'Processed Non-zero TRI Data'!$X$2:$X$6), "N/A- Facility Does Not Report to TRI")</f>
        <v>N/A- Facility Does Not Report to TRI</v>
      </c>
      <c r="AL172" s="9" t="str">
        <f t="shared" si="58"/>
        <v>N/A - Facility Does Not Report to TRI</v>
      </c>
      <c r="AM172" s="9" t="str" cm="1">
        <f t="array" ref="AM172">IF(COUNTIF('Processed Non-zero TRI Data'!$I:$I,$I172)&gt;0,MEDIAN(IF('Processed Non-zero TRI Data'!$I:$I=I172,'Processed Non-zero TRI Data'!$X:$X)), "N/A - Facility Does Not Report to TRI")</f>
        <v>N/A - Facility Does Not Report to TRI</v>
      </c>
      <c r="AN172" s="9" t="str">
        <f t="shared" si="59"/>
        <v>N/A - Facility Does Not Report to TRI</v>
      </c>
      <c r="AO172" s="9" t="str">
        <f>IF(COUNTIF('Processed Non-zero TRI Data'!$I:$I,$I172)&gt;0,_xlfn.MAXIFS('Processed Non-zero TRI Data'!$X:$X,'Processed Non-zero TRI Data'!$I:$I,$I172), "N/A - Facility Does Not Report to TRI")</f>
        <v>N/A - Facility Does Not Report to TRI</v>
      </c>
      <c r="AP172" s="9" t="str">
        <f t="shared" si="60"/>
        <v>N/A - Facility Does Not Report to TRI</v>
      </c>
      <c r="AQ172" s="251" t="str" cm="1">
        <f t="array" ref="AQ172">IF(B172="TRI Form A",AC172,IF(AO172=0,"Facility has no transfers to non-POTWs between 2019-2023.",IF(COUNTIF('Processed Non-zero TRI Data'!$I:$I,$I172)&gt;0,INDEX('Processed Non-zero TRI Data'!$A:$A,MATCH(1,($I172='Processed Non-zero TRI Data'!$I:$I)*(AO172='Processed Non-zero TRI Data'!$X:$X),0)),"N/A - Facility Does Not Report to TRI")))</f>
        <v>N/A - Facility Does Not Report to TRI</v>
      </c>
      <c r="AR172" s="260">
        <f t="shared" si="61"/>
        <v>0</v>
      </c>
      <c r="AS172" s="260">
        <f t="shared" si="62"/>
        <v>0.13427665999999999</v>
      </c>
    </row>
    <row r="173" spans="1:45" ht="30" x14ac:dyDescent="0.25">
      <c r="A173" s="12">
        <v>170</v>
      </c>
      <c r="B173" s="10" t="str">
        <f>IFERROR("TRI Form "&amp; VLOOKUP(I173, 'Processed Non-zero TRI Data'!$I$2:$K$6, 3, FALSE), "DMR")</f>
        <v>DMR</v>
      </c>
      <c r="C173" s="181" t="e">
        <f>VLOOKUP(D173,#REF!, 2, FALSE)</f>
        <v>#REF!</v>
      </c>
      <c r="D173" s="181" t="str">
        <f>IF(I173&lt;&gt;"",INDEX('Processed Non-zero TRI Data'!$O:$O,MATCH(I173,'Processed Non-zero TRI Data'!$I:$I,0)),INDEX('Processed Non-zero DMR Data'!$S:$S,MATCH(J173,'Processed Non-zero DMR Data'!$I:$I,0)))</f>
        <v>Waste Handling, Disposal and Treatment (POTW)</v>
      </c>
      <c r="E173" s="181" t="str">
        <f>IF(I173&lt;&gt;"",INDEX('Processed Non-zero TRI Data'!$P:$P,MATCH(I173,'Processed Non-zero TRI Data'!$I:$I,0)),INDEX('Processed Non-zero DMR Data'!$T:$T,MATCH(J173,'Processed Non-zero DMR Data'!$I:$I,0)))</f>
        <v>POTW indicator in DMR</v>
      </c>
      <c r="F173" s="9" t="str">
        <f>_xlfn.XLOOKUP(J173, 'Processed Non-zero DMR Data'!I:I, 'Processed Non-zero DMR Data'!B:B)</f>
        <v>HAWAII COUNTY HILO WWTP</v>
      </c>
      <c r="G173" s="9" t="str">
        <f>_xlfn.XLOOKUP(J173, 'Processed Non-zero DMR Data'!I:I, 'Processed Non-zero DMR Data'!C:C)</f>
        <v>HILO</v>
      </c>
      <c r="H173" s="9" t="str">
        <f>_xlfn.XLOOKUP(J173, 'Processed Non-zero DMR Data'!I:I, 'Processed Non-zero DMR Data'!E:E)</f>
        <v>HI</v>
      </c>
      <c r="I173" s="12"/>
      <c r="J173" s="13">
        <v>110013786698</v>
      </c>
      <c r="K173" s="9" t="str">
        <f>IFERROR(INDEX('Raw Non-zero DMR Data'!$C:$C, MATCH(J173,'Raw Non-zero DMR Data'!$D:$D,0)),"")</f>
        <v>HI0021377</v>
      </c>
      <c r="L173" s="9" t="str">
        <f>IFERROR(INDEX('Raw Non-zero DMR Data'!$U:$U, MATCH($J173,'Raw Non-zero DMR Data'!$D:$D,0)),"")</f>
        <v>Waiakea Stream</v>
      </c>
      <c r="M173" s="155">
        <f>IFERROR(INDEX('Raw Non-zero DMR Data'!$T:$T, MATCH($J173,'Raw Non-zero DMR Data'!$D:$D,0)),"")</f>
        <v>200100000407</v>
      </c>
      <c r="N173" s="155" t="str">
        <f>IFERROR(INDEX('Off-site Locations'!$E:$E,MATCH(I173,'Off-site Locations'!$B:$B,0)),"No offsite transfers")</f>
        <v>No offsite transfers</v>
      </c>
      <c r="O173" s="165">
        <f>INDEX('TRI and DMR OES Summary'!D:D,MATCH('Facility Discharge Summary'!D173,'TRI and DMR OES Summary'!A:A,0))</f>
        <v>365</v>
      </c>
      <c r="P173" s="17" cm="1">
        <f t="array" ref="P173">IFERROR(_xlfn.XLOOKUP(1,  (MAX(IF(J173 = 'Processed Non-zero DMR Data'!$I$2:$I$651,'Processed Non-zero DMR Data'!$A$2:$A$651)) = 'Processed Non-zero DMR Data'!$A$2:$A$651)*('Processed Non-zero DMR Data'!$I$2:$I$651 = J173),'Processed Non-zero DMR Data'!$W$2:$W$651), "N/A- Facility Does Not Report DMRs")</f>
        <v>2.2691548125000001</v>
      </c>
      <c r="Q173" s="10">
        <f t="shared" si="49"/>
        <v>6.2168624999999998E-3</v>
      </c>
      <c r="R173" s="10" cm="1">
        <f t="array" ref="R173">IF(COUNTIF('Processed Non-zero DMR Data'!$I:$I,$J173)&gt;0,MEDIAN(IF('Processed Non-zero DMR Data'!$I:$I=J173,'Processed Non-zero DMR Data'!$W:$W)),"N/A - Facility Does Not Report DMRs")</f>
        <v>2.2691548125000001</v>
      </c>
      <c r="S173" s="10">
        <f t="shared" si="50"/>
        <v>6.2168624999999998E-3</v>
      </c>
      <c r="T173" s="10">
        <f>IF(COUNTIF('Processed Non-zero DMR Data'!$I:$I,$J173)&gt;0,_xlfn.MAXIFS('Processed Non-zero DMR Data'!$W:$W,'Processed Non-zero DMR Data'!$I:$I,$J173), "N/A - Facility Does Not Report DMRs")</f>
        <v>2.305765225</v>
      </c>
      <c r="U173" s="10">
        <f t="shared" si="51"/>
        <v>6.3171650000000005E-3</v>
      </c>
      <c r="V173" s="158" cm="1">
        <f t="array" ref="V173">IF(COUNTIF('Processed Non-zero DMR Data'!$I:$I,$J173)&gt;0,INDEX('Processed Non-zero DMR Data'!$A:$A,MATCH(1,($J173='Processed Non-zero DMR Data'!$I:$I)*($T173='Processed Non-zero DMR Data'!$W:$W),0)), "N/A - Facility Does Not Report DMRs")</f>
        <v>2021</v>
      </c>
      <c r="W173" s="17" t="str" cm="1">
        <f t="array" ref="W173">IFERROR(_xlfn.XLOOKUP(1,  (MAX(IF(I173 = 'Processed Non-zero TRI Data'!$I$2:$I$6,'Processed Non-zero TRI Data'!$A$2:$A$6)) = 'Processed Non-zero TRI Data'!$A$2:$A$6)*('Processed Non-zero TRI Data'!$I$2:$I$6 = I173), 'Processed Non-zero TRI Data'!$T$2:$T$6), "N/A- Facility Does Not Report to TRI")</f>
        <v>N/A- Facility Does Not Report to TRI</v>
      </c>
      <c r="X173" s="10" t="str">
        <f t="shared" si="52"/>
        <v>N/A - Facility Does Not Report to TRI</v>
      </c>
      <c r="Y173" s="10" t="str" cm="1">
        <f t="array" ref="Y173">IF(COUNTIF('Processed Non-zero TRI Data'!$I:$I,$I173)&gt;0,MEDIAN(IF('Processed Non-zero TRI Data'!$I:$I=I173,'Processed Non-zero TRI Data'!$T:$T)), "N/A - Facility Does Not Report to TRI")</f>
        <v>N/A - Facility Does Not Report to TRI</v>
      </c>
      <c r="Z173" s="10" t="str">
        <f t="shared" si="53"/>
        <v>N/A - Facility Does Not Report to TRI</v>
      </c>
      <c r="AA173" s="10" t="str">
        <f>IF(COUNTIF('Processed Non-zero TRI Data'!$I:$I,$I173)&gt;0,_xlfn.MAXIFS('Processed Non-zero TRI Data'!$T:$T,'Processed Non-zero TRI Data'!$I:$I,$I173), "N/A - Facility Does Not Report to TRI")</f>
        <v>N/A - Facility Does Not Report to TRI</v>
      </c>
      <c r="AB173" s="10" t="str">
        <f t="shared" si="54"/>
        <v>N/A - Facility Does Not Report to TRI</v>
      </c>
      <c r="AC173" s="158" t="str" cm="1">
        <f t="array" ref="AC173">IFERROR(IF(B173 = "TRI Form R", IF(AA173 = 0, "Facility has no on-site water discharges between 2017-2022.",  IF(COUNTIF('Processed Non-zero TRI Data'!$I:$I,$I173)&gt;0,INDEX('Processed Non-zero TRI Data'!$A:$A,MATCH(1,($I173='Processed Non-zero TRI Data'!$I:$I)*(AA173='Processed Non-zero TRI Data'!$T:$T),0)))), VLOOKUP(I173,#REF!, 2, FALSE)), ("N/A - Facility Does Not Report to TRI"))</f>
        <v>N/A - Facility Does Not Report to TRI</v>
      </c>
      <c r="AD173" s="97" t="str" cm="1">
        <f t="array" ref="AD173">IFERROR(_xlfn.XLOOKUP(1,  (MAX(IF(I173 = 'Processed Non-zero TRI Data'!$I$2:$I$6,'Processed Non-zero TRI Data'!$A$2:$A$6)) = 'Processed Non-zero TRI Data'!$A$2:$A$6)*('Processed Non-zero TRI Data'!$I$2:$I$6 = I173), 'Processed Non-zero TRI Data'!$V$2:$V$6), "N/A- Facility Does Not Report to TRI")</f>
        <v>N/A- Facility Does Not Report to TRI</v>
      </c>
      <c r="AE173" s="9" t="str">
        <f t="shared" si="55"/>
        <v>N/A - Facility Does Not Report to TRI</v>
      </c>
      <c r="AF173" s="9" t="str" cm="1">
        <f t="array" ref="AF173">IF(COUNTIF('Processed Non-zero TRI Data'!$I:$I,$I173)&gt;0,MEDIAN(IF('Processed Non-zero TRI Data'!$I:$I=I173,'Processed Non-zero TRI Data'!$V:$V)), "N/A - Facility Does Not Report to TRI")</f>
        <v>N/A - Facility Does Not Report to TRI</v>
      </c>
      <c r="AG173" s="9" t="str">
        <f t="shared" si="56"/>
        <v>N/A - Facility Does Not Report to TRI</v>
      </c>
      <c r="AH173" s="9" t="str">
        <f>IF(COUNTIF('Processed Non-zero TRI Data'!$I:$I,$I173)&gt;0,_xlfn.MAXIFS('Processed Non-zero TRI Data'!$V:$V,'Processed Non-zero TRI Data'!$I:$I,$I173), "N/A - Facility Does Not Report to TRI")</f>
        <v>N/A - Facility Does Not Report to TRI</v>
      </c>
      <c r="AI173" s="9" t="str">
        <f t="shared" si="57"/>
        <v>N/A - Facility Does Not Report to TRI</v>
      </c>
      <c r="AJ173" s="158" t="str" cm="1">
        <f t="array" ref="AJ173">IF(B173="TRI Form A",AC173,IF(AH173=0,"Facility has no transfers to POTWs between 2019-2023.",IF(COUNTIF('Processed Non-zero TRI Data'!$I:$I,$I173)&gt;0,INDEX('Processed Non-zero TRI Data'!$A:$A,MATCH(1,($I173='Processed Non-zero TRI Data'!$I:$I)*(AH173='Processed Non-zero TRI Data'!$V:$V),0)),"N/A - Facility Does Not Report to TRI")))</f>
        <v>N/A - Facility Does Not Report to TRI</v>
      </c>
      <c r="AK173" s="97" t="str" cm="1">
        <f t="array" ref="AK173">IFERROR(_xlfn.XLOOKUP(1,  (MAX(IF(I173 = 'Processed Non-zero TRI Data'!$I$2:$I$6,'Processed Non-zero TRI Data'!$A$2:$A$6)) = 'Processed Non-zero TRI Data'!$A$2:$A$6)*('Processed Non-zero TRI Data'!$I$2:$I$6 = I173), 'Processed Non-zero TRI Data'!$X$2:$X$6), "N/A- Facility Does Not Report to TRI")</f>
        <v>N/A- Facility Does Not Report to TRI</v>
      </c>
      <c r="AL173" s="9" t="str">
        <f t="shared" si="58"/>
        <v>N/A - Facility Does Not Report to TRI</v>
      </c>
      <c r="AM173" s="9" t="str" cm="1">
        <f t="array" ref="AM173">IF(COUNTIF('Processed Non-zero TRI Data'!$I:$I,$I173)&gt;0,MEDIAN(IF('Processed Non-zero TRI Data'!$I:$I=I173,'Processed Non-zero TRI Data'!$X:$X)), "N/A - Facility Does Not Report to TRI")</f>
        <v>N/A - Facility Does Not Report to TRI</v>
      </c>
      <c r="AN173" s="9" t="str">
        <f t="shared" si="59"/>
        <v>N/A - Facility Does Not Report to TRI</v>
      </c>
      <c r="AO173" s="9" t="str">
        <f>IF(COUNTIF('Processed Non-zero TRI Data'!$I:$I,$I173)&gt;0,_xlfn.MAXIFS('Processed Non-zero TRI Data'!$X:$X,'Processed Non-zero TRI Data'!$I:$I,$I173), "N/A - Facility Does Not Report to TRI")</f>
        <v>N/A - Facility Does Not Report to TRI</v>
      </c>
      <c r="AP173" s="9" t="str">
        <f t="shared" si="60"/>
        <v>N/A - Facility Does Not Report to TRI</v>
      </c>
      <c r="AQ173" s="251" t="str" cm="1">
        <f t="array" ref="AQ173">IF(B173="TRI Form A",AC173,IF(AO173=0,"Facility has no transfers to non-POTWs between 2019-2023.",IF(COUNTIF('Processed Non-zero TRI Data'!$I:$I,$I173)&gt;0,INDEX('Processed Non-zero TRI Data'!$A:$A,MATCH(1,($I173='Processed Non-zero TRI Data'!$I:$I)*(AO173='Processed Non-zero TRI Data'!$X:$X),0)),"N/A - Facility Does Not Report to TRI")))</f>
        <v>N/A - Facility Does Not Report to TRI</v>
      </c>
      <c r="AR173" s="260">
        <f t="shared" si="61"/>
        <v>0</v>
      </c>
      <c r="AS173" s="260">
        <f t="shared" si="62"/>
        <v>2.305765225</v>
      </c>
    </row>
    <row r="174" spans="1:45" ht="30" x14ac:dyDescent="0.25">
      <c r="A174" s="12">
        <v>171</v>
      </c>
      <c r="B174" s="10" t="str">
        <f>IFERROR("TRI Form "&amp; VLOOKUP(I174, 'Processed Non-zero TRI Data'!$I$2:$K$6, 3, FALSE), "DMR")</f>
        <v>DMR</v>
      </c>
      <c r="C174" s="181" t="e">
        <f>VLOOKUP(D174,#REF!, 2, FALSE)</f>
        <v>#REF!</v>
      </c>
      <c r="D174" s="181" t="str">
        <f>IF(I174&lt;&gt;"",INDEX('Processed Non-zero TRI Data'!$O:$O,MATCH(I174,'Processed Non-zero TRI Data'!$I:$I,0)),INDEX('Processed Non-zero DMR Data'!$S:$S,MATCH(J174,'Processed Non-zero DMR Data'!$I:$I,0)))</f>
        <v>Unknown</v>
      </c>
      <c r="E174" s="181" t="str">
        <f>IF(I174&lt;&gt;"",INDEX('Processed Non-zero TRI Data'!$P:$P,MATCH(I174,'Processed Non-zero TRI Data'!$I:$I,0)),INDEX('Processed Non-zero DMR Data'!$T:$T,MATCH(J174,'Processed Non-zero DMR Data'!$I:$I,0)))</f>
        <v>unknown -stadium</v>
      </c>
      <c r="F174" s="9" t="str">
        <f>_xlfn.XLOOKUP(J174, 'Processed Non-zero DMR Data'!I:I, 'Processed Non-zero DMR Data'!B:B)</f>
        <v>ALLEGIANT STADIUM</v>
      </c>
      <c r="G174" s="9" t="str">
        <f>_xlfn.XLOOKUP(J174, 'Processed Non-zero DMR Data'!I:I, 'Processed Non-zero DMR Data'!C:C)</f>
        <v>LAS VEGAS</v>
      </c>
      <c r="H174" s="9" t="str">
        <f>_xlfn.XLOOKUP(J174, 'Processed Non-zero DMR Data'!I:I, 'Processed Non-zero DMR Data'!E:E)</f>
        <v>NV</v>
      </c>
      <c r="I174" s="12"/>
      <c r="J174" s="13">
        <v>110070948151</v>
      </c>
      <c r="K174" s="9" t="str">
        <f>IFERROR(INDEX('Raw Non-zero DMR Data'!$C:$C, MATCH(J174,'Raw Non-zero DMR Data'!$D:$D,0)),"")</f>
        <v>NV0024239</v>
      </c>
      <c r="L174" s="9" t="str">
        <f>IFERROR(INDEX('Raw Non-zero DMR Data'!$U:$U, MATCH($J174,'Raw Non-zero DMR Data'!$D:$D,0)),"")</f>
        <v>Tropicana Wash</v>
      </c>
      <c r="M174" s="155">
        <f>IFERROR(INDEX('Raw Non-zero DMR Data'!$T:$T, MATCH($J174,'Raw Non-zero DMR Data'!$D:$D,0)),"")</f>
        <v>150100150505</v>
      </c>
      <c r="N174" s="155" t="str">
        <f>IFERROR(INDEX('Off-site Locations'!$E:$E,MATCH(I174,'Off-site Locations'!$B:$B,0)),"No offsite transfers")</f>
        <v>No offsite transfers</v>
      </c>
      <c r="O174" s="165">
        <f>INDEX('TRI and DMR OES Summary'!D:D,MATCH('Facility Discharge Summary'!D174,'TRI and DMR OES Summary'!A:A,0))</f>
        <v>250</v>
      </c>
      <c r="P174" s="17" cm="1">
        <f t="array" ref="P174">IFERROR(_xlfn.XLOOKUP(1,  (MAX(IF(J174 = 'Processed Non-zero DMR Data'!$I$2:$I$651,'Processed Non-zero DMR Data'!$A$2:$A$651)) = 'Processed Non-zero DMR Data'!$A$2:$A$651)*('Processed Non-zero DMR Data'!$I$2:$I$651 = J174),'Processed Non-zero DMR Data'!$W$2:$W$651), "N/A- Facility Does Not Report DMRs")</f>
        <v>6.2714327375000004E-2</v>
      </c>
      <c r="Q174" s="10">
        <f t="shared" si="49"/>
        <v>2.5085730950000001E-4</v>
      </c>
      <c r="R174" s="10" cm="1">
        <f t="array" ref="R174">IF(COUNTIF('Processed Non-zero DMR Data'!$I:$I,$J174)&gt;0,MEDIAN(IF('Processed Non-zero DMR Data'!$I:$I=J174,'Processed Non-zero DMR Data'!$W:$W)),"N/A - Facility Does Not Report DMRs")</f>
        <v>4.0706634125000002E-2</v>
      </c>
      <c r="S174" s="10">
        <f t="shared" si="50"/>
        <v>1.628265365E-4</v>
      </c>
      <c r="T174" s="10">
        <f>IF(COUNTIF('Processed Non-zero DMR Data'!$I:$I,$J174)&gt;0,_xlfn.MAXIFS('Processed Non-zero DMR Data'!$W:$W,'Processed Non-zero DMR Data'!$I:$I,$J174), "N/A - Facility Does Not Report DMRs")</f>
        <v>6.2714327375000004E-2</v>
      </c>
      <c r="U174" s="10">
        <f t="shared" si="51"/>
        <v>2.5085730950000001E-4</v>
      </c>
      <c r="V174" s="158" cm="1">
        <f t="array" ref="V174">IF(COUNTIF('Processed Non-zero DMR Data'!$I:$I,$J174)&gt;0,INDEX('Processed Non-zero DMR Data'!$A:$A,MATCH(1,($J174='Processed Non-zero DMR Data'!$I:$I)*($T174='Processed Non-zero DMR Data'!$W:$W),0)), "N/A - Facility Does Not Report DMRs")</f>
        <v>2023</v>
      </c>
      <c r="W174" s="17" t="str" cm="1">
        <f t="array" ref="W174">IFERROR(_xlfn.XLOOKUP(1,  (MAX(IF(I174 = 'Processed Non-zero TRI Data'!$I$2:$I$6,'Processed Non-zero TRI Data'!$A$2:$A$6)) = 'Processed Non-zero TRI Data'!$A$2:$A$6)*('Processed Non-zero TRI Data'!$I$2:$I$6 = I174), 'Processed Non-zero TRI Data'!$T$2:$T$6), "N/A- Facility Does Not Report to TRI")</f>
        <v>N/A- Facility Does Not Report to TRI</v>
      </c>
      <c r="X174" s="10" t="str">
        <f t="shared" si="52"/>
        <v>N/A - Facility Does Not Report to TRI</v>
      </c>
      <c r="Y174" s="10" t="str" cm="1">
        <f t="array" ref="Y174">IF(COUNTIF('Processed Non-zero TRI Data'!$I:$I,$I174)&gt;0,MEDIAN(IF('Processed Non-zero TRI Data'!$I:$I=I174,'Processed Non-zero TRI Data'!$T:$T)), "N/A - Facility Does Not Report to TRI")</f>
        <v>N/A - Facility Does Not Report to TRI</v>
      </c>
      <c r="Z174" s="10" t="str">
        <f t="shared" si="53"/>
        <v>N/A - Facility Does Not Report to TRI</v>
      </c>
      <c r="AA174" s="10" t="str">
        <f>IF(COUNTIF('Processed Non-zero TRI Data'!$I:$I,$I174)&gt;0,_xlfn.MAXIFS('Processed Non-zero TRI Data'!$T:$T,'Processed Non-zero TRI Data'!$I:$I,$I174), "N/A - Facility Does Not Report to TRI")</f>
        <v>N/A - Facility Does Not Report to TRI</v>
      </c>
      <c r="AB174" s="10" t="str">
        <f t="shared" si="54"/>
        <v>N/A - Facility Does Not Report to TRI</v>
      </c>
      <c r="AC174" s="158" t="str" cm="1">
        <f t="array" ref="AC174">IFERROR(IF(B174 = "TRI Form R", IF(AA174 = 0, "Facility has no on-site water discharges between 2017-2022.",  IF(COUNTIF('Processed Non-zero TRI Data'!$I:$I,$I174)&gt;0,INDEX('Processed Non-zero TRI Data'!$A:$A,MATCH(1,($I174='Processed Non-zero TRI Data'!$I:$I)*(AA174='Processed Non-zero TRI Data'!$T:$T),0)))), VLOOKUP(I174,#REF!, 2, FALSE)), ("N/A - Facility Does Not Report to TRI"))</f>
        <v>N/A - Facility Does Not Report to TRI</v>
      </c>
      <c r="AD174" s="97" t="str" cm="1">
        <f t="array" ref="AD174">IFERROR(_xlfn.XLOOKUP(1,  (MAX(IF(I174 = 'Processed Non-zero TRI Data'!$I$2:$I$6,'Processed Non-zero TRI Data'!$A$2:$A$6)) = 'Processed Non-zero TRI Data'!$A$2:$A$6)*('Processed Non-zero TRI Data'!$I$2:$I$6 = I174), 'Processed Non-zero TRI Data'!$V$2:$V$6), "N/A- Facility Does Not Report to TRI")</f>
        <v>N/A- Facility Does Not Report to TRI</v>
      </c>
      <c r="AE174" s="9" t="str">
        <f t="shared" si="55"/>
        <v>N/A - Facility Does Not Report to TRI</v>
      </c>
      <c r="AF174" s="9" t="str" cm="1">
        <f t="array" ref="AF174">IF(COUNTIF('Processed Non-zero TRI Data'!$I:$I,$I174)&gt;0,MEDIAN(IF('Processed Non-zero TRI Data'!$I:$I=I174,'Processed Non-zero TRI Data'!$V:$V)), "N/A - Facility Does Not Report to TRI")</f>
        <v>N/A - Facility Does Not Report to TRI</v>
      </c>
      <c r="AG174" s="9" t="str">
        <f t="shared" si="56"/>
        <v>N/A - Facility Does Not Report to TRI</v>
      </c>
      <c r="AH174" s="9" t="str">
        <f>IF(COUNTIF('Processed Non-zero TRI Data'!$I:$I,$I174)&gt;0,_xlfn.MAXIFS('Processed Non-zero TRI Data'!$V:$V,'Processed Non-zero TRI Data'!$I:$I,$I174), "N/A - Facility Does Not Report to TRI")</f>
        <v>N/A - Facility Does Not Report to TRI</v>
      </c>
      <c r="AI174" s="9" t="str">
        <f t="shared" si="57"/>
        <v>N/A - Facility Does Not Report to TRI</v>
      </c>
      <c r="AJ174" s="158" t="str" cm="1">
        <f t="array" ref="AJ174">IF(B174="TRI Form A",AC174,IF(AH174=0,"Facility has no transfers to POTWs between 2019-2023.",IF(COUNTIF('Processed Non-zero TRI Data'!$I:$I,$I174)&gt;0,INDEX('Processed Non-zero TRI Data'!$A:$A,MATCH(1,($I174='Processed Non-zero TRI Data'!$I:$I)*(AH174='Processed Non-zero TRI Data'!$V:$V),0)),"N/A - Facility Does Not Report to TRI")))</f>
        <v>N/A - Facility Does Not Report to TRI</v>
      </c>
      <c r="AK174" s="97" t="str" cm="1">
        <f t="array" ref="AK174">IFERROR(_xlfn.XLOOKUP(1,  (MAX(IF(I174 = 'Processed Non-zero TRI Data'!$I$2:$I$6,'Processed Non-zero TRI Data'!$A$2:$A$6)) = 'Processed Non-zero TRI Data'!$A$2:$A$6)*('Processed Non-zero TRI Data'!$I$2:$I$6 = I174), 'Processed Non-zero TRI Data'!$X$2:$X$6), "N/A- Facility Does Not Report to TRI")</f>
        <v>N/A- Facility Does Not Report to TRI</v>
      </c>
      <c r="AL174" s="9" t="str">
        <f t="shared" si="58"/>
        <v>N/A - Facility Does Not Report to TRI</v>
      </c>
      <c r="AM174" s="9" t="str" cm="1">
        <f t="array" ref="AM174">IF(COUNTIF('Processed Non-zero TRI Data'!$I:$I,$I174)&gt;0,MEDIAN(IF('Processed Non-zero TRI Data'!$I:$I=I174,'Processed Non-zero TRI Data'!$X:$X)), "N/A - Facility Does Not Report to TRI")</f>
        <v>N/A - Facility Does Not Report to TRI</v>
      </c>
      <c r="AN174" s="9" t="str">
        <f t="shared" si="59"/>
        <v>N/A - Facility Does Not Report to TRI</v>
      </c>
      <c r="AO174" s="9" t="str">
        <f>IF(COUNTIF('Processed Non-zero TRI Data'!$I:$I,$I174)&gt;0,_xlfn.MAXIFS('Processed Non-zero TRI Data'!$X:$X,'Processed Non-zero TRI Data'!$I:$I,$I174), "N/A - Facility Does Not Report to TRI")</f>
        <v>N/A - Facility Does Not Report to TRI</v>
      </c>
      <c r="AP174" s="9" t="str">
        <f t="shared" si="60"/>
        <v>N/A - Facility Does Not Report to TRI</v>
      </c>
      <c r="AQ174" s="251" t="str" cm="1">
        <f t="array" ref="AQ174">IF(B174="TRI Form A",AC174,IF(AO174=0,"Facility has no transfers to non-POTWs between 2019-2023.",IF(COUNTIF('Processed Non-zero TRI Data'!$I:$I,$I174)&gt;0,INDEX('Processed Non-zero TRI Data'!$A:$A,MATCH(1,($I174='Processed Non-zero TRI Data'!$I:$I)*(AO174='Processed Non-zero TRI Data'!$X:$X),0)),"N/A - Facility Does Not Report to TRI")))</f>
        <v>N/A - Facility Does Not Report to TRI</v>
      </c>
      <c r="AR174" s="260">
        <f t="shared" si="61"/>
        <v>0</v>
      </c>
      <c r="AS174" s="260">
        <f t="shared" si="62"/>
        <v>6.2714327375000004E-2</v>
      </c>
    </row>
    <row r="175" spans="1:45" ht="30" x14ac:dyDescent="0.25">
      <c r="A175" s="12">
        <v>172</v>
      </c>
      <c r="B175" s="10" t="str">
        <f>IFERROR("TRI Form "&amp; VLOOKUP(I175, 'Processed Non-zero TRI Data'!$I$2:$K$6, 3, FALSE), "DMR")</f>
        <v>DMR</v>
      </c>
      <c r="C175" s="181" t="e">
        <f>VLOOKUP(D175,#REF!, 2, FALSE)</f>
        <v>#REF!</v>
      </c>
      <c r="D175" s="181" t="str">
        <f>IF(I175&lt;&gt;"",INDEX('Processed Non-zero TRI Data'!$O:$O,MATCH(I175,'Processed Non-zero TRI Data'!$I:$I,0)),INDEX('Processed Non-zero DMR Data'!$S:$S,MATCH(J175,'Processed Non-zero DMR Data'!$I:$I,0)))</f>
        <v>Impurity in Plastics</v>
      </c>
      <c r="E175" s="181" t="str">
        <f>IF(I175&lt;&gt;"",INDEX('Processed Non-zero TRI Data'!$P:$P,MATCH(I175,'Processed Non-zero TRI Data'!$I:$I,0)),INDEX('Processed Non-zero DMR Data'!$T:$T,MATCH(J175,'Processed Non-zero DMR Data'!$I:$I,0)))</f>
        <v>Facility is a plastics manufacturer; assumed Impurity in Plastics</v>
      </c>
      <c r="F175" s="9" t="str">
        <f>_xlfn.XLOOKUP(J175, 'Processed Non-zero DMR Data'!I:I, 'Processed Non-zero DMR Data'!B:B)</f>
        <v>TEKNOR APEX TENNESSEE COMPANY</v>
      </c>
      <c r="G175" s="9" t="str">
        <f>_xlfn.XLOOKUP(J175, 'Processed Non-zero DMR Data'!I:I, 'Processed Non-zero DMR Data'!C:C)</f>
        <v>BROWNSVILLE</v>
      </c>
      <c r="H175" s="9" t="str">
        <f>_xlfn.XLOOKUP(J175, 'Processed Non-zero DMR Data'!I:I, 'Processed Non-zero DMR Data'!E:E)</f>
        <v>TN</v>
      </c>
      <c r="I175" s="12"/>
      <c r="J175" s="13">
        <v>110000373621</v>
      </c>
      <c r="K175" s="9" t="str">
        <f>IFERROR(INDEX('Raw Non-zero DMR Data'!$C:$C, MATCH(J175,'Raw Non-zero DMR Data'!$D:$D,0)),"")</f>
        <v>TN0041939</v>
      </c>
      <c r="L175" s="9" t="str">
        <f>IFERROR(INDEX('Raw Non-zero DMR Data'!$U:$U, MATCH($J175,'Raw Non-zero DMR Data'!$D:$D,0)),"")</f>
        <v>Nixon Creek Upper</v>
      </c>
      <c r="M175" s="155" t="str">
        <f>IFERROR(INDEX('Raw Non-zero DMR Data'!$T:$T, MATCH($J175,'Raw Non-zero DMR Data'!$D:$D,0)),"")</f>
        <v>080102050401</v>
      </c>
      <c r="N175" s="155" t="str">
        <f>IFERROR(INDEX('Off-site Locations'!$E:$E,MATCH(I175,'Off-site Locations'!$B:$B,0)),"No offsite transfers")</f>
        <v>No offsite transfers</v>
      </c>
      <c r="O175" s="165">
        <f>INDEX('TRI and DMR OES Summary'!D:D,MATCH('Facility Discharge Summary'!D175,'TRI and DMR OES Summary'!A:A,0))</f>
        <v>350</v>
      </c>
      <c r="P175" s="17" cm="1">
        <f t="array" ref="P175">IFERROR(_xlfn.XLOOKUP(1,  (MAX(IF(J175 = 'Processed Non-zero DMR Data'!$I$2:$I$651,'Processed Non-zero DMR Data'!$A$2:$A$651)) = 'Processed Non-zero DMR Data'!$A$2:$A$651)*('Processed Non-zero DMR Data'!$I$2:$I$651 = J175),'Processed Non-zero DMR Data'!$W$2:$W$651), "N/A- Facility Does Not Report DMRs")</f>
        <v>2.4176687499999999E-2</v>
      </c>
      <c r="Q175" s="10">
        <f t="shared" si="49"/>
        <v>6.9076249999999991E-5</v>
      </c>
      <c r="R175" s="10" cm="1">
        <f t="array" ref="R175">IF(COUNTIF('Processed Non-zero DMR Data'!$I:$I,$J175)&gt;0,MEDIAN(IF('Processed Non-zero DMR Data'!$I:$I=J175,'Processed Non-zero DMR Data'!$W:$W)),"N/A - Facility Does Not Report DMRs")</f>
        <v>0.20550184375</v>
      </c>
      <c r="S175" s="10">
        <f t="shared" si="50"/>
        <v>5.8714812499999994E-4</v>
      </c>
      <c r="T175" s="10">
        <f>IF(COUNTIF('Processed Non-zero DMR Data'!$I:$I,$J175)&gt;0,_xlfn.MAXIFS('Processed Non-zero DMR Data'!$W:$W,'Processed Non-zero DMR Data'!$I:$I,$J175), "N/A - Facility Does Not Report DMRs")</f>
        <v>0.78056162500000004</v>
      </c>
      <c r="U175" s="10">
        <f t="shared" si="51"/>
        <v>2.2301760714285713E-3</v>
      </c>
      <c r="V175" s="158" cm="1">
        <f t="array" ref="V175">IF(COUNTIF('Processed Non-zero DMR Data'!$I:$I,$J175)&gt;0,INDEX('Processed Non-zero DMR Data'!$A:$A,MATCH(1,($J175='Processed Non-zero DMR Data'!$I:$I)*($T175='Processed Non-zero DMR Data'!$W:$W),0)), "N/A - Facility Does Not Report DMRs")</f>
        <v>2021</v>
      </c>
      <c r="W175" s="17" t="str" cm="1">
        <f t="array" ref="W175">IFERROR(_xlfn.XLOOKUP(1,  (MAX(IF(I175 = 'Processed Non-zero TRI Data'!$I$2:$I$6,'Processed Non-zero TRI Data'!$A$2:$A$6)) = 'Processed Non-zero TRI Data'!$A$2:$A$6)*('Processed Non-zero TRI Data'!$I$2:$I$6 = I175), 'Processed Non-zero TRI Data'!$T$2:$T$6), "N/A- Facility Does Not Report to TRI")</f>
        <v>N/A- Facility Does Not Report to TRI</v>
      </c>
      <c r="X175" s="10" t="str">
        <f t="shared" si="52"/>
        <v>N/A - Facility Does Not Report to TRI</v>
      </c>
      <c r="Y175" s="10" t="str" cm="1">
        <f t="array" ref="Y175">IF(COUNTIF('Processed Non-zero TRI Data'!$I:$I,$I175)&gt;0,MEDIAN(IF('Processed Non-zero TRI Data'!$I:$I=I175,'Processed Non-zero TRI Data'!$T:$T)), "N/A - Facility Does Not Report to TRI")</f>
        <v>N/A - Facility Does Not Report to TRI</v>
      </c>
      <c r="Z175" s="10" t="str">
        <f t="shared" si="53"/>
        <v>N/A - Facility Does Not Report to TRI</v>
      </c>
      <c r="AA175" s="10" t="str">
        <f>IF(COUNTIF('Processed Non-zero TRI Data'!$I:$I,$I175)&gt;0,_xlfn.MAXIFS('Processed Non-zero TRI Data'!$T:$T,'Processed Non-zero TRI Data'!$I:$I,$I175), "N/A - Facility Does Not Report to TRI")</f>
        <v>N/A - Facility Does Not Report to TRI</v>
      </c>
      <c r="AB175" s="10" t="str">
        <f t="shared" si="54"/>
        <v>N/A - Facility Does Not Report to TRI</v>
      </c>
      <c r="AC175" s="158" t="str" cm="1">
        <f t="array" ref="AC175">IFERROR(IF(B175 = "TRI Form R", IF(AA175 = 0, "Facility has no on-site water discharges between 2017-2022.",  IF(COUNTIF('Processed Non-zero TRI Data'!$I:$I,$I175)&gt;0,INDEX('Processed Non-zero TRI Data'!$A:$A,MATCH(1,($I175='Processed Non-zero TRI Data'!$I:$I)*(AA175='Processed Non-zero TRI Data'!$T:$T),0)))), VLOOKUP(I175,#REF!, 2, FALSE)), ("N/A - Facility Does Not Report to TRI"))</f>
        <v>N/A - Facility Does Not Report to TRI</v>
      </c>
      <c r="AD175" s="97" t="str" cm="1">
        <f t="array" ref="AD175">IFERROR(_xlfn.XLOOKUP(1,  (MAX(IF(I175 = 'Processed Non-zero TRI Data'!$I$2:$I$6,'Processed Non-zero TRI Data'!$A$2:$A$6)) = 'Processed Non-zero TRI Data'!$A$2:$A$6)*('Processed Non-zero TRI Data'!$I$2:$I$6 = I175), 'Processed Non-zero TRI Data'!$V$2:$V$6), "N/A- Facility Does Not Report to TRI")</f>
        <v>N/A- Facility Does Not Report to TRI</v>
      </c>
      <c r="AE175" s="9" t="str">
        <f t="shared" si="55"/>
        <v>N/A - Facility Does Not Report to TRI</v>
      </c>
      <c r="AF175" s="9" t="str" cm="1">
        <f t="array" ref="AF175">IF(COUNTIF('Processed Non-zero TRI Data'!$I:$I,$I175)&gt;0,MEDIAN(IF('Processed Non-zero TRI Data'!$I:$I=I175,'Processed Non-zero TRI Data'!$V:$V)), "N/A - Facility Does Not Report to TRI")</f>
        <v>N/A - Facility Does Not Report to TRI</v>
      </c>
      <c r="AG175" s="9" t="str">
        <f t="shared" si="56"/>
        <v>N/A - Facility Does Not Report to TRI</v>
      </c>
      <c r="AH175" s="9" t="str">
        <f>IF(COUNTIF('Processed Non-zero TRI Data'!$I:$I,$I175)&gt;0,_xlfn.MAXIFS('Processed Non-zero TRI Data'!$V:$V,'Processed Non-zero TRI Data'!$I:$I,$I175), "N/A - Facility Does Not Report to TRI")</f>
        <v>N/A - Facility Does Not Report to TRI</v>
      </c>
      <c r="AI175" s="9" t="str">
        <f t="shared" si="57"/>
        <v>N/A - Facility Does Not Report to TRI</v>
      </c>
      <c r="AJ175" s="158" t="str" cm="1">
        <f t="array" ref="AJ175">IF(B175="TRI Form A",AC175,IF(AH175=0,"Facility has no transfers to POTWs between 2019-2023.",IF(COUNTIF('Processed Non-zero TRI Data'!$I:$I,$I175)&gt;0,INDEX('Processed Non-zero TRI Data'!$A:$A,MATCH(1,($I175='Processed Non-zero TRI Data'!$I:$I)*(AH175='Processed Non-zero TRI Data'!$V:$V),0)),"N/A - Facility Does Not Report to TRI")))</f>
        <v>N/A - Facility Does Not Report to TRI</v>
      </c>
      <c r="AK175" s="97" t="str" cm="1">
        <f t="array" ref="AK175">IFERROR(_xlfn.XLOOKUP(1,  (MAX(IF(I175 = 'Processed Non-zero TRI Data'!$I$2:$I$6,'Processed Non-zero TRI Data'!$A$2:$A$6)) = 'Processed Non-zero TRI Data'!$A$2:$A$6)*('Processed Non-zero TRI Data'!$I$2:$I$6 = I175), 'Processed Non-zero TRI Data'!$X$2:$X$6), "N/A- Facility Does Not Report to TRI")</f>
        <v>N/A- Facility Does Not Report to TRI</v>
      </c>
      <c r="AL175" s="9" t="str">
        <f t="shared" si="58"/>
        <v>N/A - Facility Does Not Report to TRI</v>
      </c>
      <c r="AM175" s="9" t="str" cm="1">
        <f t="array" ref="AM175">IF(COUNTIF('Processed Non-zero TRI Data'!$I:$I,$I175)&gt;0,MEDIAN(IF('Processed Non-zero TRI Data'!$I:$I=I175,'Processed Non-zero TRI Data'!$X:$X)), "N/A - Facility Does Not Report to TRI")</f>
        <v>N/A - Facility Does Not Report to TRI</v>
      </c>
      <c r="AN175" s="9" t="str">
        <f t="shared" si="59"/>
        <v>N/A - Facility Does Not Report to TRI</v>
      </c>
      <c r="AO175" s="9" t="str">
        <f>IF(COUNTIF('Processed Non-zero TRI Data'!$I:$I,$I175)&gt;0,_xlfn.MAXIFS('Processed Non-zero TRI Data'!$X:$X,'Processed Non-zero TRI Data'!$I:$I,$I175), "N/A - Facility Does Not Report to TRI")</f>
        <v>N/A - Facility Does Not Report to TRI</v>
      </c>
      <c r="AP175" s="9" t="str">
        <f t="shared" si="60"/>
        <v>N/A - Facility Does Not Report to TRI</v>
      </c>
      <c r="AQ175" s="251" t="str" cm="1">
        <f t="array" ref="AQ175">IF(B175="TRI Form A",AC175,IF(AO175=0,"Facility has no transfers to non-POTWs between 2019-2023.",IF(COUNTIF('Processed Non-zero TRI Data'!$I:$I,$I175)&gt;0,INDEX('Processed Non-zero TRI Data'!$A:$A,MATCH(1,($I175='Processed Non-zero TRI Data'!$I:$I)*(AO175='Processed Non-zero TRI Data'!$X:$X),0)),"N/A - Facility Does Not Report to TRI")))</f>
        <v>N/A - Facility Does Not Report to TRI</v>
      </c>
      <c r="AR175" s="260">
        <f t="shared" si="61"/>
        <v>0</v>
      </c>
      <c r="AS175" s="260">
        <f t="shared" si="62"/>
        <v>0.78056162500000004</v>
      </c>
    </row>
    <row r="176" spans="1:45" ht="30" x14ac:dyDescent="0.25">
      <c r="A176" s="12">
        <v>173</v>
      </c>
      <c r="B176" s="10" t="str">
        <f>IFERROR("TRI Form "&amp; VLOOKUP(I176, 'Processed Non-zero TRI Data'!$I$2:$K$6, 3, FALSE), "DMR")</f>
        <v>DMR</v>
      </c>
      <c r="C176" s="181" t="e">
        <f>VLOOKUP(D176,#REF!, 2, FALSE)</f>
        <v>#REF!</v>
      </c>
      <c r="D176" s="181" t="str">
        <f>IF(I176&lt;&gt;"",INDEX('Processed Non-zero TRI Data'!$O:$O,MATCH(I176,'Processed Non-zero TRI Data'!$I:$I,0)),INDEX('Processed Non-zero DMR Data'!$S:$S,MATCH(J176,'Processed Non-zero DMR Data'!$I:$I,0)))</f>
        <v>Waste Handling, Disposal and Treatment (POTW)</v>
      </c>
      <c r="E176" s="181" t="str">
        <f>IF(I176&lt;&gt;"",INDEX('Processed Non-zero TRI Data'!$P:$P,MATCH(I176,'Processed Non-zero TRI Data'!$I:$I,0)),INDEX('Processed Non-zero DMR Data'!$T:$T,MATCH(J176,'Processed Non-zero DMR Data'!$I:$I,0)))</f>
        <v>POTW indicator in DMR</v>
      </c>
      <c r="F176" s="9" t="str">
        <f>_xlfn.XLOOKUP(J176, 'Processed Non-zero DMR Data'!I:I, 'Processed Non-zero DMR Data'!B:B)</f>
        <v>EMINENCE STP</v>
      </c>
      <c r="G176" s="9" t="str">
        <f>_xlfn.XLOOKUP(J176, 'Processed Non-zero DMR Data'!I:I, 'Processed Non-zero DMR Data'!C:C)</f>
        <v>EMINENCE</v>
      </c>
      <c r="H176" s="9" t="str">
        <f>_xlfn.XLOOKUP(J176, 'Processed Non-zero DMR Data'!I:I, 'Processed Non-zero DMR Data'!E:E)</f>
        <v>KY</v>
      </c>
      <c r="I176" s="12"/>
      <c r="J176" s="13">
        <v>110064268260</v>
      </c>
      <c r="K176" s="9" t="str">
        <f>IFERROR(INDEX('Raw Non-zero DMR Data'!$C:$C, MATCH(J176,'Raw Non-zero DMR Data'!$D:$D,0)),"")</f>
        <v>KY0026883</v>
      </c>
      <c r="L176" s="9" t="str">
        <f>IFERROR(INDEX('Raw Non-zero DMR Data'!$U:$U, MATCH($J176,'Raw Non-zero DMR Data'!$D:$D,0)),"")</f>
        <v>Fox Run</v>
      </c>
      <c r="M176" s="155" t="str">
        <f>IFERROR(INDEX('Raw Non-zero DMR Data'!$T:$T, MATCH($J176,'Raw Non-zero DMR Data'!$D:$D,0)),"")</f>
        <v>051401020404</v>
      </c>
      <c r="N176" s="155" t="str">
        <f>IFERROR(INDEX('Off-site Locations'!$E:$E,MATCH(I176,'Off-site Locations'!$B:$B,0)),"No offsite transfers")</f>
        <v>No offsite transfers</v>
      </c>
      <c r="O176" s="165">
        <f>INDEX('TRI and DMR OES Summary'!D:D,MATCH('Facility Discharge Summary'!D176,'TRI and DMR OES Summary'!A:A,0))</f>
        <v>365</v>
      </c>
      <c r="P176" s="17" cm="1">
        <f t="array" ref="P176">IFERROR(_xlfn.XLOOKUP(1,  (MAX(IF(J176 = 'Processed Non-zero DMR Data'!$I$2:$I$651,'Processed Non-zero DMR Data'!$A$2:$A$651)) = 'Processed Non-zero DMR Data'!$A$2:$A$651)*('Processed Non-zero DMR Data'!$I$2:$I$651 = J176),'Processed Non-zero DMR Data'!$W$2:$W$651), "N/A- Facility Does Not Report DMRs")</f>
        <v>0.79783068749999997</v>
      </c>
      <c r="Q176" s="10">
        <f t="shared" ref="Q176:Q220" si="63">IFERROR(P176/$O176, "N/A - Facility Does Not Report DMRs")</f>
        <v>2.1858375000000001E-3</v>
      </c>
      <c r="R176" s="10" cm="1">
        <f t="array" ref="R176">IF(COUNTIF('Processed Non-zero DMR Data'!$I:$I,$J176)&gt;0,MEDIAN(IF('Processed Non-zero DMR Data'!$I:$I=J176,'Processed Non-zero DMR Data'!$W:$W)),"N/A - Facility Does Not Report DMRs")</f>
        <v>1.3746173749999999</v>
      </c>
      <c r="S176" s="10">
        <f t="shared" ref="S176:S220" si="64">IFERROR(R176/$O176, "N/A - Facility Does Not Report DMRs")</f>
        <v>3.7660749999999998E-3</v>
      </c>
      <c r="T176" s="10">
        <f>IF(COUNTIF('Processed Non-zero DMR Data'!$I:$I,$J176)&gt;0,_xlfn.MAXIFS('Processed Non-zero DMR Data'!$W:$W,'Processed Non-zero DMR Data'!$I:$I,$J176), "N/A - Facility Does Not Report DMRs")</f>
        <v>2.3520463125000002</v>
      </c>
      <c r="U176" s="10">
        <f t="shared" ref="U176:U220" si="65">IFERROR(T176/$O176, "N/A - Facility Does Not Report DMRs")</f>
        <v>6.4439625000000007E-3</v>
      </c>
      <c r="V176" s="158" cm="1">
        <f t="array" ref="V176">IF(COUNTIF('Processed Non-zero DMR Data'!$I:$I,$J176)&gt;0,INDEX('Processed Non-zero DMR Data'!$A:$A,MATCH(1,($J176='Processed Non-zero DMR Data'!$I:$I)*($T176='Processed Non-zero DMR Data'!$W:$W),0)), "N/A - Facility Does Not Report DMRs")</f>
        <v>2021</v>
      </c>
      <c r="W176" s="17" t="str" cm="1">
        <f t="array" ref="W176">IFERROR(_xlfn.XLOOKUP(1,  (MAX(IF(I176 = 'Processed Non-zero TRI Data'!$I$2:$I$6,'Processed Non-zero TRI Data'!$A$2:$A$6)) = 'Processed Non-zero TRI Data'!$A$2:$A$6)*('Processed Non-zero TRI Data'!$I$2:$I$6 = I176), 'Processed Non-zero TRI Data'!$T$2:$T$6), "N/A- Facility Does Not Report to TRI")</f>
        <v>N/A- Facility Does Not Report to TRI</v>
      </c>
      <c r="X176" s="10" t="str">
        <f t="shared" ref="X176:X220" si="66">IFERROR(W176/$O176, "N/A - Facility Does Not Report to TRI")</f>
        <v>N/A - Facility Does Not Report to TRI</v>
      </c>
      <c r="Y176" s="10" t="str" cm="1">
        <f t="array" ref="Y176">IF(COUNTIF('Processed Non-zero TRI Data'!$I:$I,$I176)&gt;0,MEDIAN(IF('Processed Non-zero TRI Data'!$I:$I=I176,'Processed Non-zero TRI Data'!$T:$T)), "N/A - Facility Does Not Report to TRI")</f>
        <v>N/A - Facility Does Not Report to TRI</v>
      </c>
      <c r="Z176" s="10" t="str">
        <f t="shared" ref="Z176:Z220" si="67">IFERROR(Y176/$O176, "N/A - Facility Does Not Report to TRI")</f>
        <v>N/A - Facility Does Not Report to TRI</v>
      </c>
      <c r="AA176" s="10" t="str">
        <f>IF(COUNTIF('Processed Non-zero TRI Data'!$I:$I,$I176)&gt;0,_xlfn.MAXIFS('Processed Non-zero TRI Data'!$T:$T,'Processed Non-zero TRI Data'!$I:$I,$I176), "N/A - Facility Does Not Report to TRI")</f>
        <v>N/A - Facility Does Not Report to TRI</v>
      </c>
      <c r="AB176" s="10" t="str">
        <f t="shared" ref="AB176:AB220" si="68">IFERROR(AA176/$O176, "N/A - Facility Does Not Report to TRI")</f>
        <v>N/A - Facility Does Not Report to TRI</v>
      </c>
      <c r="AC176" s="158" t="str" cm="1">
        <f t="array" ref="AC176">IFERROR(IF(B176 = "TRI Form R", IF(AA176 = 0, "Facility has no on-site water discharges between 2017-2022.",  IF(COUNTIF('Processed Non-zero TRI Data'!$I:$I,$I176)&gt;0,INDEX('Processed Non-zero TRI Data'!$A:$A,MATCH(1,($I176='Processed Non-zero TRI Data'!$I:$I)*(AA176='Processed Non-zero TRI Data'!$T:$T),0)))), VLOOKUP(I176,#REF!, 2, FALSE)), ("N/A - Facility Does Not Report to TRI"))</f>
        <v>N/A - Facility Does Not Report to TRI</v>
      </c>
      <c r="AD176" s="97" t="str" cm="1">
        <f t="array" ref="AD176">IFERROR(_xlfn.XLOOKUP(1,  (MAX(IF(I176 = 'Processed Non-zero TRI Data'!$I$2:$I$6,'Processed Non-zero TRI Data'!$A$2:$A$6)) = 'Processed Non-zero TRI Data'!$A$2:$A$6)*('Processed Non-zero TRI Data'!$I$2:$I$6 = I176), 'Processed Non-zero TRI Data'!$V$2:$V$6), "N/A- Facility Does Not Report to TRI")</f>
        <v>N/A- Facility Does Not Report to TRI</v>
      </c>
      <c r="AE176" s="9" t="str">
        <f t="shared" ref="AE176:AE220" si="69">IFERROR(AD176/$O176, "N/A - Facility Does Not Report to TRI")</f>
        <v>N/A - Facility Does Not Report to TRI</v>
      </c>
      <c r="AF176" s="9" t="str" cm="1">
        <f t="array" ref="AF176">IF(COUNTIF('Processed Non-zero TRI Data'!$I:$I,$I176)&gt;0,MEDIAN(IF('Processed Non-zero TRI Data'!$I:$I=I176,'Processed Non-zero TRI Data'!$V:$V)), "N/A - Facility Does Not Report to TRI")</f>
        <v>N/A - Facility Does Not Report to TRI</v>
      </c>
      <c r="AG176" s="9" t="str">
        <f t="shared" ref="AG176:AG220" si="70">IFERROR(AF176/$O176, "N/A - Facility Does Not Report to TRI")</f>
        <v>N/A - Facility Does Not Report to TRI</v>
      </c>
      <c r="AH176" s="9" t="str">
        <f>IF(COUNTIF('Processed Non-zero TRI Data'!$I:$I,$I176)&gt;0,_xlfn.MAXIFS('Processed Non-zero TRI Data'!$V:$V,'Processed Non-zero TRI Data'!$I:$I,$I176), "N/A - Facility Does Not Report to TRI")</f>
        <v>N/A - Facility Does Not Report to TRI</v>
      </c>
      <c r="AI176" s="9" t="str">
        <f t="shared" ref="AI176:AI220" si="71">IFERROR(AH176/$O176, "N/A - Facility Does Not Report to TRI")</f>
        <v>N/A - Facility Does Not Report to TRI</v>
      </c>
      <c r="AJ176" s="158" t="str" cm="1">
        <f t="array" ref="AJ176">IF(B176="TRI Form A",AC176,IF(AH176=0,"Facility has no transfers to POTWs between 2019-2023.",IF(COUNTIF('Processed Non-zero TRI Data'!$I:$I,$I176)&gt;0,INDEX('Processed Non-zero TRI Data'!$A:$A,MATCH(1,($I176='Processed Non-zero TRI Data'!$I:$I)*(AH176='Processed Non-zero TRI Data'!$V:$V),0)),"N/A - Facility Does Not Report to TRI")))</f>
        <v>N/A - Facility Does Not Report to TRI</v>
      </c>
      <c r="AK176" s="97" t="str" cm="1">
        <f t="array" ref="AK176">IFERROR(_xlfn.XLOOKUP(1,  (MAX(IF(I176 = 'Processed Non-zero TRI Data'!$I$2:$I$6,'Processed Non-zero TRI Data'!$A$2:$A$6)) = 'Processed Non-zero TRI Data'!$A$2:$A$6)*('Processed Non-zero TRI Data'!$I$2:$I$6 = I176), 'Processed Non-zero TRI Data'!$X$2:$X$6), "N/A- Facility Does Not Report to TRI")</f>
        <v>N/A- Facility Does Not Report to TRI</v>
      </c>
      <c r="AL176" s="9" t="str">
        <f t="shared" ref="AL176:AL220" si="72">IFERROR(AK176/$O176, "N/A - Facility Does Not Report to TRI")</f>
        <v>N/A - Facility Does Not Report to TRI</v>
      </c>
      <c r="AM176" s="9" t="str" cm="1">
        <f t="array" ref="AM176">IF(COUNTIF('Processed Non-zero TRI Data'!$I:$I,$I176)&gt;0,MEDIAN(IF('Processed Non-zero TRI Data'!$I:$I=I176,'Processed Non-zero TRI Data'!$X:$X)), "N/A - Facility Does Not Report to TRI")</f>
        <v>N/A - Facility Does Not Report to TRI</v>
      </c>
      <c r="AN176" s="9" t="str">
        <f t="shared" ref="AN176:AN220" si="73">IFERROR(AM176/$O176, "N/A - Facility Does Not Report to TRI")</f>
        <v>N/A - Facility Does Not Report to TRI</v>
      </c>
      <c r="AO176" s="9" t="str">
        <f>IF(COUNTIF('Processed Non-zero TRI Data'!$I:$I,$I176)&gt;0,_xlfn.MAXIFS('Processed Non-zero TRI Data'!$X:$X,'Processed Non-zero TRI Data'!$I:$I,$I176), "N/A - Facility Does Not Report to TRI")</f>
        <v>N/A - Facility Does Not Report to TRI</v>
      </c>
      <c r="AP176" s="9" t="str">
        <f t="shared" ref="AP176:AP220" si="74">IFERROR(AO176/$O176, "N/A - Facility Does Not Report to TRI")</f>
        <v>N/A - Facility Does Not Report to TRI</v>
      </c>
      <c r="AQ176" s="251" t="str" cm="1">
        <f t="array" ref="AQ176">IF(B176="TRI Form A",AC176,IF(AO176=0,"Facility has no transfers to non-POTWs between 2019-2023.",IF(COUNTIF('Processed Non-zero TRI Data'!$I:$I,$I176)&gt;0,INDEX('Processed Non-zero TRI Data'!$A:$A,MATCH(1,($I176='Processed Non-zero TRI Data'!$I:$I)*(AO176='Processed Non-zero TRI Data'!$X:$X),0)),"N/A - Facility Does Not Report to TRI")))</f>
        <v>N/A - Facility Does Not Report to TRI</v>
      </c>
      <c r="AR176" s="260">
        <f t="shared" si="61"/>
        <v>0</v>
      </c>
      <c r="AS176" s="260">
        <f t="shared" si="62"/>
        <v>2.3520463125000002</v>
      </c>
    </row>
    <row r="177" spans="1:45" ht="30" x14ac:dyDescent="0.25">
      <c r="A177" s="12">
        <v>174</v>
      </c>
      <c r="B177" s="10" t="str">
        <f>IFERROR("TRI Form "&amp; VLOOKUP(I177, 'Processed Non-zero TRI Data'!$I$2:$K$6, 3, FALSE), "DMR")</f>
        <v>DMR</v>
      </c>
      <c r="C177" s="181" t="e">
        <f>VLOOKUP(D177,#REF!, 2, FALSE)</f>
        <v>#REF!</v>
      </c>
      <c r="D177" s="181" t="str">
        <f>IF(I177&lt;&gt;"",INDEX('Processed Non-zero TRI Data'!$O:$O,MATCH(I177,'Processed Non-zero TRI Data'!$I:$I,0)),INDEX('Processed Non-zero DMR Data'!$S:$S,MATCH(J177,'Processed Non-zero DMR Data'!$I:$I,0)))</f>
        <v>Unknown</v>
      </c>
      <c r="E177" s="181" t="str">
        <f>IF(I177&lt;&gt;"",INDEX('Processed Non-zero TRI Data'!$P:$P,MATCH(I177,'Processed Non-zero TRI Data'!$I:$I,0)),INDEX('Processed Non-zero DMR Data'!$T:$T,MATCH(J177,'Processed Non-zero DMR Data'!$I:$I,0)))</f>
        <v>Facility is a farm growing fresh produce for sale; no OES to map to.</v>
      </c>
      <c r="F177" s="9" t="str">
        <f>_xlfn.XLOOKUP(J177, 'Processed Non-zero DMR Data'!I:I, 'Processed Non-zero DMR Data'!B:B)</f>
        <v>ALOUN KAUAI FARMING LLC</v>
      </c>
      <c r="G177" s="9" t="str">
        <f>_xlfn.XLOOKUP(J177, 'Processed Non-zero DMR Data'!I:I, 'Processed Non-zero DMR Data'!C:C)</f>
        <v>KEKAHA</v>
      </c>
      <c r="H177" s="9" t="str">
        <f>_xlfn.XLOOKUP(J177, 'Processed Non-zero DMR Data'!I:I, 'Processed Non-zero DMR Data'!E:E)</f>
        <v>HI</v>
      </c>
      <c r="I177" s="12"/>
      <c r="J177" s="13">
        <v>110006777247</v>
      </c>
      <c r="K177" s="9" t="str">
        <f>IFERROR(INDEX('Raw Non-zero DMR Data'!$C:$C, MATCH(J177,'Raw Non-zero DMR Data'!$D:$D,0)),"")</f>
        <v>HI0021654</v>
      </c>
      <c r="L177" s="9" t="str">
        <f>IFERROR(INDEX('Raw Non-zero DMR Data'!$U:$U, MATCH($J177,'Raw Non-zero DMR Data'!$D:$D,0)),"")</f>
        <v>Waieli Draw</v>
      </c>
      <c r="M177" s="155">
        <f>IFERROR(INDEX('Raw Non-zero DMR Data'!$T:$T, MATCH($J177,'Raw Non-zero DMR Data'!$D:$D,0)),"")</f>
        <v>200700000501</v>
      </c>
      <c r="N177" s="155" t="str">
        <f>IFERROR(INDEX('Off-site Locations'!$E:$E,MATCH(I177,'Off-site Locations'!$B:$B,0)),"No offsite transfers")</f>
        <v>No offsite transfers</v>
      </c>
      <c r="O177" s="165">
        <f>INDEX('TRI and DMR OES Summary'!D:D,MATCH('Facility Discharge Summary'!D177,'TRI and DMR OES Summary'!A:A,0))</f>
        <v>250</v>
      </c>
      <c r="P177" s="17" cm="1">
        <f t="array" ref="P177">IFERROR(_xlfn.XLOOKUP(1,  (MAX(IF(J177 = 'Processed Non-zero DMR Data'!$I$2:$I$651,'Processed Non-zero DMR Data'!$A$2:$A$651)) = 'Processed Non-zero DMR Data'!$A$2:$A$651)*('Processed Non-zero DMR Data'!$I$2:$I$651 = J177),'Processed Non-zero DMR Data'!$W$2:$W$651), "N/A- Facility Does Not Report DMRs")</f>
        <v>0.46004782500000002</v>
      </c>
      <c r="Q177" s="10">
        <f t="shared" si="63"/>
        <v>1.8401913E-3</v>
      </c>
      <c r="R177" s="10" cm="1">
        <f t="array" ref="R177">IF(COUNTIF('Processed Non-zero DMR Data'!$I:$I,$J177)&gt;0,MEDIAN(IF('Processed Non-zero DMR Data'!$I:$I=J177,'Processed Non-zero DMR Data'!$W:$W)),"N/A - Facility Does Not Report DMRs")</f>
        <v>0.46004782500000002</v>
      </c>
      <c r="S177" s="10">
        <f t="shared" si="64"/>
        <v>1.8401913E-3</v>
      </c>
      <c r="T177" s="10">
        <f>IF(COUNTIF('Processed Non-zero DMR Data'!$I:$I,$J177)&gt;0,_xlfn.MAXIFS('Processed Non-zero DMR Data'!$W:$W,'Processed Non-zero DMR Data'!$I:$I,$J177), "N/A - Facility Does Not Report DMRs")</f>
        <v>3.4399972499999998</v>
      </c>
      <c r="U177" s="10">
        <f t="shared" si="65"/>
        <v>1.3759988999999999E-2</v>
      </c>
      <c r="V177" s="158" cm="1">
        <f t="array" ref="V177">IF(COUNTIF('Processed Non-zero DMR Data'!$I:$I,$J177)&gt;0,INDEX('Processed Non-zero DMR Data'!$A:$A,MATCH(1,($J177='Processed Non-zero DMR Data'!$I:$I)*($T177='Processed Non-zero DMR Data'!$W:$W),0)), "N/A - Facility Does Not Report DMRs")</f>
        <v>2022</v>
      </c>
      <c r="W177" s="17" t="str" cm="1">
        <f t="array" ref="W177">IFERROR(_xlfn.XLOOKUP(1,  (MAX(IF(I177 = 'Processed Non-zero TRI Data'!$I$2:$I$6,'Processed Non-zero TRI Data'!$A$2:$A$6)) = 'Processed Non-zero TRI Data'!$A$2:$A$6)*('Processed Non-zero TRI Data'!$I$2:$I$6 = I177), 'Processed Non-zero TRI Data'!$T$2:$T$6), "N/A- Facility Does Not Report to TRI")</f>
        <v>N/A- Facility Does Not Report to TRI</v>
      </c>
      <c r="X177" s="10" t="str">
        <f t="shared" si="66"/>
        <v>N/A - Facility Does Not Report to TRI</v>
      </c>
      <c r="Y177" s="10" t="str" cm="1">
        <f t="array" ref="Y177">IF(COUNTIF('Processed Non-zero TRI Data'!$I:$I,$I177)&gt;0,MEDIAN(IF('Processed Non-zero TRI Data'!$I:$I=I177,'Processed Non-zero TRI Data'!$T:$T)), "N/A - Facility Does Not Report to TRI")</f>
        <v>N/A - Facility Does Not Report to TRI</v>
      </c>
      <c r="Z177" s="10" t="str">
        <f t="shared" si="67"/>
        <v>N/A - Facility Does Not Report to TRI</v>
      </c>
      <c r="AA177" s="10" t="str">
        <f>IF(COUNTIF('Processed Non-zero TRI Data'!$I:$I,$I177)&gt;0,_xlfn.MAXIFS('Processed Non-zero TRI Data'!$T:$T,'Processed Non-zero TRI Data'!$I:$I,$I177), "N/A - Facility Does Not Report to TRI")</f>
        <v>N/A - Facility Does Not Report to TRI</v>
      </c>
      <c r="AB177" s="10" t="str">
        <f t="shared" si="68"/>
        <v>N/A - Facility Does Not Report to TRI</v>
      </c>
      <c r="AC177" s="158" t="str" cm="1">
        <f t="array" ref="AC177">IFERROR(IF(B177 = "TRI Form R", IF(AA177 = 0, "Facility has no on-site water discharges between 2017-2022.",  IF(COUNTIF('Processed Non-zero TRI Data'!$I:$I,$I177)&gt;0,INDEX('Processed Non-zero TRI Data'!$A:$A,MATCH(1,($I177='Processed Non-zero TRI Data'!$I:$I)*(AA177='Processed Non-zero TRI Data'!$T:$T),0)))), VLOOKUP(I177,#REF!, 2, FALSE)), ("N/A - Facility Does Not Report to TRI"))</f>
        <v>N/A - Facility Does Not Report to TRI</v>
      </c>
      <c r="AD177" s="97" t="str" cm="1">
        <f t="array" ref="AD177">IFERROR(_xlfn.XLOOKUP(1,  (MAX(IF(I177 = 'Processed Non-zero TRI Data'!$I$2:$I$6,'Processed Non-zero TRI Data'!$A$2:$A$6)) = 'Processed Non-zero TRI Data'!$A$2:$A$6)*('Processed Non-zero TRI Data'!$I$2:$I$6 = I177), 'Processed Non-zero TRI Data'!$V$2:$V$6), "N/A- Facility Does Not Report to TRI")</f>
        <v>N/A- Facility Does Not Report to TRI</v>
      </c>
      <c r="AE177" s="9" t="str">
        <f t="shared" si="69"/>
        <v>N/A - Facility Does Not Report to TRI</v>
      </c>
      <c r="AF177" s="9" t="str" cm="1">
        <f t="array" ref="AF177">IF(COUNTIF('Processed Non-zero TRI Data'!$I:$I,$I177)&gt;0,MEDIAN(IF('Processed Non-zero TRI Data'!$I:$I=I177,'Processed Non-zero TRI Data'!$V:$V)), "N/A - Facility Does Not Report to TRI")</f>
        <v>N/A - Facility Does Not Report to TRI</v>
      </c>
      <c r="AG177" s="9" t="str">
        <f t="shared" si="70"/>
        <v>N/A - Facility Does Not Report to TRI</v>
      </c>
      <c r="AH177" s="9" t="str">
        <f>IF(COUNTIF('Processed Non-zero TRI Data'!$I:$I,$I177)&gt;0,_xlfn.MAXIFS('Processed Non-zero TRI Data'!$V:$V,'Processed Non-zero TRI Data'!$I:$I,$I177), "N/A - Facility Does Not Report to TRI")</f>
        <v>N/A - Facility Does Not Report to TRI</v>
      </c>
      <c r="AI177" s="9" t="str">
        <f t="shared" si="71"/>
        <v>N/A - Facility Does Not Report to TRI</v>
      </c>
      <c r="AJ177" s="158" t="str" cm="1">
        <f t="array" ref="AJ177">IF(B177="TRI Form A",AC177,IF(AH177=0,"Facility has no transfers to POTWs between 2019-2023.",IF(COUNTIF('Processed Non-zero TRI Data'!$I:$I,$I177)&gt;0,INDEX('Processed Non-zero TRI Data'!$A:$A,MATCH(1,($I177='Processed Non-zero TRI Data'!$I:$I)*(AH177='Processed Non-zero TRI Data'!$V:$V),0)),"N/A - Facility Does Not Report to TRI")))</f>
        <v>N/A - Facility Does Not Report to TRI</v>
      </c>
      <c r="AK177" s="97" t="str" cm="1">
        <f t="array" ref="AK177">IFERROR(_xlfn.XLOOKUP(1,  (MAX(IF(I177 = 'Processed Non-zero TRI Data'!$I$2:$I$6,'Processed Non-zero TRI Data'!$A$2:$A$6)) = 'Processed Non-zero TRI Data'!$A$2:$A$6)*('Processed Non-zero TRI Data'!$I$2:$I$6 = I177), 'Processed Non-zero TRI Data'!$X$2:$X$6), "N/A- Facility Does Not Report to TRI")</f>
        <v>N/A- Facility Does Not Report to TRI</v>
      </c>
      <c r="AL177" s="9" t="str">
        <f t="shared" si="72"/>
        <v>N/A - Facility Does Not Report to TRI</v>
      </c>
      <c r="AM177" s="9" t="str" cm="1">
        <f t="array" ref="AM177">IF(COUNTIF('Processed Non-zero TRI Data'!$I:$I,$I177)&gt;0,MEDIAN(IF('Processed Non-zero TRI Data'!$I:$I=I177,'Processed Non-zero TRI Data'!$X:$X)), "N/A - Facility Does Not Report to TRI")</f>
        <v>N/A - Facility Does Not Report to TRI</v>
      </c>
      <c r="AN177" s="9" t="str">
        <f t="shared" si="73"/>
        <v>N/A - Facility Does Not Report to TRI</v>
      </c>
      <c r="AO177" s="9" t="str">
        <f>IF(COUNTIF('Processed Non-zero TRI Data'!$I:$I,$I177)&gt;0,_xlfn.MAXIFS('Processed Non-zero TRI Data'!$X:$X,'Processed Non-zero TRI Data'!$I:$I,$I177), "N/A - Facility Does Not Report to TRI")</f>
        <v>N/A - Facility Does Not Report to TRI</v>
      </c>
      <c r="AP177" s="9" t="str">
        <f t="shared" si="74"/>
        <v>N/A - Facility Does Not Report to TRI</v>
      </c>
      <c r="AQ177" s="251" t="str" cm="1">
        <f t="array" ref="AQ177">IF(B177="TRI Form A",AC177,IF(AO177=0,"Facility has no transfers to non-POTWs between 2019-2023.",IF(COUNTIF('Processed Non-zero TRI Data'!$I:$I,$I177)&gt;0,INDEX('Processed Non-zero TRI Data'!$A:$A,MATCH(1,($I177='Processed Non-zero TRI Data'!$I:$I)*(AO177='Processed Non-zero TRI Data'!$X:$X),0)),"N/A - Facility Does Not Report to TRI")))</f>
        <v>N/A - Facility Does Not Report to TRI</v>
      </c>
      <c r="AR177" s="260">
        <f t="shared" si="61"/>
        <v>0</v>
      </c>
      <c r="AS177" s="260">
        <f t="shared" si="62"/>
        <v>3.4399972499999998</v>
      </c>
    </row>
    <row r="178" spans="1:45" ht="30" x14ac:dyDescent="0.25">
      <c r="A178" s="12">
        <v>175</v>
      </c>
      <c r="B178" s="10" t="str">
        <f>IFERROR("TRI Form "&amp; VLOOKUP(I178, 'Processed Non-zero TRI Data'!$I$2:$K$6, 3, FALSE), "DMR")</f>
        <v>DMR</v>
      </c>
      <c r="C178" s="181" t="e">
        <f>VLOOKUP(D178,#REF!, 2, FALSE)</f>
        <v>#REF!</v>
      </c>
      <c r="D178" s="181" t="str">
        <f>IF(I178&lt;&gt;"",INDEX('Processed Non-zero TRI Data'!$O:$O,MATCH(I178,'Processed Non-zero TRI Data'!$I:$I,0)),INDEX('Processed Non-zero DMR Data'!$S:$S,MATCH(J178,'Processed Non-zero DMR Data'!$I:$I,0)))</f>
        <v>Waste Handling, Disposal and Treatment (POTW)</v>
      </c>
      <c r="E178" s="181" t="str">
        <f>IF(I178&lt;&gt;"",INDEX('Processed Non-zero TRI Data'!$P:$P,MATCH(I178,'Processed Non-zero TRI Data'!$I:$I,0)),INDEX('Processed Non-zero DMR Data'!$T:$T,MATCH(J178,'Processed Non-zero DMR Data'!$I:$I,0)))</f>
        <v>POTW indicator in DMR</v>
      </c>
      <c r="F178" s="9" t="str">
        <f>_xlfn.XLOOKUP(J178, 'Processed Non-zero DMR Data'!I:I, 'Processed Non-zero DMR Data'!B:B)</f>
        <v>WOODLAND WPCF</v>
      </c>
      <c r="G178" s="9" t="str">
        <f>_xlfn.XLOOKUP(J178, 'Processed Non-zero DMR Data'!I:I, 'Processed Non-zero DMR Data'!C:C)</f>
        <v>WOODLAND</v>
      </c>
      <c r="H178" s="9" t="str">
        <f>_xlfn.XLOOKUP(J178, 'Processed Non-zero DMR Data'!I:I, 'Processed Non-zero DMR Data'!E:E)</f>
        <v>CA</v>
      </c>
      <c r="I178" s="12"/>
      <c r="J178" s="13">
        <v>110039782349</v>
      </c>
      <c r="K178" s="9" t="str">
        <f>IFERROR(INDEX('Raw Non-zero DMR Data'!$C:$C, MATCH(J178,'Raw Non-zero DMR Data'!$D:$D,0)),"")</f>
        <v>CA0077950</v>
      </c>
      <c r="L178" s="9" t="str">
        <f>IFERROR(INDEX('Raw Non-zero DMR Data'!$U:$U, MATCH($J178,'Raw Non-zero DMR Data'!$D:$D,0)),"")</f>
        <v>Tule Canal-Toe Drain</v>
      </c>
      <c r="M178" s="155">
        <f>IFERROR(INDEX('Raw Non-zero DMR Data'!$T:$T, MATCH($J178,'Raw Non-zero DMR Data'!$D:$D,0)),"")</f>
        <v>180201630302</v>
      </c>
      <c r="N178" s="155" t="str">
        <f>IFERROR(INDEX('Off-site Locations'!$E:$E,MATCH(I178,'Off-site Locations'!$B:$B,0)),"No offsite transfers")</f>
        <v>No offsite transfers</v>
      </c>
      <c r="O178" s="165">
        <f>INDEX('TRI and DMR OES Summary'!D:D,MATCH('Facility Discharge Summary'!D178,'TRI and DMR OES Summary'!A:A,0))</f>
        <v>365</v>
      </c>
      <c r="P178" s="17" cm="1">
        <f t="array" ref="P178">IFERROR(_xlfn.XLOOKUP(1,  (MAX(IF(J178 = 'Processed Non-zero DMR Data'!$I$2:$I$651,'Processed Non-zero DMR Data'!$A$2:$A$651)) = 'Processed Non-zero DMR Data'!$A$2:$A$651)*('Processed Non-zero DMR Data'!$I$2:$I$651 = J178),'Processed Non-zero DMR Data'!$W$2:$W$651), "N/A- Facility Does Not Report DMRs")</f>
        <v>0.199443762</v>
      </c>
      <c r="Q178" s="10">
        <f t="shared" si="63"/>
        <v>5.4642126575342464E-4</v>
      </c>
      <c r="R178" s="10" cm="1">
        <f t="array" ref="R178">IF(COUNTIF('Processed Non-zero DMR Data'!$I:$I,$J178)&gt;0,MEDIAN(IF('Processed Non-zero DMR Data'!$I:$I=J178,'Processed Non-zero DMR Data'!$W:$W)),"N/A - Facility Does Not Report DMRs")</f>
        <v>0.26011201299999998</v>
      </c>
      <c r="S178" s="10">
        <f t="shared" si="64"/>
        <v>7.1263565205479447E-4</v>
      </c>
      <c r="T178" s="10">
        <f>IF(COUNTIF('Processed Non-zero DMR Data'!$I:$I,$J178)&gt;0,_xlfn.MAXIFS('Processed Non-zero DMR Data'!$W:$W,'Processed Non-zero DMR Data'!$I:$I,$J178), "N/A - Facility Does Not Report DMRs")</f>
        <v>0.32078026399999998</v>
      </c>
      <c r="U178" s="10">
        <f t="shared" si="65"/>
        <v>8.788500383561643E-4</v>
      </c>
      <c r="V178" s="158" cm="1">
        <f t="array" ref="V178">IF(COUNTIF('Processed Non-zero DMR Data'!$I:$I,$J178)&gt;0,INDEX('Processed Non-zero DMR Data'!$A:$A,MATCH(1,($J178='Processed Non-zero DMR Data'!$I:$I)*($T178='Processed Non-zero DMR Data'!$W:$W),0)), "N/A - Facility Does Not Report DMRs")</f>
        <v>2021</v>
      </c>
      <c r="W178" s="17" t="str" cm="1">
        <f t="array" ref="W178">IFERROR(_xlfn.XLOOKUP(1,  (MAX(IF(I178 = 'Processed Non-zero TRI Data'!$I$2:$I$6,'Processed Non-zero TRI Data'!$A$2:$A$6)) = 'Processed Non-zero TRI Data'!$A$2:$A$6)*('Processed Non-zero TRI Data'!$I$2:$I$6 = I178), 'Processed Non-zero TRI Data'!$T$2:$T$6), "N/A- Facility Does Not Report to TRI")</f>
        <v>N/A- Facility Does Not Report to TRI</v>
      </c>
      <c r="X178" s="10" t="str">
        <f t="shared" si="66"/>
        <v>N/A - Facility Does Not Report to TRI</v>
      </c>
      <c r="Y178" s="10" t="str" cm="1">
        <f t="array" ref="Y178">IF(COUNTIF('Processed Non-zero TRI Data'!$I:$I,$I178)&gt;0,MEDIAN(IF('Processed Non-zero TRI Data'!$I:$I=I178,'Processed Non-zero TRI Data'!$T:$T)), "N/A - Facility Does Not Report to TRI")</f>
        <v>N/A - Facility Does Not Report to TRI</v>
      </c>
      <c r="Z178" s="10" t="str">
        <f t="shared" si="67"/>
        <v>N/A - Facility Does Not Report to TRI</v>
      </c>
      <c r="AA178" s="10" t="str">
        <f>IF(COUNTIF('Processed Non-zero TRI Data'!$I:$I,$I178)&gt;0,_xlfn.MAXIFS('Processed Non-zero TRI Data'!$T:$T,'Processed Non-zero TRI Data'!$I:$I,$I178), "N/A - Facility Does Not Report to TRI")</f>
        <v>N/A - Facility Does Not Report to TRI</v>
      </c>
      <c r="AB178" s="10" t="str">
        <f t="shared" si="68"/>
        <v>N/A - Facility Does Not Report to TRI</v>
      </c>
      <c r="AC178" s="158" t="str" cm="1">
        <f t="array" ref="AC178">IFERROR(IF(B178 = "TRI Form R", IF(AA178 = 0, "Facility has no on-site water discharges between 2017-2022.",  IF(COUNTIF('Processed Non-zero TRI Data'!$I:$I,$I178)&gt;0,INDEX('Processed Non-zero TRI Data'!$A:$A,MATCH(1,($I178='Processed Non-zero TRI Data'!$I:$I)*(AA178='Processed Non-zero TRI Data'!$T:$T),0)))), VLOOKUP(I178,#REF!, 2, FALSE)), ("N/A - Facility Does Not Report to TRI"))</f>
        <v>N/A - Facility Does Not Report to TRI</v>
      </c>
      <c r="AD178" s="97" t="str" cm="1">
        <f t="array" ref="AD178">IFERROR(_xlfn.XLOOKUP(1,  (MAX(IF(I178 = 'Processed Non-zero TRI Data'!$I$2:$I$6,'Processed Non-zero TRI Data'!$A$2:$A$6)) = 'Processed Non-zero TRI Data'!$A$2:$A$6)*('Processed Non-zero TRI Data'!$I$2:$I$6 = I178), 'Processed Non-zero TRI Data'!$V$2:$V$6), "N/A- Facility Does Not Report to TRI")</f>
        <v>N/A- Facility Does Not Report to TRI</v>
      </c>
      <c r="AE178" s="9" t="str">
        <f t="shared" si="69"/>
        <v>N/A - Facility Does Not Report to TRI</v>
      </c>
      <c r="AF178" s="9" t="str" cm="1">
        <f t="array" ref="AF178">IF(COUNTIF('Processed Non-zero TRI Data'!$I:$I,$I178)&gt;0,MEDIAN(IF('Processed Non-zero TRI Data'!$I:$I=I178,'Processed Non-zero TRI Data'!$V:$V)), "N/A - Facility Does Not Report to TRI")</f>
        <v>N/A - Facility Does Not Report to TRI</v>
      </c>
      <c r="AG178" s="9" t="str">
        <f t="shared" si="70"/>
        <v>N/A - Facility Does Not Report to TRI</v>
      </c>
      <c r="AH178" s="9" t="str">
        <f>IF(COUNTIF('Processed Non-zero TRI Data'!$I:$I,$I178)&gt;0,_xlfn.MAXIFS('Processed Non-zero TRI Data'!$V:$V,'Processed Non-zero TRI Data'!$I:$I,$I178), "N/A - Facility Does Not Report to TRI")</f>
        <v>N/A - Facility Does Not Report to TRI</v>
      </c>
      <c r="AI178" s="9" t="str">
        <f t="shared" si="71"/>
        <v>N/A - Facility Does Not Report to TRI</v>
      </c>
      <c r="AJ178" s="158" t="str" cm="1">
        <f t="array" ref="AJ178">IF(B178="TRI Form A",AC178,IF(AH178=0,"Facility has no transfers to POTWs between 2019-2023.",IF(COUNTIF('Processed Non-zero TRI Data'!$I:$I,$I178)&gt;0,INDEX('Processed Non-zero TRI Data'!$A:$A,MATCH(1,($I178='Processed Non-zero TRI Data'!$I:$I)*(AH178='Processed Non-zero TRI Data'!$V:$V),0)),"N/A - Facility Does Not Report to TRI")))</f>
        <v>N/A - Facility Does Not Report to TRI</v>
      </c>
      <c r="AK178" s="97" t="str" cm="1">
        <f t="array" ref="AK178">IFERROR(_xlfn.XLOOKUP(1,  (MAX(IF(I178 = 'Processed Non-zero TRI Data'!$I$2:$I$6,'Processed Non-zero TRI Data'!$A$2:$A$6)) = 'Processed Non-zero TRI Data'!$A$2:$A$6)*('Processed Non-zero TRI Data'!$I$2:$I$6 = I178), 'Processed Non-zero TRI Data'!$X$2:$X$6), "N/A- Facility Does Not Report to TRI")</f>
        <v>N/A- Facility Does Not Report to TRI</v>
      </c>
      <c r="AL178" s="9" t="str">
        <f t="shared" si="72"/>
        <v>N/A - Facility Does Not Report to TRI</v>
      </c>
      <c r="AM178" s="9" t="str" cm="1">
        <f t="array" ref="AM178">IF(COUNTIF('Processed Non-zero TRI Data'!$I:$I,$I178)&gt;0,MEDIAN(IF('Processed Non-zero TRI Data'!$I:$I=I178,'Processed Non-zero TRI Data'!$X:$X)), "N/A - Facility Does Not Report to TRI")</f>
        <v>N/A - Facility Does Not Report to TRI</v>
      </c>
      <c r="AN178" s="9" t="str">
        <f t="shared" si="73"/>
        <v>N/A - Facility Does Not Report to TRI</v>
      </c>
      <c r="AO178" s="9" t="str">
        <f>IF(COUNTIF('Processed Non-zero TRI Data'!$I:$I,$I178)&gt;0,_xlfn.MAXIFS('Processed Non-zero TRI Data'!$X:$X,'Processed Non-zero TRI Data'!$I:$I,$I178), "N/A - Facility Does Not Report to TRI")</f>
        <v>N/A - Facility Does Not Report to TRI</v>
      </c>
      <c r="AP178" s="9" t="str">
        <f t="shared" si="74"/>
        <v>N/A - Facility Does Not Report to TRI</v>
      </c>
      <c r="AQ178" s="251" t="str" cm="1">
        <f t="array" ref="AQ178">IF(B178="TRI Form A",AC178,IF(AO178=0,"Facility has no transfers to non-POTWs between 2019-2023.",IF(COUNTIF('Processed Non-zero TRI Data'!$I:$I,$I178)&gt;0,INDEX('Processed Non-zero TRI Data'!$A:$A,MATCH(1,($I178='Processed Non-zero TRI Data'!$I:$I)*(AO178='Processed Non-zero TRI Data'!$X:$X),0)),"N/A - Facility Does Not Report to TRI")))</f>
        <v>N/A - Facility Does Not Report to TRI</v>
      </c>
      <c r="AR178" s="260">
        <f t="shared" si="61"/>
        <v>0</v>
      </c>
      <c r="AS178" s="260">
        <f t="shared" si="62"/>
        <v>0.32078026399999998</v>
      </c>
    </row>
    <row r="179" spans="1:45" ht="30" x14ac:dyDescent="0.25">
      <c r="A179" s="12">
        <v>176</v>
      </c>
      <c r="B179" s="10" t="str">
        <f>IFERROR("TRI Form "&amp; VLOOKUP(I179, 'Processed Non-zero TRI Data'!$I$2:$K$6, 3, FALSE), "DMR")</f>
        <v>DMR</v>
      </c>
      <c r="C179" s="181" t="e">
        <f>VLOOKUP(D179,#REF!, 2, FALSE)</f>
        <v>#REF!</v>
      </c>
      <c r="D179" s="181" t="str">
        <f>IF(I179&lt;&gt;"",INDEX('Processed Non-zero TRI Data'!$O:$O,MATCH(I179,'Processed Non-zero TRI Data'!$I:$I,0)),INDEX('Processed Non-zero DMR Data'!$S:$S,MATCH(J179,'Processed Non-zero DMR Data'!$I:$I,0)))</f>
        <v>Waste Handling, Disposal and Treatment (POTW)</v>
      </c>
      <c r="E179" s="181" t="str">
        <f>IF(I179&lt;&gt;"",INDEX('Processed Non-zero TRI Data'!$P:$P,MATCH(I179,'Processed Non-zero TRI Data'!$I:$I,0)),INDEX('Processed Non-zero DMR Data'!$T:$T,MATCH(J179,'Processed Non-zero DMR Data'!$I:$I,0)))</f>
        <v>POTW indicator in DMR</v>
      </c>
      <c r="F179" s="9" t="str">
        <f>_xlfn.XLOOKUP(J179, 'Processed Non-zero DMR Data'!I:I, 'Processed Non-zero DMR Data'!B:B)</f>
        <v>LANCASTER STP</v>
      </c>
      <c r="G179" s="9" t="str">
        <f>_xlfn.XLOOKUP(J179, 'Processed Non-zero DMR Data'!I:I, 'Processed Non-zero DMR Data'!C:C)</f>
        <v>LANCASTER</v>
      </c>
      <c r="H179" s="9" t="str">
        <f>_xlfn.XLOOKUP(J179, 'Processed Non-zero DMR Data'!I:I, 'Processed Non-zero DMR Data'!E:E)</f>
        <v>KY</v>
      </c>
      <c r="I179" s="12"/>
      <c r="J179" s="13">
        <v>110039705049</v>
      </c>
      <c r="K179" s="9" t="str">
        <f>IFERROR(INDEX('Raw Non-zero DMR Data'!$C:$C, MATCH(J179,'Raw Non-zero DMR Data'!$D:$D,0)),"")</f>
        <v>KY0020974</v>
      </c>
      <c r="L179" s="9" t="str">
        <f>IFERROR(INDEX('Raw Non-zero DMR Data'!$U:$U, MATCH($J179,'Raw Non-zero DMR Data'!$D:$D,0)),"")</f>
        <v>Boone Creek-Dix River</v>
      </c>
      <c r="M179" s="155" t="str">
        <f>IFERROR(INDEX('Raw Non-zero DMR Data'!$T:$T, MATCH($J179,'Raw Non-zero DMR Data'!$D:$D,0)),"")</f>
        <v>051002050504</v>
      </c>
      <c r="N179" s="155" t="str">
        <f>IFERROR(INDEX('Off-site Locations'!$E:$E,MATCH(I179,'Off-site Locations'!$B:$B,0)),"No offsite transfers")</f>
        <v>No offsite transfers</v>
      </c>
      <c r="O179" s="165">
        <f>INDEX('TRI and DMR OES Summary'!D:D,MATCH('Facility Discharge Summary'!D179,'TRI and DMR OES Summary'!A:A,0))</f>
        <v>365</v>
      </c>
      <c r="P179" s="17" cm="1">
        <f t="array" ref="P179">IFERROR(_xlfn.XLOOKUP(1,  (MAX(IF(J179 = 'Processed Non-zero DMR Data'!$I$2:$I$651,'Processed Non-zero DMR Data'!$A$2:$A$651)) = 'Processed Non-zero DMR Data'!$A$2:$A$651)*('Processed Non-zero DMR Data'!$I$2:$I$651 = J179),'Processed Non-zero DMR Data'!$W$2:$W$651), "N/A- Facility Does Not Report DMRs")</f>
        <v>3.2700696749999998</v>
      </c>
      <c r="Q179" s="10">
        <f t="shared" si="63"/>
        <v>8.9590950000000003E-3</v>
      </c>
      <c r="R179" s="10" cm="1">
        <f t="array" ref="R179">IF(COUNTIF('Processed Non-zero DMR Data'!$I:$I,$J179)&gt;0,MEDIAN(IF('Processed Non-zero DMR Data'!$I:$I=J179,'Processed Non-zero DMR Data'!$W:$W)),"N/A - Facility Does Not Report DMRs")</f>
        <v>3.2700696749999998</v>
      </c>
      <c r="S179" s="10">
        <f t="shared" si="64"/>
        <v>8.9590950000000003E-3</v>
      </c>
      <c r="T179" s="10">
        <f>IF(COUNTIF('Processed Non-zero DMR Data'!$I:$I,$J179)&gt;0,_xlfn.MAXIFS('Processed Non-zero DMR Data'!$W:$W,'Processed Non-zero DMR Data'!$I:$I,$J179), "N/A - Facility Does Not Report DMRs")</f>
        <v>3.2700696749999998</v>
      </c>
      <c r="U179" s="10">
        <f t="shared" si="65"/>
        <v>8.9590950000000003E-3</v>
      </c>
      <c r="V179" s="158" cm="1">
        <f t="array" ref="V179">IF(COUNTIF('Processed Non-zero DMR Data'!$I:$I,$J179)&gt;0,INDEX('Processed Non-zero DMR Data'!$A:$A,MATCH(1,($J179='Processed Non-zero DMR Data'!$I:$I)*($T179='Processed Non-zero DMR Data'!$W:$W),0)), "N/A - Facility Does Not Report DMRs")</f>
        <v>2021</v>
      </c>
      <c r="W179" s="17" t="str" cm="1">
        <f t="array" ref="W179">IFERROR(_xlfn.XLOOKUP(1,  (MAX(IF(I179 = 'Processed Non-zero TRI Data'!$I$2:$I$6,'Processed Non-zero TRI Data'!$A$2:$A$6)) = 'Processed Non-zero TRI Data'!$A$2:$A$6)*('Processed Non-zero TRI Data'!$I$2:$I$6 = I179), 'Processed Non-zero TRI Data'!$T$2:$T$6), "N/A- Facility Does Not Report to TRI")</f>
        <v>N/A- Facility Does Not Report to TRI</v>
      </c>
      <c r="X179" s="10" t="str">
        <f t="shared" si="66"/>
        <v>N/A - Facility Does Not Report to TRI</v>
      </c>
      <c r="Y179" s="10" t="str" cm="1">
        <f t="array" ref="Y179">IF(COUNTIF('Processed Non-zero TRI Data'!$I:$I,$I179)&gt;0,MEDIAN(IF('Processed Non-zero TRI Data'!$I:$I=I179,'Processed Non-zero TRI Data'!$T:$T)), "N/A - Facility Does Not Report to TRI")</f>
        <v>N/A - Facility Does Not Report to TRI</v>
      </c>
      <c r="Z179" s="10" t="str">
        <f t="shared" si="67"/>
        <v>N/A - Facility Does Not Report to TRI</v>
      </c>
      <c r="AA179" s="10" t="str">
        <f>IF(COUNTIF('Processed Non-zero TRI Data'!$I:$I,$I179)&gt;0,_xlfn.MAXIFS('Processed Non-zero TRI Data'!$T:$T,'Processed Non-zero TRI Data'!$I:$I,$I179), "N/A - Facility Does Not Report to TRI")</f>
        <v>N/A - Facility Does Not Report to TRI</v>
      </c>
      <c r="AB179" s="10" t="str">
        <f t="shared" si="68"/>
        <v>N/A - Facility Does Not Report to TRI</v>
      </c>
      <c r="AC179" s="158" t="str" cm="1">
        <f t="array" ref="AC179">IFERROR(IF(B179 = "TRI Form R", IF(AA179 = 0, "Facility has no on-site water discharges between 2017-2022.",  IF(COUNTIF('Processed Non-zero TRI Data'!$I:$I,$I179)&gt;0,INDEX('Processed Non-zero TRI Data'!$A:$A,MATCH(1,($I179='Processed Non-zero TRI Data'!$I:$I)*(AA179='Processed Non-zero TRI Data'!$T:$T),0)))), VLOOKUP(I179,#REF!, 2, FALSE)), ("N/A - Facility Does Not Report to TRI"))</f>
        <v>N/A - Facility Does Not Report to TRI</v>
      </c>
      <c r="AD179" s="97" t="str" cm="1">
        <f t="array" ref="AD179">IFERROR(_xlfn.XLOOKUP(1,  (MAX(IF(I179 = 'Processed Non-zero TRI Data'!$I$2:$I$6,'Processed Non-zero TRI Data'!$A$2:$A$6)) = 'Processed Non-zero TRI Data'!$A$2:$A$6)*('Processed Non-zero TRI Data'!$I$2:$I$6 = I179), 'Processed Non-zero TRI Data'!$V$2:$V$6), "N/A- Facility Does Not Report to TRI")</f>
        <v>N/A- Facility Does Not Report to TRI</v>
      </c>
      <c r="AE179" s="9" t="str">
        <f t="shared" si="69"/>
        <v>N/A - Facility Does Not Report to TRI</v>
      </c>
      <c r="AF179" s="9" t="str" cm="1">
        <f t="array" ref="AF179">IF(COUNTIF('Processed Non-zero TRI Data'!$I:$I,$I179)&gt;0,MEDIAN(IF('Processed Non-zero TRI Data'!$I:$I=I179,'Processed Non-zero TRI Data'!$V:$V)), "N/A - Facility Does Not Report to TRI")</f>
        <v>N/A - Facility Does Not Report to TRI</v>
      </c>
      <c r="AG179" s="9" t="str">
        <f t="shared" si="70"/>
        <v>N/A - Facility Does Not Report to TRI</v>
      </c>
      <c r="AH179" s="9" t="str">
        <f>IF(COUNTIF('Processed Non-zero TRI Data'!$I:$I,$I179)&gt;0,_xlfn.MAXIFS('Processed Non-zero TRI Data'!$V:$V,'Processed Non-zero TRI Data'!$I:$I,$I179), "N/A - Facility Does Not Report to TRI")</f>
        <v>N/A - Facility Does Not Report to TRI</v>
      </c>
      <c r="AI179" s="9" t="str">
        <f t="shared" si="71"/>
        <v>N/A - Facility Does Not Report to TRI</v>
      </c>
      <c r="AJ179" s="158" t="str" cm="1">
        <f t="array" ref="AJ179">IF(B179="TRI Form A",AC179,IF(AH179=0,"Facility has no transfers to POTWs between 2019-2023.",IF(COUNTIF('Processed Non-zero TRI Data'!$I:$I,$I179)&gt;0,INDEX('Processed Non-zero TRI Data'!$A:$A,MATCH(1,($I179='Processed Non-zero TRI Data'!$I:$I)*(AH179='Processed Non-zero TRI Data'!$V:$V),0)),"N/A - Facility Does Not Report to TRI")))</f>
        <v>N/A - Facility Does Not Report to TRI</v>
      </c>
      <c r="AK179" s="97" t="str" cm="1">
        <f t="array" ref="AK179">IFERROR(_xlfn.XLOOKUP(1,  (MAX(IF(I179 = 'Processed Non-zero TRI Data'!$I$2:$I$6,'Processed Non-zero TRI Data'!$A$2:$A$6)) = 'Processed Non-zero TRI Data'!$A$2:$A$6)*('Processed Non-zero TRI Data'!$I$2:$I$6 = I179), 'Processed Non-zero TRI Data'!$X$2:$X$6), "N/A- Facility Does Not Report to TRI")</f>
        <v>N/A- Facility Does Not Report to TRI</v>
      </c>
      <c r="AL179" s="9" t="str">
        <f t="shared" si="72"/>
        <v>N/A - Facility Does Not Report to TRI</v>
      </c>
      <c r="AM179" s="9" t="str" cm="1">
        <f t="array" ref="AM179">IF(COUNTIF('Processed Non-zero TRI Data'!$I:$I,$I179)&gt;0,MEDIAN(IF('Processed Non-zero TRI Data'!$I:$I=I179,'Processed Non-zero TRI Data'!$X:$X)), "N/A - Facility Does Not Report to TRI")</f>
        <v>N/A - Facility Does Not Report to TRI</v>
      </c>
      <c r="AN179" s="9" t="str">
        <f t="shared" si="73"/>
        <v>N/A - Facility Does Not Report to TRI</v>
      </c>
      <c r="AO179" s="9" t="str">
        <f>IF(COUNTIF('Processed Non-zero TRI Data'!$I:$I,$I179)&gt;0,_xlfn.MAXIFS('Processed Non-zero TRI Data'!$X:$X,'Processed Non-zero TRI Data'!$I:$I,$I179), "N/A - Facility Does Not Report to TRI")</f>
        <v>N/A - Facility Does Not Report to TRI</v>
      </c>
      <c r="AP179" s="9" t="str">
        <f t="shared" si="74"/>
        <v>N/A - Facility Does Not Report to TRI</v>
      </c>
      <c r="AQ179" s="251" t="str" cm="1">
        <f t="array" ref="AQ179">IF(B179="TRI Form A",AC179,IF(AO179=0,"Facility has no transfers to non-POTWs between 2019-2023.",IF(COUNTIF('Processed Non-zero TRI Data'!$I:$I,$I179)&gt;0,INDEX('Processed Non-zero TRI Data'!$A:$A,MATCH(1,($I179='Processed Non-zero TRI Data'!$I:$I)*(AO179='Processed Non-zero TRI Data'!$X:$X),0)),"N/A - Facility Does Not Report to TRI")))</f>
        <v>N/A - Facility Does Not Report to TRI</v>
      </c>
      <c r="AR179" s="260">
        <f t="shared" si="61"/>
        <v>0</v>
      </c>
      <c r="AS179" s="260">
        <f t="shared" si="62"/>
        <v>3.2700696749999998</v>
      </c>
    </row>
    <row r="180" spans="1:45" ht="30" x14ac:dyDescent="0.25">
      <c r="A180" s="12">
        <v>177</v>
      </c>
      <c r="B180" s="10" t="str">
        <f>IFERROR("TRI Form "&amp; VLOOKUP(I180, 'Processed Non-zero TRI Data'!$I$2:$K$6, 3, FALSE), "DMR")</f>
        <v>DMR</v>
      </c>
      <c r="C180" s="181" t="e">
        <f>VLOOKUP(D180,#REF!, 2, FALSE)</f>
        <v>#REF!</v>
      </c>
      <c r="D180" s="181" t="str">
        <f>IF(I180&lt;&gt;"",INDEX('Processed Non-zero TRI Data'!$O:$O,MATCH(I180,'Processed Non-zero TRI Data'!$I:$I,0)),INDEX('Processed Non-zero DMR Data'!$S:$S,MATCH(J180,'Processed Non-zero DMR Data'!$I:$I,0)))</f>
        <v>Waste Handling, Disposal and Treatment (POTW)</v>
      </c>
      <c r="E180" s="181" t="str">
        <f>IF(I180&lt;&gt;"",INDEX('Processed Non-zero TRI Data'!$P:$P,MATCH(I180,'Processed Non-zero TRI Data'!$I:$I,0)),INDEX('Processed Non-zero DMR Data'!$T:$T,MATCH(J180,'Processed Non-zero DMR Data'!$I:$I,0)))</f>
        <v>POTW indicator in DMR</v>
      </c>
      <c r="F180" s="9" t="str">
        <f>_xlfn.XLOOKUP(J180, 'Processed Non-zero DMR Data'!I:I, 'Processed Non-zero DMR Data'!B:B)</f>
        <v>DISCOVERY BAY WWTP</v>
      </c>
      <c r="G180" s="9" t="str">
        <f>_xlfn.XLOOKUP(J180, 'Processed Non-zero DMR Data'!I:I, 'Processed Non-zero DMR Data'!C:C)</f>
        <v>DISCOVERY BAY</v>
      </c>
      <c r="H180" s="9" t="str">
        <f>_xlfn.XLOOKUP(J180, 'Processed Non-zero DMR Data'!I:I, 'Processed Non-zero DMR Data'!E:E)</f>
        <v>CA</v>
      </c>
      <c r="I180" s="12"/>
      <c r="J180" s="13">
        <v>110001103911</v>
      </c>
      <c r="K180" s="9" t="str">
        <f>IFERROR(INDEX('Raw Non-zero DMR Data'!$C:$C, MATCH(J180,'Raw Non-zero DMR Data'!$D:$D,0)),"")</f>
        <v>CA0078590</v>
      </c>
      <c r="L180" s="9" t="str">
        <f>IFERROR(INDEX('Raw Non-zero DMR Data'!$U:$U, MATCH($J180,'Raw Non-zero DMR Data'!$D:$D,0)),"")</f>
        <v>Lower Kellogg Creek</v>
      </c>
      <c r="M180" s="155">
        <f>IFERROR(INDEX('Raw Non-zero DMR Data'!$T:$T, MATCH($J180,'Raw Non-zero DMR Data'!$D:$D,0)),"")</f>
        <v>180400030802</v>
      </c>
      <c r="N180" s="155" t="str">
        <f>IFERROR(INDEX('Off-site Locations'!$E:$E,MATCH(I180,'Off-site Locations'!$B:$B,0)),"No offsite transfers")</f>
        <v>No offsite transfers</v>
      </c>
      <c r="O180" s="165">
        <f>INDEX('TRI and DMR OES Summary'!D:D,MATCH('Facility Discharge Summary'!D180,'TRI and DMR OES Summary'!A:A,0))</f>
        <v>365</v>
      </c>
      <c r="P180" s="17" cm="1">
        <f t="array" ref="P180">IFERROR(_xlfn.XLOOKUP(1,  (MAX(IF(J180 = 'Processed Non-zero DMR Data'!$I$2:$I$651,'Processed Non-zero DMR Data'!$A$2:$A$651)) = 'Processed Non-zero DMR Data'!$A$2:$A$651)*('Processed Non-zero DMR Data'!$I$2:$I$651 = J180),'Processed Non-zero DMR Data'!$W$2:$W$651), "N/A- Facility Does Not Report DMRs")</f>
        <v>6.99504336E-2</v>
      </c>
      <c r="Q180" s="10">
        <f t="shared" si="63"/>
        <v>1.9164502356164385E-4</v>
      </c>
      <c r="R180" s="10" cm="1">
        <f t="array" ref="R180">IF(COUNTIF('Processed Non-zero DMR Data'!$I:$I,$J180)&gt;0,MEDIAN(IF('Processed Non-zero DMR Data'!$I:$I=J180,'Processed Non-zero DMR Data'!$W:$W)),"N/A - Facility Does Not Report DMRs")</f>
        <v>6.99504336E-2</v>
      </c>
      <c r="S180" s="10">
        <f t="shared" si="64"/>
        <v>1.9164502356164385E-4</v>
      </c>
      <c r="T180" s="10">
        <f>IF(COUNTIF('Processed Non-zero DMR Data'!$I:$I,$J180)&gt;0,_xlfn.MAXIFS('Processed Non-zero DMR Data'!$W:$W,'Processed Non-zero DMR Data'!$I:$I,$J180), "N/A - Facility Does Not Report DMRs")</f>
        <v>6.99504336E-2</v>
      </c>
      <c r="U180" s="10">
        <f t="shared" si="65"/>
        <v>1.9164502356164385E-4</v>
      </c>
      <c r="V180" s="158" cm="1">
        <f t="array" ref="V180">IF(COUNTIF('Processed Non-zero DMR Data'!$I:$I,$J180)&gt;0,INDEX('Processed Non-zero DMR Data'!$A:$A,MATCH(1,($J180='Processed Non-zero DMR Data'!$I:$I)*($T180='Processed Non-zero DMR Data'!$W:$W),0)), "N/A - Facility Does Not Report DMRs")</f>
        <v>2021</v>
      </c>
      <c r="W180" s="17" t="str" cm="1">
        <f t="array" ref="W180">IFERROR(_xlfn.XLOOKUP(1,  (MAX(IF(I180 = 'Processed Non-zero TRI Data'!$I$2:$I$6,'Processed Non-zero TRI Data'!$A$2:$A$6)) = 'Processed Non-zero TRI Data'!$A$2:$A$6)*('Processed Non-zero TRI Data'!$I$2:$I$6 = I180), 'Processed Non-zero TRI Data'!$T$2:$T$6), "N/A- Facility Does Not Report to TRI")</f>
        <v>N/A- Facility Does Not Report to TRI</v>
      </c>
      <c r="X180" s="10" t="str">
        <f t="shared" si="66"/>
        <v>N/A - Facility Does Not Report to TRI</v>
      </c>
      <c r="Y180" s="10" t="str" cm="1">
        <f t="array" ref="Y180">IF(COUNTIF('Processed Non-zero TRI Data'!$I:$I,$I180)&gt;0,MEDIAN(IF('Processed Non-zero TRI Data'!$I:$I=I180,'Processed Non-zero TRI Data'!$T:$T)), "N/A - Facility Does Not Report to TRI")</f>
        <v>N/A - Facility Does Not Report to TRI</v>
      </c>
      <c r="Z180" s="10" t="str">
        <f t="shared" si="67"/>
        <v>N/A - Facility Does Not Report to TRI</v>
      </c>
      <c r="AA180" s="10" t="str">
        <f>IF(COUNTIF('Processed Non-zero TRI Data'!$I:$I,$I180)&gt;0,_xlfn.MAXIFS('Processed Non-zero TRI Data'!$T:$T,'Processed Non-zero TRI Data'!$I:$I,$I180), "N/A - Facility Does Not Report to TRI")</f>
        <v>N/A - Facility Does Not Report to TRI</v>
      </c>
      <c r="AB180" s="10" t="str">
        <f t="shared" si="68"/>
        <v>N/A - Facility Does Not Report to TRI</v>
      </c>
      <c r="AC180" s="158" t="str" cm="1">
        <f t="array" ref="AC180">IFERROR(IF(B180 = "TRI Form R", IF(AA180 = 0, "Facility has no on-site water discharges between 2017-2022.",  IF(COUNTIF('Processed Non-zero TRI Data'!$I:$I,$I180)&gt;0,INDEX('Processed Non-zero TRI Data'!$A:$A,MATCH(1,($I180='Processed Non-zero TRI Data'!$I:$I)*(AA180='Processed Non-zero TRI Data'!$T:$T),0)))), VLOOKUP(I180,#REF!, 2, FALSE)), ("N/A - Facility Does Not Report to TRI"))</f>
        <v>N/A - Facility Does Not Report to TRI</v>
      </c>
      <c r="AD180" s="97" t="str" cm="1">
        <f t="array" ref="AD180">IFERROR(_xlfn.XLOOKUP(1,  (MAX(IF(I180 = 'Processed Non-zero TRI Data'!$I$2:$I$6,'Processed Non-zero TRI Data'!$A$2:$A$6)) = 'Processed Non-zero TRI Data'!$A$2:$A$6)*('Processed Non-zero TRI Data'!$I$2:$I$6 = I180), 'Processed Non-zero TRI Data'!$V$2:$V$6), "N/A- Facility Does Not Report to TRI")</f>
        <v>N/A- Facility Does Not Report to TRI</v>
      </c>
      <c r="AE180" s="9" t="str">
        <f t="shared" si="69"/>
        <v>N/A - Facility Does Not Report to TRI</v>
      </c>
      <c r="AF180" s="9" t="str" cm="1">
        <f t="array" ref="AF180">IF(COUNTIF('Processed Non-zero TRI Data'!$I:$I,$I180)&gt;0,MEDIAN(IF('Processed Non-zero TRI Data'!$I:$I=I180,'Processed Non-zero TRI Data'!$V:$V)), "N/A - Facility Does Not Report to TRI")</f>
        <v>N/A - Facility Does Not Report to TRI</v>
      </c>
      <c r="AG180" s="9" t="str">
        <f t="shared" si="70"/>
        <v>N/A - Facility Does Not Report to TRI</v>
      </c>
      <c r="AH180" s="9" t="str">
        <f>IF(COUNTIF('Processed Non-zero TRI Data'!$I:$I,$I180)&gt;0,_xlfn.MAXIFS('Processed Non-zero TRI Data'!$V:$V,'Processed Non-zero TRI Data'!$I:$I,$I180), "N/A - Facility Does Not Report to TRI")</f>
        <v>N/A - Facility Does Not Report to TRI</v>
      </c>
      <c r="AI180" s="9" t="str">
        <f t="shared" si="71"/>
        <v>N/A - Facility Does Not Report to TRI</v>
      </c>
      <c r="AJ180" s="158" t="str" cm="1">
        <f t="array" ref="AJ180">IF(B180="TRI Form A",AC180,IF(AH180=0,"Facility has no transfers to POTWs between 2019-2023.",IF(COUNTIF('Processed Non-zero TRI Data'!$I:$I,$I180)&gt;0,INDEX('Processed Non-zero TRI Data'!$A:$A,MATCH(1,($I180='Processed Non-zero TRI Data'!$I:$I)*(AH180='Processed Non-zero TRI Data'!$V:$V),0)),"N/A - Facility Does Not Report to TRI")))</f>
        <v>N/A - Facility Does Not Report to TRI</v>
      </c>
      <c r="AK180" s="97" t="str" cm="1">
        <f t="array" ref="AK180">IFERROR(_xlfn.XLOOKUP(1,  (MAX(IF(I180 = 'Processed Non-zero TRI Data'!$I$2:$I$6,'Processed Non-zero TRI Data'!$A$2:$A$6)) = 'Processed Non-zero TRI Data'!$A$2:$A$6)*('Processed Non-zero TRI Data'!$I$2:$I$6 = I180), 'Processed Non-zero TRI Data'!$X$2:$X$6), "N/A- Facility Does Not Report to TRI")</f>
        <v>N/A- Facility Does Not Report to TRI</v>
      </c>
      <c r="AL180" s="9" t="str">
        <f t="shared" si="72"/>
        <v>N/A - Facility Does Not Report to TRI</v>
      </c>
      <c r="AM180" s="9" t="str" cm="1">
        <f t="array" ref="AM180">IF(COUNTIF('Processed Non-zero TRI Data'!$I:$I,$I180)&gt;0,MEDIAN(IF('Processed Non-zero TRI Data'!$I:$I=I180,'Processed Non-zero TRI Data'!$X:$X)), "N/A - Facility Does Not Report to TRI")</f>
        <v>N/A - Facility Does Not Report to TRI</v>
      </c>
      <c r="AN180" s="9" t="str">
        <f t="shared" si="73"/>
        <v>N/A - Facility Does Not Report to TRI</v>
      </c>
      <c r="AO180" s="9" t="str">
        <f>IF(COUNTIF('Processed Non-zero TRI Data'!$I:$I,$I180)&gt;0,_xlfn.MAXIFS('Processed Non-zero TRI Data'!$X:$X,'Processed Non-zero TRI Data'!$I:$I,$I180), "N/A - Facility Does Not Report to TRI")</f>
        <v>N/A - Facility Does Not Report to TRI</v>
      </c>
      <c r="AP180" s="9" t="str">
        <f t="shared" si="74"/>
        <v>N/A - Facility Does Not Report to TRI</v>
      </c>
      <c r="AQ180" s="251" t="str" cm="1">
        <f t="array" ref="AQ180">IF(B180="TRI Form A",AC180,IF(AO180=0,"Facility has no transfers to non-POTWs between 2019-2023.",IF(COUNTIF('Processed Non-zero TRI Data'!$I:$I,$I180)&gt;0,INDEX('Processed Non-zero TRI Data'!$A:$A,MATCH(1,($I180='Processed Non-zero TRI Data'!$I:$I)*(AO180='Processed Non-zero TRI Data'!$X:$X),0)),"N/A - Facility Does Not Report to TRI")))</f>
        <v>N/A - Facility Does Not Report to TRI</v>
      </c>
      <c r="AR180" s="260">
        <f t="shared" si="61"/>
        <v>0</v>
      </c>
      <c r="AS180" s="260">
        <f t="shared" si="62"/>
        <v>6.99504336E-2</v>
      </c>
    </row>
    <row r="181" spans="1:45" ht="30" x14ac:dyDescent="0.25">
      <c r="A181" s="12">
        <v>178</v>
      </c>
      <c r="B181" s="10" t="str">
        <f>IFERROR("TRI Form "&amp; VLOOKUP(I181, 'Processed Non-zero TRI Data'!$I$2:$K$6, 3, FALSE), "DMR")</f>
        <v>DMR</v>
      </c>
      <c r="C181" s="181" t="e">
        <f>VLOOKUP(D181,#REF!, 2, FALSE)</f>
        <v>#REF!</v>
      </c>
      <c r="D181" s="181" t="str">
        <f>IF(I181&lt;&gt;"",INDEX('Processed Non-zero TRI Data'!$O:$O,MATCH(I181,'Processed Non-zero TRI Data'!$I:$I,0)),INDEX('Processed Non-zero DMR Data'!$S:$S,MATCH(J181,'Processed Non-zero DMR Data'!$I:$I,0)))</f>
        <v>Unknown</v>
      </c>
      <c r="E181" s="181" t="str">
        <f>IF(I181&lt;&gt;"",INDEX('Processed Non-zero TRI Data'!$P:$P,MATCH(I181,'Processed Non-zero TRI Data'!$I:$I,0)),INDEX('Processed Non-zero DMR Data'!$T:$T,MATCH(J181,'Processed Non-zero DMR Data'!$I:$I,0)))</f>
        <v>Social club; no OES to map to.</v>
      </c>
      <c r="F181" s="9" t="str">
        <f>_xlfn.XLOOKUP(J181, 'Processed Non-zero DMR Data'!I:I, 'Processed Non-zero DMR Data'!B:B)</f>
        <v>THE STIRLING CLUB</v>
      </c>
      <c r="G181" s="9" t="str">
        <f>_xlfn.XLOOKUP(J181, 'Processed Non-zero DMR Data'!I:I, 'Processed Non-zero DMR Data'!C:C)</f>
        <v>LAS VEGAS</v>
      </c>
      <c r="H181" s="9" t="str">
        <f>_xlfn.XLOOKUP(J181, 'Processed Non-zero DMR Data'!I:I, 'Processed Non-zero DMR Data'!E:E)</f>
        <v>NV</v>
      </c>
      <c r="I181" s="12"/>
      <c r="J181" s="13">
        <v>110020039402</v>
      </c>
      <c r="K181" s="9" t="str">
        <f>IFERROR(INDEX('Raw Non-zero DMR Data'!$C:$C, MATCH(J181,'Raw Non-zero DMR Data'!$D:$D,0)),"")</f>
        <v>NV0023256</v>
      </c>
      <c r="L181" s="9" t="str">
        <f>IFERROR(INDEX('Raw Non-zero DMR Data'!$U:$U, MATCH($J181,'Raw Non-zero DMR Data'!$D:$D,0)),"")</f>
        <v>City of Las Vegas-Las Vegas Wash</v>
      </c>
      <c r="M181" s="155">
        <f>IFERROR(INDEX('Raw Non-zero DMR Data'!$T:$T, MATCH($J181,'Raw Non-zero DMR Data'!$D:$D,0)),"")</f>
        <v>150100150604</v>
      </c>
      <c r="N181" s="155" t="str">
        <f>IFERROR(INDEX('Off-site Locations'!$E:$E,MATCH(I181,'Off-site Locations'!$B:$B,0)),"No offsite transfers")</f>
        <v>No offsite transfers</v>
      </c>
      <c r="O181" s="165">
        <f>INDEX('TRI and DMR OES Summary'!D:D,MATCH('Facility Discharge Summary'!D181,'TRI and DMR OES Summary'!A:A,0))</f>
        <v>250</v>
      </c>
      <c r="P181" s="17" cm="1">
        <f t="array" ref="P181">IFERROR(_xlfn.XLOOKUP(1,  (MAX(IF(J181 = 'Processed Non-zero DMR Data'!$I$2:$I$651,'Processed Non-zero DMR Data'!$A$2:$A$651)) = 'Processed Non-zero DMR Data'!$A$2:$A$651)*('Processed Non-zero DMR Data'!$I$2:$I$651 = J181),'Processed Non-zero DMR Data'!$W$2:$W$651), "N/A- Facility Does Not Report DMRs")</f>
        <v>1.9505063768887501E-3</v>
      </c>
      <c r="Q181" s="10">
        <f t="shared" si="63"/>
        <v>7.8020255075550009E-6</v>
      </c>
      <c r="R181" s="10" cm="1">
        <f t="array" ref="R181">IF(COUNTIF('Processed Non-zero DMR Data'!$I:$I,$J181)&gt;0,MEDIAN(IF('Processed Non-zero DMR Data'!$I:$I=J181,'Processed Non-zero DMR Data'!$W:$W)),"N/A - Facility Does Not Report DMRs")</f>
        <v>2.6293024953012501E-3</v>
      </c>
      <c r="S181" s="10">
        <f t="shared" si="64"/>
        <v>1.0517209981205E-5</v>
      </c>
      <c r="T181" s="10">
        <f>IF(COUNTIF('Processed Non-zero DMR Data'!$I:$I,$J181)&gt;0,_xlfn.MAXIFS('Processed Non-zero DMR Data'!$W:$W,'Processed Non-zero DMR Data'!$I:$I,$J181), "N/A - Facility Does Not Report DMRs")</f>
        <v>3.3080986137137502E-3</v>
      </c>
      <c r="U181" s="10">
        <f t="shared" si="65"/>
        <v>1.3232394454855001E-5</v>
      </c>
      <c r="V181" s="158" cm="1">
        <f t="array" ref="V181">IF(COUNTIF('Processed Non-zero DMR Data'!$I:$I,$J181)&gt;0,INDEX('Processed Non-zero DMR Data'!$A:$A,MATCH(1,($J181='Processed Non-zero DMR Data'!$I:$I)*($T181='Processed Non-zero DMR Data'!$W:$W),0)), "N/A - Facility Does Not Report DMRs")</f>
        <v>2021</v>
      </c>
      <c r="W181" s="17" t="str" cm="1">
        <f t="array" ref="W181">IFERROR(_xlfn.XLOOKUP(1,  (MAX(IF(I181 = 'Processed Non-zero TRI Data'!$I$2:$I$6,'Processed Non-zero TRI Data'!$A$2:$A$6)) = 'Processed Non-zero TRI Data'!$A$2:$A$6)*('Processed Non-zero TRI Data'!$I$2:$I$6 = I181), 'Processed Non-zero TRI Data'!$T$2:$T$6), "N/A- Facility Does Not Report to TRI")</f>
        <v>N/A- Facility Does Not Report to TRI</v>
      </c>
      <c r="X181" s="10" t="str">
        <f t="shared" si="66"/>
        <v>N/A - Facility Does Not Report to TRI</v>
      </c>
      <c r="Y181" s="10" t="str" cm="1">
        <f t="array" ref="Y181">IF(COUNTIF('Processed Non-zero TRI Data'!$I:$I,$I181)&gt;0,MEDIAN(IF('Processed Non-zero TRI Data'!$I:$I=I181,'Processed Non-zero TRI Data'!$T:$T)), "N/A - Facility Does Not Report to TRI")</f>
        <v>N/A - Facility Does Not Report to TRI</v>
      </c>
      <c r="Z181" s="10" t="str">
        <f t="shared" si="67"/>
        <v>N/A - Facility Does Not Report to TRI</v>
      </c>
      <c r="AA181" s="10" t="str">
        <f>IF(COUNTIF('Processed Non-zero TRI Data'!$I:$I,$I181)&gt;0,_xlfn.MAXIFS('Processed Non-zero TRI Data'!$T:$T,'Processed Non-zero TRI Data'!$I:$I,$I181), "N/A - Facility Does Not Report to TRI")</f>
        <v>N/A - Facility Does Not Report to TRI</v>
      </c>
      <c r="AB181" s="10" t="str">
        <f t="shared" si="68"/>
        <v>N/A - Facility Does Not Report to TRI</v>
      </c>
      <c r="AC181" s="158" t="str" cm="1">
        <f t="array" ref="AC181">IFERROR(IF(B181 = "TRI Form R", IF(AA181 = 0, "Facility has no on-site water discharges between 2017-2022.",  IF(COUNTIF('Processed Non-zero TRI Data'!$I:$I,$I181)&gt;0,INDEX('Processed Non-zero TRI Data'!$A:$A,MATCH(1,($I181='Processed Non-zero TRI Data'!$I:$I)*(AA181='Processed Non-zero TRI Data'!$T:$T),0)))), VLOOKUP(I181,#REF!, 2, FALSE)), ("N/A - Facility Does Not Report to TRI"))</f>
        <v>N/A - Facility Does Not Report to TRI</v>
      </c>
      <c r="AD181" s="97" t="str" cm="1">
        <f t="array" ref="AD181">IFERROR(_xlfn.XLOOKUP(1,  (MAX(IF(I181 = 'Processed Non-zero TRI Data'!$I$2:$I$6,'Processed Non-zero TRI Data'!$A$2:$A$6)) = 'Processed Non-zero TRI Data'!$A$2:$A$6)*('Processed Non-zero TRI Data'!$I$2:$I$6 = I181), 'Processed Non-zero TRI Data'!$V$2:$V$6), "N/A- Facility Does Not Report to TRI")</f>
        <v>N/A- Facility Does Not Report to TRI</v>
      </c>
      <c r="AE181" s="9" t="str">
        <f t="shared" si="69"/>
        <v>N/A - Facility Does Not Report to TRI</v>
      </c>
      <c r="AF181" s="9" t="str" cm="1">
        <f t="array" ref="AF181">IF(COUNTIF('Processed Non-zero TRI Data'!$I:$I,$I181)&gt;0,MEDIAN(IF('Processed Non-zero TRI Data'!$I:$I=I181,'Processed Non-zero TRI Data'!$V:$V)), "N/A - Facility Does Not Report to TRI")</f>
        <v>N/A - Facility Does Not Report to TRI</v>
      </c>
      <c r="AG181" s="9" t="str">
        <f t="shared" si="70"/>
        <v>N/A - Facility Does Not Report to TRI</v>
      </c>
      <c r="AH181" s="9" t="str">
        <f>IF(COUNTIF('Processed Non-zero TRI Data'!$I:$I,$I181)&gt;0,_xlfn.MAXIFS('Processed Non-zero TRI Data'!$V:$V,'Processed Non-zero TRI Data'!$I:$I,$I181), "N/A - Facility Does Not Report to TRI")</f>
        <v>N/A - Facility Does Not Report to TRI</v>
      </c>
      <c r="AI181" s="9" t="str">
        <f t="shared" si="71"/>
        <v>N/A - Facility Does Not Report to TRI</v>
      </c>
      <c r="AJ181" s="158" t="str" cm="1">
        <f t="array" ref="AJ181">IF(B181="TRI Form A",AC181,IF(AH181=0,"Facility has no transfers to POTWs between 2019-2023.",IF(COUNTIF('Processed Non-zero TRI Data'!$I:$I,$I181)&gt;0,INDEX('Processed Non-zero TRI Data'!$A:$A,MATCH(1,($I181='Processed Non-zero TRI Data'!$I:$I)*(AH181='Processed Non-zero TRI Data'!$V:$V),0)),"N/A - Facility Does Not Report to TRI")))</f>
        <v>N/A - Facility Does Not Report to TRI</v>
      </c>
      <c r="AK181" s="97" t="str" cm="1">
        <f t="array" ref="AK181">IFERROR(_xlfn.XLOOKUP(1,  (MAX(IF(I181 = 'Processed Non-zero TRI Data'!$I$2:$I$6,'Processed Non-zero TRI Data'!$A$2:$A$6)) = 'Processed Non-zero TRI Data'!$A$2:$A$6)*('Processed Non-zero TRI Data'!$I$2:$I$6 = I181), 'Processed Non-zero TRI Data'!$X$2:$X$6), "N/A- Facility Does Not Report to TRI")</f>
        <v>N/A- Facility Does Not Report to TRI</v>
      </c>
      <c r="AL181" s="9" t="str">
        <f t="shared" si="72"/>
        <v>N/A - Facility Does Not Report to TRI</v>
      </c>
      <c r="AM181" s="9" t="str" cm="1">
        <f t="array" ref="AM181">IF(COUNTIF('Processed Non-zero TRI Data'!$I:$I,$I181)&gt;0,MEDIAN(IF('Processed Non-zero TRI Data'!$I:$I=I181,'Processed Non-zero TRI Data'!$X:$X)), "N/A - Facility Does Not Report to TRI")</f>
        <v>N/A - Facility Does Not Report to TRI</v>
      </c>
      <c r="AN181" s="9" t="str">
        <f t="shared" si="73"/>
        <v>N/A - Facility Does Not Report to TRI</v>
      </c>
      <c r="AO181" s="9" t="str">
        <f>IF(COUNTIF('Processed Non-zero TRI Data'!$I:$I,$I181)&gt;0,_xlfn.MAXIFS('Processed Non-zero TRI Data'!$X:$X,'Processed Non-zero TRI Data'!$I:$I,$I181), "N/A - Facility Does Not Report to TRI")</f>
        <v>N/A - Facility Does Not Report to TRI</v>
      </c>
      <c r="AP181" s="9" t="str">
        <f t="shared" si="74"/>
        <v>N/A - Facility Does Not Report to TRI</v>
      </c>
      <c r="AQ181" s="251" t="str" cm="1">
        <f t="array" ref="AQ181">IF(B181="TRI Form A",AC181,IF(AO181=0,"Facility has no transfers to non-POTWs between 2019-2023.",IF(COUNTIF('Processed Non-zero TRI Data'!$I:$I,$I181)&gt;0,INDEX('Processed Non-zero TRI Data'!$A:$A,MATCH(1,($I181='Processed Non-zero TRI Data'!$I:$I)*(AO181='Processed Non-zero TRI Data'!$X:$X),0)),"N/A - Facility Does Not Report to TRI")))</f>
        <v>N/A - Facility Does Not Report to TRI</v>
      </c>
      <c r="AR181" s="260">
        <f t="shared" si="61"/>
        <v>0</v>
      </c>
      <c r="AS181" s="260">
        <f t="shared" si="62"/>
        <v>3.3080986137137502E-3</v>
      </c>
    </row>
    <row r="182" spans="1:45" ht="30" x14ac:dyDescent="0.25">
      <c r="A182" s="12">
        <v>179</v>
      </c>
      <c r="B182" s="10" t="str">
        <f>IFERROR("TRI Form "&amp; VLOOKUP(I182, 'Processed Non-zero TRI Data'!$I$2:$K$6, 3, FALSE), "DMR")</f>
        <v>DMR</v>
      </c>
      <c r="C182" s="181" t="e">
        <f>VLOOKUP(D182,#REF!, 2, FALSE)</f>
        <v>#REF!</v>
      </c>
      <c r="D182" s="181" t="str">
        <f>IF(I182&lt;&gt;"",INDEX('Processed Non-zero TRI Data'!$O:$O,MATCH(I182,'Processed Non-zero TRI Data'!$I:$I,0)),INDEX('Processed Non-zero DMR Data'!$S:$S,MATCH(J182,'Processed Non-zero DMR Data'!$I:$I,0)))</f>
        <v>Waste Handling, Disposal and Treatment (Incinerator)</v>
      </c>
      <c r="E182" s="181" t="str">
        <f>IF(I182&lt;&gt;"",INDEX('Processed Non-zero TRI Data'!$P:$P,MATCH(I182,'Processed Non-zero TRI Data'!$I:$I,0)),INDEX('Processed Non-zero DMR Data'!$T:$T,MATCH(J182,'Processed Non-zero DMR Data'!$I:$I,0)))</f>
        <v>Superfund site operating an incinerator: https://www.frtr.gov/costperformance/profile.cfm?ID=217</v>
      </c>
      <c r="F182" s="9" t="str">
        <f>_xlfn.XLOOKUP(J182, 'Processed Non-zero DMR Data'!I:I, 'Processed Non-zero DMR Data'!B:B)</f>
        <v>NPC SERVICES, INC.- PETRO-PROCESSORS OF LOUISIANA, INC. SITE</v>
      </c>
      <c r="G182" s="9" t="str">
        <f>_xlfn.XLOOKUP(J182, 'Processed Non-zero DMR Data'!I:I, 'Processed Non-zero DMR Data'!C:C)</f>
        <v>BATON ROUGE</v>
      </c>
      <c r="H182" s="9" t="str">
        <f>_xlfn.XLOOKUP(J182, 'Processed Non-zero DMR Data'!I:I, 'Processed Non-zero DMR Data'!E:E)</f>
        <v>LA</v>
      </c>
      <c r="I182" s="12"/>
      <c r="J182" s="13">
        <v>110064644782</v>
      </c>
      <c r="K182" s="9" t="str">
        <f>IFERROR(INDEX('Raw Non-zero DMR Data'!$C:$C, MATCH(J182,'Raw Non-zero DMR Data'!$D:$D,0)),"")</f>
        <v>LA0066214</v>
      </c>
      <c r="L182" s="9" t="str">
        <f>IFERROR(INDEX('Raw Non-zero DMR Data'!$U:$U, MATCH($J182,'Raw Non-zero DMR Data'!$D:$D,0)),"")</f>
        <v>Cypress Bayou-Bayou Baton Rouge</v>
      </c>
      <c r="M182" s="155" t="str">
        <f>IFERROR(INDEX('Raw Non-zero DMR Data'!$T:$T, MATCH($J182,'Raw Non-zero DMR Data'!$D:$D,0)),"")</f>
        <v>080702010401</v>
      </c>
      <c r="N182" s="155" t="str">
        <f>IFERROR(INDEX('Off-site Locations'!$E:$E,MATCH(I182,'Off-site Locations'!$B:$B,0)),"No offsite transfers")</f>
        <v>No offsite transfers</v>
      </c>
      <c r="O182" s="165">
        <f>INDEX('TRI and DMR OES Summary'!D:D,MATCH('Facility Discharge Summary'!D182,'TRI and DMR OES Summary'!A:A,0))</f>
        <v>250</v>
      </c>
      <c r="P182" s="17" cm="1">
        <f t="array" ref="P182">IFERROR(_xlfn.XLOOKUP(1,  (MAX(IF(J182 = 'Processed Non-zero DMR Data'!$I$2:$I$651,'Processed Non-zero DMR Data'!$A$2:$A$651)) = 'Processed Non-zero DMR Data'!$A$2:$A$651)*('Processed Non-zero DMR Data'!$I$2:$I$651 = J182),'Processed Non-zero DMR Data'!$W$2:$W$651), "N/A- Facility Does Not Report DMRs")</f>
        <v>1.9980504024999998E-3</v>
      </c>
      <c r="Q182" s="10">
        <f t="shared" si="63"/>
        <v>7.99220161E-6</v>
      </c>
      <c r="R182" s="10" cm="1">
        <f t="array" ref="R182">IF(COUNTIF('Processed Non-zero DMR Data'!$I:$I,$J182)&gt;0,MEDIAN(IF('Processed Non-zero DMR Data'!$I:$I=J182,'Processed Non-zero DMR Data'!$W:$W)),"N/A - Facility Does Not Report DMRs")</f>
        <v>1.9485872655E-2</v>
      </c>
      <c r="S182" s="10">
        <f t="shared" si="64"/>
        <v>7.7943490619999999E-5</v>
      </c>
      <c r="T182" s="10">
        <f>IF(COUNTIF('Processed Non-zero DMR Data'!$I:$I,$J182)&gt;0,_xlfn.MAXIFS('Processed Non-zero DMR Data'!$W:$W,'Processed Non-zero DMR Data'!$I:$I,$J182), "N/A - Facility Does Not Report DMRs")</f>
        <v>0.99645802500000002</v>
      </c>
      <c r="U182" s="10">
        <f t="shared" si="65"/>
        <v>3.9858321000000004E-3</v>
      </c>
      <c r="V182" s="158" cm="1">
        <f t="array" ref="V182">IF(COUNTIF('Processed Non-zero DMR Data'!$I:$I,$J182)&gt;0,INDEX('Processed Non-zero DMR Data'!$A:$A,MATCH(1,($J182='Processed Non-zero DMR Data'!$I:$I)*($T182='Processed Non-zero DMR Data'!$W:$W),0)), "N/A - Facility Does Not Report DMRs")</f>
        <v>2022</v>
      </c>
      <c r="W182" s="17" t="str" cm="1">
        <f t="array" ref="W182">IFERROR(_xlfn.XLOOKUP(1,  (MAX(IF(I182 = 'Processed Non-zero TRI Data'!$I$2:$I$6,'Processed Non-zero TRI Data'!$A$2:$A$6)) = 'Processed Non-zero TRI Data'!$A$2:$A$6)*('Processed Non-zero TRI Data'!$I$2:$I$6 = I182), 'Processed Non-zero TRI Data'!$T$2:$T$6), "N/A- Facility Does Not Report to TRI")</f>
        <v>N/A- Facility Does Not Report to TRI</v>
      </c>
      <c r="X182" s="10" t="str">
        <f t="shared" si="66"/>
        <v>N/A - Facility Does Not Report to TRI</v>
      </c>
      <c r="Y182" s="10" t="str" cm="1">
        <f t="array" ref="Y182">IF(COUNTIF('Processed Non-zero TRI Data'!$I:$I,$I182)&gt;0,MEDIAN(IF('Processed Non-zero TRI Data'!$I:$I=I182,'Processed Non-zero TRI Data'!$T:$T)), "N/A - Facility Does Not Report to TRI")</f>
        <v>N/A - Facility Does Not Report to TRI</v>
      </c>
      <c r="Z182" s="10" t="str">
        <f t="shared" si="67"/>
        <v>N/A - Facility Does Not Report to TRI</v>
      </c>
      <c r="AA182" s="10" t="str">
        <f>IF(COUNTIF('Processed Non-zero TRI Data'!$I:$I,$I182)&gt;0,_xlfn.MAXIFS('Processed Non-zero TRI Data'!$T:$T,'Processed Non-zero TRI Data'!$I:$I,$I182), "N/A - Facility Does Not Report to TRI")</f>
        <v>N/A - Facility Does Not Report to TRI</v>
      </c>
      <c r="AB182" s="10" t="str">
        <f t="shared" si="68"/>
        <v>N/A - Facility Does Not Report to TRI</v>
      </c>
      <c r="AC182" s="158" t="str" cm="1">
        <f t="array" ref="AC182">IFERROR(IF(B182 = "TRI Form R", IF(AA182 = 0, "Facility has no on-site water discharges between 2017-2022.",  IF(COUNTIF('Processed Non-zero TRI Data'!$I:$I,$I182)&gt;0,INDEX('Processed Non-zero TRI Data'!$A:$A,MATCH(1,($I182='Processed Non-zero TRI Data'!$I:$I)*(AA182='Processed Non-zero TRI Data'!$T:$T),0)))), VLOOKUP(I182,#REF!, 2, FALSE)), ("N/A - Facility Does Not Report to TRI"))</f>
        <v>N/A - Facility Does Not Report to TRI</v>
      </c>
      <c r="AD182" s="97" t="str" cm="1">
        <f t="array" ref="AD182">IFERROR(_xlfn.XLOOKUP(1,  (MAX(IF(I182 = 'Processed Non-zero TRI Data'!$I$2:$I$6,'Processed Non-zero TRI Data'!$A$2:$A$6)) = 'Processed Non-zero TRI Data'!$A$2:$A$6)*('Processed Non-zero TRI Data'!$I$2:$I$6 = I182), 'Processed Non-zero TRI Data'!$V$2:$V$6), "N/A- Facility Does Not Report to TRI")</f>
        <v>N/A- Facility Does Not Report to TRI</v>
      </c>
      <c r="AE182" s="9" t="str">
        <f t="shared" si="69"/>
        <v>N/A - Facility Does Not Report to TRI</v>
      </c>
      <c r="AF182" s="9" t="str" cm="1">
        <f t="array" ref="AF182">IF(COUNTIF('Processed Non-zero TRI Data'!$I:$I,$I182)&gt;0,MEDIAN(IF('Processed Non-zero TRI Data'!$I:$I=I182,'Processed Non-zero TRI Data'!$V:$V)), "N/A - Facility Does Not Report to TRI")</f>
        <v>N/A - Facility Does Not Report to TRI</v>
      </c>
      <c r="AG182" s="9" t="str">
        <f t="shared" si="70"/>
        <v>N/A - Facility Does Not Report to TRI</v>
      </c>
      <c r="AH182" s="9" t="str">
        <f>IF(COUNTIF('Processed Non-zero TRI Data'!$I:$I,$I182)&gt;0,_xlfn.MAXIFS('Processed Non-zero TRI Data'!$V:$V,'Processed Non-zero TRI Data'!$I:$I,$I182), "N/A - Facility Does Not Report to TRI")</f>
        <v>N/A - Facility Does Not Report to TRI</v>
      </c>
      <c r="AI182" s="9" t="str">
        <f t="shared" si="71"/>
        <v>N/A - Facility Does Not Report to TRI</v>
      </c>
      <c r="AJ182" s="158" t="str" cm="1">
        <f t="array" ref="AJ182">IF(B182="TRI Form A",AC182,IF(AH182=0,"Facility has no transfers to POTWs between 2019-2023.",IF(COUNTIF('Processed Non-zero TRI Data'!$I:$I,$I182)&gt;0,INDEX('Processed Non-zero TRI Data'!$A:$A,MATCH(1,($I182='Processed Non-zero TRI Data'!$I:$I)*(AH182='Processed Non-zero TRI Data'!$V:$V),0)),"N/A - Facility Does Not Report to TRI")))</f>
        <v>N/A - Facility Does Not Report to TRI</v>
      </c>
      <c r="AK182" s="97" t="str" cm="1">
        <f t="array" ref="AK182">IFERROR(_xlfn.XLOOKUP(1,  (MAX(IF(I182 = 'Processed Non-zero TRI Data'!$I$2:$I$6,'Processed Non-zero TRI Data'!$A$2:$A$6)) = 'Processed Non-zero TRI Data'!$A$2:$A$6)*('Processed Non-zero TRI Data'!$I$2:$I$6 = I182), 'Processed Non-zero TRI Data'!$X$2:$X$6), "N/A- Facility Does Not Report to TRI")</f>
        <v>N/A- Facility Does Not Report to TRI</v>
      </c>
      <c r="AL182" s="9" t="str">
        <f t="shared" si="72"/>
        <v>N/A - Facility Does Not Report to TRI</v>
      </c>
      <c r="AM182" s="9" t="str" cm="1">
        <f t="array" ref="AM182">IF(COUNTIF('Processed Non-zero TRI Data'!$I:$I,$I182)&gt;0,MEDIAN(IF('Processed Non-zero TRI Data'!$I:$I=I182,'Processed Non-zero TRI Data'!$X:$X)), "N/A - Facility Does Not Report to TRI")</f>
        <v>N/A - Facility Does Not Report to TRI</v>
      </c>
      <c r="AN182" s="9" t="str">
        <f t="shared" si="73"/>
        <v>N/A - Facility Does Not Report to TRI</v>
      </c>
      <c r="AO182" s="9" t="str">
        <f>IF(COUNTIF('Processed Non-zero TRI Data'!$I:$I,$I182)&gt;0,_xlfn.MAXIFS('Processed Non-zero TRI Data'!$X:$X,'Processed Non-zero TRI Data'!$I:$I,$I182), "N/A - Facility Does Not Report to TRI")</f>
        <v>N/A - Facility Does Not Report to TRI</v>
      </c>
      <c r="AP182" s="9" t="str">
        <f t="shared" si="74"/>
        <v>N/A - Facility Does Not Report to TRI</v>
      </c>
      <c r="AQ182" s="251" t="str" cm="1">
        <f t="array" ref="AQ182">IF(B182="TRI Form A",AC182,IF(AO182=0,"Facility has no transfers to non-POTWs between 2019-2023.",IF(COUNTIF('Processed Non-zero TRI Data'!$I:$I,$I182)&gt;0,INDEX('Processed Non-zero TRI Data'!$A:$A,MATCH(1,($I182='Processed Non-zero TRI Data'!$I:$I)*(AO182='Processed Non-zero TRI Data'!$X:$X),0)),"N/A - Facility Does Not Report to TRI")))</f>
        <v>N/A - Facility Does Not Report to TRI</v>
      </c>
      <c r="AR182" s="260">
        <f t="shared" si="61"/>
        <v>0</v>
      </c>
      <c r="AS182" s="260">
        <f t="shared" si="62"/>
        <v>0.99645802500000002</v>
      </c>
    </row>
    <row r="183" spans="1:45" ht="30" x14ac:dyDescent="0.25">
      <c r="A183" s="12">
        <v>180</v>
      </c>
      <c r="B183" s="10" t="str">
        <f>IFERROR("TRI Form "&amp; VLOOKUP(I183, 'Processed Non-zero TRI Data'!$I$2:$K$6, 3, FALSE), "DMR")</f>
        <v>DMR</v>
      </c>
      <c r="C183" s="181" t="e">
        <f>VLOOKUP(D183,#REF!, 2, FALSE)</f>
        <v>#REF!</v>
      </c>
      <c r="D183" s="181" t="str">
        <f>IF(I183&lt;&gt;"",INDEX('Processed Non-zero TRI Data'!$O:$O,MATCH(I183,'Processed Non-zero TRI Data'!$I:$I,0)),INDEX('Processed Non-zero DMR Data'!$S:$S,MATCH(J183,'Processed Non-zero DMR Data'!$I:$I,0)))</f>
        <v>Waste Handling, Disposal and Treatment (POTW)</v>
      </c>
      <c r="E183" s="181" t="str">
        <f>IF(I183&lt;&gt;"",INDEX('Processed Non-zero TRI Data'!$P:$P,MATCH(I183,'Processed Non-zero TRI Data'!$I:$I,0)),INDEX('Processed Non-zero DMR Data'!$T:$T,MATCH(J183,'Processed Non-zero DMR Data'!$I:$I,0)))</f>
        <v>POTW indicator in DMR</v>
      </c>
      <c r="F183" s="9" t="str">
        <f>_xlfn.XLOOKUP(J183, 'Processed Non-zero DMR Data'!I:I, 'Processed Non-zero DMR Data'!B:B)</f>
        <v>COPPER COVE WWRF</v>
      </c>
      <c r="G183" s="9" t="str">
        <f>_xlfn.XLOOKUP(J183, 'Processed Non-zero DMR Data'!I:I, 'Processed Non-zero DMR Data'!C:C)</f>
        <v>COPPEROPOLIS</v>
      </c>
      <c r="H183" s="9" t="str">
        <f>_xlfn.XLOOKUP(J183, 'Processed Non-zero DMR Data'!I:I, 'Processed Non-zero DMR Data'!E:E)</f>
        <v>CA</v>
      </c>
      <c r="I183" s="12"/>
      <c r="J183" s="13">
        <v>110027858432</v>
      </c>
      <c r="K183" s="9" t="str">
        <f>IFERROR(INDEX('Raw Non-zero DMR Data'!$C:$C, MATCH(J183,'Raw Non-zero DMR Data'!$D:$D,0)),"")</f>
        <v>CA0084620</v>
      </c>
      <c r="L183" s="9" t="str">
        <f>IFERROR(INDEX('Raw Non-zero DMR Data'!$U:$U, MATCH($J183,'Raw Non-zero DMR Data'!$D:$D,0)),"")</f>
        <v>Peachys Creek-Littlejohns Creek</v>
      </c>
      <c r="M183" s="155">
        <f>IFERROR(INDEX('Raw Non-zero DMR Data'!$T:$T, MATCH($J183,'Raw Non-zero DMR Data'!$D:$D,0)),"")</f>
        <v>180400510203</v>
      </c>
      <c r="N183" s="155" t="str">
        <f>IFERROR(INDEX('Off-site Locations'!$E:$E,MATCH(I183,'Off-site Locations'!$B:$B,0)),"No offsite transfers")</f>
        <v>No offsite transfers</v>
      </c>
      <c r="O183" s="165">
        <f>INDEX('TRI and DMR OES Summary'!D:D,MATCH('Facility Discharge Summary'!D183,'TRI and DMR OES Summary'!A:A,0))</f>
        <v>365</v>
      </c>
      <c r="P183" s="17" cm="1">
        <f t="array" ref="P183">IFERROR(_xlfn.XLOOKUP(1,  (MAX(IF(J183 = 'Processed Non-zero DMR Data'!$I$2:$I$651,'Processed Non-zero DMR Data'!$A$2:$A$651)) = 'Processed Non-zero DMR Data'!$A$2:$A$651)*('Processed Non-zero DMR Data'!$I$2:$I$651 = J183),'Processed Non-zero DMR Data'!$W$2:$W$651), "N/A- Facility Does Not Report DMRs")</f>
        <v>0.16820066875</v>
      </c>
      <c r="Q183" s="10">
        <f t="shared" si="63"/>
        <v>4.6082375E-4</v>
      </c>
      <c r="R183" s="10" cm="1">
        <f t="array" ref="R183">IF(COUNTIF('Processed Non-zero DMR Data'!$I:$I,$J183)&gt;0,MEDIAN(IF('Processed Non-zero DMR Data'!$I:$I=J183,'Processed Non-zero DMR Data'!$W:$W)),"N/A - Facility Does Not Report DMRs")</f>
        <v>0.16820066875</v>
      </c>
      <c r="S183" s="10">
        <f t="shared" si="64"/>
        <v>4.6082375E-4</v>
      </c>
      <c r="T183" s="10">
        <f>IF(COUNTIF('Processed Non-zero DMR Data'!$I:$I,$J183)&gt;0,_xlfn.MAXIFS('Processed Non-zero DMR Data'!$W:$W,'Processed Non-zero DMR Data'!$I:$I,$J183), "N/A - Facility Does Not Report DMRs")</f>
        <v>0.16820066875</v>
      </c>
      <c r="U183" s="10">
        <f t="shared" si="65"/>
        <v>4.6082375E-4</v>
      </c>
      <c r="V183" s="158" cm="1">
        <f t="array" ref="V183">IF(COUNTIF('Processed Non-zero DMR Data'!$I:$I,$J183)&gt;0,INDEX('Processed Non-zero DMR Data'!$A:$A,MATCH(1,($J183='Processed Non-zero DMR Data'!$I:$I)*($T183='Processed Non-zero DMR Data'!$W:$W),0)), "N/A - Facility Does Not Report DMRs")</f>
        <v>2021</v>
      </c>
      <c r="W183" s="17" t="str" cm="1">
        <f t="array" ref="W183">IFERROR(_xlfn.XLOOKUP(1,  (MAX(IF(I183 = 'Processed Non-zero TRI Data'!$I$2:$I$6,'Processed Non-zero TRI Data'!$A$2:$A$6)) = 'Processed Non-zero TRI Data'!$A$2:$A$6)*('Processed Non-zero TRI Data'!$I$2:$I$6 = I183), 'Processed Non-zero TRI Data'!$T$2:$T$6), "N/A- Facility Does Not Report to TRI")</f>
        <v>N/A- Facility Does Not Report to TRI</v>
      </c>
      <c r="X183" s="10" t="str">
        <f t="shared" si="66"/>
        <v>N/A - Facility Does Not Report to TRI</v>
      </c>
      <c r="Y183" s="10" t="str" cm="1">
        <f t="array" ref="Y183">IF(COUNTIF('Processed Non-zero TRI Data'!$I:$I,$I183)&gt;0,MEDIAN(IF('Processed Non-zero TRI Data'!$I:$I=I183,'Processed Non-zero TRI Data'!$T:$T)), "N/A - Facility Does Not Report to TRI")</f>
        <v>N/A - Facility Does Not Report to TRI</v>
      </c>
      <c r="Z183" s="10" t="str">
        <f t="shared" si="67"/>
        <v>N/A - Facility Does Not Report to TRI</v>
      </c>
      <c r="AA183" s="10" t="str">
        <f>IF(COUNTIF('Processed Non-zero TRI Data'!$I:$I,$I183)&gt;0,_xlfn.MAXIFS('Processed Non-zero TRI Data'!$T:$T,'Processed Non-zero TRI Data'!$I:$I,$I183), "N/A - Facility Does Not Report to TRI")</f>
        <v>N/A - Facility Does Not Report to TRI</v>
      </c>
      <c r="AB183" s="10" t="str">
        <f t="shared" si="68"/>
        <v>N/A - Facility Does Not Report to TRI</v>
      </c>
      <c r="AC183" s="158" t="str" cm="1">
        <f t="array" ref="AC183">IFERROR(IF(B183 = "TRI Form R", IF(AA183 = 0, "Facility has no on-site water discharges between 2017-2022.",  IF(COUNTIF('Processed Non-zero TRI Data'!$I:$I,$I183)&gt;0,INDEX('Processed Non-zero TRI Data'!$A:$A,MATCH(1,($I183='Processed Non-zero TRI Data'!$I:$I)*(AA183='Processed Non-zero TRI Data'!$T:$T),0)))), VLOOKUP(I183,#REF!, 2, FALSE)), ("N/A - Facility Does Not Report to TRI"))</f>
        <v>N/A - Facility Does Not Report to TRI</v>
      </c>
      <c r="AD183" s="97" t="str" cm="1">
        <f t="array" ref="AD183">IFERROR(_xlfn.XLOOKUP(1,  (MAX(IF(I183 = 'Processed Non-zero TRI Data'!$I$2:$I$6,'Processed Non-zero TRI Data'!$A$2:$A$6)) = 'Processed Non-zero TRI Data'!$A$2:$A$6)*('Processed Non-zero TRI Data'!$I$2:$I$6 = I183), 'Processed Non-zero TRI Data'!$V$2:$V$6), "N/A- Facility Does Not Report to TRI")</f>
        <v>N/A- Facility Does Not Report to TRI</v>
      </c>
      <c r="AE183" s="9" t="str">
        <f t="shared" si="69"/>
        <v>N/A - Facility Does Not Report to TRI</v>
      </c>
      <c r="AF183" s="9" t="str" cm="1">
        <f t="array" ref="AF183">IF(COUNTIF('Processed Non-zero TRI Data'!$I:$I,$I183)&gt;0,MEDIAN(IF('Processed Non-zero TRI Data'!$I:$I=I183,'Processed Non-zero TRI Data'!$V:$V)), "N/A - Facility Does Not Report to TRI")</f>
        <v>N/A - Facility Does Not Report to TRI</v>
      </c>
      <c r="AG183" s="9" t="str">
        <f t="shared" si="70"/>
        <v>N/A - Facility Does Not Report to TRI</v>
      </c>
      <c r="AH183" s="9" t="str">
        <f>IF(COUNTIF('Processed Non-zero TRI Data'!$I:$I,$I183)&gt;0,_xlfn.MAXIFS('Processed Non-zero TRI Data'!$V:$V,'Processed Non-zero TRI Data'!$I:$I,$I183), "N/A - Facility Does Not Report to TRI")</f>
        <v>N/A - Facility Does Not Report to TRI</v>
      </c>
      <c r="AI183" s="9" t="str">
        <f t="shared" si="71"/>
        <v>N/A - Facility Does Not Report to TRI</v>
      </c>
      <c r="AJ183" s="158" t="str" cm="1">
        <f t="array" ref="AJ183">IF(B183="TRI Form A",AC183,IF(AH183=0,"Facility has no transfers to POTWs between 2019-2023.",IF(COUNTIF('Processed Non-zero TRI Data'!$I:$I,$I183)&gt;0,INDEX('Processed Non-zero TRI Data'!$A:$A,MATCH(1,($I183='Processed Non-zero TRI Data'!$I:$I)*(AH183='Processed Non-zero TRI Data'!$V:$V),0)),"N/A - Facility Does Not Report to TRI")))</f>
        <v>N/A - Facility Does Not Report to TRI</v>
      </c>
      <c r="AK183" s="97" t="str" cm="1">
        <f t="array" ref="AK183">IFERROR(_xlfn.XLOOKUP(1,  (MAX(IF(I183 = 'Processed Non-zero TRI Data'!$I$2:$I$6,'Processed Non-zero TRI Data'!$A$2:$A$6)) = 'Processed Non-zero TRI Data'!$A$2:$A$6)*('Processed Non-zero TRI Data'!$I$2:$I$6 = I183), 'Processed Non-zero TRI Data'!$X$2:$X$6), "N/A- Facility Does Not Report to TRI")</f>
        <v>N/A- Facility Does Not Report to TRI</v>
      </c>
      <c r="AL183" s="9" t="str">
        <f t="shared" si="72"/>
        <v>N/A - Facility Does Not Report to TRI</v>
      </c>
      <c r="AM183" s="9" t="str" cm="1">
        <f t="array" ref="AM183">IF(COUNTIF('Processed Non-zero TRI Data'!$I:$I,$I183)&gt;0,MEDIAN(IF('Processed Non-zero TRI Data'!$I:$I=I183,'Processed Non-zero TRI Data'!$X:$X)), "N/A - Facility Does Not Report to TRI")</f>
        <v>N/A - Facility Does Not Report to TRI</v>
      </c>
      <c r="AN183" s="9" t="str">
        <f t="shared" si="73"/>
        <v>N/A - Facility Does Not Report to TRI</v>
      </c>
      <c r="AO183" s="9" t="str">
        <f>IF(COUNTIF('Processed Non-zero TRI Data'!$I:$I,$I183)&gt;0,_xlfn.MAXIFS('Processed Non-zero TRI Data'!$X:$X,'Processed Non-zero TRI Data'!$I:$I,$I183), "N/A - Facility Does Not Report to TRI")</f>
        <v>N/A - Facility Does Not Report to TRI</v>
      </c>
      <c r="AP183" s="9" t="str">
        <f t="shared" si="74"/>
        <v>N/A - Facility Does Not Report to TRI</v>
      </c>
      <c r="AQ183" s="251" t="str" cm="1">
        <f t="array" ref="AQ183">IF(B183="TRI Form A",AC183,IF(AO183=0,"Facility has no transfers to non-POTWs between 2019-2023.",IF(COUNTIF('Processed Non-zero TRI Data'!$I:$I,$I183)&gt;0,INDEX('Processed Non-zero TRI Data'!$A:$A,MATCH(1,($I183='Processed Non-zero TRI Data'!$I:$I)*(AO183='Processed Non-zero TRI Data'!$X:$X),0)),"N/A - Facility Does Not Report to TRI")))</f>
        <v>N/A - Facility Does Not Report to TRI</v>
      </c>
      <c r="AR183" s="260">
        <f t="shared" si="61"/>
        <v>0</v>
      </c>
      <c r="AS183" s="260">
        <f t="shared" si="62"/>
        <v>0.16820066875</v>
      </c>
    </row>
    <row r="184" spans="1:45" ht="30" x14ac:dyDescent="0.25">
      <c r="A184" s="12">
        <v>181</v>
      </c>
      <c r="B184" s="10" t="str">
        <f>IFERROR("TRI Form "&amp; VLOOKUP(I184, 'Processed Non-zero TRI Data'!$I$2:$K$6, 3, FALSE), "DMR")</f>
        <v>DMR</v>
      </c>
      <c r="C184" s="181" t="e">
        <f>VLOOKUP(D184,#REF!, 2, FALSE)</f>
        <v>#REF!</v>
      </c>
      <c r="D184" s="181" t="str">
        <f>IF(I184&lt;&gt;"",INDEX('Processed Non-zero TRI Data'!$O:$O,MATCH(I184,'Processed Non-zero TRI Data'!$I:$I,0)),INDEX('Processed Non-zero DMR Data'!$S:$S,MATCH(J184,'Processed Non-zero DMR Data'!$I:$I,0)))</f>
        <v>Waste Handling, Disposal and Treatment (POTW)</v>
      </c>
      <c r="E184" s="181" t="str">
        <f>IF(I184&lt;&gt;"",INDEX('Processed Non-zero TRI Data'!$P:$P,MATCH(I184,'Processed Non-zero TRI Data'!$I:$I,0)),INDEX('Processed Non-zero DMR Data'!$T:$T,MATCH(J184,'Processed Non-zero DMR Data'!$I:$I,0)))</f>
        <v>POTW indicator in DMR</v>
      </c>
      <c r="F184" s="9" t="str">
        <f>_xlfn.XLOOKUP(J184, 'Processed Non-zero DMR Data'!I:I, 'Processed Non-zero DMR Data'!B:B)</f>
        <v>HANGTOWN CREEK WWTP</v>
      </c>
      <c r="G184" s="9" t="str">
        <f>_xlfn.XLOOKUP(J184, 'Processed Non-zero DMR Data'!I:I, 'Processed Non-zero DMR Data'!C:C)</f>
        <v>PLACERVILLE</v>
      </c>
      <c r="H184" s="9" t="str">
        <f>_xlfn.XLOOKUP(J184, 'Processed Non-zero DMR Data'!I:I, 'Processed Non-zero DMR Data'!E:E)</f>
        <v>CA</v>
      </c>
      <c r="I184" s="12"/>
      <c r="J184" s="13">
        <v>110039757992</v>
      </c>
      <c r="K184" s="9" t="str">
        <f>IFERROR(INDEX('Raw Non-zero DMR Data'!$C:$C, MATCH(J184,'Raw Non-zero DMR Data'!$D:$D,0)),"")</f>
        <v>CAC439621</v>
      </c>
      <c r="L184" s="9" t="str">
        <f>IFERROR(INDEX('Raw Non-zero DMR Data'!$U:$U, MATCH($J184,'Raw Non-zero DMR Data'!$D:$D,0)),"")</f>
        <v>Indian Creek-Weber Creek</v>
      </c>
      <c r="M184" s="155">
        <f>IFERROR(INDEX('Raw Non-zero DMR Data'!$T:$T, MATCH($J184,'Raw Non-zero DMR Data'!$D:$D,0)),"")</f>
        <v>180201290603</v>
      </c>
      <c r="N184" s="155" t="str">
        <f>IFERROR(INDEX('Off-site Locations'!$E:$E,MATCH(I184,'Off-site Locations'!$B:$B,0)),"No offsite transfers")</f>
        <v>No offsite transfers</v>
      </c>
      <c r="O184" s="165">
        <f>INDEX('TRI and DMR OES Summary'!D:D,MATCH('Facility Discharge Summary'!D184,'TRI and DMR OES Summary'!A:A,0))</f>
        <v>365</v>
      </c>
      <c r="P184" s="17" cm="1">
        <f t="array" ref="P184">IFERROR(_xlfn.XLOOKUP(1,  (MAX(IF(J184 = 'Processed Non-zero DMR Data'!$I$2:$I$651,'Processed Non-zero DMR Data'!$A$2:$A$651)) = 'Processed Non-zero DMR Data'!$A$2:$A$651)*('Processed Non-zero DMR Data'!$I$2:$I$651 = J184),'Processed Non-zero DMR Data'!$W$2:$W$651), "N/A- Facility Does Not Report DMRs")</f>
        <v>2.908412925E-2</v>
      </c>
      <c r="Q184" s="10">
        <f t="shared" si="63"/>
        <v>7.9682545890410959E-5</v>
      </c>
      <c r="R184" s="10" cm="1">
        <f t="array" ref="R184">IF(COUNTIF('Processed Non-zero DMR Data'!$I:$I,$J184)&gt;0,MEDIAN(IF('Processed Non-zero DMR Data'!$I:$I=J184,'Processed Non-zero DMR Data'!$W:$W)),"N/A - Facility Does Not Report DMRs")</f>
        <v>5.0394795825000005E-2</v>
      </c>
      <c r="S184" s="10">
        <f t="shared" si="64"/>
        <v>1.3806793376712329E-4</v>
      </c>
      <c r="T184" s="10">
        <f>IF(COUNTIF('Processed Non-zero DMR Data'!$I:$I,$J184)&gt;0,_xlfn.MAXIFS('Processed Non-zero DMR Data'!$W:$W,'Processed Non-zero DMR Data'!$I:$I,$J184), "N/A - Facility Does Not Report DMRs")</f>
        <v>7.1705462400000003E-2</v>
      </c>
      <c r="U184" s="10">
        <f t="shared" si="65"/>
        <v>1.9645332164383561E-4</v>
      </c>
      <c r="V184" s="158" cm="1">
        <f t="array" ref="V184">IF(COUNTIF('Processed Non-zero DMR Data'!$I:$I,$J184)&gt;0,INDEX('Processed Non-zero DMR Data'!$A:$A,MATCH(1,($J184='Processed Non-zero DMR Data'!$I:$I)*($T184='Processed Non-zero DMR Data'!$W:$W),0)), "N/A - Facility Does Not Report DMRs")</f>
        <v>2021</v>
      </c>
      <c r="W184" s="17" t="str" cm="1">
        <f t="array" ref="W184">IFERROR(_xlfn.XLOOKUP(1,  (MAX(IF(I184 = 'Processed Non-zero TRI Data'!$I$2:$I$6,'Processed Non-zero TRI Data'!$A$2:$A$6)) = 'Processed Non-zero TRI Data'!$A$2:$A$6)*('Processed Non-zero TRI Data'!$I$2:$I$6 = I184), 'Processed Non-zero TRI Data'!$T$2:$T$6), "N/A- Facility Does Not Report to TRI")</f>
        <v>N/A- Facility Does Not Report to TRI</v>
      </c>
      <c r="X184" s="10" t="str">
        <f t="shared" si="66"/>
        <v>N/A - Facility Does Not Report to TRI</v>
      </c>
      <c r="Y184" s="10" t="str" cm="1">
        <f t="array" ref="Y184">IF(COUNTIF('Processed Non-zero TRI Data'!$I:$I,$I184)&gt;0,MEDIAN(IF('Processed Non-zero TRI Data'!$I:$I=I184,'Processed Non-zero TRI Data'!$T:$T)), "N/A - Facility Does Not Report to TRI")</f>
        <v>N/A - Facility Does Not Report to TRI</v>
      </c>
      <c r="Z184" s="10" t="str">
        <f t="shared" si="67"/>
        <v>N/A - Facility Does Not Report to TRI</v>
      </c>
      <c r="AA184" s="10" t="str">
        <f>IF(COUNTIF('Processed Non-zero TRI Data'!$I:$I,$I184)&gt;0,_xlfn.MAXIFS('Processed Non-zero TRI Data'!$T:$T,'Processed Non-zero TRI Data'!$I:$I,$I184), "N/A - Facility Does Not Report to TRI")</f>
        <v>N/A - Facility Does Not Report to TRI</v>
      </c>
      <c r="AB184" s="10" t="str">
        <f t="shared" si="68"/>
        <v>N/A - Facility Does Not Report to TRI</v>
      </c>
      <c r="AC184" s="158" t="str" cm="1">
        <f t="array" ref="AC184">IFERROR(IF(B184 = "TRI Form R", IF(AA184 = 0, "Facility has no on-site water discharges between 2017-2022.",  IF(COUNTIF('Processed Non-zero TRI Data'!$I:$I,$I184)&gt;0,INDEX('Processed Non-zero TRI Data'!$A:$A,MATCH(1,($I184='Processed Non-zero TRI Data'!$I:$I)*(AA184='Processed Non-zero TRI Data'!$T:$T),0)))), VLOOKUP(I184,#REF!, 2, FALSE)), ("N/A - Facility Does Not Report to TRI"))</f>
        <v>N/A - Facility Does Not Report to TRI</v>
      </c>
      <c r="AD184" s="97" t="str" cm="1">
        <f t="array" ref="AD184">IFERROR(_xlfn.XLOOKUP(1,  (MAX(IF(I184 = 'Processed Non-zero TRI Data'!$I$2:$I$6,'Processed Non-zero TRI Data'!$A$2:$A$6)) = 'Processed Non-zero TRI Data'!$A$2:$A$6)*('Processed Non-zero TRI Data'!$I$2:$I$6 = I184), 'Processed Non-zero TRI Data'!$V$2:$V$6), "N/A- Facility Does Not Report to TRI")</f>
        <v>N/A- Facility Does Not Report to TRI</v>
      </c>
      <c r="AE184" s="9" t="str">
        <f t="shared" si="69"/>
        <v>N/A - Facility Does Not Report to TRI</v>
      </c>
      <c r="AF184" s="9" t="str" cm="1">
        <f t="array" ref="AF184">IF(COUNTIF('Processed Non-zero TRI Data'!$I:$I,$I184)&gt;0,MEDIAN(IF('Processed Non-zero TRI Data'!$I:$I=I184,'Processed Non-zero TRI Data'!$V:$V)), "N/A - Facility Does Not Report to TRI")</f>
        <v>N/A - Facility Does Not Report to TRI</v>
      </c>
      <c r="AG184" s="9" t="str">
        <f t="shared" si="70"/>
        <v>N/A - Facility Does Not Report to TRI</v>
      </c>
      <c r="AH184" s="9" t="str">
        <f>IF(COUNTIF('Processed Non-zero TRI Data'!$I:$I,$I184)&gt;0,_xlfn.MAXIFS('Processed Non-zero TRI Data'!$V:$V,'Processed Non-zero TRI Data'!$I:$I,$I184), "N/A - Facility Does Not Report to TRI")</f>
        <v>N/A - Facility Does Not Report to TRI</v>
      </c>
      <c r="AI184" s="9" t="str">
        <f t="shared" si="71"/>
        <v>N/A - Facility Does Not Report to TRI</v>
      </c>
      <c r="AJ184" s="158" t="str" cm="1">
        <f t="array" ref="AJ184">IF(B184="TRI Form A",AC184,IF(AH184=0,"Facility has no transfers to POTWs between 2019-2023.",IF(COUNTIF('Processed Non-zero TRI Data'!$I:$I,$I184)&gt;0,INDEX('Processed Non-zero TRI Data'!$A:$A,MATCH(1,($I184='Processed Non-zero TRI Data'!$I:$I)*(AH184='Processed Non-zero TRI Data'!$V:$V),0)),"N/A - Facility Does Not Report to TRI")))</f>
        <v>N/A - Facility Does Not Report to TRI</v>
      </c>
      <c r="AK184" s="97" t="str" cm="1">
        <f t="array" ref="AK184">IFERROR(_xlfn.XLOOKUP(1,  (MAX(IF(I184 = 'Processed Non-zero TRI Data'!$I$2:$I$6,'Processed Non-zero TRI Data'!$A$2:$A$6)) = 'Processed Non-zero TRI Data'!$A$2:$A$6)*('Processed Non-zero TRI Data'!$I$2:$I$6 = I184), 'Processed Non-zero TRI Data'!$X$2:$X$6), "N/A- Facility Does Not Report to TRI")</f>
        <v>N/A- Facility Does Not Report to TRI</v>
      </c>
      <c r="AL184" s="9" t="str">
        <f t="shared" si="72"/>
        <v>N/A - Facility Does Not Report to TRI</v>
      </c>
      <c r="AM184" s="9" t="str" cm="1">
        <f t="array" ref="AM184">IF(COUNTIF('Processed Non-zero TRI Data'!$I:$I,$I184)&gt;0,MEDIAN(IF('Processed Non-zero TRI Data'!$I:$I=I184,'Processed Non-zero TRI Data'!$X:$X)), "N/A - Facility Does Not Report to TRI")</f>
        <v>N/A - Facility Does Not Report to TRI</v>
      </c>
      <c r="AN184" s="9" t="str">
        <f t="shared" si="73"/>
        <v>N/A - Facility Does Not Report to TRI</v>
      </c>
      <c r="AO184" s="9" t="str">
        <f>IF(COUNTIF('Processed Non-zero TRI Data'!$I:$I,$I184)&gt;0,_xlfn.MAXIFS('Processed Non-zero TRI Data'!$X:$X,'Processed Non-zero TRI Data'!$I:$I,$I184), "N/A - Facility Does Not Report to TRI")</f>
        <v>N/A - Facility Does Not Report to TRI</v>
      </c>
      <c r="AP184" s="9" t="str">
        <f t="shared" si="74"/>
        <v>N/A - Facility Does Not Report to TRI</v>
      </c>
      <c r="AQ184" s="251" t="str" cm="1">
        <f t="array" ref="AQ184">IF(B184="TRI Form A",AC184,IF(AO184=0,"Facility has no transfers to non-POTWs between 2019-2023.",IF(COUNTIF('Processed Non-zero TRI Data'!$I:$I,$I184)&gt;0,INDEX('Processed Non-zero TRI Data'!$A:$A,MATCH(1,($I184='Processed Non-zero TRI Data'!$I:$I)*(AO184='Processed Non-zero TRI Data'!$X:$X),0)),"N/A - Facility Does Not Report to TRI")))</f>
        <v>N/A - Facility Does Not Report to TRI</v>
      </c>
      <c r="AR184" s="260">
        <f t="shared" si="61"/>
        <v>0</v>
      </c>
      <c r="AS184" s="260">
        <f t="shared" si="62"/>
        <v>7.1705462400000003E-2</v>
      </c>
    </row>
    <row r="185" spans="1:45" ht="30" x14ac:dyDescent="0.25">
      <c r="A185" s="12">
        <v>182</v>
      </c>
      <c r="B185" s="10" t="str">
        <f>IFERROR("TRI Form "&amp; VLOOKUP(I185, 'Processed Non-zero TRI Data'!$I$2:$K$6, 3, FALSE), "DMR")</f>
        <v>DMR</v>
      </c>
      <c r="C185" s="181" t="e">
        <f>VLOOKUP(D185,#REF!, 2, FALSE)</f>
        <v>#REF!</v>
      </c>
      <c r="D185" s="181" t="str">
        <f>IF(I185&lt;&gt;"",INDEX('Processed Non-zero TRI Data'!$O:$O,MATCH(I185,'Processed Non-zero TRI Data'!$I:$I,0)),INDEX('Processed Non-zero DMR Data'!$S:$S,MATCH(J185,'Processed Non-zero DMR Data'!$I:$I,0)))</f>
        <v>Waste Handling, Disposal and Treatment (POTW)</v>
      </c>
      <c r="E185" s="181" t="str">
        <f>IF(I185&lt;&gt;"",INDEX('Processed Non-zero TRI Data'!$P:$P,MATCH(I185,'Processed Non-zero TRI Data'!$I:$I,0)),INDEX('Processed Non-zero DMR Data'!$T:$T,MATCH(J185,'Processed Non-zero DMR Data'!$I:$I,0)))</f>
        <v>POTW indicator in DMR</v>
      </c>
      <c r="F185" s="9" t="str">
        <f>_xlfn.XLOOKUP(J185, 'Processed Non-zero DMR Data'!I:I, 'Processed Non-zero DMR Data'!B:B)</f>
        <v>CITY OF ANGELS WWTP</v>
      </c>
      <c r="G185" s="9" t="str">
        <f>_xlfn.XLOOKUP(J185, 'Processed Non-zero DMR Data'!I:I, 'Processed Non-zero DMR Data'!C:C)</f>
        <v>ANGELS CAMP</v>
      </c>
      <c r="H185" s="9" t="str">
        <f>_xlfn.XLOOKUP(J185, 'Processed Non-zero DMR Data'!I:I, 'Processed Non-zero DMR Data'!E:E)</f>
        <v>CA</v>
      </c>
      <c r="I185" s="12"/>
      <c r="J185" s="13">
        <v>110030437524</v>
      </c>
      <c r="K185" s="9" t="str">
        <f>IFERROR(INDEX('Raw Non-zero DMR Data'!$C:$C, MATCH(J185,'Raw Non-zero DMR Data'!$D:$D,0)),"")</f>
        <v>CA0085201</v>
      </c>
      <c r="L185" s="9" t="str">
        <f>IFERROR(INDEX('Raw Non-zero DMR Data'!$U:$U, MATCH($J185,'Raw Non-zero DMR Data'!$D:$D,0)),"")</f>
        <v>Angels Creek</v>
      </c>
      <c r="M185" s="155">
        <f>IFERROR(INDEX('Raw Non-zero DMR Data'!$T:$T, MATCH($J185,'Raw Non-zero DMR Data'!$D:$D,0)),"")</f>
        <v>180400100604</v>
      </c>
      <c r="N185" s="155" t="str">
        <f>IFERROR(INDEX('Off-site Locations'!$E:$E,MATCH(I185,'Off-site Locations'!$B:$B,0)),"No offsite transfers")</f>
        <v>No offsite transfers</v>
      </c>
      <c r="O185" s="165">
        <f>INDEX('TRI and DMR OES Summary'!D:D,MATCH('Facility Discharge Summary'!D185,'TRI and DMR OES Summary'!A:A,0))</f>
        <v>365</v>
      </c>
      <c r="P185" s="17" cm="1">
        <f t="array" ref="P185">IFERROR(_xlfn.XLOOKUP(1,  (MAX(IF(J185 = 'Processed Non-zero DMR Data'!$I$2:$I$651,'Processed Non-zero DMR Data'!$A$2:$A$651)) = 'Processed Non-zero DMR Data'!$A$2:$A$651)*('Processed Non-zero DMR Data'!$I$2:$I$651 = J185),'Processed Non-zero DMR Data'!$W$2:$W$651), "N/A- Facility Does Not Report DMRs")</f>
        <v>3.3018447499999999E-2</v>
      </c>
      <c r="Q185" s="10">
        <f t="shared" si="63"/>
        <v>9.0461499999999994E-5</v>
      </c>
      <c r="R185" s="10" cm="1">
        <f t="array" ref="R185">IF(COUNTIF('Processed Non-zero DMR Data'!$I:$I,$J185)&gt;0,MEDIAN(IF('Processed Non-zero DMR Data'!$I:$I=J185,'Processed Non-zero DMR Data'!$W:$W)),"N/A - Facility Does Not Report DMRs")</f>
        <v>3.3018447499999999E-2</v>
      </c>
      <c r="S185" s="10">
        <f t="shared" si="64"/>
        <v>9.0461499999999994E-5</v>
      </c>
      <c r="T185" s="10">
        <f>IF(COUNTIF('Processed Non-zero DMR Data'!$I:$I,$J185)&gt;0,_xlfn.MAXIFS('Processed Non-zero DMR Data'!$W:$W,'Processed Non-zero DMR Data'!$I:$I,$J185), "N/A - Facility Does Not Report DMRs")</f>
        <v>3.3018447499999999E-2</v>
      </c>
      <c r="U185" s="10">
        <f t="shared" si="65"/>
        <v>9.0461499999999994E-5</v>
      </c>
      <c r="V185" s="158" cm="1">
        <f t="array" ref="V185">IF(COUNTIF('Processed Non-zero DMR Data'!$I:$I,$J185)&gt;0,INDEX('Processed Non-zero DMR Data'!$A:$A,MATCH(1,($J185='Processed Non-zero DMR Data'!$I:$I)*($T185='Processed Non-zero DMR Data'!$W:$W),0)), "N/A - Facility Does Not Report DMRs")</f>
        <v>2021</v>
      </c>
      <c r="W185" s="17" t="str" cm="1">
        <f t="array" ref="W185">IFERROR(_xlfn.XLOOKUP(1,  (MAX(IF(I185 = 'Processed Non-zero TRI Data'!$I$2:$I$6,'Processed Non-zero TRI Data'!$A$2:$A$6)) = 'Processed Non-zero TRI Data'!$A$2:$A$6)*('Processed Non-zero TRI Data'!$I$2:$I$6 = I185), 'Processed Non-zero TRI Data'!$T$2:$T$6), "N/A- Facility Does Not Report to TRI")</f>
        <v>N/A- Facility Does Not Report to TRI</v>
      </c>
      <c r="X185" s="10" t="str">
        <f t="shared" si="66"/>
        <v>N/A - Facility Does Not Report to TRI</v>
      </c>
      <c r="Y185" s="10" t="str" cm="1">
        <f t="array" ref="Y185">IF(COUNTIF('Processed Non-zero TRI Data'!$I:$I,$I185)&gt;0,MEDIAN(IF('Processed Non-zero TRI Data'!$I:$I=I185,'Processed Non-zero TRI Data'!$T:$T)), "N/A - Facility Does Not Report to TRI")</f>
        <v>N/A - Facility Does Not Report to TRI</v>
      </c>
      <c r="Z185" s="10" t="str">
        <f t="shared" si="67"/>
        <v>N/A - Facility Does Not Report to TRI</v>
      </c>
      <c r="AA185" s="10" t="str">
        <f>IF(COUNTIF('Processed Non-zero TRI Data'!$I:$I,$I185)&gt;0,_xlfn.MAXIFS('Processed Non-zero TRI Data'!$T:$T,'Processed Non-zero TRI Data'!$I:$I,$I185), "N/A - Facility Does Not Report to TRI")</f>
        <v>N/A - Facility Does Not Report to TRI</v>
      </c>
      <c r="AB185" s="10" t="str">
        <f t="shared" si="68"/>
        <v>N/A - Facility Does Not Report to TRI</v>
      </c>
      <c r="AC185" s="158" t="str" cm="1">
        <f t="array" ref="AC185">IFERROR(IF(B185 = "TRI Form R", IF(AA185 = 0, "Facility has no on-site water discharges between 2017-2022.",  IF(COUNTIF('Processed Non-zero TRI Data'!$I:$I,$I185)&gt;0,INDEX('Processed Non-zero TRI Data'!$A:$A,MATCH(1,($I185='Processed Non-zero TRI Data'!$I:$I)*(AA185='Processed Non-zero TRI Data'!$T:$T),0)))), VLOOKUP(I185,#REF!, 2, FALSE)), ("N/A - Facility Does Not Report to TRI"))</f>
        <v>N/A - Facility Does Not Report to TRI</v>
      </c>
      <c r="AD185" s="97" t="str" cm="1">
        <f t="array" ref="AD185">IFERROR(_xlfn.XLOOKUP(1,  (MAX(IF(I185 = 'Processed Non-zero TRI Data'!$I$2:$I$6,'Processed Non-zero TRI Data'!$A$2:$A$6)) = 'Processed Non-zero TRI Data'!$A$2:$A$6)*('Processed Non-zero TRI Data'!$I$2:$I$6 = I185), 'Processed Non-zero TRI Data'!$V$2:$V$6), "N/A- Facility Does Not Report to TRI")</f>
        <v>N/A- Facility Does Not Report to TRI</v>
      </c>
      <c r="AE185" s="9" t="str">
        <f t="shared" si="69"/>
        <v>N/A - Facility Does Not Report to TRI</v>
      </c>
      <c r="AF185" s="9" t="str" cm="1">
        <f t="array" ref="AF185">IF(COUNTIF('Processed Non-zero TRI Data'!$I:$I,$I185)&gt;0,MEDIAN(IF('Processed Non-zero TRI Data'!$I:$I=I185,'Processed Non-zero TRI Data'!$V:$V)), "N/A - Facility Does Not Report to TRI")</f>
        <v>N/A - Facility Does Not Report to TRI</v>
      </c>
      <c r="AG185" s="9" t="str">
        <f t="shared" si="70"/>
        <v>N/A - Facility Does Not Report to TRI</v>
      </c>
      <c r="AH185" s="9" t="str">
        <f>IF(COUNTIF('Processed Non-zero TRI Data'!$I:$I,$I185)&gt;0,_xlfn.MAXIFS('Processed Non-zero TRI Data'!$V:$V,'Processed Non-zero TRI Data'!$I:$I,$I185), "N/A - Facility Does Not Report to TRI")</f>
        <v>N/A - Facility Does Not Report to TRI</v>
      </c>
      <c r="AI185" s="9" t="str">
        <f t="shared" si="71"/>
        <v>N/A - Facility Does Not Report to TRI</v>
      </c>
      <c r="AJ185" s="158" t="str" cm="1">
        <f t="array" ref="AJ185">IF(B185="TRI Form A",AC185,IF(AH185=0,"Facility has no transfers to POTWs between 2019-2023.",IF(COUNTIF('Processed Non-zero TRI Data'!$I:$I,$I185)&gt;0,INDEX('Processed Non-zero TRI Data'!$A:$A,MATCH(1,($I185='Processed Non-zero TRI Data'!$I:$I)*(AH185='Processed Non-zero TRI Data'!$V:$V),0)),"N/A - Facility Does Not Report to TRI")))</f>
        <v>N/A - Facility Does Not Report to TRI</v>
      </c>
      <c r="AK185" s="97" t="str" cm="1">
        <f t="array" ref="AK185">IFERROR(_xlfn.XLOOKUP(1,  (MAX(IF(I185 = 'Processed Non-zero TRI Data'!$I$2:$I$6,'Processed Non-zero TRI Data'!$A$2:$A$6)) = 'Processed Non-zero TRI Data'!$A$2:$A$6)*('Processed Non-zero TRI Data'!$I$2:$I$6 = I185), 'Processed Non-zero TRI Data'!$X$2:$X$6), "N/A- Facility Does Not Report to TRI")</f>
        <v>N/A- Facility Does Not Report to TRI</v>
      </c>
      <c r="AL185" s="9" t="str">
        <f t="shared" si="72"/>
        <v>N/A - Facility Does Not Report to TRI</v>
      </c>
      <c r="AM185" s="9" t="str" cm="1">
        <f t="array" ref="AM185">IF(COUNTIF('Processed Non-zero TRI Data'!$I:$I,$I185)&gt;0,MEDIAN(IF('Processed Non-zero TRI Data'!$I:$I=I185,'Processed Non-zero TRI Data'!$X:$X)), "N/A - Facility Does Not Report to TRI")</f>
        <v>N/A - Facility Does Not Report to TRI</v>
      </c>
      <c r="AN185" s="9" t="str">
        <f t="shared" si="73"/>
        <v>N/A - Facility Does Not Report to TRI</v>
      </c>
      <c r="AO185" s="9" t="str">
        <f>IF(COUNTIF('Processed Non-zero TRI Data'!$I:$I,$I185)&gt;0,_xlfn.MAXIFS('Processed Non-zero TRI Data'!$X:$X,'Processed Non-zero TRI Data'!$I:$I,$I185), "N/A - Facility Does Not Report to TRI")</f>
        <v>N/A - Facility Does Not Report to TRI</v>
      </c>
      <c r="AP185" s="9" t="str">
        <f t="shared" si="74"/>
        <v>N/A - Facility Does Not Report to TRI</v>
      </c>
      <c r="AQ185" s="251" t="str" cm="1">
        <f t="array" ref="AQ185">IF(B185="TRI Form A",AC185,IF(AO185=0,"Facility has no transfers to non-POTWs between 2019-2023.",IF(COUNTIF('Processed Non-zero TRI Data'!$I:$I,$I185)&gt;0,INDEX('Processed Non-zero TRI Data'!$A:$A,MATCH(1,($I185='Processed Non-zero TRI Data'!$I:$I)*(AO185='Processed Non-zero TRI Data'!$X:$X),0)),"N/A - Facility Does Not Report to TRI")))</f>
        <v>N/A - Facility Does Not Report to TRI</v>
      </c>
      <c r="AR185" s="260">
        <f t="shared" si="61"/>
        <v>0</v>
      </c>
      <c r="AS185" s="260">
        <f t="shared" si="62"/>
        <v>3.3018447499999999E-2</v>
      </c>
    </row>
    <row r="186" spans="1:45" ht="30" x14ac:dyDescent="0.25">
      <c r="A186" s="12">
        <v>183</v>
      </c>
      <c r="B186" s="10" t="str">
        <f>IFERROR("TRI Form "&amp; VLOOKUP(I186, 'Processed Non-zero TRI Data'!$I$2:$K$6, 3, FALSE), "DMR")</f>
        <v>DMR</v>
      </c>
      <c r="C186" s="181" t="e">
        <f>VLOOKUP(D186,#REF!, 2, FALSE)</f>
        <v>#REF!</v>
      </c>
      <c r="D186" s="181" t="str">
        <f>IF(I186&lt;&gt;"",INDEX('Processed Non-zero TRI Data'!$O:$O,MATCH(I186,'Processed Non-zero TRI Data'!$I:$I,0)),INDEX('Processed Non-zero DMR Data'!$S:$S,MATCH(J186,'Processed Non-zero DMR Data'!$I:$I,0)))</f>
        <v>Waste Handling, Disposal and Treatment (POTW)</v>
      </c>
      <c r="E186" s="181" t="str">
        <f>IF(I186&lt;&gt;"",INDEX('Processed Non-zero TRI Data'!$P:$P,MATCH(I186,'Processed Non-zero TRI Data'!$I:$I,0)),INDEX('Processed Non-zero DMR Data'!$T:$T,MATCH(J186,'Processed Non-zero DMR Data'!$I:$I,0)))</f>
        <v>POTW indicator in DMR</v>
      </c>
      <c r="F186" s="9" t="str">
        <f>_xlfn.XLOOKUP(J186, 'Processed Non-zero DMR Data'!I:I, 'Processed Non-zero DMR Data'!B:B)</f>
        <v>CALIPATRIA WWTP</v>
      </c>
      <c r="G186" s="9" t="str">
        <f>_xlfn.XLOOKUP(J186, 'Processed Non-zero DMR Data'!I:I, 'Processed Non-zero DMR Data'!C:C)</f>
        <v>CALIPATRIA</v>
      </c>
      <c r="H186" s="9" t="str">
        <f>_xlfn.XLOOKUP(J186, 'Processed Non-zero DMR Data'!I:I, 'Processed Non-zero DMR Data'!E:E)</f>
        <v>CA</v>
      </c>
      <c r="I186" s="12"/>
      <c r="J186" s="13">
        <v>110002043217</v>
      </c>
      <c r="K186" s="9" t="str">
        <f>IFERROR(INDEX('Raw Non-zero DMR Data'!$C:$C, MATCH(J186,'Raw Non-zero DMR Data'!$D:$D,0)),"")</f>
        <v>CA0105015</v>
      </c>
      <c r="L186" s="9" t="str">
        <f>IFERROR(INDEX('Raw Non-zero DMR Data'!$U:$U, MATCH($J186,'Raw Non-zero DMR Data'!$D:$D,0)),"")</f>
        <v>Town of Calipatria-Alamo River</v>
      </c>
      <c r="M186" s="155">
        <f>IFERROR(INDEX('Raw Non-zero DMR Data'!$T:$T, MATCH($J186,'Raw Non-zero DMR Data'!$D:$D,0)),"")</f>
        <v>181002040707</v>
      </c>
      <c r="N186" s="155" t="str">
        <f>IFERROR(INDEX('Off-site Locations'!$E:$E,MATCH(I186,'Off-site Locations'!$B:$B,0)),"No offsite transfers")</f>
        <v>No offsite transfers</v>
      </c>
      <c r="O186" s="165">
        <f>INDEX('TRI and DMR OES Summary'!D:D,MATCH('Facility Discharge Summary'!D186,'TRI and DMR OES Summary'!A:A,0))</f>
        <v>365</v>
      </c>
      <c r="P186" s="17" cm="1">
        <f t="array" ref="P186">IFERROR(_xlfn.XLOOKUP(1,  (MAX(IF(J186 = 'Processed Non-zero DMR Data'!$I$2:$I$651,'Processed Non-zero DMR Data'!$A$2:$A$651)) = 'Processed Non-zero DMR Data'!$A$2:$A$651)*('Processed Non-zero DMR Data'!$I$2:$I$651 = J186),'Processed Non-zero DMR Data'!$W$2:$W$651), "N/A- Facility Does Not Report DMRs")</f>
        <v>3.813009E-3</v>
      </c>
      <c r="Q186" s="10">
        <f t="shared" si="63"/>
        <v>1.0446599999999999E-5</v>
      </c>
      <c r="R186" s="10" cm="1">
        <f t="array" ref="R186">IF(COUNTIF('Processed Non-zero DMR Data'!$I:$I,$J186)&gt;0,MEDIAN(IF('Processed Non-zero DMR Data'!$I:$I=J186,'Processed Non-zero DMR Data'!$W:$W)),"N/A - Facility Does Not Report DMRs")</f>
        <v>3.813009E-3</v>
      </c>
      <c r="S186" s="10">
        <f t="shared" si="64"/>
        <v>1.0446599999999999E-5</v>
      </c>
      <c r="T186" s="10">
        <f>IF(COUNTIF('Processed Non-zero DMR Data'!$I:$I,$J186)&gt;0,_xlfn.MAXIFS('Processed Non-zero DMR Data'!$W:$W,'Processed Non-zero DMR Data'!$I:$I,$J186), "N/A - Facility Does Not Report DMRs")</f>
        <v>3.8959005000000001E-3</v>
      </c>
      <c r="U186" s="10">
        <f t="shared" si="65"/>
        <v>1.0673700000000001E-5</v>
      </c>
      <c r="V186" s="158" cm="1">
        <f t="array" ref="V186">IF(COUNTIF('Processed Non-zero DMR Data'!$I:$I,$J186)&gt;0,INDEX('Processed Non-zero DMR Data'!$A:$A,MATCH(1,($J186='Processed Non-zero DMR Data'!$I:$I)*($T186='Processed Non-zero DMR Data'!$W:$W),0)), "N/A - Facility Does Not Report DMRs")</f>
        <v>2021</v>
      </c>
      <c r="W186" s="17" t="str" cm="1">
        <f t="array" ref="W186">IFERROR(_xlfn.XLOOKUP(1,  (MAX(IF(I186 = 'Processed Non-zero TRI Data'!$I$2:$I$6,'Processed Non-zero TRI Data'!$A$2:$A$6)) = 'Processed Non-zero TRI Data'!$A$2:$A$6)*('Processed Non-zero TRI Data'!$I$2:$I$6 = I186), 'Processed Non-zero TRI Data'!$T$2:$T$6), "N/A- Facility Does Not Report to TRI")</f>
        <v>N/A- Facility Does Not Report to TRI</v>
      </c>
      <c r="X186" s="10" t="str">
        <f t="shared" si="66"/>
        <v>N/A - Facility Does Not Report to TRI</v>
      </c>
      <c r="Y186" s="10" t="str" cm="1">
        <f t="array" ref="Y186">IF(COUNTIF('Processed Non-zero TRI Data'!$I:$I,$I186)&gt;0,MEDIAN(IF('Processed Non-zero TRI Data'!$I:$I=I186,'Processed Non-zero TRI Data'!$T:$T)), "N/A - Facility Does Not Report to TRI")</f>
        <v>N/A - Facility Does Not Report to TRI</v>
      </c>
      <c r="Z186" s="10" t="str">
        <f t="shared" si="67"/>
        <v>N/A - Facility Does Not Report to TRI</v>
      </c>
      <c r="AA186" s="10" t="str">
        <f>IF(COUNTIF('Processed Non-zero TRI Data'!$I:$I,$I186)&gt;0,_xlfn.MAXIFS('Processed Non-zero TRI Data'!$T:$T,'Processed Non-zero TRI Data'!$I:$I,$I186), "N/A - Facility Does Not Report to TRI")</f>
        <v>N/A - Facility Does Not Report to TRI</v>
      </c>
      <c r="AB186" s="10" t="str">
        <f t="shared" si="68"/>
        <v>N/A - Facility Does Not Report to TRI</v>
      </c>
      <c r="AC186" s="158" t="str" cm="1">
        <f t="array" ref="AC186">IFERROR(IF(B186 = "TRI Form R", IF(AA186 = 0, "Facility has no on-site water discharges between 2017-2022.",  IF(COUNTIF('Processed Non-zero TRI Data'!$I:$I,$I186)&gt;0,INDEX('Processed Non-zero TRI Data'!$A:$A,MATCH(1,($I186='Processed Non-zero TRI Data'!$I:$I)*(AA186='Processed Non-zero TRI Data'!$T:$T),0)))), VLOOKUP(I186,#REF!, 2, FALSE)), ("N/A - Facility Does Not Report to TRI"))</f>
        <v>N/A - Facility Does Not Report to TRI</v>
      </c>
      <c r="AD186" s="97" t="str" cm="1">
        <f t="array" ref="AD186">IFERROR(_xlfn.XLOOKUP(1,  (MAX(IF(I186 = 'Processed Non-zero TRI Data'!$I$2:$I$6,'Processed Non-zero TRI Data'!$A$2:$A$6)) = 'Processed Non-zero TRI Data'!$A$2:$A$6)*('Processed Non-zero TRI Data'!$I$2:$I$6 = I186), 'Processed Non-zero TRI Data'!$V$2:$V$6), "N/A- Facility Does Not Report to TRI")</f>
        <v>N/A- Facility Does Not Report to TRI</v>
      </c>
      <c r="AE186" s="9" t="str">
        <f t="shared" si="69"/>
        <v>N/A - Facility Does Not Report to TRI</v>
      </c>
      <c r="AF186" s="9" t="str" cm="1">
        <f t="array" ref="AF186">IF(COUNTIF('Processed Non-zero TRI Data'!$I:$I,$I186)&gt;0,MEDIAN(IF('Processed Non-zero TRI Data'!$I:$I=I186,'Processed Non-zero TRI Data'!$V:$V)), "N/A - Facility Does Not Report to TRI")</f>
        <v>N/A - Facility Does Not Report to TRI</v>
      </c>
      <c r="AG186" s="9" t="str">
        <f t="shared" si="70"/>
        <v>N/A - Facility Does Not Report to TRI</v>
      </c>
      <c r="AH186" s="9" t="str">
        <f>IF(COUNTIF('Processed Non-zero TRI Data'!$I:$I,$I186)&gt;0,_xlfn.MAXIFS('Processed Non-zero TRI Data'!$V:$V,'Processed Non-zero TRI Data'!$I:$I,$I186), "N/A - Facility Does Not Report to TRI")</f>
        <v>N/A - Facility Does Not Report to TRI</v>
      </c>
      <c r="AI186" s="9" t="str">
        <f t="shared" si="71"/>
        <v>N/A - Facility Does Not Report to TRI</v>
      </c>
      <c r="AJ186" s="158" t="str" cm="1">
        <f t="array" ref="AJ186">IF(B186="TRI Form A",AC186,IF(AH186=0,"Facility has no transfers to POTWs between 2019-2023.",IF(COUNTIF('Processed Non-zero TRI Data'!$I:$I,$I186)&gt;0,INDEX('Processed Non-zero TRI Data'!$A:$A,MATCH(1,($I186='Processed Non-zero TRI Data'!$I:$I)*(AH186='Processed Non-zero TRI Data'!$V:$V),0)),"N/A - Facility Does Not Report to TRI")))</f>
        <v>N/A - Facility Does Not Report to TRI</v>
      </c>
      <c r="AK186" s="97" t="str" cm="1">
        <f t="array" ref="AK186">IFERROR(_xlfn.XLOOKUP(1,  (MAX(IF(I186 = 'Processed Non-zero TRI Data'!$I$2:$I$6,'Processed Non-zero TRI Data'!$A$2:$A$6)) = 'Processed Non-zero TRI Data'!$A$2:$A$6)*('Processed Non-zero TRI Data'!$I$2:$I$6 = I186), 'Processed Non-zero TRI Data'!$X$2:$X$6), "N/A- Facility Does Not Report to TRI")</f>
        <v>N/A- Facility Does Not Report to TRI</v>
      </c>
      <c r="AL186" s="9" t="str">
        <f t="shared" si="72"/>
        <v>N/A - Facility Does Not Report to TRI</v>
      </c>
      <c r="AM186" s="9" t="str" cm="1">
        <f t="array" ref="AM186">IF(COUNTIF('Processed Non-zero TRI Data'!$I:$I,$I186)&gt;0,MEDIAN(IF('Processed Non-zero TRI Data'!$I:$I=I186,'Processed Non-zero TRI Data'!$X:$X)), "N/A - Facility Does Not Report to TRI")</f>
        <v>N/A - Facility Does Not Report to TRI</v>
      </c>
      <c r="AN186" s="9" t="str">
        <f t="shared" si="73"/>
        <v>N/A - Facility Does Not Report to TRI</v>
      </c>
      <c r="AO186" s="9" t="str">
        <f>IF(COUNTIF('Processed Non-zero TRI Data'!$I:$I,$I186)&gt;0,_xlfn.MAXIFS('Processed Non-zero TRI Data'!$X:$X,'Processed Non-zero TRI Data'!$I:$I,$I186), "N/A - Facility Does Not Report to TRI")</f>
        <v>N/A - Facility Does Not Report to TRI</v>
      </c>
      <c r="AP186" s="9" t="str">
        <f t="shared" si="74"/>
        <v>N/A - Facility Does Not Report to TRI</v>
      </c>
      <c r="AQ186" s="251" t="str" cm="1">
        <f t="array" ref="AQ186">IF(B186="TRI Form A",AC186,IF(AO186=0,"Facility has no transfers to non-POTWs between 2019-2023.",IF(COUNTIF('Processed Non-zero TRI Data'!$I:$I,$I186)&gt;0,INDEX('Processed Non-zero TRI Data'!$A:$A,MATCH(1,($I186='Processed Non-zero TRI Data'!$I:$I)*(AO186='Processed Non-zero TRI Data'!$X:$X),0)),"N/A - Facility Does Not Report to TRI")))</f>
        <v>N/A - Facility Does Not Report to TRI</v>
      </c>
      <c r="AR186" s="260">
        <f t="shared" si="61"/>
        <v>0</v>
      </c>
      <c r="AS186" s="260">
        <f t="shared" si="62"/>
        <v>3.8959005000000001E-3</v>
      </c>
    </row>
    <row r="187" spans="1:45" ht="30" x14ac:dyDescent="0.25">
      <c r="A187" s="12">
        <v>184</v>
      </c>
      <c r="B187" s="10" t="str">
        <f>IFERROR("TRI Form "&amp; VLOOKUP(I187, 'Processed Non-zero TRI Data'!$I$2:$K$6, 3, FALSE), "DMR")</f>
        <v>DMR</v>
      </c>
      <c r="C187" s="181" t="e">
        <f>VLOOKUP(D187,#REF!, 2, FALSE)</f>
        <v>#REF!</v>
      </c>
      <c r="D187" s="181" t="str">
        <f>IF(I187&lt;&gt;"",INDEX('Processed Non-zero TRI Data'!$O:$O,MATCH(I187,'Processed Non-zero TRI Data'!$I:$I,0)),INDEX('Processed Non-zero DMR Data'!$S:$S,MATCH(J187,'Processed Non-zero DMR Data'!$I:$I,0)))</f>
        <v>Waste Handling, Disposal and Treatment (POTW)</v>
      </c>
      <c r="E187" s="181" t="str">
        <f>IF(I187&lt;&gt;"",INDEX('Processed Non-zero TRI Data'!$P:$P,MATCH(I187,'Processed Non-zero TRI Data'!$I:$I,0)),INDEX('Processed Non-zero DMR Data'!$T:$T,MATCH(J187,'Processed Non-zero DMR Data'!$I:$I,0)))</f>
        <v>POTW indicator in DMR</v>
      </c>
      <c r="F187" s="9" t="str">
        <f>_xlfn.XLOOKUP(J187, 'Processed Non-zero DMR Data'!I:I, 'Processed Non-zero DMR Data'!B:B)</f>
        <v>FALLON WASTEWATER TREATMENT PLANT</v>
      </c>
      <c r="G187" s="9" t="str">
        <f>_xlfn.XLOOKUP(J187, 'Processed Non-zero DMR Data'!I:I, 'Processed Non-zero DMR Data'!C:C)</f>
        <v>FALLON</v>
      </c>
      <c r="H187" s="9" t="str">
        <f>_xlfn.XLOOKUP(J187, 'Processed Non-zero DMR Data'!I:I, 'Processed Non-zero DMR Data'!E:E)</f>
        <v>NV</v>
      </c>
      <c r="I187" s="12"/>
      <c r="J187" s="13">
        <v>110000734616</v>
      </c>
      <c r="K187" s="9" t="str">
        <f>IFERROR(INDEX('Raw Non-zero DMR Data'!$C:$C, MATCH(J187,'Raw Non-zero DMR Data'!$D:$D,0)),"")</f>
        <v>NV0020061</v>
      </c>
      <c r="L187" s="9" t="str">
        <f>IFERROR(INDEX('Raw Non-zero DMR Data'!$U:$U, MATCH($J187,'Raw Non-zero DMR Data'!$D:$D,0)),"")</f>
        <v>South Branch-Carson River</v>
      </c>
      <c r="M187" s="155">
        <f>IFERROR(INDEX('Raw Non-zero DMR Data'!$T:$T, MATCH($J187,'Raw Non-zero DMR Data'!$D:$D,0)),"")</f>
        <v>160502030306</v>
      </c>
      <c r="N187" s="155" t="str">
        <f>IFERROR(INDEX('Off-site Locations'!$E:$E,MATCH(I187,'Off-site Locations'!$B:$B,0)),"No offsite transfers")</f>
        <v>No offsite transfers</v>
      </c>
      <c r="O187" s="165">
        <f>INDEX('TRI and DMR OES Summary'!D:D,MATCH('Facility Discharge Summary'!D187,'TRI and DMR OES Summary'!A:A,0))</f>
        <v>365</v>
      </c>
      <c r="P187" s="17" cm="1">
        <f t="array" ref="P187">IFERROR(_xlfn.XLOOKUP(1,  (MAX(IF(J187 = 'Processed Non-zero DMR Data'!$I$2:$I$651,'Processed Non-zero DMR Data'!$A$2:$A$651)) = 'Processed Non-zero DMR Data'!$A$2:$A$651)*('Processed Non-zero DMR Data'!$I$2:$I$651 = J187),'Processed Non-zero DMR Data'!$W$2:$W$651), "N/A- Facility Does Not Report DMRs")</f>
        <v>3.5919650000000001</v>
      </c>
      <c r="Q187" s="10">
        <f t="shared" si="63"/>
        <v>9.8410000000000008E-3</v>
      </c>
      <c r="R187" s="10" cm="1">
        <f t="array" ref="R187">IF(COUNTIF('Processed Non-zero DMR Data'!$I:$I,$J187)&gt;0,MEDIAN(IF('Processed Non-zero DMR Data'!$I:$I=J187,'Processed Non-zero DMR Data'!$W:$W)),"N/A - Facility Does Not Report DMRs")</f>
        <v>3.5919650000000001</v>
      </c>
      <c r="S187" s="10">
        <f t="shared" si="64"/>
        <v>9.8410000000000008E-3</v>
      </c>
      <c r="T187" s="10">
        <f>IF(COUNTIF('Processed Non-zero DMR Data'!$I:$I,$J187)&gt;0,_xlfn.MAXIFS('Processed Non-zero DMR Data'!$W:$W,'Processed Non-zero DMR Data'!$I:$I,$J187), "N/A - Facility Does Not Report DMRs")</f>
        <v>3.5919650000000001</v>
      </c>
      <c r="U187" s="10">
        <f t="shared" si="65"/>
        <v>9.8410000000000008E-3</v>
      </c>
      <c r="V187" s="158" cm="1">
        <f t="array" ref="V187">IF(COUNTIF('Processed Non-zero DMR Data'!$I:$I,$J187)&gt;0,INDEX('Processed Non-zero DMR Data'!$A:$A,MATCH(1,($J187='Processed Non-zero DMR Data'!$I:$I)*($T187='Processed Non-zero DMR Data'!$W:$W),0)), "N/A - Facility Does Not Report DMRs")</f>
        <v>2021</v>
      </c>
      <c r="W187" s="17" t="str" cm="1">
        <f t="array" ref="W187">IFERROR(_xlfn.XLOOKUP(1,  (MAX(IF(I187 = 'Processed Non-zero TRI Data'!$I$2:$I$6,'Processed Non-zero TRI Data'!$A$2:$A$6)) = 'Processed Non-zero TRI Data'!$A$2:$A$6)*('Processed Non-zero TRI Data'!$I$2:$I$6 = I187), 'Processed Non-zero TRI Data'!$T$2:$T$6), "N/A- Facility Does Not Report to TRI")</f>
        <v>N/A- Facility Does Not Report to TRI</v>
      </c>
      <c r="X187" s="10" t="str">
        <f t="shared" si="66"/>
        <v>N/A - Facility Does Not Report to TRI</v>
      </c>
      <c r="Y187" s="10" t="str" cm="1">
        <f t="array" ref="Y187">IF(COUNTIF('Processed Non-zero TRI Data'!$I:$I,$I187)&gt;0,MEDIAN(IF('Processed Non-zero TRI Data'!$I:$I=I187,'Processed Non-zero TRI Data'!$T:$T)), "N/A - Facility Does Not Report to TRI")</f>
        <v>N/A - Facility Does Not Report to TRI</v>
      </c>
      <c r="Z187" s="10" t="str">
        <f t="shared" si="67"/>
        <v>N/A - Facility Does Not Report to TRI</v>
      </c>
      <c r="AA187" s="10" t="str">
        <f>IF(COUNTIF('Processed Non-zero TRI Data'!$I:$I,$I187)&gt;0,_xlfn.MAXIFS('Processed Non-zero TRI Data'!$T:$T,'Processed Non-zero TRI Data'!$I:$I,$I187), "N/A - Facility Does Not Report to TRI")</f>
        <v>N/A - Facility Does Not Report to TRI</v>
      </c>
      <c r="AB187" s="10" t="str">
        <f t="shared" si="68"/>
        <v>N/A - Facility Does Not Report to TRI</v>
      </c>
      <c r="AC187" s="158" t="str" cm="1">
        <f t="array" ref="AC187">IFERROR(IF(B187 = "TRI Form R", IF(AA187 = 0, "Facility has no on-site water discharges between 2017-2022.",  IF(COUNTIF('Processed Non-zero TRI Data'!$I:$I,$I187)&gt;0,INDEX('Processed Non-zero TRI Data'!$A:$A,MATCH(1,($I187='Processed Non-zero TRI Data'!$I:$I)*(AA187='Processed Non-zero TRI Data'!$T:$T),0)))), VLOOKUP(I187,#REF!, 2, FALSE)), ("N/A - Facility Does Not Report to TRI"))</f>
        <v>N/A - Facility Does Not Report to TRI</v>
      </c>
      <c r="AD187" s="97" t="str" cm="1">
        <f t="array" ref="AD187">IFERROR(_xlfn.XLOOKUP(1,  (MAX(IF(I187 = 'Processed Non-zero TRI Data'!$I$2:$I$6,'Processed Non-zero TRI Data'!$A$2:$A$6)) = 'Processed Non-zero TRI Data'!$A$2:$A$6)*('Processed Non-zero TRI Data'!$I$2:$I$6 = I187), 'Processed Non-zero TRI Data'!$V$2:$V$6), "N/A- Facility Does Not Report to TRI")</f>
        <v>N/A- Facility Does Not Report to TRI</v>
      </c>
      <c r="AE187" s="9" t="str">
        <f t="shared" si="69"/>
        <v>N/A - Facility Does Not Report to TRI</v>
      </c>
      <c r="AF187" s="9" t="str" cm="1">
        <f t="array" ref="AF187">IF(COUNTIF('Processed Non-zero TRI Data'!$I:$I,$I187)&gt;0,MEDIAN(IF('Processed Non-zero TRI Data'!$I:$I=I187,'Processed Non-zero TRI Data'!$V:$V)), "N/A - Facility Does Not Report to TRI")</f>
        <v>N/A - Facility Does Not Report to TRI</v>
      </c>
      <c r="AG187" s="9" t="str">
        <f t="shared" si="70"/>
        <v>N/A - Facility Does Not Report to TRI</v>
      </c>
      <c r="AH187" s="9" t="str">
        <f>IF(COUNTIF('Processed Non-zero TRI Data'!$I:$I,$I187)&gt;0,_xlfn.MAXIFS('Processed Non-zero TRI Data'!$V:$V,'Processed Non-zero TRI Data'!$I:$I,$I187), "N/A - Facility Does Not Report to TRI")</f>
        <v>N/A - Facility Does Not Report to TRI</v>
      </c>
      <c r="AI187" s="9" t="str">
        <f t="shared" si="71"/>
        <v>N/A - Facility Does Not Report to TRI</v>
      </c>
      <c r="AJ187" s="158" t="str" cm="1">
        <f t="array" ref="AJ187">IF(B187="TRI Form A",AC187,IF(AH187=0,"Facility has no transfers to POTWs between 2019-2023.",IF(COUNTIF('Processed Non-zero TRI Data'!$I:$I,$I187)&gt;0,INDEX('Processed Non-zero TRI Data'!$A:$A,MATCH(1,($I187='Processed Non-zero TRI Data'!$I:$I)*(AH187='Processed Non-zero TRI Data'!$V:$V),0)),"N/A - Facility Does Not Report to TRI")))</f>
        <v>N/A - Facility Does Not Report to TRI</v>
      </c>
      <c r="AK187" s="97" t="str" cm="1">
        <f t="array" ref="AK187">IFERROR(_xlfn.XLOOKUP(1,  (MAX(IF(I187 = 'Processed Non-zero TRI Data'!$I$2:$I$6,'Processed Non-zero TRI Data'!$A$2:$A$6)) = 'Processed Non-zero TRI Data'!$A$2:$A$6)*('Processed Non-zero TRI Data'!$I$2:$I$6 = I187), 'Processed Non-zero TRI Data'!$X$2:$X$6), "N/A- Facility Does Not Report to TRI")</f>
        <v>N/A- Facility Does Not Report to TRI</v>
      </c>
      <c r="AL187" s="9" t="str">
        <f t="shared" si="72"/>
        <v>N/A - Facility Does Not Report to TRI</v>
      </c>
      <c r="AM187" s="9" t="str" cm="1">
        <f t="array" ref="AM187">IF(COUNTIF('Processed Non-zero TRI Data'!$I:$I,$I187)&gt;0,MEDIAN(IF('Processed Non-zero TRI Data'!$I:$I=I187,'Processed Non-zero TRI Data'!$X:$X)), "N/A - Facility Does Not Report to TRI")</f>
        <v>N/A - Facility Does Not Report to TRI</v>
      </c>
      <c r="AN187" s="9" t="str">
        <f t="shared" si="73"/>
        <v>N/A - Facility Does Not Report to TRI</v>
      </c>
      <c r="AO187" s="9" t="str">
        <f>IF(COUNTIF('Processed Non-zero TRI Data'!$I:$I,$I187)&gt;0,_xlfn.MAXIFS('Processed Non-zero TRI Data'!$X:$X,'Processed Non-zero TRI Data'!$I:$I,$I187), "N/A - Facility Does Not Report to TRI")</f>
        <v>N/A - Facility Does Not Report to TRI</v>
      </c>
      <c r="AP187" s="9" t="str">
        <f t="shared" si="74"/>
        <v>N/A - Facility Does Not Report to TRI</v>
      </c>
      <c r="AQ187" s="251" t="str" cm="1">
        <f t="array" ref="AQ187">IF(B187="TRI Form A",AC187,IF(AO187=0,"Facility has no transfers to non-POTWs between 2019-2023.",IF(COUNTIF('Processed Non-zero TRI Data'!$I:$I,$I187)&gt;0,INDEX('Processed Non-zero TRI Data'!$A:$A,MATCH(1,($I187='Processed Non-zero TRI Data'!$I:$I)*(AO187='Processed Non-zero TRI Data'!$X:$X),0)),"N/A - Facility Does Not Report to TRI")))</f>
        <v>N/A - Facility Does Not Report to TRI</v>
      </c>
      <c r="AR187" s="260">
        <f t="shared" si="61"/>
        <v>0</v>
      </c>
      <c r="AS187" s="260">
        <f t="shared" si="62"/>
        <v>3.5919650000000001</v>
      </c>
    </row>
    <row r="188" spans="1:45" ht="30" x14ac:dyDescent="0.25">
      <c r="A188" s="12">
        <v>185</v>
      </c>
      <c r="B188" s="10" t="str">
        <f>IFERROR("TRI Form "&amp; VLOOKUP(I188, 'Processed Non-zero TRI Data'!$I$2:$K$6, 3, FALSE), "DMR")</f>
        <v>DMR</v>
      </c>
      <c r="C188" s="181" t="e">
        <f>VLOOKUP(D188,#REF!, 2, FALSE)</f>
        <v>#REF!</v>
      </c>
      <c r="D188" s="181" t="str">
        <f>IF(I188&lt;&gt;"",INDEX('Processed Non-zero TRI Data'!$O:$O,MATCH(I188,'Processed Non-zero TRI Data'!$I:$I,0)),INDEX('Processed Non-zero DMR Data'!$S:$S,MATCH(J188,'Processed Non-zero DMR Data'!$I:$I,0)))</f>
        <v>Unknown</v>
      </c>
      <c r="E188" s="181" t="str">
        <f>IF(I188&lt;&gt;"",INDEX('Processed Non-zero TRI Data'!$P:$P,MATCH(I188,'Processed Non-zero TRI Data'!$I:$I,0)),INDEX('Processed Non-zero DMR Data'!$T:$T,MATCH(J188,'Processed Non-zero DMR Data'!$I:$I,0)))</f>
        <v>Facility is a casino; no OES to map to.</v>
      </c>
      <c r="F188" s="9" t="str">
        <f>_xlfn.XLOOKUP(J188, 'Processed Non-zero DMR Data'!I:I, 'Processed Non-zero DMR Data'!B:B)</f>
        <v>NORTHERN EDGE CASINO</v>
      </c>
      <c r="G188" s="9" t="str">
        <f>_xlfn.XLOOKUP(J188, 'Processed Non-zero DMR Data'!I:I, 'Processed Non-zero DMR Data'!C:C)</f>
        <v>FRUITLAND</v>
      </c>
      <c r="H188" s="9" t="str">
        <f>_xlfn.XLOOKUP(J188, 'Processed Non-zero DMR Data'!I:I, 'Processed Non-zero DMR Data'!E:E)</f>
        <v>NM</v>
      </c>
      <c r="I188" s="12"/>
      <c r="J188" s="13">
        <v>110064631457</v>
      </c>
      <c r="K188" s="9" t="str">
        <f>IFERROR(INDEX('Raw Non-zero DMR Data'!$C:$C, MATCH(J188,'Raw Non-zero DMR Data'!$D:$D,0)),"")</f>
        <v>NN0030343</v>
      </c>
      <c r="L188" s="9" t="str">
        <f>IFERROR(INDEX('Raw Non-zero DMR Data'!$U:$U, MATCH($J188,'Raw Non-zero DMR Data'!$D:$D,0)),"")</f>
        <v>Ojo Amarillo Canyon-San Juan River</v>
      </c>
      <c r="M188" s="155">
        <f>IFERROR(INDEX('Raw Non-zero DMR Data'!$T:$T, MATCH($J188,'Raw Non-zero DMR Data'!$D:$D,0)),"")</f>
        <v>140801050505</v>
      </c>
      <c r="N188" s="155" t="str">
        <f>IFERROR(INDEX('Off-site Locations'!$E:$E,MATCH(I188,'Off-site Locations'!$B:$B,0)),"No offsite transfers")</f>
        <v>No offsite transfers</v>
      </c>
      <c r="O188" s="165">
        <f>INDEX('TRI and DMR OES Summary'!D:D,MATCH('Facility Discharge Summary'!D188,'TRI and DMR OES Summary'!A:A,0))</f>
        <v>250</v>
      </c>
      <c r="P188" s="17" cm="1">
        <f t="array" ref="P188">IFERROR(_xlfn.XLOOKUP(1,  (MAX(IF(J188 = 'Processed Non-zero DMR Data'!$I$2:$I$651,'Processed Non-zero DMR Data'!$A$2:$A$651)) = 'Processed Non-zero DMR Data'!$A$2:$A$651)*('Processed Non-zero DMR Data'!$I$2:$I$651 = J188),'Processed Non-zero DMR Data'!$W$2:$W$651), "N/A- Facility Does Not Report DMRs")</f>
        <v>0.1114304</v>
      </c>
      <c r="Q188" s="10">
        <f t="shared" si="63"/>
        <v>4.4572159999999998E-4</v>
      </c>
      <c r="R188" s="10" cm="1">
        <f t="array" ref="R188">IF(COUNTIF('Processed Non-zero DMR Data'!$I:$I,$J188)&gt;0,MEDIAN(IF('Processed Non-zero DMR Data'!$I:$I=J188,'Processed Non-zero DMR Data'!$W:$W)),"N/A - Facility Does Not Report DMRs")</f>
        <v>0.1114304</v>
      </c>
      <c r="S188" s="10">
        <f t="shared" si="64"/>
        <v>4.4572159999999998E-4</v>
      </c>
      <c r="T188" s="10">
        <f>IF(COUNTIF('Processed Non-zero DMR Data'!$I:$I,$J188)&gt;0,_xlfn.MAXIFS('Processed Non-zero DMR Data'!$W:$W,'Processed Non-zero DMR Data'!$I:$I,$J188), "N/A - Facility Does Not Report DMRs")</f>
        <v>0.1114304</v>
      </c>
      <c r="U188" s="10">
        <f t="shared" si="65"/>
        <v>4.4572159999999998E-4</v>
      </c>
      <c r="V188" s="158" cm="1">
        <f t="array" ref="V188">IF(COUNTIF('Processed Non-zero DMR Data'!$I:$I,$J188)&gt;0,INDEX('Processed Non-zero DMR Data'!$A:$A,MATCH(1,($J188='Processed Non-zero DMR Data'!$I:$I)*($T188='Processed Non-zero DMR Data'!$W:$W),0)), "N/A - Facility Does Not Report DMRs")</f>
        <v>2021</v>
      </c>
      <c r="W188" s="17" t="str" cm="1">
        <f t="array" ref="W188">IFERROR(_xlfn.XLOOKUP(1,  (MAX(IF(I188 = 'Processed Non-zero TRI Data'!$I$2:$I$6,'Processed Non-zero TRI Data'!$A$2:$A$6)) = 'Processed Non-zero TRI Data'!$A$2:$A$6)*('Processed Non-zero TRI Data'!$I$2:$I$6 = I188), 'Processed Non-zero TRI Data'!$T$2:$T$6), "N/A- Facility Does Not Report to TRI")</f>
        <v>N/A- Facility Does Not Report to TRI</v>
      </c>
      <c r="X188" s="10" t="str">
        <f t="shared" si="66"/>
        <v>N/A - Facility Does Not Report to TRI</v>
      </c>
      <c r="Y188" s="10" t="str" cm="1">
        <f t="array" ref="Y188">IF(COUNTIF('Processed Non-zero TRI Data'!$I:$I,$I188)&gt;0,MEDIAN(IF('Processed Non-zero TRI Data'!$I:$I=I188,'Processed Non-zero TRI Data'!$T:$T)), "N/A - Facility Does Not Report to TRI")</f>
        <v>N/A - Facility Does Not Report to TRI</v>
      </c>
      <c r="Z188" s="10" t="str">
        <f t="shared" si="67"/>
        <v>N/A - Facility Does Not Report to TRI</v>
      </c>
      <c r="AA188" s="10" t="str">
        <f>IF(COUNTIF('Processed Non-zero TRI Data'!$I:$I,$I188)&gt;0,_xlfn.MAXIFS('Processed Non-zero TRI Data'!$T:$T,'Processed Non-zero TRI Data'!$I:$I,$I188), "N/A - Facility Does Not Report to TRI")</f>
        <v>N/A - Facility Does Not Report to TRI</v>
      </c>
      <c r="AB188" s="10" t="str">
        <f t="shared" si="68"/>
        <v>N/A - Facility Does Not Report to TRI</v>
      </c>
      <c r="AC188" s="158" t="str" cm="1">
        <f t="array" ref="AC188">IFERROR(IF(B188 = "TRI Form R", IF(AA188 = 0, "Facility has no on-site water discharges between 2017-2022.",  IF(COUNTIF('Processed Non-zero TRI Data'!$I:$I,$I188)&gt;0,INDEX('Processed Non-zero TRI Data'!$A:$A,MATCH(1,($I188='Processed Non-zero TRI Data'!$I:$I)*(AA188='Processed Non-zero TRI Data'!$T:$T),0)))), VLOOKUP(I188,#REF!, 2, FALSE)), ("N/A - Facility Does Not Report to TRI"))</f>
        <v>N/A - Facility Does Not Report to TRI</v>
      </c>
      <c r="AD188" s="97" t="str" cm="1">
        <f t="array" ref="AD188">IFERROR(_xlfn.XLOOKUP(1,  (MAX(IF(I188 = 'Processed Non-zero TRI Data'!$I$2:$I$6,'Processed Non-zero TRI Data'!$A$2:$A$6)) = 'Processed Non-zero TRI Data'!$A$2:$A$6)*('Processed Non-zero TRI Data'!$I$2:$I$6 = I188), 'Processed Non-zero TRI Data'!$V$2:$V$6), "N/A- Facility Does Not Report to TRI")</f>
        <v>N/A- Facility Does Not Report to TRI</v>
      </c>
      <c r="AE188" s="9" t="str">
        <f t="shared" si="69"/>
        <v>N/A - Facility Does Not Report to TRI</v>
      </c>
      <c r="AF188" s="9" t="str" cm="1">
        <f t="array" ref="AF188">IF(COUNTIF('Processed Non-zero TRI Data'!$I:$I,$I188)&gt;0,MEDIAN(IF('Processed Non-zero TRI Data'!$I:$I=I188,'Processed Non-zero TRI Data'!$V:$V)), "N/A - Facility Does Not Report to TRI")</f>
        <v>N/A - Facility Does Not Report to TRI</v>
      </c>
      <c r="AG188" s="9" t="str">
        <f t="shared" si="70"/>
        <v>N/A - Facility Does Not Report to TRI</v>
      </c>
      <c r="AH188" s="9" t="str">
        <f>IF(COUNTIF('Processed Non-zero TRI Data'!$I:$I,$I188)&gt;0,_xlfn.MAXIFS('Processed Non-zero TRI Data'!$V:$V,'Processed Non-zero TRI Data'!$I:$I,$I188), "N/A - Facility Does Not Report to TRI")</f>
        <v>N/A - Facility Does Not Report to TRI</v>
      </c>
      <c r="AI188" s="9" t="str">
        <f t="shared" si="71"/>
        <v>N/A - Facility Does Not Report to TRI</v>
      </c>
      <c r="AJ188" s="158" t="str" cm="1">
        <f t="array" ref="AJ188">IF(B188="TRI Form A",AC188,IF(AH188=0,"Facility has no transfers to POTWs between 2019-2023.",IF(COUNTIF('Processed Non-zero TRI Data'!$I:$I,$I188)&gt;0,INDEX('Processed Non-zero TRI Data'!$A:$A,MATCH(1,($I188='Processed Non-zero TRI Data'!$I:$I)*(AH188='Processed Non-zero TRI Data'!$V:$V),0)),"N/A - Facility Does Not Report to TRI")))</f>
        <v>N/A - Facility Does Not Report to TRI</v>
      </c>
      <c r="AK188" s="97" t="str" cm="1">
        <f t="array" ref="AK188">IFERROR(_xlfn.XLOOKUP(1,  (MAX(IF(I188 = 'Processed Non-zero TRI Data'!$I$2:$I$6,'Processed Non-zero TRI Data'!$A$2:$A$6)) = 'Processed Non-zero TRI Data'!$A$2:$A$6)*('Processed Non-zero TRI Data'!$I$2:$I$6 = I188), 'Processed Non-zero TRI Data'!$X$2:$X$6), "N/A- Facility Does Not Report to TRI")</f>
        <v>N/A- Facility Does Not Report to TRI</v>
      </c>
      <c r="AL188" s="9" t="str">
        <f t="shared" si="72"/>
        <v>N/A - Facility Does Not Report to TRI</v>
      </c>
      <c r="AM188" s="9" t="str" cm="1">
        <f t="array" ref="AM188">IF(COUNTIF('Processed Non-zero TRI Data'!$I:$I,$I188)&gt;0,MEDIAN(IF('Processed Non-zero TRI Data'!$I:$I=I188,'Processed Non-zero TRI Data'!$X:$X)), "N/A - Facility Does Not Report to TRI")</f>
        <v>N/A - Facility Does Not Report to TRI</v>
      </c>
      <c r="AN188" s="9" t="str">
        <f t="shared" si="73"/>
        <v>N/A - Facility Does Not Report to TRI</v>
      </c>
      <c r="AO188" s="9" t="str">
        <f>IF(COUNTIF('Processed Non-zero TRI Data'!$I:$I,$I188)&gt;0,_xlfn.MAXIFS('Processed Non-zero TRI Data'!$X:$X,'Processed Non-zero TRI Data'!$I:$I,$I188), "N/A - Facility Does Not Report to TRI")</f>
        <v>N/A - Facility Does Not Report to TRI</v>
      </c>
      <c r="AP188" s="9" t="str">
        <f t="shared" si="74"/>
        <v>N/A - Facility Does Not Report to TRI</v>
      </c>
      <c r="AQ188" s="251" t="str" cm="1">
        <f t="array" ref="AQ188">IF(B188="TRI Form A",AC188,IF(AO188=0,"Facility has no transfers to non-POTWs between 2019-2023.",IF(COUNTIF('Processed Non-zero TRI Data'!$I:$I,$I188)&gt;0,INDEX('Processed Non-zero TRI Data'!$A:$A,MATCH(1,($I188='Processed Non-zero TRI Data'!$I:$I)*(AO188='Processed Non-zero TRI Data'!$X:$X),0)),"N/A - Facility Does Not Report to TRI")))</f>
        <v>N/A - Facility Does Not Report to TRI</v>
      </c>
      <c r="AR188" s="260">
        <f t="shared" si="61"/>
        <v>0</v>
      </c>
      <c r="AS188" s="260">
        <f t="shared" si="62"/>
        <v>0.1114304</v>
      </c>
    </row>
    <row r="189" spans="1:45" ht="30" x14ac:dyDescent="0.25">
      <c r="A189" s="12">
        <v>186</v>
      </c>
      <c r="B189" s="10" t="str">
        <f>IFERROR("TRI Form "&amp; VLOOKUP(I189, 'Processed Non-zero TRI Data'!$I$2:$K$6, 3, FALSE), "DMR")</f>
        <v>DMR</v>
      </c>
      <c r="C189" s="181" t="e">
        <f>VLOOKUP(D189,#REF!, 2, FALSE)</f>
        <v>#REF!</v>
      </c>
      <c r="D189" s="181" t="str">
        <f>IF(I189&lt;&gt;"",INDEX('Processed Non-zero TRI Data'!$O:$O,MATCH(I189,'Processed Non-zero TRI Data'!$I:$I,0)),INDEX('Processed Non-zero DMR Data'!$S:$S,MATCH(J189,'Processed Non-zero DMR Data'!$I:$I,0)))</f>
        <v>Unknown</v>
      </c>
      <c r="E189" s="181" t="str">
        <f>IF(I189&lt;&gt;"",INDEX('Processed Non-zero TRI Data'!$P:$P,MATCH(I189,'Processed Non-zero TRI Data'!$I:$I,0)),INDEX('Processed Non-zero DMR Data'!$T:$T,MATCH(J189,'Processed Non-zero DMR Data'!$I:$I,0)))</f>
        <v>Hotel and resort; no OES to map to.</v>
      </c>
      <c r="F189" s="9" t="str">
        <f>_xlfn.XLOOKUP(J189, 'Processed Non-zero DMR Data'!I:I, 'Processed Non-zero DMR Data'!B:B)</f>
        <v>KAHALA HOTEL &amp; RESORT</v>
      </c>
      <c r="G189" s="9" t="str">
        <f>_xlfn.XLOOKUP(J189, 'Processed Non-zero DMR Data'!I:I, 'Processed Non-zero DMR Data'!C:C)</f>
        <v>HONOLULU</v>
      </c>
      <c r="H189" s="9" t="str">
        <f>_xlfn.XLOOKUP(J189, 'Processed Non-zero DMR Data'!I:I, 'Processed Non-zero DMR Data'!E:E)</f>
        <v>HI</v>
      </c>
      <c r="I189" s="12"/>
      <c r="J189" s="13">
        <v>110006777210</v>
      </c>
      <c r="K189" s="9" t="str">
        <f>IFERROR(INDEX('Raw Non-zero DMR Data'!$C:$C, MATCH(J189,'Raw Non-zero DMR Data'!$D:$D,0)),"")</f>
        <v>HI0021890</v>
      </c>
      <c r="L189" s="9" t="str">
        <f>IFERROR(INDEX('Raw Non-zero DMR Data'!$U:$U, MATCH($J189,'Raw Non-zero DMR Data'!$D:$D,0)),"")</f>
        <v>Waialae Nui Gulch</v>
      </c>
      <c r="M189" s="155">
        <f>IFERROR(INDEX('Raw Non-zero DMR Data'!$T:$T, MATCH($J189,'Raw Non-zero DMR Data'!$D:$D,0)),"")</f>
        <v>200600000302</v>
      </c>
      <c r="N189" s="155" t="str">
        <f>IFERROR(INDEX('Off-site Locations'!$E:$E,MATCH(I189,'Off-site Locations'!$B:$B,0)),"No offsite transfers")</f>
        <v>No offsite transfers</v>
      </c>
      <c r="O189" s="165">
        <f>INDEX('TRI and DMR OES Summary'!D:D,MATCH('Facility Discharge Summary'!D189,'TRI and DMR OES Summary'!A:A,0))</f>
        <v>250</v>
      </c>
      <c r="P189" s="17" cm="1">
        <f t="array" ref="P189">IFERROR(_xlfn.XLOOKUP(1,  (MAX(IF(J189 = 'Processed Non-zero DMR Data'!$I$2:$I$651,'Processed Non-zero DMR Data'!$A$2:$A$651)) = 'Processed Non-zero DMR Data'!$A$2:$A$651)*('Processed Non-zero DMR Data'!$I$2:$I$651 = J189),'Processed Non-zero DMR Data'!$W$2:$W$651), "N/A- Facility Does Not Report DMRs")</f>
        <v>6.7440745444000001</v>
      </c>
      <c r="Q189" s="10">
        <f t="shared" si="63"/>
        <v>2.69762981776E-2</v>
      </c>
      <c r="R189" s="10" cm="1">
        <f t="array" ref="R189">IF(COUNTIF('Processed Non-zero DMR Data'!$I:$I,$J189)&gt;0,MEDIAN(IF('Processed Non-zero DMR Data'!$I:$I=J189,'Processed Non-zero DMR Data'!$W:$W)),"N/A - Facility Does Not Report DMRs")</f>
        <v>6.7440745444000001</v>
      </c>
      <c r="S189" s="10">
        <f t="shared" si="64"/>
        <v>2.69762981776E-2</v>
      </c>
      <c r="T189" s="10">
        <f>IF(COUNTIF('Processed Non-zero DMR Data'!$I:$I,$J189)&gt;0,_xlfn.MAXIFS('Processed Non-zero DMR Data'!$W:$W,'Processed Non-zero DMR Data'!$I:$I,$J189), "N/A - Facility Does Not Report DMRs")</f>
        <v>6.7440745444000001</v>
      </c>
      <c r="U189" s="10">
        <f t="shared" si="65"/>
        <v>2.69762981776E-2</v>
      </c>
      <c r="V189" s="158" cm="1">
        <f t="array" ref="V189">IF(COUNTIF('Processed Non-zero DMR Data'!$I:$I,$J189)&gt;0,INDEX('Processed Non-zero DMR Data'!$A:$A,MATCH(1,($J189='Processed Non-zero DMR Data'!$I:$I)*($T189='Processed Non-zero DMR Data'!$W:$W),0)), "N/A - Facility Does Not Report DMRs")</f>
        <v>2021</v>
      </c>
      <c r="W189" s="17" t="str" cm="1">
        <f t="array" ref="W189">IFERROR(_xlfn.XLOOKUP(1,  (MAX(IF(I189 = 'Processed Non-zero TRI Data'!$I$2:$I$6,'Processed Non-zero TRI Data'!$A$2:$A$6)) = 'Processed Non-zero TRI Data'!$A$2:$A$6)*('Processed Non-zero TRI Data'!$I$2:$I$6 = I189), 'Processed Non-zero TRI Data'!$T$2:$T$6), "N/A- Facility Does Not Report to TRI")</f>
        <v>N/A- Facility Does Not Report to TRI</v>
      </c>
      <c r="X189" s="10" t="str">
        <f t="shared" si="66"/>
        <v>N/A - Facility Does Not Report to TRI</v>
      </c>
      <c r="Y189" s="10" t="str" cm="1">
        <f t="array" ref="Y189">IF(COUNTIF('Processed Non-zero TRI Data'!$I:$I,$I189)&gt;0,MEDIAN(IF('Processed Non-zero TRI Data'!$I:$I=I189,'Processed Non-zero TRI Data'!$T:$T)), "N/A - Facility Does Not Report to TRI")</f>
        <v>N/A - Facility Does Not Report to TRI</v>
      </c>
      <c r="Z189" s="10" t="str">
        <f t="shared" si="67"/>
        <v>N/A - Facility Does Not Report to TRI</v>
      </c>
      <c r="AA189" s="10" t="str">
        <f>IF(COUNTIF('Processed Non-zero TRI Data'!$I:$I,$I189)&gt;0,_xlfn.MAXIFS('Processed Non-zero TRI Data'!$T:$T,'Processed Non-zero TRI Data'!$I:$I,$I189), "N/A - Facility Does Not Report to TRI")</f>
        <v>N/A - Facility Does Not Report to TRI</v>
      </c>
      <c r="AB189" s="10" t="str">
        <f t="shared" si="68"/>
        <v>N/A - Facility Does Not Report to TRI</v>
      </c>
      <c r="AC189" s="158" t="str" cm="1">
        <f t="array" ref="AC189">IFERROR(IF(B189 = "TRI Form R", IF(AA189 = 0, "Facility has no on-site water discharges between 2017-2022.",  IF(COUNTIF('Processed Non-zero TRI Data'!$I:$I,$I189)&gt;0,INDEX('Processed Non-zero TRI Data'!$A:$A,MATCH(1,($I189='Processed Non-zero TRI Data'!$I:$I)*(AA189='Processed Non-zero TRI Data'!$T:$T),0)))), VLOOKUP(I189,#REF!, 2, FALSE)), ("N/A - Facility Does Not Report to TRI"))</f>
        <v>N/A - Facility Does Not Report to TRI</v>
      </c>
      <c r="AD189" s="97" t="str" cm="1">
        <f t="array" ref="AD189">IFERROR(_xlfn.XLOOKUP(1,  (MAX(IF(I189 = 'Processed Non-zero TRI Data'!$I$2:$I$6,'Processed Non-zero TRI Data'!$A$2:$A$6)) = 'Processed Non-zero TRI Data'!$A$2:$A$6)*('Processed Non-zero TRI Data'!$I$2:$I$6 = I189), 'Processed Non-zero TRI Data'!$V$2:$V$6), "N/A- Facility Does Not Report to TRI")</f>
        <v>N/A- Facility Does Not Report to TRI</v>
      </c>
      <c r="AE189" s="9" t="str">
        <f t="shared" si="69"/>
        <v>N/A - Facility Does Not Report to TRI</v>
      </c>
      <c r="AF189" s="9" t="str" cm="1">
        <f t="array" ref="AF189">IF(COUNTIF('Processed Non-zero TRI Data'!$I:$I,$I189)&gt;0,MEDIAN(IF('Processed Non-zero TRI Data'!$I:$I=I189,'Processed Non-zero TRI Data'!$V:$V)), "N/A - Facility Does Not Report to TRI")</f>
        <v>N/A - Facility Does Not Report to TRI</v>
      </c>
      <c r="AG189" s="9" t="str">
        <f t="shared" si="70"/>
        <v>N/A - Facility Does Not Report to TRI</v>
      </c>
      <c r="AH189" s="9" t="str">
        <f>IF(COUNTIF('Processed Non-zero TRI Data'!$I:$I,$I189)&gt;0,_xlfn.MAXIFS('Processed Non-zero TRI Data'!$V:$V,'Processed Non-zero TRI Data'!$I:$I,$I189), "N/A - Facility Does Not Report to TRI")</f>
        <v>N/A - Facility Does Not Report to TRI</v>
      </c>
      <c r="AI189" s="9" t="str">
        <f t="shared" si="71"/>
        <v>N/A - Facility Does Not Report to TRI</v>
      </c>
      <c r="AJ189" s="158" t="str" cm="1">
        <f t="array" ref="AJ189">IF(B189="TRI Form A",AC189,IF(AH189=0,"Facility has no transfers to POTWs between 2019-2023.",IF(COUNTIF('Processed Non-zero TRI Data'!$I:$I,$I189)&gt;0,INDEX('Processed Non-zero TRI Data'!$A:$A,MATCH(1,($I189='Processed Non-zero TRI Data'!$I:$I)*(AH189='Processed Non-zero TRI Data'!$V:$V),0)),"N/A - Facility Does Not Report to TRI")))</f>
        <v>N/A - Facility Does Not Report to TRI</v>
      </c>
      <c r="AK189" s="97" t="str" cm="1">
        <f t="array" ref="AK189">IFERROR(_xlfn.XLOOKUP(1,  (MAX(IF(I189 = 'Processed Non-zero TRI Data'!$I$2:$I$6,'Processed Non-zero TRI Data'!$A$2:$A$6)) = 'Processed Non-zero TRI Data'!$A$2:$A$6)*('Processed Non-zero TRI Data'!$I$2:$I$6 = I189), 'Processed Non-zero TRI Data'!$X$2:$X$6), "N/A- Facility Does Not Report to TRI")</f>
        <v>N/A- Facility Does Not Report to TRI</v>
      </c>
      <c r="AL189" s="9" t="str">
        <f t="shared" si="72"/>
        <v>N/A - Facility Does Not Report to TRI</v>
      </c>
      <c r="AM189" s="9" t="str" cm="1">
        <f t="array" ref="AM189">IF(COUNTIF('Processed Non-zero TRI Data'!$I:$I,$I189)&gt;0,MEDIAN(IF('Processed Non-zero TRI Data'!$I:$I=I189,'Processed Non-zero TRI Data'!$X:$X)), "N/A - Facility Does Not Report to TRI")</f>
        <v>N/A - Facility Does Not Report to TRI</v>
      </c>
      <c r="AN189" s="9" t="str">
        <f t="shared" si="73"/>
        <v>N/A - Facility Does Not Report to TRI</v>
      </c>
      <c r="AO189" s="9" t="str">
        <f>IF(COUNTIF('Processed Non-zero TRI Data'!$I:$I,$I189)&gt;0,_xlfn.MAXIFS('Processed Non-zero TRI Data'!$X:$X,'Processed Non-zero TRI Data'!$I:$I,$I189), "N/A - Facility Does Not Report to TRI")</f>
        <v>N/A - Facility Does Not Report to TRI</v>
      </c>
      <c r="AP189" s="9" t="str">
        <f t="shared" si="74"/>
        <v>N/A - Facility Does Not Report to TRI</v>
      </c>
      <c r="AQ189" s="251" t="str" cm="1">
        <f t="array" ref="AQ189">IF(B189="TRI Form A",AC189,IF(AO189=0,"Facility has no transfers to non-POTWs between 2019-2023.",IF(COUNTIF('Processed Non-zero TRI Data'!$I:$I,$I189)&gt;0,INDEX('Processed Non-zero TRI Data'!$A:$A,MATCH(1,($I189='Processed Non-zero TRI Data'!$I:$I)*(AO189='Processed Non-zero TRI Data'!$X:$X),0)),"N/A - Facility Does Not Report to TRI")))</f>
        <v>N/A - Facility Does Not Report to TRI</v>
      </c>
      <c r="AR189" s="260">
        <f t="shared" si="61"/>
        <v>0</v>
      </c>
      <c r="AS189" s="260">
        <f t="shared" si="62"/>
        <v>6.7440745444000001</v>
      </c>
    </row>
    <row r="190" spans="1:45" ht="30" x14ac:dyDescent="0.25">
      <c r="A190" s="12">
        <v>187</v>
      </c>
      <c r="B190" s="10" t="str">
        <f>IFERROR("TRI Form "&amp; VLOOKUP(I190, 'Processed Non-zero TRI Data'!$I$2:$K$6, 3, FALSE), "DMR")</f>
        <v>DMR</v>
      </c>
      <c r="C190" s="181" t="e">
        <f>VLOOKUP(D190,#REF!, 2, FALSE)</f>
        <v>#REF!</v>
      </c>
      <c r="D190" s="181" t="str">
        <f>IF(I190&lt;&gt;"",INDEX('Processed Non-zero TRI Data'!$O:$O,MATCH(I190,'Processed Non-zero TRI Data'!$I:$I,0)),INDEX('Processed Non-zero DMR Data'!$S:$S,MATCH(J190,'Processed Non-zero DMR Data'!$I:$I,0)))</f>
        <v>Waste Handling, Disposal and Treatment (POTW)</v>
      </c>
      <c r="E190" s="181" t="str">
        <f>IF(I190&lt;&gt;"",INDEX('Processed Non-zero TRI Data'!$P:$P,MATCH(I190,'Processed Non-zero TRI Data'!$I:$I,0)),INDEX('Processed Non-zero DMR Data'!$T:$T,MATCH(J190,'Processed Non-zero DMR Data'!$I:$I,0)))</f>
        <v>POTW indicator in DMR</v>
      </c>
      <c r="F190" s="9" t="str">
        <f>_xlfn.XLOOKUP(J190, 'Processed Non-zero DMR Data'!I:I, 'Processed Non-zero DMR Data'!B:B)</f>
        <v>GEORGETOWN STP #2</v>
      </c>
      <c r="G190" s="9" t="str">
        <f>_xlfn.XLOOKUP(J190, 'Processed Non-zero DMR Data'!I:I, 'Processed Non-zero DMR Data'!C:C)</f>
        <v>GEORGETOWN</v>
      </c>
      <c r="H190" s="9" t="str">
        <f>_xlfn.XLOOKUP(J190, 'Processed Non-zero DMR Data'!I:I, 'Processed Non-zero DMR Data'!E:E)</f>
        <v>KY</v>
      </c>
      <c r="I190" s="12"/>
      <c r="J190" s="13">
        <v>110000759741</v>
      </c>
      <c r="K190" s="9" t="str">
        <f>IFERROR(INDEX('Raw Non-zero DMR Data'!$C:$C, MATCH(J190,'Raw Non-zero DMR Data'!$D:$D,0)),"")</f>
        <v>KY0082007</v>
      </c>
      <c r="L190" s="9" t="str">
        <f>IFERROR(INDEX('Raw Non-zero DMR Data'!$U:$U, MATCH($J190,'Raw Non-zero DMR Data'!$D:$D,0)),"")</f>
        <v>Boyd Run-North Elkhorn Creek</v>
      </c>
      <c r="M190" s="155" t="str">
        <f>IFERROR(INDEX('Raw Non-zero DMR Data'!$T:$T, MATCH($J190,'Raw Non-zero DMR Data'!$D:$D,0)),"")</f>
        <v>051002050803</v>
      </c>
      <c r="N190" s="155" t="str">
        <f>IFERROR(INDEX('Off-site Locations'!$E:$E,MATCH(I190,'Off-site Locations'!$B:$B,0)),"No offsite transfers")</f>
        <v>No offsite transfers</v>
      </c>
      <c r="O190" s="165">
        <f>INDEX('TRI and DMR OES Summary'!D:D,MATCH('Facility Discharge Summary'!D190,'TRI and DMR OES Summary'!A:A,0))</f>
        <v>365</v>
      </c>
      <c r="P190" s="17" cm="1">
        <f t="array" ref="P190">IFERROR(_xlfn.XLOOKUP(1,  (MAX(IF(J190 = 'Processed Non-zero DMR Data'!$I$2:$I$651,'Processed Non-zero DMR Data'!$A$2:$A$651)) = 'Processed Non-zero DMR Data'!$A$2:$A$651)*('Processed Non-zero DMR Data'!$I$2:$I$651 = J190),'Processed Non-zero DMR Data'!$W$2:$W$651), "N/A- Facility Does Not Report DMRs")</f>
        <v>4.0789525624999996</v>
      </c>
      <c r="Q190" s="10">
        <f t="shared" si="63"/>
        <v>1.1175212499999998E-2</v>
      </c>
      <c r="R190" s="10" cm="1">
        <f t="array" ref="R190">IF(COUNTIF('Processed Non-zero DMR Data'!$I:$I,$J190)&gt;0,MEDIAN(IF('Processed Non-zero DMR Data'!$I:$I=J190,'Processed Non-zero DMR Data'!$W:$W)),"N/A - Facility Does Not Report DMRs")</f>
        <v>4.3259001562500004</v>
      </c>
      <c r="S190" s="10">
        <f t="shared" si="64"/>
        <v>1.185178125E-2</v>
      </c>
      <c r="T190" s="10">
        <f>IF(COUNTIF('Processed Non-zero DMR Data'!$I:$I,$J190)&gt;0,_xlfn.MAXIFS('Processed Non-zero DMR Data'!$W:$W,'Processed Non-zero DMR Data'!$I:$I,$J190), "N/A - Facility Does Not Report DMRs")</f>
        <v>4.5728477500000002</v>
      </c>
      <c r="U190" s="10">
        <f t="shared" si="65"/>
        <v>1.2528350000000001E-2</v>
      </c>
      <c r="V190" s="158" cm="1">
        <f t="array" ref="V190">IF(COUNTIF('Processed Non-zero DMR Data'!$I:$I,$J190)&gt;0,INDEX('Processed Non-zero DMR Data'!$A:$A,MATCH(1,($J190='Processed Non-zero DMR Data'!$I:$I)*($T190='Processed Non-zero DMR Data'!$W:$W),0)), "N/A - Facility Does Not Report DMRs")</f>
        <v>2021</v>
      </c>
      <c r="W190" s="17" t="str" cm="1">
        <f t="array" ref="W190">IFERROR(_xlfn.XLOOKUP(1,  (MAX(IF(I190 = 'Processed Non-zero TRI Data'!$I$2:$I$6,'Processed Non-zero TRI Data'!$A$2:$A$6)) = 'Processed Non-zero TRI Data'!$A$2:$A$6)*('Processed Non-zero TRI Data'!$I$2:$I$6 = I190), 'Processed Non-zero TRI Data'!$T$2:$T$6), "N/A- Facility Does Not Report to TRI")</f>
        <v>N/A- Facility Does Not Report to TRI</v>
      </c>
      <c r="X190" s="10" t="str">
        <f t="shared" si="66"/>
        <v>N/A - Facility Does Not Report to TRI</v>
      </c>
      <c r="Y190" s="10" t="str" cm="1">
        <f t="array" ref="Y190">IF(COUNTIF('Processed Non-zero TRI Data'!$I:$I,$I190)&gt;0,MEDIAN(IF('Processed Non-zero TRI Data'!$I:$I=I190,'Processed Non-zero TRI Data'!$T:$T)), "N/A - Facility Does Not Report to TRI")</f>
        <v>N/A - Facility Does Not Report to TRI</v>
      </c>
      <c r="Z190" s="10" t="str">
        <f t="shared" si="67"/>
        <v>N/A - Facility Does Not Report to TRI</v>
      </c>
      <c r="AA190" s="10" t="str">
        <f>IF(COUNTIF('Processed Non-zero TRI Data'!$I:$I,$I190)&gt;0,_xlfn.MAXIFS('Processed Non-zero TRI Data'!$T:$T,'Processed Non-zero TRI Data'!$I:$I,$I190), "N/A - Facility Does Not Report to TRI")</f>
        <v>N/A - Facility Does Not Report to TRI</v>
      </c>
      <c r="AB190" s="10" t="str">
        <f t="shared" si="68"/>
        <v>N/A - Facility Does Not Report to TRI</v>
      </c>
      <c r="AC190" s="158" t="str" cm="1">
        <f t="array" ref="AC190">IFERROR(IF(B190 = "TRI Form R", IF(AA190 = 0, "Facility has no on-site water discharges between 2017-2022.",  IF(COUNTIF('Processed Non-zero TRI Data'!$I:$I,$I190)&gt;0,INDEX('Processed Non-zero TRI Data'!$A:$A,MATCH(1,($I190='Processed Non-zero TRI Data'!$I:$I)*(AA190='Processed Non-zero TRI Data'!$T:$T),0)))), VLOOKUP(I190,#REF!, 2, FALSE)), ("N/A - Facility Does Not Report to TRI"))</f>
        <v>N/A - Facility Does Not Report to TRI</v>
      </c>
      <c r="AD190" s="97" t="str" cm="1">
        <f t="array" ref="AD190">IFERROR(_xlfn.XLOOKUP(1,  (MAX(IF(I190 = 'Processed Non-zero TRI Data'!$I$2:$I$6,'Processed Non-zero TRI Data'!$A$2:$A$6)) = 'Processed Non-zero TRI Data'!$A$2:$A$6)*('Processed Non-zero TRI Data'!$I$2:$I$6 = I190), 'Processed Non-zero TRI Data'!$V$2:$V$6), "N/A- Facility Does Not Report to TRI")</f>
        <v>N/A- Facility Does Not Report to TRI</v>
      </c>
      <c r="AE190" s="9" t="str">
        <f t="shared" si="69"/>
        <v>N/A - Facility Does Not Report to TRI</v>
      </c>
      <c r="AF190" s="9" t="str" cm="1">
        <f t="array" ref="AF190">IF(COUNTIF('Processed Non-zero TRI Data'!$I:$I,$I190)&gt;0,MEDIAN(IF('Processed Non-zero TRI Data'!$I:$I=I190,'Processed Non-zero TRI Data'!$V:$V)), "N/A - Facility Does Not Report to TRI")</f>
        <v>N/A - Facility Does Not Report to TRI</v>
      </c>
      <c r="AG190" s="9" t="str">
        <f t="shared" si="70"/>
        <v>N/A - Facility Does Not Report to TRI</v>
      </c>
      <c r="AH190" s="9" t="str">
        <f>IF(COUNTIF('Processed Non-zero TRI Data'!$I:$I,$I190)&gt;0,_xlfn.MAXIFS('Processed Non-zero TRI Data'!$V:$V,'Processed Non-zero TRI Data'!$I:$I,$I190), "N/A - Facility Does Not Report to TRI")</f>
        <v>N/A - Facility Does Not Report to TRI</v>
      </c>
      <c r="AI190" s="9" t="str">
        <f t="shared" si="71"/>
        <v>N/A - Facility Does Not Report to TRI</v>
      </c>
      <c r="AJ190" s="158" t="str" cm="1">
        <f t="array" ref="AJ190">IF(B190="TRI Form A",AC190,IF(AH190=0,"Facility has no transfers to POTWs between 2019-2023.",IF(COUNTIF('Processed Non-zero TRI Data'!$I:$I,$I190)&gt;0,INDEX('Processed Non-zero TRI Data'!$A:$A,MATCH(1,($I190='Processed Non-zero TRI Data'!$I:$I)*(AH190='Processed Non-zero TRI Data'!$V:$V),0)),"N/A - Facility Does Not Report to TRI")))</f>
        <v>N/A - Facility Does Not Report to TRI</v>
      </c>
      <c r="AK190" s="97" t="str" cm="1">
        <f t="array" ref="AK190">IFERROR(_xlfn.XLOOKUP(1,  (MAX(IF(I190 = 'Processed Non-zero TRI Data'!$I$2:$I$6,'Processed Non-zero TRI Data'!$A$2:$A$6)) = 'Processed Non-zero TRI Data'!$A$2:$A$6)*('Processed Non-zero TRI Data'!$I$2:$I$6 = I190), 'Processed Non-zero TRI Data'!$X$2:$X$6), "N/A- Facility Does Not Report to TRI")</f>
        <v>N/A- Facility Does Not Report to TRI</v>
      </c>
      <c r="AL190" s="9" t="str">
        <f t="shared" si="72"/>
        <v>N/A - Facility Does Not Report to TRI</v>
      </c>
      <c r="AM190" s="9" t="str" cm="1">
        <f t="array" ref="AM190">IF(COUNTIF('Processed Non-zero TRI Data'!$I:$I,$I190)&gt;0,MEDIAN(IF('Processed Non-zero TRI Data'!$I:$I=I190,'Processed Non-zero TRI Data'!$X:$X)), "N/A - Facility Does Not Report to TRI")</f>
        <v>N/A - Facility Does Not Report to TRI</v>
      </c>
      <c r="AN190" s="9" t="str">
        <f t="shared" si="73"/>
        <v>N/A - Facility Does Not Report to TRI</v>
      </c>
      <c r="AO190" s="9" t="str">
        <f>IF(COUNTIF('Processed Non-zero TRI Data'!$I:$I,$I190)&gt;0,_xlfn.MAXIFS('Processed Non-zero TRI Data'!$X:$X,'Processed Non-zero TRI Data'!$I:$I,$I190), "N/A - Facility Does Not Report to TRI")</f>
        <v>N/A - Facility Does Not Report to TRI</v>
      </c>
      <c r="AP190" s="9" t="str">
        <f t="shared" si="74"/>
        <v>N/A - Facility Does Not Report to TRI</v>
      </c>
      <c r="AQ190" s="251" t="str" cm="1">
        <f t="array" ref="AQ190">IF(B190="TRI Form A",AC190,IF(AO190=0,"Facility has no transfers to non-POTWs between 2019-2023.",IF(COUNTIF('Processed Non-zero TRI Data'!$I:$I,$I190)&gt;0,INDEX('Processed Non-zero TRI Data'!$A:$A,MATCH(1,($I190='Processed Non-zero TRI Data'!$I:$I)*(AO190='Processed Non-zero TRI Data'!$X:$X),0)),"N/A - Facility Does Not Report to TRI")))</f>
        <v>N/A - Facility Does Not Report to TRI</v>
      </c>
      <c r="AR190" s="260">
        <f t="shared" si="61"/>
        <v>0</v>
      </c>
      <c r="AS190" s="260">
        <f t="shared" si="62"/>
        <v>4.5728477500000002</v>
      </c>
    </row>
    <row r="191" spans="1:45" ht="30" x14ac:dyDescent="0.25">
      <c r="A191" s="12">
        <v>188</v>
      </c>
      <c r="B191" s="10" t="str">
        <f>IFERROR("TRI Form "&amp; VLOOKUP(I191, 'Processed Non-zero TRI Data'!$I$2:$K$6, 3, FALSE), "DMR")</f>
        <v>DMR</v>
      </c>
      <c r="C191" s="181" t="e">
        <f>VLOOKUP(D191,#REF!, 2, FALSE)</f>
        <v>#REF!</v>
      </c>
      <c r="D191" s="181" t="str">
        <f>IF(I191&lt;&gt;"",INDEX('Processed Non-zero TRI Data'!$O:$O,MATCH(I191,'Processed Non-zero TRI Data'!$I:$I,0)),INDEX('Processed Non-zero DMR Data'!$S:$S,MATCH(J191,'Processed Non-zero DMR Data'!$I:$I,0)))</f>
        <v>Unknown</v>
      </c>
      <c r="E191" s="181" t="str">
        <f>IF(I191&lt;&gt;"",INDEX('Processed Non-zero TRI Data'!$P:$P,MATCH(I191,'Processed Non-zero TRI Data'!$I:$I,0)),INDEX('Processed Non-zero DMR Data'!$T:$T,MATCH(J191,'Processed Non-zero DMR Data'!$I:$I,0)))</f>
        <v>Facility is a powerplant; no OES to map to.</v>
      </c>
      <c r="F191" s="9" t="str">
        <f>_xlfn.XLOOKUP(J191, 'Processed Non-zero DMR Data'!I:I, 'Processed Non-zero DMR Data'!B:B)</f>
        <v>APS FOUR CORNERS POWER PLANT</v>
      </c>
      <c r="G191" s="9" t="str">
        <f>_xlfn.XLOOKUP(J191, 'Processed Non-zero DMR Data'!I:I, 'Processed Non-zero DMR Data'!C:C)</f>
        <v>FRUITLAND</v>
      </c>
      <c r="H191" s="9" t="str">
        <f>_xlfn.XLOOKUP(J191, 'Processed Non-zero DMR Data'!I:I, 'Processed Non-zero DMR Data'!E:E)</f>
        <v>NM</v>
      </c>
      <c r="I191" s="12"/>
      <c r="J191" s="13">
        <v>110042068473</v>
      </c>
      <c r="K191" s="9" t="str">
        <f>IFERROR(INDEX('Raw Non-zero DMR Data'!$C:$C, MATCH(J191,'Raw Non-zero DMR Data'!$D:$D,0)),"")</f>
        <v>NN0000019</v>
      </c>
      <c r="L191" s="9" t="str">
        <f>IFERROR(INDEX('Raw Non-zero DMR Data'!$U:$U, MATCH($J191,'Raw Non-zero DMR Data'!$D:$D,0)),"")</f>
        <v>Morgan Lake-Chaco River</v>
      </c>
      <c r="M191" s="155">
        <f>IFERROR(INDEX('Raw Non-zero DMR Data'!$T:$T, MATCH($J191,'Raw Non-zero DMR Data'!$D:$D,0)),"")</f>
        <v>140801062008</v>
      </c>
      <c r="N191" s="155" t="str">
        <f>IFERROR(INDEX('Off-site Locations'!$E:$E,MATCH(I191,'Off-site Locations'!$B:$B,0)),"No offsite transfers")</f>
        <v>No offsite transfers</v>
      </c>
      <c r="O191" s="165">
        <f>INDEX('TRI and DMR OES Summary'!D:D,MATCH('Facility Discharge Summary'!D191,'TRI and DMR OES Summary'!A:A,0))</f>
        <v>250</v>
      </c>
      <c r="P191" s="17" cm="1">
        <f t="array" ref="P191">IFERROR(_xlfn.XLOOKUP(1,  (MAX(IF(J191 = 'Processed Non-zero DMR Data'!$I$2:$I$651,'Processed Non-zero DMR Data'!$A$2:$A$651)) = 'Processed Non-zero DMR Data'!$A$2:$A$651)*('Processed Non-zero DMR Data'!$I$2:$I$651 = J191),'Processed Non-zero DMR Data'!$W$2:$W$651), "N/A- Facility Does Not Report DMRs")</f>
        <v>1.6192230000000001</v>
      </c>
      <c r="Q191" s="10">
        <f t="shared" si="63"/>
        <v>6.4768920000000006E-3</v>
      </c>
      <c r="R191" s="10" cm="1">
        <f t="array" ref="R191">IF(COUNTIF('Processed Non-zero DMR Data'!$I:$I,$J191)&gt;0,MEDIAN(IF('Processed Non-zero DMR Data'!$I:$I=J191,'Processed Non-zero DMR Data'!$W:$W)),"N/A - Facility Does Not Report DMRs")</f>
        <v>1.6192230000000001</v>
      </c>
      <c r="S191" s="10">
        <f t="shared" si="64"/>
        <v>6.4768920000000006E-3</v>
      </c>
      <c r="T191" s="10">
        <f>IF(COUNTIF('Processed Non-zero DMR Data'!$I:$I,$J191)&gt;0,_xlfn.MAXIFS('Processed Non-zero DMR Data'!$W:$W,'Processed Non-zero DMR Data'!$I:$I,$J191), "N/A - Facility Does Not Report DMRs")</f>
        <v>1.6192230000000001</v>
      </c>
      <c r="U191" s="10">
        <f t="shared" si="65"/>
        <v>6.4768920000000006E-3</v>
      </c>
      <c r="V191" s="158" cm="1">
        <f t="array" ref="V191">IF(COUNTIF('Processed Non-zero DMR Data'!$I:$I,$J191)&gt;0,INDEX('Processed Non-zero DMR Data'!$A:$A,MATCH(1,($J191='Processed Non-zero DMR Data'!$I:$I)*($T191='Processed Non-zero DMR Data'!$W:$W),0)), "N/A - Facility Does Not Report DMRs")</f>
        <v>2021</v>
      </c>
      <c r="W191" s="17" t="str" cm="1">
        <f t="array" ref="W191">IFERROR(_xlfn.XLOOKUP(1,  (MAX(IF(I191 = 'Processed Non-zero TRI Data'!$I$2:$I$6,'Processed Non-zero TRI Data'!$A$2:$A$6)) = 'Processed Non-zero TRI Data'!$A$2:$A$6)*('Processed Non-zero TRI Data'!$I$2:$I$6 = I191), 'Processed Non-zero TRI Data'!$T$2:$T$6), "N/A- Facility Does Not Report to TRI")</f>
        <v>N/A- Facility Does Not Report to TRI</v>
      </c>
      <c r="X191" s="10" t="str">
        <f t="shared" si="66"/>
        <v>N/A - Facility Does Not Report to TRI</v>
      </c>
      <c r="Y191" s="10" t="str" cm="1">
        <f t="array" ref="Y191">IF(COUNTIF('Processed Non-zero TRI Data'!$I:$I,$I191)&gt;0,MEDIAN(IF('Processed Non-zero TRI Data'!$I:$I=I191,'Processed Non-zero TRI Data'!$T:$T)), "N/A - Facility Does Not Report to TRI")</f>
        <v>N/A - Facility Does Not Report to TRI</v>
      </c>
      <c r="Z191" s="10" t="str">
        <f t="shared" si="67"/>
        <v>N/A - Facility Does Not Report to TRI</v>
      </c>
      <c r="AA191" s="10" t="str">
        <f>IF(COUNTIF('Processed Non-zero TRI Data'!$I:$I,$I191)&gt;0,_xlfn.MAXIFS('Processed Non-zero TRI Data'!$T:$T,'Processed Non-zero TRI Data'!$I:$I,$I191), "N/A - Facility Does Not Report to TRI")</f>
        <v>N/A - Facility Does Not Report to TRI</v>
      </c>
      <c r="AB191" s="10" t="str">
        <f t="shared" si="68"/>
        <v>N/A - Facility Does Not Report to TRI</v>
      </c>
      <c r="AC191" s="158" t="str" cm="1">
        <f t="array" ref="AC191">IFERROR(IF(B191 = "TRI Form R", IF(AA191 = 0, "Facility has no on-site water discharges between 2017-2022.",  IF(COUNTIF('Processed Non-zero TRI Data'!$I:$I,$I191)&gt;0,INDEX('Processed Non-zero TRI Data'!$A:$A,MATCH(1,($I191='Processed Non-zero TRI Data'!$I:$I)*(AA191='Processed Non-zero TRI Data'!$T:$T),0)))), VLOOKUP(I191,#REF!, 2, FALSE)), ("N/A - Facility Does Not Report to TRI"))</f>
        <v>N/A - Facility Does Not Report to TRI</v>
      </c>
      <c r="AD191" s="97" t="str" cm="1">
        <f t="array" ref="AD191">IFERROR(_xlfn.XLOOKUP(1,  (MAX(IF(I191 = 'Processed Non-zero TRI Data'!$I$2:$I$6,'Processed Non-zero TRI Data'!$A$2:$A$6)) = 'Processed Non-zero TRI Data'!$A$2:$A$6)*('Processed Non-zero TRI Data'!$I$2:$I$6 = I191), 'Processed Non-zero TRI Data'!$V$2:$V$6), "N/A- Facility Does Not Report to TRI")</f>
        <v>N/A- Facility Does Not Report to TRI</v>
      </c>
      <c r="AE191" s="9" t="str">
        <f t="shared" si="69"/>
        <v>N/A - Facility Does Not Report to TRI</v>
      </c>
      <c r="AF191" s="9" t="str" cm="1">
        <f t="array" ref="AF191">IF(COUNTIF('Processed Non-zero TRI Data'!$I:$I,$I191)&gt;0,MEDIAN(IF('Processed Non-zero TRI Data'!$I:$I=I191,'Processed Non-zero TRI Data'!$V:$V)), "N/A - Facility Does Not Report to TRI")</f>
        <v>N/A - Facility Does Not Report to TRI</v>
      </c>
      <c r="AG191" s="9" t="str">
        <f t="shared" si="70"/>
        <v>N/A - Facility Does Not Report to TRI</v>
      </c>
      <c r="AH191" s="9" t="str">
        <f>IF(COUNTIF('Processed Non-zero TRI Data'!$I:$I,$I191)&gt;0,_xlfn.MAXIFS('Processed Non-zero TRI Data'!$V:$V,'Processed Non-zero TRI Data'!$I:$I,$I191), "N/A - Facility Does Not Report to TRI")</f>
        <v>N/A - Facility Does Not Report to TRI</v>
      </c>
      <c r="AI191" s="9" t="str">
        <f t="shared" si="71"/>
        <v>N/A - Facility Does Not Report to TRI</v>
      </c>
      <c r="AJ191" s="158" t="str" cm="1">
        <f t="array" ref="AJ191">IF(B191="TRI Form A",AC191,IF(AH191=0,"Facility has no transfers to POTWs between 2019-2023.",IF(COUNTIF('Processed Non-zero TRI Data'!$I:$I,$I191)&gt;0,INDEX('Processed Non-zero TRI Data'!$A:$A,MATCH(1,($I191='Processed Non-zero TRI Data'!$I:$I)*(AH191='Processed Non-zero TRI Data'!$V:$V),0)),"N/A - Facility Does Not Report to TRI")))</f>
        <v>N/A - Facility Does Not Report to TRI</v>
      </c>
      <c r="AK191" s="97" t="str" cm="1">
        <f t="array" ref="AK191">IFERROR(_xlfn.XLOOKUP(1,  (MAX(IF(I191 = 'Processed Non-zero TRI Data'!$I$2:$I$6,'Processed Non-zero TRI Data'!$A$2:$A$6)) = 'Processed Non-zero TRI Data'!$A$2:$A$6)*('Processed Non-zero TRI Data'!$I$2:$I$6 = I191), 'Processed Non-zero TRI Data'!$X$2:$X$6), "N/A- Facility Does Not Report to TRI")</f>
        <v>N/A- Facility Does Not Report to TRI</v>
      </c>
      <c r="AL191" s="9" t="str">
        <f t="shared" si="72"/>
        <v>N/A - Facility Does Not Report to TRI</v>
      </c>
      <c r="AM191" s="9" t="str" cm="1">
        <f t="array" ref="AM191">IF(COUNTIF('Processed Non-zero TRI Data'!$I:$I,$I191)&gt;0,MEDIAN(IF('Processed Non-zero TRI Data'!$I:$I=I191,'Processed Non-zero TRI Data'!$X:$X)), "N/A - Facility Does Not Report to TRI")</f>
        <v>N/A - Facility Does Not Report to TRI</v>
      </c>
      <c r="AN191" s="9" t="str">
        <f t="shared" si="73"/>
        <v>N/A - Facility Does Not Report to TRI</v>
      </c>
      <c r="AO191" s="9" t="str">
        <f>IF(COUNTIF('Processed Non-zero TRI Data'!$I:$I,$I191)&gt;0,_xlfn.MAXIFS('Processed Non-zero TRI Data'!$X:$X,'Processed Non-zero TRI Data'!$I:$I,$I191), "N/A - Facility Does Not Report to TRI")</f>
        <v>N/A - Facility Does Not Report to TRI</v>
      </c>
      <c r="AP191" s="9" t="str">
        <f t="shared" si="74"/>
        <v>N/A - Facility Does Not Report to TRI</v>
      </c>
      <c r="AQ191" s="251" t="str" cm="1">
        <f t="array" ref="AQ191">IF(B191="TRI Form A",AC191,IF(AO191=0,"Facility has no transfers to non-POTWs between 2019-2023.",IF(COUNTIF('Processed Non-zero TRI Data'!$I:$I,$I191)&gt;0,INDEX('Processed Non-zero TRI Data'!$A:$A,MATCH(1,($I191='Processed Non-zero TRI Data'!$I:$I)*(AO191='Processed Non-zero TRI Data'!$X:$X),0)),"N/A - Facility Does Not Report to TRI")))</f>
        <v>N/A - Facility Does Not Report to TRI</v>
      </c>
      <c r="AR191" s="260">
        <f t="shared" si="61"/>
        <v>0</v>
      </c>
      <c r="AS191" s="260">
        <f t="shared" si="62"/>
        <v>1.6192230000000001</v>
      </c>
    </row>
    <row r="192" spans="1:45" ht="30" x14ac:dyDescent="0.25">
      <c r="A192" s="12">
        <v>189</v>
      </c>
      <c r="B192" s="10" t="str">
        <f>IFERROR("TRI Form "&amp; VLOOKUP(I192, 'Processed Non-zero TRI Data'!$I$2:$K$6, 3, FALSE), "DMR")</f>
        <v>DMR</v>
      </c>
      <c r="C192" s="181" t="e">
        <f>VLOOKUP(D192,#REF!, 2, FALSE)</f>
        <v>#REF!</v>
      </c>
      <c r="D192" s="181" t="str">
        <f>IF(I192&lt;&gt;"",INDEX('Processed Non-zero TRI Data'!$O:$O,MATCH(I192,'Processed Non-zero TRI Data'!$I:$I,0)),INDEX('Processed Non-zero DMR Data'!$S:$S,MATCH(J192,'Processed Non-zero DMR Data'!$I:$I,0)))</f>
        <v>Waste Handling, Disposal and Treatment (POTW)</v>
      </c>
      <c r="E192" s="181" t="str">
        <f>IF(I192&lt;&gt;"",INDEX('Processed Non-zero TRI Data'!$P:$P,MATCH(I192,'Processed Non-zero TRI Data'!$I:$I,0)),INDEX('Processed Non-zero DMR Data'!$T:$T,MATCH(J192,'Processed Non-zero DMR Data'!$I:$I,0)))</f>
        <v>POTW indicator in DMR</v>
      </c>
      <c r="F192" s="9" t="str">
        <f>_xlfn.XLOOKUP(J192, 'Processed Non-zero DMR Data'!I:I, 'Processed Non-zero DMR Data'!B:B)</f>
        <v>GEORGETOWN STP #1</v>
      </c>
      <c r="G192" s="9" t="str">
        <f>_xlfn.XLOOKUP(J192, 'Processed Non-zero DMR Data'!I:I, 'Processed Non-zero DMR Data'!C:C)</f>
        <v>GEORGETOWN</v>
      </c>
      <c r="H192" s="9" t="str">
        <f>_xlfn.XLOOKUP(J192, 'Processed Non-zero DMR Data'!I:I, 'Processed Non-zero DMR Data'!E:E)</f>
        <v>KY</v>
      </c>
      <c r="I192" s="12"/>
      <c r="J192" s="13">
        <v>110000732208</v>
      </c>
      <c r="K192" s="9" t="str">
        <f>IFERROR(INDEX('Raw Non-zero DMR Data'!$C:$C, MATCH(J192,'Raw Non-zero DMR Data'!$D:$D,0)),"")</f>
        <v>KY0020150</v>
      </c>
      <c r="L192" s="9" t="str">
        <f>IFERROR(INDEX('Raw Non-zero DMR Data'!$U:$U, MATCH($J192,'Raw Non-zero DMR Data'!$D:$D,0)),"")</f>
        <v>Dry Run-North Elkhorn Creek</v>
      </c>
      <c r="M192" s="155" t="str">
        <f>IFERROR(INDEX('Raw Non-zero DMR Data'!$T:$T, MATCH($J192,'Raw Non-zero DMR Data'!$D:$D,0)),"")</f>
        <v>051002050805</v>
      </c>
      <c r="N192" s="155" t="str">
        <f>IFERROR(INDEX('Off-site Locations'!$E:$E,MATCH(I192,'Off-site Locations'!$B:$B,0)),"No offsite transfers")</f>
        <v>No offsite transfers</v>
      </c>
      <c r="O192" s="165">
        <f>INDEX('TRI and DMR OES Summary'!D:D,MATCH('Facility Discharge Summary'!D192,'TRI and DMR OES Summary'!A:A,0))</f>
        <v>365</v>
      </c>
      <c r="P192" s="17" cm="1">
        <f t="array" ref="P192">IFERROR(_xlfn.XLOOKUP(1,  (MAX(IF(J192 = 'Processed Non-zero DMR Data'!$I$2:$I$651,'Processed Non-zero DMR Data'!$A$2:$A$651)) = 'Processed Non-zero DMR Data'!$A$2:$A$651)*('Processed Non-zero DMR Data'!$I$2:$I$651 = J192),'Processed Non-zero DMR Data'!$W$2:$W$651), "N/A- Facility Does Not Report DMRs")</f>
        <v>8.4618406250000007</v>
      </c>
      <c r="Q192" s="10">
        <f t="shared" si="63"/>
        <v>2.3183125000000002E-2</v>
      </c>
      <c r="R192" s="10" cm="1">
        <f t="array" ref="R192">IF(COUNTIF('Processed Non-zero DMR Data'!$I:$I,$J192)&gt;0,MEDIAN(IF('Processed Non-zero DMR Data'!$I:$I=J192,'Processed Non-zero DMR Data'!$W:$W)),"N/A - Facility Does Not Report DMRs")</f>
        <v>8.6172621874999997</v>
      </c>
      <c r="S192" s="10">
        <f t="shared" si="64"/>
        <v>2.36089375E-2</v>
      </c>
      <c r="T192" s="10">
        <f>IF(COUNTIF('Processed Non-zero DMR Data'!$I:$I,$J192)&gt;0,_xlfn.MAXIFS('Processed Non-zero DMR Data'!$W:$W,'Processed Non-zero DMR Data'!$I:$I,$J192), "N/A - Facility Does Not Report DMRs")</f>
        <v>8.7726837500000006</v>
      </c>
      <c r="U192" s="10">
        <f t="shared" si="65"/>
        <v>2.4034750000000001E-2</v>
      </c>
      <c r="V192" s="158" cm="1">
        <f t="array" ref="V192">IF(COUNTIF('Processed Non-zero DMR Data'!$I:$I,$J192)&gt;0,INDEX('Processed Non-zero DMR Data'!$A:$A,MATCH(1,($J192='Processed Non-zero DMR Data'!$I:$I)*($T192='Processed Non-zero DMR Data'!$W:$W),0)), "N/A - Facility Does Not Report DMRs")</f>
        <v>2022</v>
      </c>
      <c r="W192" s="17" t="str" cm="1">
        <f t="array" ref="W192">IFERROR(_xlfn.XLOOKUP(1,  (MAX(IF(I192 = 'Processed Non-zero TRI Data'!$I$2:$I$6,'Processed Non-zero TRI Data'!$A$2:$A$6)) = 'Processed Non-zero TRI Data'!$A$2:$A$6)*('Processed Non-zero TRI Data'!$I$2:$I$6 = I192), 'Processed Non-zero TRI Data'!$T$2:$T$6), "N/A- Facility Does Not Report to TRI")</f>
        <v>N/A- Facility Does Not Report to TRI</v>
      </c>
      <c r="X192" s="10" t="str">
        <f t="shared" si="66"/>
        <v>N/A - Facility Does Not Report to TRI</v>
      </c>
      <c r="Y192" s="10" t="str" cm="1">
        <f t="array" ref="Y192">IF(COUNTIF('Processed Non-zero TRI Data'!$I:$I,$I192)&gt;0,MEDIAN(IF('Processed Non-zero TRI Data'!$I:$I=I192,'Processed Non-zero TRI Data'!$T:$T)), "N/A - Facility Does Not Report to TRI")</f>
        <v>N/A - Facility Does Not Report to TRI</v>
      </c>
      <c r="Z192" s="10" t="str">
        <f t="shared" si="67"/>
        <v>N/A - Facility Does Not Report to TRI</v>
      </c>
      <c r="AA192" s="10" t="str">
        <f>IF(COUNTIF('Processed Non-zero TRI Data'!$I:$I,$I192)&gt;0,_xlfn.MAXIFS('Processed Non-zero TRI Data'!$T:$T,'Processed Non-zero TRI Data'!$I:$I,$I192), "N/A - Facility Does Not Report to TRI")</f>
        <v>N/A - Facility Does Not Report to TRI</v>
      </c>
      <c r="AB192" s="10" t="str">
        <f t="shared" si="68"/>
        <v>N/A - Facility Does Not Report to TRI</v>
      </c>
      <c r="AC192" s="158" t="str" cm="1">
        <f t="array" ref="AC192">IFERROR(IF(B192 = "TRI Form R", IF(AA192 = 0, "Facility has no on-site water discharges between 2017-2022.",  IF(COUNTIF('Processed Non-zero TRI Data'!$I:$I,$I192)&gt;0,INDEX('Processed Non-zero TRI Data'!$A:$A,MATCH(1,($I192='Processed Non-zero TRI Data'!$I:$I)*(AA192='Processed Non-zero TRI Data'!$T:$T),0)))), VLOOKUP(I192,#REF!, 2, FALSE)), ("N/A - Facility Does Not Report to TRI"))</f>
        <v>N/A - Facility Does Not Report to TRI</v>
      </c>
      <c r="AD192" s="97" t="str" cm="1">
        <f t="array" ref="AD192">IFERROR(_xlfn.XLOOKUP(1,  (MAX(IF(I192 = 'Processed Non-zero TRI Data'!$I$2:$I$6,'Processed Non-zero TRI Data'!$A$2:$A$6)) = 'Processed Non-zero TRI Data'!$A$2:$A$6)*('Processed Non-zero TRI Data'!$I$2:$I$6 = I192), 'Processed Non-zero TRI Data'!$V$2:$V$6), "N/A- Facility Does Not Report to TRI")</f>
        <v>N/A- Facility Does Not Report to TRI</v>
      </c>
      <c r="AE192" s="9" t="str">
        <f t="shared" si="69"/>
        <v>N/A - Facility Does Not Report to TRI</v>
      </c>
      <c r="AF192" s="9" t="str" cm="1">
        <f t="array" ref="AF192">IF(COUNTIF('Processed Non-zero TRI Data'!$I:$I,$I192)&gt;0,MEDIAN(IF('Processed Non-zero TRI Data'!$I:$I=I192,'Processed Non-zero TRI Data'!$V:$V)), "N/A - Facility Does Not Report to TRI")</f>
        <v>N/A - Facility Does Not Report to TRI</v>
      </c>
      <c r="AG192" s="9" t="str">
        <f t="shared" si="70"/>
        <v>N/A - Facility Does Not Report to TRI</v>
      </c>
      <c r="AH192" s="9" t="str">
        <f>IF(COUNTIF('Processed Non-zero TRI Data'!$I:$I,$I192)&gt;0,_xlfn.MAXIFS('Processed Non-zero TRI Data'!$V:$V,'Processed Non-zero TRI Data'!$I:$I,$I192), "N/A - Facility Does Not Report to TRI")</f>
        <v>N/A - Facility Does Not Report to TRI</v>
      </c>
      <c r="AI192" s="9" t="str">
        <f t="shared" si="71"/>
        <v>N/A - Facility Does Not Report to TRI</v>
      </c>
      <c r="AJ192" s="158" t="str" cm="1">
        <f t="array" ref="AJ192">IF(B192="TRI Form A",AC192,IF(AH192=0,"Facility has no transfers to POTWs between 2019-2023.",IF(COUNTIF('Processed Non-zero TRI Data'!$I:$I,$I192)&gt;0,INDEX('Processed Non-zero TRI Data'!$A:$A,MATCH(1,($I192='Processed Non-zero TRI Data'!$I:$I)*(AH192='Processed Non-zero TRI Data'!$V:$V),0)),"N/A - Facility Does Not Report to TRI")))</f>
        <v>N/A - Facility Does Not Report to TRI</v>
      </c>
      <c r="AK192" s="97" t="str" cm="1">
        <f t="array" ref="AK192">IFERROR(_xlfn.XLOOKUP(1,  (MAX(IF(I192 = 'Processed Non-zero TRI Data'!$I$2:$I$6,'Processed Non-zero TRI Data'!$A$2:$A$6)) = 'Processed Non-zero TRI Data'!$A$2:$A$6)*('Processed Non-zero TRI Data'!$I$2:$I$6 = I192), 'Processed Non-zero TRI Data'!$X$2:$X$6), "N/A- Facility Does Not Report to TRI")</f>
        <v>N/A- Facility Does Not Report to TRI</v>
      </c>
      <c r="AL192" s="9" t="str">
        <f t="shared" si="72"/>
        <v>N/A - Facility Does Not Report to TRI</v>
      </c>
      <c r="AM192" s="9" t="str" cm="1">
        <f t="array" ref="AM192">IF(COUNTIF('Processed Non-zero TRI Data'!$I:$I,$I192)&gt;0,MEDIAN(IF('Processed Non-zero TRI Data'!$I:$I=I192,'Processed Non-zero TRI Data'!$X:$X)), "N/A - Facility Does Not Report to TRI")</f>
        <v>N/A - Facility Does Not Report to TRI</v>
      </c>
      <c r="AN192" s="9" t="str">
        <f t="shared" si="73"/>
        <v>N/A - Facility Does Not Report to TRI</v>
      </c>
      <c r="AO192" s="9" t="str">
        <f>IF(COUNTIF('Processed Non-zero TRI Data'!$I:$I,$I192)&gt;0,_xlfn.MAXIFS('Processed Non-zero TRI Data'!$X:$X,'Processed Non-zero TRI Data'!$I:$I,$I192), "N/A - Facility Does Not Report to TRI")</f>
        <v>N/A - Facility Does Not Report to TRI</v>
      </c>
      <c r="AP192" s="9" t="str">
        <f t="shared" si="74"/>
        <v>N/A - Facility Does Not Report to TRI</v>
      </c>
      <c r="AQ192" s="251" t="str" cm="1">
        <f t="array" ref="AQ192">IF(B192="TRI Form A",AC192,IF(AO192=0,"Facility has no transfers to non-POTWs between 2019-2023.",IF(COUNTIF('Processed Non-zero TRI Data'!$I:$I,$I192)&gt;0,INDEX('Processed Non-zero TRI Data'!$A:$A,MATCH(1,($I192='Processed Non-zero TRI Data'!$I:$I)*(AO192='Processed Non-zero TRI Data'!$X:$X),0)),"N/A - Facility Does Not Report to TRI")))</f>
        <v>N/A - Facility Does Not Report to TRI</v>
      </c>
      <c r="AR192" s="260">
        <f t="shared" si="61"/>
        <v>0</v>
      </c>
      <c r="AS192" s="260">
        <f t="shared" si="62"/>
        <v>8.7726837500000006</v>
      </c>
    </row>
    <row r="193" spans="1:45" ht="30" x14ac:dyDescent="0.25">
      <c r="A193" s="12">
        <v>190</v>
      </c>
      <c r="B193" s="10" t="str">
        <f>IFERROR("TRI Form "&amp; VLOOKUP(I193, 'Processed Non-zero TRI Data'!$I$2:$K$6, 3, FALSE), "DMR")</f>
        <v>DMR</v>
      </c>
      <c r="C193" s="181" t="e">
        <f>VLOOKUP(D193,#REF!, 2, FALSE)</f>
        <v>#REF!</v>
      </c>
      <c r="D193" s="181" t="str">
        <f>IF(I193&lt;&gt;"",INDEX('Processed Non-zero TRI Data'!$O:$O,MATCH(I193,'Processed Non-zero TRI Data'!$I:$I,0)),INDEX('Processed Non-zero DMR Data'!$S:$S,MATCH(J193,'Processed Non-zero DMR Data'!$I:$I,0)))</f>
        <v>Waste Handling, Disposal and Treatment (POTW)</v>
      </c>
      <c r="E193" s="181" t="str">
        <f>IF(I193&lt;&gt;"",INDEX('Processed Non-zero TRI Data'!$P:$P,MATCH(I193,'Processed Non-zero TRI Data'!$I:$I,0)),INDEX('Processed Non-zero DMR Data'!$T:$T,MATCH(J193,'Processed Non-zero DMR Data'!$I:$I,0)))</f>
        <v>POTW indicator in DMR</v>
      </c>
      <c r="F193" s="9" t="str">
        <f>_xlfn.XLOOKUP(J193, 'Processed Non-zero DMR Data'!I:I, 'Processed Non-zero DMR Data'!B:B)</f>
        <v>FRANKLIN TWP SEW AUTH STP</v>
      </c>
      <c r="G193" s="9" t="str">
        <f>_xlfn.XLOOKUP(J193, 'Processed Non-zero DMR Data'!I:I, 'Processed Non-zero DMR Data'!C:C)</f>
        <v>WAYNESBURG</v>
      </c>
      <c r="H193" s="9" t="str">
        <f>_xlfn.XLOOKUP(J193, 'Processed Non-zero DMR Data'!I:I, 'Processed Non-zero DMR Data'!E:E)</f>
        <v>PA</v>
      </c>
      <c r="I193" s="12"/>
      <c r="J193" s="13">
        <v>110039840740</v>
      </c>
      <c r="K193" s="9" t="str">
        <f>IFERROR(INDEX('Raw Non-zero DMR Data'!$C:$C, MATCH(J193,'Raw Non-zero DMR Data'!$D:$D,0)),"")</f>
        <v>PA0046426</v>
      </c>
      <c r="L193" s="9" t="str">
        <f>IFERROR(INDEX('Raw Non-zero DMR Data'!$U:$U, MATCH($J193,'Raw Non-zero DMR Data'!$D:$D,0)),"")</f>
        <v>Smith Creek-South Fork Tenmile Creek</v>
      </c>
      <c r="M193" s="155" t="str">
        <f>IFERROR(INDEX('Raw Non-zero DMR Data'!$T:$T, MATCH($J193,'Raw Non-zero DMR Data'!$D:$D,0)),"")</f>
        <v>050200050305</v>
      </c>
      <c r="N193" s="155" t="str">
        <f>IFERROR(INDEX('Off-site Locations'!$E:$E,MATCH(I193,'Off-site Locations'!$B:$B,0)),"No offsite transfers")</f>
        <v>No offsite transfers</v>
      </c>
      <c r="O193" s="165">
        <f>INDEX('TRI and DMR OES Summary'!D:D,MATCH('Facility Discharge Summary'!D193,'TRI and DMR OES Summary'!A:A,0))</f>
        <v>365</v>
      </c>
      <c r="P193" s="17" cm="1">
        <f t="array" ref="P193">IFERROR(_xlfn.XLOOKUP(1,  (MAX(IF(J193 = 'Processed Non-zero DMR Data'!$I$2:$I$651,'Processed Non-zero DMR Data'!$A$2:$A$651)) = 'Processed Non-zero DMR Data'!$A$2:$A$651)*('Processed Non-zero DMR Data'!$I$2:$I$651 = J193),'Processed Non-zero DMR Data'!$W$2:$W$651), "N/A- Facility Does Not Report DMRs")</f>
        <v>0.56949760000000005</v>
      </c>
      <c r="Q193" s="10">
        <f t="shared" si="63"/>
        <v>1.5602673972602741E-3</v>
      </c>
      <c r="R193" s="10" cm="1">
        <f t="array" ref="R193">IF(COUNTIF('Processed Non-zero DMR Data'!$I:$I,$J193)&gt;0,MEDIAN(IF('Processed Non-zero DMR Data'!$I:$I=J193,'Processed Non-zero DMR Data'!$W:$W)),"N/A - Facility Does Not Report DMRs")</f>
        <v>179.63874594285701</v>
      </c>
      <c r="S193" s="10">
        <f t="shared" si="64"/>
        <v>0.49216094778864933</v>
      </c>
      <c r="T193" s="10">
        <f>IF(COUNTIF('Processed Non-zero DMR Data'!$I:$I,$J193)&gt;0,_xlfn.MAXIFS('Processed Non-zero DMR Data'!$W:$W,'Processed Non-zero DMR Data'!$I:$I,$J193), "N/A - Facility Does Not Report DMRs")</f>
        <v>358.70799428571399</v>
      </c>
      <c r="U193" s="10">
        <f t="shared" si="65"/>
        <v>0.98276162818003832</v>
      </c>
      <c r="V193" s="158" cm="1">
        <f t="array" ref="V193">IF(COUNTIF('Processed Non-zero DMR Data'!$I:$I,$J193)&gt;0,INDEX('Processed Non-zero DMR Data'!$A:$A,MATCH(1,($J193='Processed Non-zero DMR Data'!$I:$I)*($T193='Processed Non-zero DMR Data'!$W:$W),0)), "N/A - Facility Does Not Report DMRs")</f>
        <v>2022</v>
      </c>
      <c r="W193" s="17" t="str" cm="1">
        <f t="array" ref="W193">IFERROR(_xlfn.XLOOKUP(1,  (MAX(IF(I193 = 'Processed Non-zero TRI Data'!$I$2:$I$6,'Processed Non-zero TRI Data'!$A$2:$A$6)) = 'Processed Non-zero TRI Data'!$A$2:$A$6)*('Processed Non-zero TRI Data'!$I$2:$I$6 = I193), 'Processed Non-zero TRI Data'!$T$2:$T$6), "N/A- Facility Does Not Report to TRI")</f>
        <v>N/A- Facility Does Not Report to TRI</v>
      </c>
      <c r="X193" s="10" t="str">
        <f t="shared" si="66"/>
        <v>N/A - Facility Does Not Report to TRI</v>
      </c>
      <c r="Y193" s="10" t="str" cm="1">
        <f t="array" ref="Y193">IF(COUNTIF('Processed Non-zero TRI Data'!$I:$I,$I193)&gt;0,MEDIAN(IF('Processed Non-zero TRI Data'!$I:$I=I193,'Processed Non-zero TRI Data'!$T:$T)), "N/A - Facility Does Not Report to TRI")</f>
        <v>N/A - Facility Does Not Report to TRI</v>
      </c>
      <c r="Z193" s="10" t="str">
        <f t="shared" si="67"/>
        <v>N/A - Facility Does Not Report to TRI</v>
      </c>
      <c r="AA193" s="10" t="str">
        <f>IF(COUNTIF('Processed Non-zero TRI Data'!$I:$I,$I193)&gt;0,_xlfn.MAXIFS('Processed Non-zero TRI Data'!$T:$T,'Processed Non-zero TRI Data'!$I:$I,$I193), "N/A - Facility Does Not Report to TRI")</f>
        <v>N/A - Facility Does Not Report to TRI</v>
      </c>
      <c r="AB193" s="10" t="str">
        <f t="shared" si="68"/>
        <v>N/A - Facility Does Not Report to TRI</v>
      </c>
      <c r="AC193" s="158" t="str" cm="1">
        <f t="array" ref="AC193">IFERROR(IF(B193 = "TRI Form R", IF(AA193 = 0, "Facility has no on-site water discharges between 2017-2022.",  IF(COUNTIF('Processed Non-zero TRI Data'!$I:$I,$I193)&gt;0,INDEX('Processed Non-zero TRI Data'!$A:$A,MATCH(1,($I193='Processed Non-zero TRI Data'!$I:$I)*(AA193='Processed Non-zero TRI Data'!$T:$T),0)))), VLOOKUP(I193,#REF!, 2, FALSE)), ("N/A - Facility Does Not Report to TRI"))</f>
        <v>N/A - Facility Does Not Report to TRI</v>
      </c>
      <c r="AD193" s="97" t="str" cm="1">
        <f t="array" ref="AD193">IFERROR(_xlfn.XLOOKUP(1,  (MAX(IF(I193 = 'Processed Non-zero TRI Data'!$I$2:$I$6,'Processed Non-zero TRI Data'!$A$2:$A$6)) = 'Processed Non-zero TRI Data'!$A$2:$A$6)*('Processed Non-zero TRI Data'!$I$2:$I$6 = I193), 'Processed Non-zero TRI Data'!$V$2:$V$6), "N/A- Facility Does Not Report to TRI")</f>
        <v>N/A- Facility Does Not Report to TRI</v>
      </c>
      <c r="AE193" s="9" t="str">
        <f t="shared" si="69"/>
        <v>N/A - Facility Does Not Report to TRI</v>
      </c>
      <c r="AF193" s="9" t="str" cm="1">
        <f t="array" ref="AF193">IF(COUNTIF('Processed Non-zero TRI Data'!$I:$I,$I193)&gt;0,MEDIAN(IF('Processed Non-zero TRI Data'!$I:$I=I193,'Processed Non-zero TRI Data'!$V:$V)), "N/A - Facility Does Not Report to TRI")</f>
        <v>N/A - Facility Does Not Report to TRI</v>
      </c>
      <c r="AG193" s="9" t="str">
        <f t="shared" si="70"/>
        <v>N/A - Facility Does Not Report to TRI</v>
      </c>
      <c r="AH193" s="9" t="str">
        <f>IF(COUNTIF('Processed Non-zero TRI Data'!$I:$I,$I193)&gt;0,_xlfn.MAXIFS('Processed Non-zero TRI Data'!$V:$V,'Processed Non-zero TRI Data'!$I:$I,$I193), "N/A - Facility Does Not Report to TRI")</f>
        <v>N/A - Facility Does Not Report to TRI</v>
      </c>
      <c r="AI193" s="9" t="str">
        <f t="shared" si="71"/>
        <v>N/A - Facility Does Not Report to TRI</v>
      </c>
      <c r="AJ193" s="158" t="str" cm="1">
        <f t="array" ref="AJ193">IF(B193="TRI Form A",AC193,IF(AH193=0,"Facility has no transfers to POTWs between 2019-2023.",IF(COUNTIF('Processed Non-zero TRI Data'!$I:$I,$I193)&gt;0,INDEX('Processed Non-zero TRI Data'!$A:$A,MATCH(1,($I193='Processed Non-zero TRI Data'!$I:$I)*(AH193='Processed Non-zero TRI Data'!$V:$V),0)),"N/A - Facility Does Not Report to TRI")))</f>
        <v>N/A - Facility Does Not Report to TRI</v>
      </c>
      <c r="AK193" s="97" t="str" cm="1">
        <f t="array" ref="AK193">IFERROR(_xlfn.XLOOKUP(1,  (MAX(IF(I193 = 'Processed Non-zero TRI Data'!$I$2:$I$6,'Processed Non-zero TRI Data'!$A$2:$A$6)) = 'Processed Non-zero TRI Data'!$A$2:$A$6)*('Processed Non-zero TRI Data'!$I$2:$I$6 = I193), 'Processed Non-zero TRI Data'!$X$2:$X$6), "N/A- Facility Does Not Report to TRI")</f>
        <v>N/A- Facility Does Not Report to TRI</v>
      </c>
      <c r="AL193" s="9" t="str">
        <f t="shared" si="72"/>
        <v>N/A - Facility Does Not Report to TRI</v>
      </c>
      <c r="AM193" s="9" t="str" cm="1">
        <f t="array" ref="AM193">IF(COUNTIF('Processed Non-zero TRI Data'!$I:$I,$I193)&gt;0,MEDIAN(IF('Processed Non-zero TRI Data'!$I:$I=I193,'Processed Non-zero TRI Data'!$X:$X)), "N/A - Facility Does Not Report to TRI")</f>
        <v>N/A - Facility Does Not Report to TRI</v>
      </c>
      <c r="AN193" s="9" t="str">
        <f t="shared" si="73"/>
        <v>N/A - Facility Does Not Report to TRI</v>
      </c>
      <c r="AO193" s="9" t="str">
        <f>IF(COUNTIF('Processed Non-zero TRI Data'!$I:$I,$I193)&gt;0,_xlfn.MAXIFS('Processed Non-zero TRI Data'!$X:$X,'Processed Non-zero TRI Data'!$I:$I,$I193), "N/A - Facility Does Not Report to TRI")</f>
        <v>N/A - Facility Does Not Report to TRI</v>
      </c>
      <c r="AP193" s="9" t="str">
        <f t="shared" si="74"/>
        <v>N/A - Facility Does Not Report to TRI</v>
      </c>
      <c r="AQ193" s="251" t="str" cm="1">
        <f t="array" ref="AQ193">IF(B193="TRI Form A",AC193,IF(AO193=0,"Facility has no transfers to non-POTWs between 2019-2023.",IF(COUNTIF('Processed Non-zero TRI Data'!$I:$I,$I193)&gt;0,INDEX('Processed Non-zero TRI Data'!$A:$A,MATCH(1,($I193='Processed Non-zero TRI Data'!$I:$I)*(AO193='Processed Non-zero TRI Data'!$X:$X),0)),"N/A - Facility Does Not Report to TRI")))</f>
        <v>N/A - Facility Does Not Report to TRI</v>
      </c>
      <c r="AR193" s="260">
        <f t="shared" si="61"/>
        <v>0</v>
      </c>
      <c r="AS193" s="260">
        <f t="shared" si="62"/>
        <v>358.70799428571399</v>
      </c>
    </row>
    <row r="194" spans="1:45" ht="30" x14ac:dyDescent="0.25">
      <c r="A194" s="12">
        <v>191</v>
      </c>
      <c r="B194" s="10" t="str">
        <f>IFERROR("TRI Form "&amp; VLOOKUP(I194, 'Processed Non-zero TRI Data'!$I$2:$K$6, 3, FALSE), "DMR")</f>
        <v>DMR</v>
      </c>
      <c r="C194" s="181" t="e">
        <f>VLOOKUP(D194,#REF!, 2, FALSE)</f>
        <v>#REF!</v>
      </c>
      <c r="D194" s="181" t="str">
        <f>IF(I194&lt;&gt;"",INDEX('Processed Non-zero TRI Data'!$O:$O,MATCH(I194,'Processed Non-zero TRI Data'!$I:$I,0)),INDEX('Processed Non-zero DMR Data'!$S:$S,MATCH(J194,'Processed Non-zero DMR Data'!$I:$I,0)))</f>
        <v>Waste Handling, Disposal and Treatment (Incinerator)</v>
      </c>
      <c r="E194" s="181" t="str">
        <f>IF(I194&lt;&gt;"",INDEX('Processed Non-zero TRI Data'!$P:$P,MATCH(I194,'Processed Non-zero TRI Data'!$I:$I,0)),INDEX('Processed Non-zero DMR Data'!$T:$T,MATCH(J194,'Processed Non-zero DMR Data'!$I:$I,0)))</f>
        <v>Cement producer; assumed incineration in cement kilns.</v>
      </c>
      <c r="F194" s="9" t="str">
        <f>_xlfn.XLOOKUP(J194, 'Processed Non-zero DMR Data'!I:I, 'Processed Non-zero DMR Data'!B:B)</f>
        <v>HANSON PERMANENTE CEMENT</v>
      </c>
      <c r="G194" s="9" t="str">
        <f>_xlfn.XLOOKUP(J194, 'Processed Non-zero DMR Data'!I:I, 'Processed Non-zero DMR Data'!C:C)</f>
        <v>CUPERTINO</v>
      </c>
      <c r="H194" s="9" t="str">
        <f>_xlfn.XLOOKUP(J194, 'Processed Non-zero DMR Data'!I:I, 'Processed Non-zero DMR Data'!E:E)</f>
        <v>CA</v>
      </c>
      <c r="I194" s="12"/>
      <c r="J194" s="13">
        <v>110000484039</v>
      </c>
      <c r="K194" s="9" t="str">
        <f>IFERROR(INDEX('Raw Non-zero DMR Data'!$C:$C, MATCH(J194,'Raw Non-zero DMR Data'!$D:$D,0)),"")</f>
        <v>CA0030210</v>
      </c>
      <c r="L194" s="9" t="str">
        <f>IFERROR(INDEX('Raw Non-zero DMR Data'!$U:$U, MATCH($J194,'Raw Non-zero DMR Data'!$D:$D,0)),"")</f>
        <v>Permanente Creek-Frontal San Francisco Bay Estuaries</v>
      </c>
      <c r="M194" s="155">
        <f>IFERROR(INDEX('Raw Non-zero DMR Data'!$T:$T, MATCH($J194,'Raw Non-zero DMR Data'!$D:$D,0)),"")</f>
        <v>180500030406</v>
      </c>
      <c r="N194" s="155" t="str">
        <f>IFERROR(INDEX('Off-site Locations'!$E:$E,MATCH(I194,'Off-site Locations'!$B:$B,0)),"No offsite transfers")</f>
        <v>No offsite transfers</v>
      </c>
      <c r="O194" s="165">
        <f>INDEX('TRI and DMR OES Summary'!D:D,MATCH('Facility Discharge Summary'!D194,'TRI and DMR OES Summary'!A:A,0))</f>
        <v>250</v>
      </c>
      <c r="P194" s="17" cm="1">
        <f t="array" ref="P194">IFERROR(_xlfn.XLOOKUP(1,  (MAX(IF(J194 = 'Processed Non-zero DMR Data'!$I$2:$I$651,'Processed Non-zero DMR Data'!$A$2:$A$651)) = 'Processed Non-zero DMR Data'!$A$2:$A$651)*('Processed Non-zero DMR Data'!$I$2:$I$651 = J194),'Processed Non-zero DMR Data'!$W$2:$W$651), "N/A- Facility Does Not Report DMRs")</f>
        <v>2.2587933750000001E-2</v>
      </c>
      <c r="Q194" s="10">
        <f t="shared" si="63"/>
        <v>9.0351735000000007E-5</v>
      </c>
      <c r="R194" s="10" cm="1">
        <f t="array" ref="R194">IF(COUNTIF('Processed Non-zero DMR Data'!$I:$I,$J194)&gt;0,MEDIAN(IF('Processed Non-zero DMR Data'!$I:$I=J194,'Processed Non-zero DMR Data'!$W:$W)),"N/A - Facility Does Not Report DMRs")</f>
        <v>2.0619260625E-2</v>
      </c>
      <c r="S194" s="10">
        <f t="shared" si="64"/>
        <v>8.2477042499999996E-5</v>
      </c>
      <c r="T194" s="10">
        <f>IF(COUNTIF('Processed Non-zero DMR Data'!$I:$I,$J194)&gt;0,_xlfn.MAXIFS('Processed Non-zero DMR Data'!$W:$W,'Processed Non-zero DMR Data'!$I:$I,$J194), "N/A - Facility Does Not Report DMRs")</f>
        <v>2.2587933750000001E-2</v>
      </c>
      <c r="U194" s="10">
        <f t="shared" si="65"/>
        <v>9.0351735000000007E-5</v>
      </c>
      <c r="V194" s="158" cm="1">
        <f t="array" ref="V194">IF(COUNTIF('Processed Non-zero DMR Data'!$I:$I,$J194)&gt;0,INDEX('Processed Non-zero DMR Data'!$A:$A,MATCH(1,($J194='Processed Non-zero DMR Data'!$I:$I)*($T194='Processed Non-zero DMR Data'!$W:$W),0)), "N/A - Facility Does Not Report DMRs")</f>
        <v>2023</v>
      </c>
      <c r="W194" s="17" t="str" cm="1">
        <f t="array" ref="W194">IFERROR(_xlfn.XLOOKUP(1,  (MAX(IF(I194 = 'Processed Non-zero TRI Data'!$I$2:$I$6,'Processed Non-zero TRI Data'!$A$2:$A$6)) = 'Processed Non-zero TRI Data'!$A$2:$A$6)*('Processed Non-zero TRI Data'!$I$2:$I$6 = I194), 'Processed Non-zero TRI Data'!$T$2:$T$6), "N/A- Facility Does Not Report to TRI")</f>
        <v>N/A- Facility Does Not Report to TRI</v>
      </c>
      <c r="X194" s="10" t="str">
        <f t="shared" si="66"/>
        <v>N/A - Facility Does Not Report to TRI</v>
      </c>
      <c r="Y194" s="10" t="str" cm="1">
        <f t="array" ref="Y194">IF(COUNTIF('Processed Non-zero TRI Data'!$I:$I,$I194)&gt;0,MEDIAN(IF('Processed Non-zero TRI Data'!$I:$I=I194,'Processed Non-zero TRI Data'!$T:$T)), "N/A - Facility Does Not Report to TRI")</f>
        <v>N/A - Facility Does Not Report to TRI</v>
      </c>
      <c r="Z194" s="10" t="str">
        <f t="shared" si="67"/>
        <v>N/A - Facility Does Not Report to TRI</v>
      </c>
      <c r="AA194" s="10" t="str">
        <f>IF(COUNTIF('Processed Non-zero TRI Data'!$I:$I,$I194)&gt;0,_xlfn.MAXIFS('Processed Non-zero TRI Data'!$T:$T,'Processed Non-zero TRI Data'!$I:$I,$I194), "N/A - Facility Does Not Report to TRI")</f>
        <v>N/A - Facility Does Not Report to TRI</v>
      </c>
      <c r="AB194" s="10" t="str">
        <f t="shared" si="68"/>
        <v>N/A - Facility Does Not Report to TRI</v>
      </c>
      <c r="AC194" s="158" t="str" cm="1">
        <f t="array" ref="AC194">IFERROR(IF(B194 = "TRI Form R", IF(AA194 = 0, "Facility has no on-site water discharges between 2017-2022.",  IF(COUNTIF('Processed Non-zero TRI Data'!$I:$I,$I194)&gt;0,INDEX('Processed Non-zero TRI Data'!$A:$A,MATCH(1,($I194='Processed Non-zero TRI Data'!$I:$I)*(AA194='Processed Non-zero TRI Data'!$T:$T),0)))), VLOOKUP(I194,#REF!, 2, FALSE)), ("N/A - Facility Does Not Report to TRI"))</f>
        <v>N/A - Facility Does Not Report to TRI</v>
      </c>
      <c r="AD194" s="97" t="str" cm="1">
        <f t="array" ref="AD194">IFERROR(_xlfn.XLOOKUP(1,  (MAX(IF(I194 = 'Processed Non-zero TRI Data'!$I$2:$I$6,'Processed Non-zero TRI Data'!$A$2:$A$6)) = 'Processed Non-zero TRI Data'!$A$2:$A$6)*('Processed Non-zero TRI Data'!$I$2:$I$6 = I194), 'Processed Non-zero TRI Data'!$V$2:$V$6), "N/A- Facility Does Not Report to TRI")</f>
        <v>N/A- Facility Does Not Report to TRI</v>
      </c>
      <c r="AE194" s="9" t="str">
        <f t="shared" si="69"/>
        <v>N/A - Facility Does Not Report to TRI</v>
      </c>
      <c r="AF194" s="9" t="str" cm="1">
        <f t="array" ref="AF194">IF(COUNTIF('Processed Non-zero TRI Data'!$I:$I,$I194)&gt;0,MEDIAN(IF('Processed Non-zero TRI Data'!$I:$I=I194,'Processed Non-zero TRI Data'!$V:$V)), "N/A - Facility Does Not Report to TRI")</f>
        <v>N/A - Facility Does Not Report to TRI</v>
      </c>
      <c r="AG194" s="9" t="str">
        <f t="shared" si="70"/>
        <v>N/A - Facility Does Not Report to TRI</v>
      </c>
      <c r="AH194" s="9" t="str">
        <f>IF(COUNTIF('Processed Non-zero TRI Data'!$I:$I,$I194)&gt;0,_xlfn.MAXIFS('Processed Non-zero TRI Data'!$V:$V,'Processed Non-zero TRI Data'!$I:$I,$I194), "N/A - Facility Does Not Report to TRI")</f>
        <v>N/A - Facility Does Not Report to TRI</v>
      </c>
      <c r="AI194" s="9" t="str">
        <f t="shared" si="71"/>
        <v>N/A - Facility Does Not Report to TRI</v>
      </c>
      <c r="AJ194" s="158" t="str" cm="1">
        <f t="array" ref="AJ194">IF(B194="TRI Form A",AC194,IF(AH194=0,"Facility has no transfers to POTWs between 2019-2023.",IF(COUNTIF('Processed Non-zero TRI Data'!$I:$I,$I194)&gt;0,INDEX('Processed Non-zero TRI Data'!$A:$A,MATCH(1,($I194='Processed Non-zero TRI Data'!$I:$I)*(AH194='Processed Non-zero TRI Data'!$V:$V),0)),"N/A - Facility Does Not Report to TRI")))</f>
        <v>N/A - Facility Does Not Report to TRI</v>
      </c>
      <c r="AK194" s="97" t="str" cm="1">
        <f t="array" ref="AK194">IFERROR(_xlfn.XLOOKUP(1,  (MAX(IF(I194 = 'Processed Non-zero TRI Data'!$I$2:$I$6,'Processed Non-zero TRI Data'!$A$2:$A$6)) = 'Processed Non-zero TRI Data'!$A$2:$A$6)*('Processed Non-zero TRI Data'!$I$2:$I$6 = I194), 'Processed Non-zero TRI Data'!$X$2:$X$6), "N/A- Facility Does Not Report to TRI")</f>
        <v>N/A- Facility Does Not Report to TRI</v>
      </c>
      <c r="AL194" s="9" t="str">
        <f t="shared" si="72"/>
        <v>N/A - Facility Does Not Report to TRI</v>
      </c>
      <c r="AM194" s="9" t="str" cm="1">
        <f t="array" ref="AM194">IF(COUNTIF('Processed Non-zero TRI Data'!$I:$I,$I194)&gt;0,MEDIAN(IF('Processed Non-zero TRI Data'!$I:$I=I194,'Processed Non-zero TRI Data'!$X:$X)), "N/A - Facility Does Not Report to TRI")</f>
        <v>N/A - Facility Does Not Report to TRI</v>
      </c>
      <c r="AN194" s="9" t="str">
        <f t="shared" si="73"/>
        <v>N/A - Facility Does Not Report to TRI</v>
      </c>
      <c r="AO194" s="9" t="str">
        <f>IF(COUNTIF('Processed Non-zero TRI Data'!$I:$I,$I194)&gt;0,_xlfn.MAXIFS('Processed Non-zero TRI Data'!$X:$X,'Processed Non-zero TRI Data'!$I:$I,$I194), "N/A - Facility Does Not Report to TRI")</f>
        <v>N/A - Facility Does Not Report to TRI</v>
      </c>
      <c r="AP194" s="9" t="str">
        <f t="shared" si="74"/>
        <v>N/A - Facility Does Not Report to TRI</v>
      </c>
      <c r="AQ194" s="251" t="str" cm="1">
        <f t="array" ref="AQ194">IF(B194="TRI Form A",AC194,IF(AO194=0,"Facility has no transfers to non-POTWs between 2019-2023.",IF(COUNTIF('Processed Non-zero TRI Data'!$I:$I,$I194)&gt;0,INDEX('Processed Non-zero TRI Data'!$A:$A,MATCH(1,($I194='Processed Non-zero TRI Data'!$I:$I)*(AO194='Processed Non-zero TRI Data'!$X:$X),0)),"N/A - Facility Does Not Report to TRI")))</f>
        <v>N/A - Facility Does Not Report to TRI</v>
      </c>
      <c r="AR194" s="260">
        <f t="shared" si="61"/>
        <v>0</v>
      </c>
      <c r="AS194" s="260">
        <f t="shared" si="62"/>
        <v>2.2587933750000001E-2</v>
      </c>
    </row>
    <row r="195" spans="1:45" ht="30" x14ac:dyDescent="0.25">
      <c r="A195" s="12">
        <v>192</v>
      </c>
      <c r="B195" s="10" t="str">
        <f>IFERROR("TRI Form "&amp; VLOOKUP(I195, 'Processed Non-zero TRI Data'!$I$2:$K$6, 3, FALSE), "DMR")</f>
        <v>DMR</v>
      </c>
      <c r="C195" s="181" t="e">
        <f>VLOOKUP(D195,#REF!, 2, FALSE)</f>
        <v>#REF!</v>
      </c>
      <c r="D195" s="181" t="str">
        <f>IF(I195&lt;&gt;"",INDEX('Processed Non-zero TRI Data'!$O:$O,MATCH(I195,'Processed Non-zero TRI Data'!$I:$I,0)),INDEX('Processed Non-zero DMR Data'!$S:$S,MATCH(J195,'Processed Non-zero DMR Data'!$I:$I,0)))</f>
        <v>Waste Handling, Disposal and Treatment (POTW)</v>
      </c>
      <c r="E195" s="181" t="str">
        <f>IF(I195&lt;&gt;"",INDEX('Processed Non-zero TRI Data'!$P:$P,MATCH(I195,'Processed Non-zero TRI Data'!$I:$I,0)),INDEX('Processed Non-zero DMR Data'!$T:$T,MATCH(J195,'Processed Non-zero DMR Data'!$I:$I,0)))</f>
        <v>POTW indicator in DMR</v>
      </c>
      <c r="F195" s="9" t="str">
        <f>_xlfn.XLOOKUP(J195, 'Processed Non-zero DMR Data'!I:I, 'Processed Non-zero DMR Data'!B:B)</f>
        <v>RICHMOND OTTER CREEK STP</v>
      </c>
      <c r="G195" s="9" t="str">
        <f>_xlfn.XLOOKUP(J195, 'Processed Non-zero DMR Data'!I:I, 'Processed Non-zero DMR Data'!C:C)</f>
        <v>RICHMOND</v>
      </c>
      <c r="H195" s="9" t="str">
        <f>_xlfn.XLOOKUP(J195, 'Processed Non-zero DMR Data'!I:I, 'Processed Non-zero DMR Data'!E:E)</f>
        <v>KY</v>
      </c>
      <c r="I195" s="12"/>
      <c r="J195" s="13">
        <v>110031112659</v>
      </c>
      <c r="K195" s="9" t="str">
        <f>IFERROR(INDEX('Raw Non-zero DMR Data'!$C:$C, MATCH(J195,'Raw Non-zero DMR Data'!$D:$D,0)),"")</f>
        <v>KY0107107</v>
      </c>
      <c r="L195" s="9" t="str">
        <f>IFERROR(INDEX('Raw Non-zero DMR Data'!$U:$U, MATCH($J195,'Raw Non-zero DMR Data'!$D:$D,0)),"")</f>
        <v>Upper Otter Creek</v>
      </c>
      <c r="M195" s="155" t="str">
        <f>IFERROR(INDEX('Raw Non-zero DMR Data'!$T:$T, MATCH($J195,'Raw Non-zero DMR Data'!$D:$D,0)),"")</f>
        <v>051002050105</v>
      </c>
      <c r="N195" s="155" t="str">
        <f>IFERROR(INDEX('Off-site Locations'!$E:$E,MATCH(I195,'Off-site Locations'!$B:$B,0)),"No offsite transfers")</f>
        <v>No offsite transfers</v>
      </c>
      <c r="O195" s="165">
        <f>INDEX('TRI and DMR OES Summary'!D:D,MATCH('Facility Discharge Summary'!D195,'TRI and DMR OES Summary'!A:A,0))</f>
        <v>365</v>
      </c>
      <c r="P195" s="17" cm="1">
        <f t="array" ref="P195">IFERROR(_xlfn.XLOOKUP(1,  (MAX(IF(J195 = 'Processed Non-zero DMR Data'!$I$2:$I$651,'Processed Non-zero DMR Data'!$A$2:$A$651)) = 'Processed Non-zero DMR Data'!$A$2:$A$651)*('Processed Non-zero DMR Data'!$I$2:$I$651 = J195),'Processed Non-zero DMR Data'!$W$2:$W$651), "N/A- Facility Does Not Report DMRs")</f>
        <v>27.865359250000001</v>
      </c>
      <c r="Q195" s="10">
        <f t="shared" si="63"/>
        <v>7.6343450000000007E-2</v>
      </c>
      <c r="R195" s="10" cm="1">
        <f t="array" ref="R195">IF(COUNTIF('Processed Non-zero DMR Data'!$I:$I,$J195)&gt;0,MEDIAN(IF('Processed Non-zero DMR Data'!$I:$I=J195,'Processed Non-zero DMR Data'!$W:$W)),"N/A - Facility Does Not Report DMRs")</f>
        <v>31.156842562500003</v>
      </c>
      <c r="S195" s="10">
        <f t="shared" si="64"/>
        <v>8.5361212500000005E-2</v>
      </c>
      <c r="T195" s="10">
        <f>IF(COUNTIF('Processed Non-zero DMR Data'!$I:$I,$J195)&gt;0,_xlfn.MAXIFS('Processed Non-zero DMR Data'!$W:$W,'Processed Non-zero DMR Data'!$I:$I,$J195), "N/A - Facility Does Not Report DMRs")</f>
        <v>34.448325875000002</v>
      </c>
      <c r="U195" s="10">
        <f t="shared" si="65"/>
        <v>9.4378975000000004E-2</v>
      </c>
      <c r="V195" s="158" cm="1">
        <f t="array" ref="V195">IF(COUNTIF('Processed Non-zero DMR Data'!$I:$I,$J195)&gt;0,INDEX('Processed Non-zero DMR Data'!$A:$A,MATCH(1,($J195='Processed Non-zero DMR Data'!$I:$I)*($T195='Processed Non-zero DMR Data'!$W:$W),0)), "N/A - Facility Does Not Report DMRs")</f>
        <v>2022</v>
      </c>
      <c r="W195" s="17" t="str" cm="1">
        <f t="array" ref="W195">IFERROR(_xlfn.XLOOKUP(1,  (MAX(IF(I195 = 'Processed Non-zero TRI Data'!$I$2:$I$6,'Processed Non-zero TRI Data'!$A$2:$A$6)) = 'Processed Non-zero TRI Data'!$A$2:$A$6)*('Processed Non-zero TRI Data'!$I$2:$I$6 = I195), 'Processed Non-zero TRI Data'!$T$2:$T$6), "N/A- Facility Does Not Report to TRI")</f>
        <v>N/A- Facility Does Not Report to TRI</v>
      </c>
      <c r="X195" s="10" t="str">
        <f t="shared" si="66"/>
        <v>N/A - Facility Does Not Report to TRI</v>
      </c>
      <c r="Y195" s="10" t="str" cm="1">
        <f t="array" ref="Y195">IF(COUNTIF('Processed Non-zero TRI Data'!$I:$I,$I195)&gt;0,MEDIAN(IF('Processed Non-zero TRI Data'!$I:$I=I195,'Processed Non-zero TRI Data'!$T:$T)), "N/A - Facility Does Not Report to TRI")</f>
        <v>N/A - Facility Does Not Report to TRI</v>
      </c>
      <c r="Z195" s="10" t="str">
        <f t="shared" si="67"/>
        <v>N/A - Facility Does Not Report to TRI</v>
      </c>
      <c r="AA195" s="10" t="str">
        <f>IF(COUNTIF('Processed Non-zero TRI Data'!$I:$I,$I195)&gt;0,_xlfn.MAXIFS('Processed Non-zero TRI Data'!$T:$T,'Processed Non-zero TRI Data'!$I:$I,$I195), "N/A - Facility Does Not Report to TRI")</f>
        <v>N/A - Facility Does Not Report to TRI</v>
      </c>
      <c r="AB195" s="10" t="str">
        <f t="shared" si="68"/>
        <v>N/A - Facility Does Not Report to TRI</v>
      </c>
      <c r="AC195" s="158" t="str" cm="1">
        <f t="array" ref="AC195">IFERROR(IF(B195 = "TRI Form R", IF(AA195 = 0, "Facility has no on-site water discharges between 2017-2022.",  IF(COUNTIF('Processed Non-zero TRI Data'!$I:$I,$I195)&gt;0,INDEX('Processed Non-zero TRI Data'!$A:$A,MATCH(1,($I195='Processed Non-zero TRI Data'!$I:$I)*(AA195='Processed Non-zero TRI Data'!$T:$T),0)))), VLOOKUP(I195,#REF!, 2, FALSE)), ("N/A - Facility Does Not Report to TRI"))</f>
        <v>N/A - Facility Does Not Report to TRI</v>
      </c>
      <c r="AD195" s="97" t="str" cm="1">
        <f t="array" ref="AD195">IFERROR(_xlfn.XLOOKUP(1,  (MAX(IF(I195 = 'Processed Non-zero TRI Data'!$I$2:$I$6,'Processed Non-zero TRI Data'!$A$2:$A$6)) = 'Processed Non-zero TRI Data'!$A$2:$A$6)*('Processed Non-zero TRI Data'!$I$2:$I$6 = I195), 'Processed Non-zero TRI Data'!$V$2:$V$6), "N/A- Facility Does Not Report to TRI")</f>
        <v>N/A- Facility Does Not Report to TRI</v>
      </c>
      <c r="AE195" s="9" t="str">
        <f t="shared" si="69"/>
        <v>N/A - Facility Does Not Report to TRI</v>
      </c>
      <c r="AF195" s="9" t="str" cm="1">
        <f t="array" ref="AF195">IF(COUNTIF('Processed Non-zero TRI Data'!$I:$I,$I195)&gt;0,MEDIAN(IF('Processed Non-zero TRI Data'!$I:$I=I195,'Processed Non-zero TRI Data'!$V:$V)), "N/A - Facility Does Not Report to TRI")</f>
        <v>N/A - Facility Does Not Report to TRI</v>
      </c>
      <c r="AG195" s="9" t="str">
        <f t="shared" si="70"/>
        <v>N/A - Facility Does Not Report to TRI</v>
      </c>
      <c r="AH195" s="9" t="str">
        <f>IF(COUNTIF('Processed Non-zero TRI Data'!$I:$I,$I195)&gt;0,_xlfn.MAXIFS('Processed Non-zero TRI Data'!$V:$V,'Processed Non-zero TRI Data'!$I:$I,$I195), "N/A - Facility Does Not Report to TRI")</f>
        <v>N/A - Facility Does Not Report to TRI</v>
      </c>
      <c r="AI195" s="9" t="str">
        <f t="shared" si="71"/>
        <v>N/A - Facility Does Not Report to TRI</v>
      </c>
      <c r="AJ195" s="158" t="str" cm="1">
        <f t="array" ref="AJ195">IF(B195="TRI Form A",AC195,IF(AH195=0,"Facility has no transfers to POTWs between 2019-2023.",IF(COUNTIF('Processed Non-zero TRI Data'!$I:$I,$I195)&gt;0,INDEX('Processed Non-zero TRI Data'!$A:$A,MATCH(1,($I195='Processed Non-zero TRI Data'!$I:$I)*(AH195='Processed Non-zero TRI Data'!$V:$V),0)),"N/A - Facility Does Not Report to TRI")))</f>
        <v>N/A - Facility Does Not Report to TRI</v>
      </c>
      <c r="AK195" s="97" t="str" cm="1">
        <f t="array" ref="AK195">IFERROR(_xlfn.XLOOKUP(1,  (MAX(IF(I195 = 'Processed Non-zero TRI Data'!$I$2:$I$6,'Processed Non-zero TRI Data'!$A$2:$A$6)) = 'Processed Non-zero TRI Data'!$A$2:$A$6)*('Processed Non-zero TRI Data'!$I$2:$I$6 = I195), 'Processed Non-zero TRI Data'!$X$2:$X$6), "N/A- Facility Does Not Report to TRI")</f>
        <v>N/A- Facility Does Not Report to TRI</v>
      </c>
      <c r="AL195" s="9" t="str">
        <f t="shared" si="72"/>
        <v>N/A - Facility Does Not Report to TRI</v>
      </c>
      <c r="AM195" s="9" t="str" cm="1">
        <f t="array" ref="AM195">IF(COUNTIF('Processed Non-zero TRI Data'!$I:$I,$I195)&gt;0,MEDIAN(IF('Processed Non-zero TRI Data'!$I:$I=I195,'Processed Non-zero TRI Data'!$X:$X)), "N/A - Facility Does Not Report to TRI")</f>
        <v>N/A - Facility Does Not Report to TRI</v>
      </c>
      <c r="AN195" s="9" t="str">
        <f t="shared" si="73"/>
        <v>N/A - Facility Does Not Report to TRI</v>
      </c>
      <c r="AO195" s="9" t="str">
        <f>IF(COUNTIF('Processed Non-zero TRI Data'!$I:$I,$I195)&gt;0,_xlfn.MAXIFS('Processed Non-zero TRI Data'!$X:$X,'Processed Non-zero TRI Data'!$I:$I,$I195), "N/A - Facility Does Not Report to TRI")</f>
        <v>N/A - Facility Does Not Report to TRI</v>
      </c>
      <c r="AP195" s="9" t="str">
        <f t="shared" si="74"/>
        <v>N/A - Facility Does Not Report to TRI</v>
      </c>
      <c r="AQ195" s="251" t="str" cm="1">
        <f t="array" ref="AQ195">IF(B195="TRI Form A",AC195,IF(AO195=0,"Facility has no transfers to non-POTWs between 2019-2023.",IF(COUNTIF('Processed Non-zero TRI Data'!$I:$I,$I195)&gt;0,INDEX('Processed Non-zero TRI Data'!$A:$A,MATCH(1,($I195='Processed Non-zero TRI Data'!$I:$I)*(AO195='Processed Non-zero TRI Data'!$X:$X),0)),"N/A - Facility Does Not Report to TRI")))</f>
        <v>N/A - Facility Does Not Report to TRI</v>
      </c>
      <c r="AR195" s="260">
        <f t="shared" si="61"/>
        <v>0</v>
      </c>
      <c r="AS195" s="260">
        <f t="shared" si="62"/>
        <v>34.448325875000002</v>
      </c>
    </row>
    <row r="196" spans="1:45" ht="30" x14ac:dyDescent="0.25">
      <c r="A196" s="12">
        <v>193</v>
      </c>
      <c r="B196" s="10" t="str">
        <f>IFERROR("TRI Form "&amp; VLOOKUP(I196, 'Processed Non-zero TRI Data'!$I$2:$K$6, 3, FALSE), "DMR")</f>
        <v>DMR</v>
      </c>
      <c r="C196" s="181" t="e">
        <f>VLOOKUP(D196,#REF!, 2, FALSE)</f>
        <v>#REF!</v>
      </c>
      <c r="D196" s="181" t="str">
        <f>IF(I196&lt;&gt;"",INDEX('Processed Non-zero TRI Data'!$O:$O,MATCH(I196,'Processed Non-zero TRI Data'!$I:$I,0)),INDEX('Processed Non-zero DMR Data'!$S:$S,MATCH(J196,'Processed Non-zero DMR Data'!$I:$I,0)))</f>
        <v>Processing as a reactant</v>
      </c>
      <c r="E196" s="181" t="str">
        <f>IF(I196&lt;&gt;"",INDEX('Processed Non-zero TRI Data'!$P:$P,MATCH(I196,'Processed Non-zero TRI Data'!$I:$I,0)),INDEX('Processed Non-zero DMR Data'!$T:$T,MATCH(J196,'Processed Non-zero DMR Data'!$I:$I,0)))</f>
        <v>Assumed processing as a reactant based on SIC and NAICS. Not known MFG site.</v>
      </c>
      <c r="F196" s="9" t="str">
        <f>_xlfn.XLOOKUP(J196, 'Processed Non-zero DMR Data'!I:I, 'Processed Non-zero DMR Data'!B:B)</f>
        <v>SHELL CHEMICAL APPALACHIA LLC</v>
      </c>
      <c r="G196" s="9" t="str">
        <f>_xlfn.XLOOKUP(J196, 'Processed Non-zero DMR Data'!I:I, 'Processed Non-zero DMR Data'!C:C)</f>
        <v>MONACA</v>
      </c>
      <c r="H196" s="9" t="str">
        <f>_xlfn.XLOOKUP(J196, 'Processed Non-zero DMR Data'!I:I, 'Processed Non-zero DMR Data'!E:E)</f>
        <v>PA</v>
      </c>
      <c r="I196" s="12"/>
      <c r="J196" s="13">
        <v>110000329038</v>
      </c>
      <c r="K196" s="9" t="str">
        <f>IFERROR(INDEX('Raw Non-zero DMR Data'!$C:$C, MATCH(J196,'Raw Non-zero DMR Data'!$D:$D,0)),"")</f>
        <v>PA0002208</v>
      </c>
      <c r="L196" s="9" t="str">
        <f>IFERROR(INDEX('Raw Non-zero DMR Data'!$U:$U, MATCH($J196,'Raw Non-zero DMR Data'!$D:$D,0)),"")</f>
        <v>Sixmile Run-Ohio River</v>
      </c>
      <c r="M196" s="155" t="str">
        <f>IFERROR(INDEX('Raw Non-zero DMR Data'!$T:$T, MATCH($J196,'Raw Non-zero DMR Data'!$D:$D,0)),"")</f>
        <v>050301010310</v>
      </c>
      <c r="N196" s="155" t="str">
        <f>IFERROR(INDEX('Off-site Locations'!$E:$E,MATCH(I196,'Off-site Locations'!$B:$B,0)),"No offsite transfers")</f>
        <v>No offsite transfers</v>
      </c>
      <c r="O196" s="165">
        <f>INDEX('TRI and DMR OES Summary'!D:D,MATCH('Facility Discharge Summary'!D196,'TRI and DMR OES Summary'!A:A,0))</f>
        <v>350</v>
      </c>
      <c r="P196" s="17" cm="1">
        <f t="array" ref="P196">IFERROR(_xlfn.XLOOKUP(1,  (MAX(IF(J196 = 'Processed Non-zero DMR Data'!$I$2:$I$651,'Processed Non-zero DMR Data'!$A$2:$A$651)) = 'Processed Non-zero DMR Data'!$A$2:$A$651)*('Processed Non-zero DMR Data'!$I$2:$I$651 = J196),'Processed Non-zero DMR Data'!$W$2:$W$651), "N/A- Facility Does Not Report DMRs")</f>
        <v>2.8147999999999999E-2</v>
      </c>
      <c r="Q196" s="10">
        <f t="shared" si="63"/>
        <v>8.0422857142857136E-5</v>
      </c>
      <c r="R196" s="10" cm="1">
        <f t="array" ref="R196">IF(COUNTIF('Processed Non-zero DMR Data'!$I:$I,$J196)&gt;0,MEDIAN(IF('Processed Non-zero DMR Data'!$I:$I=J196,'Processed Non-zero DMR Data'!$W:$W)),"N/A - Facility Does Not Report DMRs")</f>
        <v>1.7479000000000001E-2</v>
      </c>
      <c r="S196" s="10">
        <f t="shared" si="64"/>
        <v>4.9940000000000006E-5</v>
      </c>
      <c r="T196" s="10">
        <f>IF(COUNTIF('Processed Non-zero DMR Data'!$I:$I,$J196)&gt;0,_xlfn.MAXIFS('Processed Non-zero DMR Data'!$W:$W,'Processed Non-zero DMR Data'!$I:$I,$J196), "N/A - Facility Does Not Report DMRs")</f>
        <v>2.8147999999999999E-2</v>
      </c>
      <c r="U196" s="10">
        <f t="shared" si="65"/>
        <v>8.0422857142857136E-5</v>
      </c>
      <c r="V196" s="158" cm="1">
        <f t="array" ref="V196">IF(COUNTIF('Processed Non-zero DMR Data'!$I:$I,$J196)&gt;0,INDEX('Processed Non-zero DMR Data'!$A:$A,MATCH(1,($J196='Processed Non-zero DMR Data'!$I:$I)*($T196='Processed Non-zero DMR Data'!$W:$W),0)), "N/A - Facility Does Not Report DMRs")</f>
        <v>2023</v>
      </c>
      <c r="W196" s="17" t="str" cm="1">
        <f t="array" ref="W196">IFERROR(_xlfn.XLOOKUP(1,  (MAX(IF(I196 = 'Processed Non-zero TRI Data'!$I$2:$I$6,'Processed Non-zero TRI Data'!$A$2:$A$6)) = 'Processed Non-zero TRI Data'!$A$2:$A$6)*('Processed Non-zero TRI Data'!$I$2:$I$6 = I196), 'Processed Non-zero TRI Data'!$T$2:$T$6), "N/A- Facility Does Not Report to TRI")</f>
        <v>N/A- Facility Does Not Report to TRI</v>
      </c>
      <c r="X196" s="10" t="str">
        <f t="shared" si="66"/>
        <v>N/A - Facility Does Not Report to TRI</v>
      </c>
      <c r="Y196" s="10" t="str" cm="1">
        <f t="array" ref="Y196">IF(COUNTIF('Processed Non-zero TRI Data'!$I:$I,$I196)&gt;0,MEDIAN(IF('Processed Non-zero TRI Data'!$I:$I=I196,'Processed Non-zero TRI Data'!$T:$T)), "N/A - Facility Does Not Report to TRI")</f>
        <v>N/A - Facility Does Not Report to TRI</v>
      </c>
      <c r="Z196" s="10" t="str">
        <f t="shared" si="67"/>
        <v>N/A - Facility Does Not Report to TRI</v>
      </c>
      <c r="AA196" s="10" t="str">
        <f>IF(COUNTIF('Processed Non-zero TRI Data'!$I:$I,$I196)&gt;0,_xlfn.MAXIFS('Processed Non-zero TRI Data'!$T:$T,'Processed Non-zero TRI Data'!$I:$I,$I196), "N/A - Facility Does Not Report to TRI")</f>
        <v>N/A - Facility Does Not Report to TRI</v>
      </c>
      <c r="AB196" s="10" t="str">
        <f t="shared" si="68"/>
        <v>N/A - Facility Does Not Report to TRI</v>
      </c>
      <c r="AC196" s="158" t="str" cm="1">
        <f t="array" ref="AC196">IFERROR(IF(B196 = "TRI Form R", IF(AA196 = 0, "Facility has no on-site water discharges between 2017-2022.",  IF(COUNTIF('Processed Non-zero TRI Data'!$I:$I,$I196)&gt;0,INDEX('Processed Non-zero TRI Data'!$A:$A,MATCH(1,($I196='Processed Non-zero TRI Data'!$I:$I)*(AA196='Processed Non-zero TRI Data'!$T:$T),0)))), VLOOKUP(I196,#REF!, 2, FALSE)), ("N/A - Facility Does Not Report to TRI"))</f>
        <v>N/A - Facility Does Not Report to TRI</v>
      </c>
      <c r="AD196" s="97" t="str" cm="1">
        <f t="array" ref="AD196">IFERROR(_xlfn.XLOOKUP(1,  (MAX(IF(I196 = 'Processed Non-zero TRI Data'!$I$2:$I$6,'Processed Non-zero TRI Data'!$A$2:$A$6)) = 'Processed Non-zero TRI Data'!$A$2:$A$6)*('Processed Non-zero TRI Data'!$I$2:$I$6 = I196), 'Processed Non-zero TRI Data'!$V$2:$V$6), "N/A- Facility Does Not Report to TRI")</f>
        <v>N/A- Facility Does Not Report to TRI</v>
      </c>
      <c r="AE196" s="9" t="str">
        <f t="shared" si="69"/>
        <v>N/A - Facility Does Not Report to TRI</v>
      </c>
      <c r="AF196" s="9" t="str" cm="1">
        <f t="array" ref="AF196">IF(COUNTIF('Processed Non-zero TRI Data'!$I:$I,$I196)&gt;0,MEDIAN(IF('Processed Non-zero TRI Data'!$I:$I=I196,'Processed Non-zero TRI Data'!$V:$V)), "N/A - Facility Does Not Report to TRI")</f>
        <v>N/A - Facility Does Not Report to TRI</v>
      </c>
      <c r="AG196" s="9" t="str">
        <f t="shared" si="70"/>
        <v>N/A - Facility Does Not Report to TRI</v>
      </c>
      <c r="AH196" s="9" t="str">
        <f>IF(COUNTIF('Processed Non-zero TRI Data'!$I:$I,$I196)&gt;0,_xlfn.MAXIFS('Processed Non-zero TRI Data'!$V:$V,'Processed Non-zero TRI Data'!$I:$I,$I196), "N/A - Facility Does Not Report to TRI")</f>
        <v>N/A - Facility Does Not Report to TRI</v>
      </c>
      <c r="AI196" s="9" t="str">
        <f t="shared" si="71"/>
        <v>N/A - Facility Does Not Report to TRI</v>
      </c>
      <c r="AJ196" s="158" t="str" cm="1">
        <f t="array" ref="AJ196">IF(B196="TRI Form A",AC196,IF(AH196=0,"Facility has no transfers to POTWs between 2019-2023.",IF(COUNTIF('Processed Non-zero TRI Data'!$I:$I,$I196)&gt;0,INDEX('Processed Non-zero TRI Data'!$A:$A,MATCH(1,($I196='Processed Non-zero TRI Data'!$I:$I)*(AH196='Processed Non-zero TRI Data'!$V:$V),0)),"N/A - Facility Does Not Report to TRI")))</f>
        <v>N/A - Facility Does Not Report to TRI</v>
      </c>
      <c r="AK196" s="97" t="str" cm="1">
        <f t="array" ref="AK196">IFERROR(_xlfn.XLOOKUP(1,  (MAX(IF(I196 = 'Processed Non-zero TRI Data'!$I$2:$I$6,'Processed Non-zero TRI Data'!$A$2:$A$6)) = 'Processed Non-zero TRI Data'!$A$2:$A$6)*('Processed Non-zero TRI Data'!$I$2:$I$6 = I196), 'Processed Non-zero TRI Data'!$X$2:$X$6), "N/A- Facility Does Not Report to TRI")</f>
        <v>N/A- Facility Does Not Report to TRI</v>
      </c>
      <c r="AL196" s="9" t="str">
        <f t="shared" si="72"/>
        <v>N/A - Facility Does Not Report to TRI</v>
      </c>
      <c r="AM196" s="9" t="str" cm="1">
        <f t="array" ref="AM196">IF(COUNTIF('Processed Non-zero TRI Data'!$I:$I,$I196)&gt;0,MEDIAN(IF('Processed Non-zero TRI Data'!$I:$I=I196,'Processed Non-zero TRI Data'!$X:$X)), "N/A - Facility Does Not Report to TRI")</f>
        <v>N/A - Facility Does Not Report to TRI</v>
      </c>
      <c r="AN196" s="9" t="str">
        <f t="shared" si="73"/>
        <v>N/A - Facility Does Not Report to TRI</v>
      </c>
      <c r="AO196" s="9" t="str">
        <f>IF(COUNTIF('Processed Non-zero TRI Data'!$I:$I,$I196)&gt;0,_xlfn.MAXIFS('Processed Non-zero TRI Data'!$X:$X,'Processed Non-zero TRI Data'!$I:$I,$I196), "N/A - Facility Does Not Report to TRI")</f>
        <v>N/A - Facility Does Not Report to TRI</v>
      </c>
      <c r="AP196" s="9" t="str">
        <f t="shared" si="74"/>
        <v>N/A - Facility Does Not Report to TRI</v>
      </c>
      <c r="AQ196" s="251" t="str" cm="1">
        <f t="array" ref="AQ196">IF(B196="TRI Form A",AC196,IF(AO196=0,"Facility has no transfers to non-POTWs between 2019-2023.",IF(COUNTIF('Processed Non-zero TRI Data'!$I:$I,$I196)&gt;0,INDEX('Processed Non-zero TRI Data'!$A:$A,MATCH(1,($I196='Processed Non-zero TRI Data'!$I:$I)*(AO196='Processed Non-zero TRI Data'!$X:$X),0)),"N/A - Facility Does Not Report to TRI")))</f>
        <v>N/A - Facility Does Not Report to TRI</v>
      </c>
      <c r="AR196" s="260">
        <f t="shared" si="61"/>
        <v>0</v>
      </c>
      <c r="AS196" s="260">
        <f t="shared" si="62"/>
        <v>2.8147999999999999E-2</v>
      </c>
    </row>
    <row r="197" spans="1:45" ht="30" x14ac:dyDescent="0.25">
      <c r="A197" s="12">
        <v>194</v>
      </c>
      <c r="B197" s="10" t="str">
        <f>IFERROR("TRI Form "&amp; VLOOKUP(I197, 'Processed Non-zero TRI Data'!$I$2:$K$6, 3, FALSE), "DMR")</f>
        <v>DMR</v>
      </c>
      <c r="C197" s="181" t="e">
        <f>VLOOKUP(D197,#REF!, 2, FALSE)</f>
        <v>#REF!</v>
      </c>
      <c r="D197" s="181" t="str">
        <f>IF(I197&lt;&gt;"",INDEX('Processed Non-zero TRI Data'!$O:$O,MATCH(I197,'Processed Non-zero TRI Data'!$I:$I,0)),INDEX('Processed Non-zero DMR Data'!$S:$S,MATCH(J197,'Processed Non-zero DMR Data'!$I:$I,0)))</f>
        <v>Unknown</v>
      </c>
      <c r="E197" s="181" t="str">
        <f>IF(I197&lt;&gt;"",INDEX('Processed Non-zero TRI Data'!$P:$P,MATCH(I197,'Processed Non-zero TRI Data'!$I:$I,0)),INDEX('Processed Non-zero DMR Data'!$T:$T,MATCH(J197,'Processed Non-zero DMR Data'!$I:$I,0)))</f>
        <v>Apartment complex; no OES to map to.</v>
      </c>
      <c r="F197" s="9" t="str">
        <f>_xlfn.XLOOKUP(J197, 'Processed Non-zero DMR Data'!I:I, 'Processed Non-zero DMR Data'!B:B)</f>
        <v>CONFLUENCE PARK APARTMENTS</v>
      </c>
      <c r="G197" s="9" t="str">
        <f>_xlfn.XLOOKUP(J197, 'Processed Non-zero DMR Data'!I:I, 'Processed Non-zero DMR Data'!C:C)</f>
        <v>DENVER</v>
      </c>
      <c r="H197" s="9" t="str">
        <f>_xlfn.XLOOKUP(J197, 'Processed Non-zero DMR Data'!I:I, 'Processed Non-zero DMR Data'!E:E)</f>
        <v>CO</v>
      </c>
      <c r="I197" s="12"/>
      <c r="J197" s="13">
        <v>110056125376</v>
      </c>
      <c r="K197" s="9" t="str">
        <f>IFERROR(INDEX('Raw Non-zero DMR Data'!$C:$C, MATCH(J197,'Raw Non-zero DMR Data'!$D:$D,0)),"")</f>
        <v>CO0049003</v>
      </c>
      <c r="L197" s="9" t="str">
        <f>IFERROR(INDEX('Raw Non-zero DMR Data'!$U:$U, MATCH($J197,'Raw Non-zero DMR Data'!$D:$D,0)),"")</f>
        <v>Cherry Creek-South Platte River</v>
      </c>
      <c r="M197" s="155">
        <f>IFERROR(INDEX('Raw Non-zero DMR Data'!$T:$T, MATCH($J197,'Raw Non-zero DMR Data'!$D:$D,0)),"")</f>
        <v>101900030304</v>
      </c>
      <c r="N197" s="155" t="str">
        <f>IFERROR(INDEX('Off-site Locations'!$E:$E,MATCH(I197,'Off-site Locations'!$B:$B,0)),"No offsite transfers")</f>
        <v>No offsite transfers</v>
      </c>
      <c r="O197" s="165">
        <f>INDEX('TRI and DMR OES Summary'!D:D,MATCH('Facility Discharge Summary'!D197,'TRI and DMR OES Summary'!A:A,0))</f>
        <v>250</v>
      </c>
      <c r="P197" s="17" cm="1">
        <f t="array" ref="P197">IFERROR(_xlfn.XLOOKUP(1,  (MAX(IF(J197 = 'Processed Non-zero DMR Data'!$I$2:$I$651,'Processed Non-zero DMR Data'!$A$2:$A$651)) = 'Processed Non-zero DMR Data'!$A$2:$A$651)*('Processed Non-zero DMR Data'!$I$2:$I$651 = J197),'Processed Non-zero DMR Data'!$W$2:$W$651), "N/A- Facility Does Not Report DMRs")</f>
        <v>6.2756056999999999E-3</v>
      </c>
      <c r="Q197" s="10">
        <f t="shared" si="63"/>
        <v>2.5102422799999998E-5</v>
      </c>
      <c r="R197" s="10" cm="1">
        <f t="array" ref="R197">IF(COUNTIF('Processed Non-zero DMR Data'!$I:$I,$J197)&gt;0,MEDIAN(IF('Processed Non-zero DMR Data'!$I:$I=J197,'Processed Non-zero DMR Data'!$W:$W)),"N/A - Facility Does Not Report DMRs")</f>
        <v>5.1721457250000005E-3</v>
      </c>
      <c r="S197" s="10">
        <f t="shared" si="64"/>
        <v>2.0688582900000002E-5</v>
      </c>
      <c r="T197" s="10">
        <f>IF(COUNTIF('Processed Non-zero DMR Data'!$I:$I,$J197)&gt;0,_xlfn.MAXIFS('Processed Non-zero DMR Data'!$W:$W,'Processed Non-zero DMR Data'!$I:$I,$J197), "N/A - Facility Does Not Report DMRs")</f>
        <v>6.2756056999999999E-3</v>
      </c>
      <c r="U197" s="10">
        <f t="shared" si="65"/>
        <v>2.5102422799999998E-5</v>
      </c>
      <c r="V197" s="158" cm="1">
        <f t="array" ref="V197">IF(COUNTIF('Processed Non-zero DMR Data'!$I:$I,$J197)&gt;0,INDEX('Processed Non-zero DMR Data'!$A:$A,MATCH(1,($J197='Processed Non-zero DMR Data'!$I:$I)*($T197='Processed Non-zero DMR Data'!$W:$W),0)), "N/A - Facility Does Not Report DMRs")</f>
        <v>2023</v>
      </c>
      <c r="W197" s="17" t="str" cm="1">
        <f t="array" ref="W197">IFERROR(_xlfn.XLOOKUP(1,  (MAX(IF(I197 = 'Processed Non-zero TRI Data'!$I$2:$I$6,'Processed Non-zero TRI Data'!$A$2:$A$6)) = 'Processed Non-zero TRI Data'!$A$2:$A$6)*('Processed Non-zero TRI Data'!$I$2:$I$6 = I197), 'Processed Non-zero TRI Data'!$T$2:$T$6), "N/A- Facility Does Not Report to TRI")</f>
        <v>N/A- Facility Does Not Report to TRI</v>
      </c>
      <c r="X197" s="10" t="str">
        <f t="shared" si="66"/>
        <v>N/A - Facility Does Not Report to TRI</v>
      </c>
      <c r="Y197" s="10" t="str" cm="1">
        <f t="array" ref="Y197">IF(COUNTIF('Processed Non-zero TRI Data'!$I:$I,$I197)&gt;0,MEDIAN(IF('Processed Non-zero TRI Data'!$I:$I=I197,'Processed Non-zero TRI Data'!$T:$T)), "N/A - Facility Does Not Report to TRI")</f>
        <v>N/A - Facility Does Not Report to TRI</v>
      </c>
      <c r="Z197" s="10" t="str">
        <f t="shared" si="67"/>
        <v>N/A - Facility Does Not Report to TRI</v>
      </c>
      <c r="AA197" s="10" t="str">
        <f>IF(COUNTIF('Processed Non-zero TRI Data'!$I:$I,$I197)&gt;0,_xlfn.MAXIFS('Processed Non-zero TRI Data'!$T:$T,'Processed Non-zero TRI Data'!$I:$I,$I197), "N/A - Facility Does Not Report to TRI")</f>
        <v>N/A - Facility Does Not Report to TRI</v>
      </c>
      <c r="AB197" s="10" t="str">
        <f t="shared" si="68"/>
        <v>N/A - Facility Does Not Report to TRI</v>
      </c>
      <c r="AC197" s="158" t="str" cm="1">
        <f t="array" ref="AC197">IFERROR(IF(B197 = "TRI Form R", IF(AA197 = 0, "Facility has no on-site water discharges between 2017-2022.",  IF(COUNTIF('Processed Non-zero TRI Data'!$I:$I,$I197)&gt;0,INDEX('Processed Non-zero TRI Data'!$A:$A,MATCH(1,($I197='Processed Non-zero TRI Data'!$I:$I)*(AA197='Processed Non-zero TRI Data'!$T:$T),0)))), VLOOKUP(I197,#REF!, 2, FALSE)), ("N/A - Facility Does Not Report to TRI"))</f>
        <v>N/A - Facility Does Not Report to TRI</v>
      </c>
      <c r="AD197" s="97" t="str" cm="1">
        <f t="array" ref="AD197">IFERROR(_xlfn.XLOOKUP(1,  (MAX(IF(I197 = 'Processed Non-zero TRI Data'!$I$2:$I$6,'Processed Non-zero TRI Data'!$A$2:$A$6)) = 'Processed Non-zero TRI Data'!$A$2:$A$6)*('Processed Non-zero TRI Data'!$I$2:$I$6 = I197), 'Processed Non-zero TRI Data'!$V$2:$V$6), "N/A- Facility Does Not Report to TRI")</f>
        <v>N/A- Facility Does Not Report to TRI</v>
      </c>
      <c r="AE197" s="9" t="str">
        <f t="shared" si="69"/>
        <v>N/A - Facility Does Not Report to TRI</v>
      </c>
      <c r="AF197" s="9" t="str" cm="1">
        <f t="array" ref="AF197">IF(COUNTIF('Processed Non-zero TRI Data'!$I:$I,$I197)&gt;0,MEDIAN(IF('Processed Non-zero TRI Data'!$I:$I=I197,'Processed Non-zero TRI Data'!$V:$V)), "N/A - Facility Does Not Report to TRI")</f>
        <v>N/A - Facility Does Not Report to TRI</v>
      </c>
      <c r="AG197" s="9" t="str">
        <f t="shared" si="70"/>
        <v>N/A - Facility Does Not Report to TRI</v>
      </c>
      <c r="AH197" s="9" t="str">
        <f>IF(COUNTIF('Processed Non-zero TRI Data'!$I:$I,$I197)&gt;0,_xlfn.MAXIFS('Processed Non-zero TRI Data'!$V:$V,'Processed Non-zero TRI Data'!$I:$I,$I197), "N/A - Facility Does Not Report to TRI")</f>
        <v>N/A - Facility Does Not Report to TRI</v>
      </c>
      <c r="AI197" s="9" t="str">
        <f t="shared" si="71"/>
        <v>N/A - Facility Does Not Report to TRI</v>
      </c>
      <c r="AJ197" s="158" t="str" cm="1">
        <f t="array" ref="AJ197">IF(B197="TRI Form A",AC197,IF(AH197=0,"Facility has no transfers to POTWs between 2019-2023.",IF(COUNTIF('Processed Non-zero TRI Data'!$I:$I,$I197)&gt;0,INDEX('Processed Non-zero TRI Data'!$A:$A,MATCH(1,($I197='Processed Non-zero TRI Data'!$I:$I)*(AH197='Processed Non-zero TRI Data'!$V:$V),0)),"N/A - Facility Does Not Report to TRI")))</f>
        <v>N/A - Facility Does Not Report to TRI</v>
      </c>
      <c r="AK197" s="97" t="str" cm="1">
        <f t="array" ref="AK197">IFERROR(_xlfn.XLOOKUP(1,  (MAX(IF(I197 = 'Processed Non-zero TRI Data'!$I$2:$I$6,'Processed Non-zero TRI Data'!$A$2:$A$6)) = 'Processed Non-zero TRI Data'!$A$2:$A$6)*('Processed Non-zero TRI Data'!$I$2:$I$6 = I197), 'Processed Non-zero TRI Data'!$X$2:$X$6), "N/A- Facility Does Not Report to TRI")</f>
        <v>N/A- Facility Does Not Report to TRI</v>
      </c>
      <c r="AL197" s="9" t="str">
        <f t="shared" si="72"/>
        <v>N/A - Facility Does Not Report to TRI</v>
      </c>
      <c r="AM197" s="9" t="str" cm="1">
        <f t="array" ref="AM197">IF(COUNTIF('Processed Non-zero TRI Data'!$I:$I,$I197)&gt;0,MEDIAN(IF('Processed Non-zero TRI Data'!$I:$I=I197,'Processed Non-zero TRI Data'!$X:$X)), "N/A - Facility Does Not Report to TRI")</f>
        <v>N/A - Facility Does Not Report to TRI</v>
      </c>
      <c r="AN197" s="9" t="str">
        <f t="shared" si="73"/>
        <v>N/A - Facility Does Not Report to TRI</v>
      </c>
      <c r="AO197" s="9" t="str">
        <f>IF(COUNTIF('Processed Non-zero TRI Data'!$I:$I,$I197)&gt;0,_xlfn.MAXIFS('Processed Non-zero TRI Data'!$X:$X,'Processed Non-zero TRI Data'!$I:$I,$I197), "N/A - Facility Does Not Report to TRI")</f>
        <v>N/A - Facility Does Not Report to TRI</v>
      </c>
      <c r="AP197" s="9" t="str">
        <f t="shared" si="74"/>
        <v>N/A - Facility Does Not Report to TRI</v>
      </c>
      <c r="AQ197" s="251" t="str" cm="1">
        <f t="array" ref="AQ197">IF(B197="TRI Form A",AC197,IF(AO197=0,"Facility has no transfers to non-POTWs between 2019-2023.",IF(COUNTIF('Processed Non-zero TRI Data'!$I:$I,$I197)&gt;0,INDEX('Processed Non-zero TRI Data'!$A:$A,MATCH(1,($I197='Processed Non-zero TRI Data'!$I:$I)*(AO197='Processed Non-zero TRI Data'!$X:$X),0)),"N/A - Facility Does Not Report to TRI")))</f>
        <v>N/A - Facility Does Not Report to TRI</v>
      </c>
      <c r="AR197" s="260">
        <f t="shared" ref="AR197:AR220" si="75">MAX(AA197,AH197,AO197)</f>
        <v>0</v>
      </c>
      <c r="AS197" s="260">
        <f t="shared" ref="AS197:AS220" si="76">T197</f>
        <v>6.2756056999999999E-3</v>
      </c>
    </row>
    <row r="198" spans="1:45" ht="30" x14ac:dyDescent="0.25">
      <c r="A198" s="12">
        <v>195</v>
      </c>
      <c r="B198" s="10" t="str">
        <f>IFERROR("TRI Form "&amp; VLOOKUP(I198, 'Processed Non-zero TRI Data'!$I$2:$K$6, 3, FALSE), "DMR")</f>
        <v>DMR</v>
      </c>
      <c r="C198" s="181" t="e">
        <f>VLOOKUP(D198,#REF!, 2, FALSE)</f>
        <v>#REF!</v>
      </c>
      <c r="D198" s="181" t="str">
        <f>IF(I198&lt;&gt;"",INDEX('Processed Non-zero TRI Data'!$O:$O,MATCH(I198,'Processed Non-zero TRI Data'!$I:$I,0)),INDEX('Processed Non-zero DMR Data'!$S:$S,MATCH(J198,'Processed Non-zero DMR Data'!$I:$I,0)))</f>
        <v>Processing as a reactant</v>
      </c>
      <c r="E198" s="181" t="str">
        <f>IF(I198&lt;&gt;"",INDEX('Processed Non-zero TRI Data'!$P:$P,MATCH(I198,'Processed Non-zero TRI Data'!$I:$I,0)),INDEX('Processed Non-zero DMR Data'!$T:$T,MATCH(J198,'Processed Non-zero DMR Data'!$I:$I,0)))</f>
        <v>Assumed processing as a reactant based on SIC and NAICS. Not known MFG site.</v>
      </c>
      <c r="F198" s="9" t="str">
        <f>_xlfn.XLOOKUP(J198, 'Processed Non-zero DMR Data'!I:I, 'Processed Non-zero DMR Data'!B:B)</f>
        <v>KRATON CHEMICAL, LLC</v>
      </c>
      <c r="G198" s="9" t="str">
        <f>_xlfn.XLOOKUP(J198, 'Processed Non-zero DMR Data'!I:I, 'Processed Non-zero DMR Data'!C:C)</f>
        <v>DOVER</v>
      </c>
      <c r="H198" s="9" t="str">
        <f>_xlfn.XLOOKUP(J198, 'Processed Non-zero DMR Data'!I:I, 'Processed Non-zero DMR Data'!E:E)</f>
        <v>OH</v>
      </c>
      <c r="I198" s="12"/>
      <c r="J198" s="13">
        <v>110000496981</v>
      </c>
      <c r="K198" s="9" t="str">
        <f>IFERROR(INDEX('Raw Non-zero DMR Data'!$C:$C, MATCH(J198,'Raw Non-zero DMR Data'!$D:$D,0)),"")</f>
        <v>OH0007196</v>
      </c>
      <c r="L198" s="9" t="str">
        <f>IFERROR(INDEX('Raw Non-zero DMR Data'!$U:$U, MATCH($J198,'Raw Non-zero DMR Data'!$D:$D,0)),"")</f>
        <v>Pone Run-Tuscarawas River</v>
      </c>
      <c r="M198" s="155" t="str">
        <f>IFERROR(INDEX('Raw Non-zero DMR Data'!$T:$T, MATCH($J198,'Raw Non-zero DMR Data'!$D:$D,0)),"")</f>
        <v>050400011704</v>
      </c>
      <c r="N198" s="155" t="str">
        <f>IFERROR(INDEX('Off-site Locations'!$E:$E,MATCH(I198,'Off-site Locations'!$B:$B,0)),"No offsite transfers")</f>
        <v>No offsite transfers</v>
      </c>
      <c r="O198" s="165">
        <f>INDEX('TRI and DMR OES Summary'!D:D,MATCH('Facility Discharge Summary'!D198,'TRI and DMR OES Summary'!A:A,0))</f>
        <v>350</v>
      </c>
      <c r="P198" s="17" cm="1">
        <f t="array" ref="P198">IFERROR(_xlfn.XLOOKUP(1,  (MAX(IF(J198 = 'Processed Non-zero DMR Data'!$I$2:$I$651,'Processed Non-zero DMR Data'!$A$2:$A$651)) = 'Processed Non-zero DMR Data'!$A$2:$A$651)*('Processed Non-zero DMR Data'!$I$2:$I$651 = J198),'Processed Non-zero DMR Data'!$W$2:$W$651), "N/A- Facility Does Not Report DMRs")</f>
        <v>0.93744000000000005</v>
      </c>
      <c r="Q198" s="10">
        <f t="shared" si="63"/>
        <v>2.6784000000000001E-3</v>
      </c>
      <c r="R198" s="10" cm="1">
        <f t="array" ref="R198">IF(COUNTIF('Processed Non-zero DMR Data'!$I:$I,$J198)&gt;0,MEDIAN(IF('Processed Non-zero DMR Data'!$I:$I=J198,'Processed Non-zero DMR Data'!$W:$W)),"N/A - Facility Does Not Report DMRs")</f>
        <v>0.93744000000000005</v>
      </c>
      <c r="S198" s="10">
        <f t="shared" si="64"/>
        <v>2.6784000000000001E-3</v>
      </c>
      <c r="T198" s="10">
        <f>IF(COUNTIF('Processed Non-zero DMR Data'!$I:$I,$J198)&gt;0,_xlfn.MAXIFS('Processed Non-zero DMR Data'!$W:$W,'Processed Non-zero DMR Data'!$I:$I,$J198), "N/A - Facility Does Not Report DMRs")</f>
        <v>0.93744000000000005</v>
      </c>
      <c r="U198" s="10">
        <f t="shared" si="65"/>
        <v>2.6784000000000001E-3</v>
      </c>
      <c r="V198" s="158" cm="1">
        <f t="array" ref="V198">IF(COUNTIF('Processed Non-zero DMR Data'!$I:$I,$J198)&gt;0,INDEX('Processed Non-zero DMR Data'!$A:$A,MATCH(1,($J198='Processed Non-zero DMR Data'!$I:$I)*($T198='Processed Non-zero DMR Data'!$W:$W),0)), "N/A - Facility Does Not Report DMRs")</f>
        <v>2022</v>
      </c>
      <c r="W198" s="17" t="str" cm="1">
        <f t="array" ref="W198">IFERROR(_xlfn.XLOOKUP(1,  (MAX(IF(I198 = 'Processed Non-zero TRI Data'!$I$2:$I$6,'Processed Non-zero TRI Data'!$A$2:$A$6)) = 'Processed Non-zero TRI Data'!$A$2:$A$6)*('Processed Non-zero TRI Data'!$I$2:$I$6 = I198), 'Processed Non-zero TRI Data'!$T$2:$T$6), "N/A- Facility Does Not Report to TRI")</f>
        <v>N/A- Facility Does Not Report to TRI</v>
      </c>
      <c r="X198" s="10" t="str">
        <f t="shared" si="66"/>
        <v>N/A - Facility Does Not Report to TRI</v>
      </c>
      <c r="Y198" s="10" t="str" cm="1">
        <f t="array" ref="Y198">IF(COUNTIF('Processed Non-zero TRI Data'!$I:$I,$I198)&gt;0,MEDIAN(IF('Processed Non-zero TRI Data'!$I:$I=I198,'Processed Non-zero TRI Data'!$T:$T)), "N/A - Facility Does Not Report to TRI")</f>
        <v>N/A - Facility Does Not Report to TRI</v>
      </c>
      <c r="Z198" s="10" t="str">
        <f t="shared" si="67"/>
        <v>N/A - Facility Does Not Report to TRI</v>
      </c>
      <c r="AA198" s="10" t="str">
        <f>IF(COUNTIF('Processed Non-zero TRI Data'!$I:$I,$I198)&gt;0,_xlfn.MAXIFS('Processed Non-zero TRI Data'!$T:$T,'Processed Non-zero TRI Data'!$I:$I,$I198), "N/A - Facility Does Not Report to TRI")</f>
        <v>N/A - Facility Does Not Report to TRI</v>
      </c>
      <c r="AB198" s="10" t="str">
        <f t="shared" si="68"/>
        <v>N/A - Facility Does Not Report to TRI</v>
      </c>
      <c r="AC198" s="158" t="str" cm="1">
        <f t="array" ref="AC198">IFERROR(IF(B198 = "TRI Form R", IF(AA198 = 0, "Facility has no on-site water discharges between 2017-2022.",  IF(COUNTIF('Processed Non-zero TRI Data'!$I:$I,$I198)&gt;0,INDEX('Processed Non-zero TRI Data'!$A:$A,MATCH(1,($I198='Processed Non-zero TRI Data'!$I:$I)*(AA198='Processed Non-zero TRI Data'!$T:$T),0)))), VLOOKUP(I198,#REF!, 2, FALSE)), ("N/A - Facility Does Not Report to TRI"))</f>
        <v>N/A - Facility Does Not Report to TRI</v>
      </c>
      <c r="AD198" s="97" t="str" cm="1">
        <f t="array" ref="AD198">IFERROR(_xlfn.XLOOKUP(1,  (MAX(IF(I198 = 'Processed Non-zero TRI Data'!$I$2:$I$6,'Processed Non-zero TRI Data'!$A$2:$A$6)) = 'Processed Non-zero TRI Data'!$A$2:$A$6)*('Processed Non-zero TRI Data'!$I$2:$I$6 = I198), 'Processed Non-zero TRI Data'!$V$2:$V$6), "N/A- Facility Does Not Report to TRI")</f>
        <v>N/A- Facility Does Not Report to TRI</v>
      </c>
      <c r="AE198" s="9" t="str">
        <f t="shared" si="69"/>
        <v>N/A - Facility Does Not Report to TRI</v>
      </c>
      <c r="AF198" s="9" t="str" cm="1">
        <f t="array" ref="AF198">IF(COUNTIF('Processed Non-zero TRI Data'!$I:$I,$I198)&gt;0,MEDIAN(IF('Processed Non-zero TRI Data'!$I:$I=I198,'Processed Non-zero TRI Data'!$V:$V)), "N/A - Facility Does Not Report to TRI")</f>
        <v>N/A - Facility Does Not Report to TRI</v>
      </c>
      <c r="AG198" s="9" t="str">
        <f t="shared" si="70"/>
        <v>N/A - Facility Does Not Report to TRI</v>
      </c>
      <c r="AH198" s="9" t="str">
        <f>IF(COUNTIF('Processed Non-zero TRI Data'!$I:$I,$I198)&gt;0,_xlfn.MAXIFS('Processed Non-zero TRI Data'!$V:$V,'Processed Non-zero TRI Data'!$I:$I,$I198), "N/A - Facility Does Not Report to TRI")</f>
        <v>N/A - Facility Does Not Report to TRI</v>
      </c>
      <c r="AI198" s="9" t="str">
        <f t="shared" si="71"/>
        <v>N/A - Facility Does Not Report to TRI</v>
      </c>
      <c r="AJ198" s="158" t="str" cm="1">
        <f t="array" ref="AJ198">IF(B198="TRI Form A",AC198,IF(AH198=0,"Facility has no transfers to POTWs between 2019-2023.",IF(COUNTIF('Processed Non-zero TRI Data'!$I:$I,$I198)&gt;0,INDEX('Processed Non-zero TRI Data'!$A:$A,MATCH(1,($I198='Processed Non-zero TRI Data'!$I:$I)*(AH198='Processed Non-zero TRI Data'!$V:$V),0)),"N/A - Facility Does Not Report to TRI")))</f>
        <v>N/A - Facility Does Not Report to TRI</v>
      </c>
      <c r="AK198" s="97" t="str" cm="1">
        <f t="array" ref="AK198">IFERROR(_xlfn.XLOOKUP(1,  (MAX(IF(I198 = 'Processed Non-zero TRI Data'!$I$2:$I$6,'Processed Non-zero TRI Data'!$A$2:$A$6)) = 'Processed Non-zero TRI Data'!$A$2:$A$6)*('Processed Non-zero TRI Data'!$I$2:$I$6 = I198), 'Processed Non-zero TRI Data'!$X$2:$X$6), "N/A- Facility Does Not Report to TRI")</f>
        <v>N/A- Facility Does Not Report to TRI</v>
      </c>
      <c r="AL198" s="9" t="str">
        <f t="shared" si="72"/>
        <v>N/A - Facility Does Not Report to TRI</v>
      </c>
      <c r="AM198" s="9" t="str" cm="1">
        <f t="array" ref="AM198">IF(COUNTIF('Processed Non-zero TRI Data'!$I:$I,$I198)&gt;0,MEDIAN(IF('Processed Non-zero TRI Data'!$I:$I=I198,'Processed Non-zero TRI Data'!$X:$X)), "N/A - Facility Does Not Report to TRI")</f>
        <v>N/A - Facility Does Not Report to TRI</v>
      </c>
      <c r="AN198" s="9" t="str">
        <f t="shared" si="73"/>
        <v>N/A - Facility Does Not Report to TRI</v>
      </c>
      <c r="AO198" s="9" t="str">
        <f>IF(COUNTIF('Processed Non-zero TRI Data'!$I:$I,$I198)&gt;0,_xlfn.MAXIFS('Processed Non-zero TRI Data'!$X:$X,'Processed Non-zero TRI Data'!$I:$I,$I198), "N/A - Facility Does Not Report to TRI")</f>
        <v>N/A - Facility Does Not Report to TRI</v>
      </c>
      <c r="AP198" s="9" t="str">
        <f t="shared" si="74"/>
        <v>N/A - Facility Does Not Report to TRI</v>
      </c>
      <c r="AQ198" s="251" t="str" cm="1">
        <f t="array" ref="AQ198">IF(B198="TRI Form A",AC198,IF(AO198=0,"Facility has no transfers to non-POTWs between 2019-2023.",IF(COUNTIF('Processed Non-zero TRI Data'!$I:$I,$I198)&gt;0,INDEX('Processed Non-zero TRI Data'!$A:$A,MATCH(1,($I198='Processed Non-zero TRI Data'!$I:$I)*(AO198='Processed Non-zero TRI Data'!$X:$X),0)),"N/A - Facility Does Not Report to TRI")))</f>
        <v>N/A - Facility Does Not Report to TRI</v>
      </c>
      <c r="AR198" s="260">
        <f t="shared" si="75"/>
        <v>0</v>
      </c>
      <c r="AS198" s="260">
        <f t="shared" si="76"/>
        <v>0.93744000000000005</v>
      </c>
    </row>
    <row r="199" spans="1:45" ht="45" x14ac:dyDescent="0.25">
      <c r="A199" s="12">
        <v>196</v>
      </c>
      <c r="B199" s="10" t="str">
        <f>IFERROR("TRI Form "&amp; VLOOKUP(I199, 'Processed Non-zero TRI Data'!$I$2:$K$6, 3, FALSE), "DMR")</f>
        <v>DMR</v>
      </c>
      <c r="C199" s="181" t="e">
        <f>VLOOKUP(D199,#REF!, 2, FALSE)</f>
        <v>#REF!</v>
      </c>
      <c r="D199" s="181" t="str">
        <f>IF(I199&lt;&gt;"",INDEX('Processed Non-zero TRI Data'!$O:$O,MATCH(I199,'Processed Non-zero TRI Data'!$I:$I,0)),INDEX('Processed Non-zero DMR Data'!$S:$S,MATCH(J199,'Processed Non-zero DMR Data'!$I:$I,0)))</f>
        <v>Impurity in Plastics</v>
      </c>
      <c r="E199" s="181" t="str">
        <f>IF(I199&lt;&gt;"",INDEX('Processed Non-zero TRI Data'!$P:$P,MATCH(I199,'Processed Non-zero TRI Data'!$I:$I,0)),INDEX('Processed Non-zero DMR Data'!$T:$T,MATCH(J199,'Processed Non-zero DMR Data'!$I:$I,0)))</f>
        <v>Plastics SIC/NAICS - EPA-HQ-OPPT-2018-0428-0011 indicates 1,2-dichloropropane can be a residual/byproduct in PVC plastics or a flame retardant plasticizer.</v>
      </c>
      <c r="F199" s="9" t="str">
        <f>_xlfn.XLOOKUP(J199, 'Processed Non-zero DMR Data'!I:I, 'Processed Non-zero DMR Data'!B:B)</f>
        <v>METTON AMERICA LA PORTE PLANT</v>
      </c>
      <c r="G199" s="9" t="str">
        <f>_xlfn.XLOOKUP(J199, 'Processed Non-zero DMR Data'!I:I, 'Processed Non-zero DMR Data'!C:C)</f>
        <v>LA PORTE</v>
      </c>
      <c r="H199" s="9" t="str">
        <f>_xlfn.XLOOKUP(J199, 'Processed Non-zero DMR Data'!I:I, 'Processed Non-zero DMR Data'!E:E)</f>
        <v>TX</v>
      </c>
      <c r="I199" s="12"/>
      <c r="J199" s="13">
        <v>110000463677</v>
      </c>
      <c r="K199" s="9" t="str">
        <f>IFERROR(INDEX('Raw Non-zero DMR Data'!$C:$C, MATCH(J199,'Raw Non-zero DMR Data'!$D:$D,0)),"")</f>
        <v>TX0084808</v>
      </c>
      <c r="L199" s="9" t="str">
        <f>IFERROR(INDEX('Raw Non-zero DMR Data'!$U:$U, MATCH($J199,'Raw Non-zero DMR Data'!$D:$D,0)),"")</f>
        <v>Goose Creek-Frontal Galveston Bay</v>
      </c>
      <c r="M199" s="155">
        <f>IFERROR(INDEX('Raw Non-zero DMR Data'!$T:$T, MATCH($J199,'Raw Non-zero DMR Data'!$D:$D,0)),"")</f>
        <v>120401040706</v>
      </c>
      <c r="N199" s="155" t="str">
        <f>IFERROR(INDEX('Off-site Locations'!$E:$E,MATCH(I199,'Off-site Locations'!$B:$B,0)),"No offsite transfers")</f>
        <v>No offsite transfers</v>
      </c>
      <c r="O199" s="165">
        <f>INDEX('TRI and DMR OES Summary'!D:D,MATCH('Facility Discharge Summary'!D199,'TRI and DMR OES Summary'!A:A,0))</f>
        <v>350</v>
      </c>
      <c r="P199" s="17" cm="1">
        <f t="array" ref="P199">IFERROR(_xlfn.XLOOKUP(1,  (MAX(IF(J199 = 'Processed Non-zero DMR Data'!$I$2:$I$651,'Processed Non-zero DMR Data'!$A$2:$A$651)) = 'Processed Non-zero DMR Data'!$A$2:$A$651)*('Processed Non-zero DMR Data'!$I$2:$I$651 = J199),'Processed Non-zero DMR Data'!$W$2:$W$651), "N/A- Facility Does Not Report DMRs")</f>
        <v>3.5461939999999999E-3</v>
      </c>
      <c r="Q199" s="10">
        <f t="shared" si="63"/>
        <v>1.0131982857142858E-5</v>
      </c>
      <c r="R199" s="10" cm="1">
        <f t="array" ref="R199">IF(COUNTIF('Processed Non-zero DMR Data'!$I:$I,$J199)&gt;0,MEDIAN(IF('Processed Non-zero DMR Data'!$I:$I=J199,'Processed Non-zero DMR Data'!$W:$W)),"N/A - Facility Does Not Report DMRs")</f>
        <v>3.7699025000000001E-3</v>
      </c>
      <c r="S199" s="10">
        <f t="shared" si="64"/>
        <v>1.0771149999999999E-5</v>
      </c>
      <c r="T199" s="10">
        <f>IF(COUNTIF('Processed Non-zero DMR Data'!$I:$I,$J199)&gt;0,_xlfn.MAXIFS('Processed Non-zero DMR Data'!$W:$W,'Processed Non-zero DMR Data'!$I:$I,$J199), "N/A - Facility Does Not Report DMRs")</f>
        <v>3.9936110000000002E-3</v>
      </c>
      <c r="U199" s="10">
        <f t="shared" si="65"/>
        <v>1.1410317142857143E-5</v>
      </c>
      <c r="V199" s="158" cm="1">
        <f t="array" ref="V199">IF(COUNTIF('Processed Non-zero DMR Data'!$I:$I,$J199)&gt;0,INDEX('Processed Non-zero DMR Data'!$A:$A,MATCH(1,($J199='Processed Non-zero DMR Data'!$I:$I)*($T199='Processed Non-zero DMR Data'!$W:$W),0)), "N/A - Facility Does Not Report DMRs")</f>
        <v>2022</v>
      </c>
      <c r="W199" s="17" t="str" cm="1">
        <f t="array" ref="W199">IFERROR(_xlfn.XLOOKUP(1,  (MAX(IF(I199 = 'Processed Non-zero TRI Data'!$I$2:$I$6,'Processed Non-zero TRI Data'!$A$2:$A$6)) = 'Processed Non-zero TRI Data'!$A$2:$A$6)*('Processed Non-zero TRI Data'!$I$2:$I$6 = I199), 'Processed Non-zero TRI Data'!$T$2:$T$6), "N/A- Facility Does Not Report to TRI")</f>
        <v>N/A- Facility Does Not Report to TRI</v>
      </c>
      <c r="X199" s="10" t="str">
        <f t="shared" si="66"/>
        <v>N/A - Facility Does Not Report to TRI</v>
      </c>
      <c r="Y199" s="10" t="str" cm="1">
        <f t="array" ref="Y199">IF(COUNTIF('Processed Non-zero TRI Data'!$I:$I,$I199)&gt;0,MEDIAN(IF('Processed Non-zero TRI Data'!$I:$I=I199,'Processed Non-zero TRI Data'!$T:$T)), "N/A - Facility Does Not Report to TRI")</f>
        <v>N/A - Facility Does Not Report to TRI</v>
      </c>
      <c r="Z199" s="10" t="str">
        <f t="shared" si="67"/>
        <v>N/A - Facility Does Not Report to TRI</v>
      </c>
      <c r="AA199" s="10" t="str">
        <f>IF(COUNTIF('Processed Non-zero TRI Data'!$I:$I,$I199)&gt;0,_xlfn.MAXIFS('Processed Non-zero TRI Data'!$T:$T,'Processed Non-zero TRI Data'!$I:$I,$I199), "N/A - Facility Does Not Report to TRI")</f>
        <v>N/A - Facility Does Not Report to TRI</v>
      </c>
      <c r="AB199" s="10" t="str">
        <f t="shared" si="68"/>
        <v>N/A - Facility Does Not Report to TRI</v>
      </c>
      <c r="AC199" s="158" t="str" cm="1">
        <f t="array" ref="AC199">IFERROR(IF(B199 = "TRI Form R", IF(AA199 = 0, "Facility has no on-site water discharges between 2017-2022.",  IF(COUNTIF('Processed Non-zero TRI Data'!$I:$I,$I199)&gt;0,INDEX('Processed Non-zero TRI Data'!$A:$A,MATCH(1,($I199='Processed Non-zero TRI Data'!$I:$I)*(AA199='Processed Non-zero TRI Data'!$T:$T),0)))), VLOOKUP(I199,#REF!, 2, FALSE)), ("N/A - Facility Does Not Report to TRI"))</f>
        <v>N/A - Facility Does Not Report to TRI</v>
      </c>
      <c r="AD199" s="97" t="str" cm="1">
        <f t="array" ref="AD199">IFERROR(_xlfn.XLOOKUP(1,  (MAX(IF(I199 = 'Processed Non-zero TRI Data'!$I$2:$I$6,'Processed Non-zero TRI Data'!$A$2:$A$6)) = 'Processed Non-zero TRI Data'!$A$2:$A$6)*('Processed Non-zero TRI Data'!$I$2:$I$6 = I199), 'Processed Non-zero TRI Data'!$V$2:$V$6), "N/A- Facility Does Not Report to TRI")</f>
        <v>N/A- Facility Does Not Report to TRI</v>
      </c>
      <c r="AE199" s="9" t="str">
        <f t="shared" si="69"/>
        <v>N/A - Facility Does Not Report to TRI</v>
      </c>
      <c r="AF199" s="9" t="str" cm="1">
        <f t="array" ref="AF199">IF(COUNTIF('Processed Non-zero TRI Data'!$I:$I,$I199)&gt;0,MEDIAN(IF('Processed Non-zero TRI Data'!$I:$I=I199,'Processed Non-zero TRI Data'!$V:$V)), "N/A - Facility Does Not Report to TRI")</f>
        <v>N/A - Facility Does Not Report to TRI</v>
      </c>
      <c r="AG199" s="9" t="str">
        <f t="shared" si="70"/>
        <v>N/A - Facility Does Not Report to TRI</v>
      </c>
      <c r="AH199" s="9" t="str">
        <f>IF(COUNTIF('Processed Non-zero TRI Data'!$I:$I,$I199)&gt;0,_xlfn.MAXIFS('Processed Non-zero TRI Data'!$V:$V,'Processed Non-zero TRI Data'!$I:$I,$I199), "N/A - Facility Does Not Report to TRI")</f>
        <v>N/A - Facility Does Not Report to TRI</v>
      </c>
      <c r="AI199" s="9" t="str">
        <f t="shared" si="71"/>
        <v>N/A - Facility Does Not Report to TRI</v>
      </c>
      <c r="AJ199" s="158" t="str" cm="1">
        <f t="array" ref="AJ199">IF(B199="TRI Form A",AC199,IF(AH199=0,"Facility has no transfers to POTWs between 2019-2023.",IF(COUNTIF('Processed Non-zero TRI Data'!$I:$I,$I199)&gt;0,INDEX('Processed Non-zero TRI Data'!$A:$A,MATCH(1,($I199='Processed Non-zero TRI Data'!$I:$I)*(AH199='Processed Non-zero TRI Data'!$V:$V),0)),"N/A - Facility Does Not Report to TRI")))</f>
        <v>N/A - Facility Does Not Report to TRI</v>
      </c>
      <c r="AK199" s="97" t="str" cm="1">
        <f t="array" ref="AK199">IFERROR(_xlfn.XLOOKUP(1,  (MAX(IF(I199 = 'Processed Non-zero TRI Data'!$I$2:$I$6,'Processed Non-zero TRI Data'!$A$2:$A$6)) = 'Processed Non-zero TRI Data'!$A$2:$A$6)*('Processed Non-zero TRI Data'!$I$2:$I$6 = I199), 'Processed Non-zero TRI Data'!$X$2:$X$6), "N/A- Facility Does Not Report to TRI")</f>
        <v>N/A- Facility Does Not Report to TRI</v>
      </c>
      <c r="AL199" s="9" t="str">
        <f t="shared" si="72"/>
        <v>N/A - Facility Does Not Report to TRI</v>
      </c>
      <c r="AM199" s="9" t="str" cm="1">
        <f t="array" ref="AM199">IF(COUNTIF('Processed Non-zero TRI Data'!$I:$I,$I199)&gt;0,MEDIAN(IF('Processed Non-zero TRI Data'!$I:$I=I199,'Processed Non-zero TRI Data'!$X:$X)), "N/A - Facility Does Not Report to TRI")</f>
        <v>N/A - Facility Does Not Report to TRI</v>
      </c>
      <c r="AN199" s="9" t="str">
        <f t="shared" si="73"/>
        <v>N/A - Facility Does Not Report to TRI</v>
      </c>
      <c r="AO199" s="9" t="str">
        <f>IF(COUNTIF('Processed Non-zero TRI Data'!$I:$I,$I199)&gt;0,_xlfn.MAXIFS('Processed Non-zero TRI Data'!$X:$X,'Processed Non-zero TRI Data'!$I:$I,$I199), "N/A - Facility Does Not Report to TRI")</f>
        <v>N/A - Facility Does Not Report to TRI</v>
      </c>
      <c r="AP199" s="9" t="str">
        <f t="shared" si="74"/>
        <v>N/A - Facility Does Not Report to TRI</v>
      </c>
      <c r="AQ199" s="251" t="str" cm="1">
        <f t="array" ref="AQ199">IF(B199="TRI Form A",AC199,IF(AO199=0,"Facility has no transfers to non-POTWs between 2019-2023.",IF(COUNTIF('Processed Non-zero TRI Data'!$I:$I,$I199)&gt;0,INDEX('Processed Non-zero TRI Data'!$A:$A,MATCH(1,($I199='Processed Non-zero TRI Data'!$I:$I)*(AO199='Processed Non-zero TRI Data'!$X:$X),0)),"N/A - Facility Does Not Report to TRI")))</f>
        <v>N/A - Facility Does Not Report to TRI</v>
      </c>
      <c r="AR199" s="260">
        <f t="shared" si="75"/>
        <v>0</v>
      </c>
      <c r="AS199" s="260">
        <f t="shared" si="76"/>
        <v>3.9936110000000002E-3</v>
      </c>
    </row>
    <row r="200" spans="1:45" ht="30" x14ac:dyDescent="0.25">
      <c r="A200" s="12">
        <v>197</v>
      </c>
      <c r="B200" s="10" t="str">
        <f>IFERROR("TRI Form "&amp; VLOOKUP(I200, 'Processed Non-zero TRI Data'!$I$2:$K$6, 3, FALSE), "DMR")</f>
        <v>DMR</v>
      </c>
      <c r="C200" s="181" t="e">
        <f>VLOOKUP(D200,#REF!, 2, FALSE)</f>
        <v>#REF!</v>
      </c>
      <c r="D200" s="181" t="str">
        <f>IF(I200&lt;&gt;"",INDEX('Processed Non-zero TRI Data'!$O:$O,MATCH(I200,'Processed Non-zero TRI Data'!$I:$I,0)),INDEX('Processed Non-zero DMR Data'!$S:$S,MATCH(J200,'Processed Non-zero DMR Data'!$I:$I,0)))</f>
        <v>Processing as a reactant</v>
      </c>
      <c r="E200" s="181" t="str">
        <f>IF(I200&lt;&gt;"",INDEX('Processed Non-zero TRI Data'!$P:$P,MATCH(I200,'Processed Non-zero TRI Data'!$I:$I,0)),INDEX('Processed Non-zero DMR Data'!$T:$T,MATCH(J200,'Processed Non-zero DMR Data'!$I:$I,0)))</f>
        <v>Facility produces textile, chemical, and floor covering products; assumed processing as a reactant.</v>
      </c>
      <c r="F200" s="9" t="str">
        <f>_xlfn.XLOOKUP(J200, 'Processed Non-zero DMR Data'!I:I, 'Processed Non-zero DMR Data'!B:B)</f>
        <v>MILLIKEN &amp; COMPANY/MAGNOLIA PLANT</v>
      </c>
      <c r="G200" s="9" t="str">
        <f>_xlfn.XLOOKUP(J200, 'Processed Non-zero DMR Data'!I:I, 'Processed Non-zero DMR Data'!C:C)</f>
        <v>BLACKSBURG</v>
      </c>
      <c r="H200" s="9" t="str">
        <f>_xlfn.XLOOKUP(J200, 'Processed Non-zero DMR Data'!I:I, 'Processed Non-zero DMR Data'!E:E)</f>
        <v>SC</v>
      </c>
      <c r="I200" s="12"/>
      <c r="J200" s="13">
        <v>110000915984</v>
      </c>
      <c r="K200" s="9" t="str">
        <f>IFERROR(INDEX('Raw Non-zero DMR Data'!$C:$C, MATCH(J200,'Raw Non-zero DMR Data'!$D:$D,0)),"")</f>
        <v>SC0003182</v>
      </c>
      <c r="L200" s="9" t="str">
        <f>IFERROR(INDEX('Raw Non-zero DMR Data'!$U:$U, MATCH($J200,'Raw Non-zero DMR Data'!$D:$D,0)),"")</f>
        <v>Outlet Buffalo Creek</v>
      </c>
      <c r="M200" s="155" t="str">
        <f>IFERROR(INDEX('Raw Non-zero DMR Data'!$T:$T, MATCH($J200,'Raw Non-zero DMR Data'!$D:$D,0)),"")</f>
        <v>030501050805</v>
      </c>
      <c r="N200" s="155" t="str">
        <f>IFERROR(INDEX('Off-site Locations'!$E:$E,MATCH(I200,'Off-site Locations'!$B:$B,0)),"No offsite transfers")</f>
        <v>No offsite transfers</v>
      </c>
      <c r="O200" s="165">
        <f>INDEX('TRI and DMR OES Summary'!D:D,MATCH('Facility Discharge Summary'!D200,'TRI and DMR OES Summary'!A:A,0))</f>
        <v>350</v>
      </c>
      <c r="P200" s="17" cm="1">
        <f t="array" ref="P200">IFERROR(_xlfn.XLOOKUP(1,  (MAX(IF(J200 = 'Processed Non-zero DMR Data'!$I$2:$I$651,'Processed Non-zero DMR Data'!$A$2:$A$651)) = 'Processed Non-zero DMR Data'!$A$2:$A$651)*('Processed Non-zero DMR Data'!$I$2:$I$651 = J200),'Processed Non-zero DMR Data'!$W$2:$W$651), "N/A- Facility Does Not Report DMRs")</f>
        <v>9.7768899999999999</v>
      </c>
      <c r="Q200" s="10">
        <f t="shared" si="63"/>
        <v>2.7933971428571427E-2</v>
      </c>
      <c r="R200" s="10" cm="1">
        <f t="array" ref="R200">IF(COUNTIF('Processed Non-zero DMR Data'!$I:$I,$J200)&gt;0,MEDIAN(IF('Processed Non-zero DMR Data'!$I:$I=J200,'Processed Non-zero DMR Data'!$W:$W)),"N/A - Facility Does Not Report DMRs")</f>
        <v>9.7768899999999999</v>
      </c>
      <c r="S200" s="10">
        <f t="shared" si="64"/>
        <v>2.7933971428571427E-2</v>
      </c>
      <c r="T200" s="10">
        <f>IF(COUNTIF('Processed Non-zero DMR Data'!$I:$I,$J200)&gt;0,_xlfn.MAXIFS('Processed Non-zero DMR Data'!$W:$W,'Processed Non-zero DMR Data'!$I:$I,$J200), "N/A - Facility Does Not Report DMRs")</f>
        <v>9.7768899999999999</v>
      </c>
      <c r="U200" s="10">
        <f t="shared" si="65"/>
        <v>2.7933971428571427E-2</v>
      </c>
      <c r="V200" s="158" cm="1">
        <f t="array" ref="V200">IF(COUNTIF('Processed Non-zero DMR Data'!$I:$I,$J200)&gt;0,INDEX('Processed Non-zero DMR Data'!$A:$A,MATCH(1,($J200='Processed Non-zero DMR Data'!$I:$I)*($T200='Processed Non-zero DMR Data'!$W:$W),0)), "N/A - Facility Does Not Report DMRs")</f>
        <v>2022</v>
      </c>
      <c r="W200" s="17" t="str" cm="1">
        <f t="array" ref="W200">IFERROR(_xlfn.XLOOKUP(1,  (MAX(IF(I200 = 'Processed Non-zero TRI Data'!$I$2:$I$6,'Processed Non-zero TRI Data'!$A$2:$A$6)) = 'Processed Non-zero TRI Data'!$A$2:$A$6)*('Processed Non-zero TRI Data'!$I$2:$I$6 = I200), 'Processed Non-zero TRI Data'!$T$2:$T$6), "N/A- Facility Does Not Report to TRI")</f>
        <v>N/A- Facility Does Not Report to TRI</v>
      </c>
      <c r="X200" s="10" t="str">
        <f t="shared" si="66"/>
        <v>N/A - Facility Does Not Report to TRI</v>
      </c>
      <c r="Y200" s="10" t="str" cm="1">
        <f t="array" ref="Y200">IF(COUNTIF('Processed Non-zero TRI Data'!$I:$I,$I200)&gt;0,MEDIAN(IF('Processed Non-zero TRI Data'!$I:$I=I200,'Processed Non-zero TRI Data'!$T:$T)), "N/A - Facility Does Not Report to TRI")</f>
        <v>N/A - Facility Does Not Report to TRI</v>
      </c>
      <c r="Z200" s="10" t="str">
        <f t="shared" si="67"/>
        <v>N/A - Facility Does Not Report to TRI</v>
      </c>
      <c r="AA200" s="10" t="str">
        <f>IF(COUNTIF('Processed Non-zero TRI Data'!$I:$I,$I200)&gt;0,_xlfn.MAXIFS('Processed Non-zero TRI Data'!$T:$T,'Processed Non-zero TRI Data'!$I:$I,$I200), "N/A - Facility Does Not Report to TRI")</f>
        <v>N/A - Facility Does Not Report to TRI</v>
      </c>
      <c r="AB200" s="10" t="str">
        <f t="shared" si="68"/>
        <v>N/A - Facility Does Not Report to TRI</v>
      </c>
      <c r="AC200" s="158" t="str" cm="1">
        <f t="array" ref="AC200">IFERROR(IF(B200 = "TRI Form R", IF(AA200 = 0, "Facility has no on-site water discharges between 2017-2022.",  IF(COUNTIF('Processed Non-zero TRI Data'!$I:$I,$I200)&gt;0,INDEX('Processed Non-zero TRI Data'!$A:$A,MATCH(1,($I200='Processed Non-zero TRI Data'!$I:$I)*(AA200='Processed Non-zero TRI Data'!$T:$T),0)))), VLOOKUP(I200,#REF!, 2, FALSE)), ("N/A - Facility Does Not Report to TRI"))</f>
        <v>N/A - Facility Does Not Report to TRI</v>
      </c>
      <c r="AD200" s="97" t="str" cm="1">
        <f t="array" ref="AD200">IFERROR(_xlfn.XLOOKUP(1,  (MAX(IF(I200 = 'Processed Non-zero TRI Data'!$I$2:$I$6,'Processed Non-zero TRI Data'!$A$2:$A$6)) = 'Processed Non-zero TRI Data'!$A$2:$A$6)*('Processed Non-zero TRI Data'!$I$2:$I$6 = I200), 'Processed Non-zero TRI Data'!$V$2:$V$6), "N/A- Facility Does Not Report to TRI")</f>
        <v>N/A- Facility Does Not Report to TRI</v>
      </c>
      <c r="AE200" s="9" t="str">
        <f t="shared" si="69"/>
        <v>N/A - Facility Does Not Report to TRI</v>
      </c>
      <c r="AF200" s="9" t="str" cm="1">
        <f t="array" ref="AF200">IF(COUNTIF('Processed Non-zero TRI Data'!$I:$I,$I200)&gt;0,MEDIAN(IF('Processed Non-zero TRI Data'!$I:$I=I200,'Processed Non-zero TRI Data'!$V:$V)), "N/A - Facility Does Not Report to TRI")</f>
        <v>N/A - Facility Does Not Report to TRI</v>
      </c>
      <c r="AG200" s="9" t="str">
        <f t="shared" si="70"/>
        <v>N/A - Facility Does Not Report to TRI</v>
      </c>
      <c r="AH200" s="9" t="str">
        <f>IF(COUNTIF('Processed Non-zero TRI Data'!$I:$I,$I200)&gt;0,_xlfn.MAXIFS('Processed Non-zero TRI Data'!$V:$V,'Processed Non-zero TRI Data'!$I:$I,$I200), "N/A - Facility Does Not Report to TRI")</f>
        <v>N/A - Facility Does Not Report to TRI</v>
      </c>
      <c r="AI200" s="9" t="str">
        <f t="shared" si="71"/>
        <v>N/A - Facility Does Not Report to TRI</v>
      </c>
      <c r="AJ200" s="158" t="str" cm="1">
        <f t="array" ref="AJ200">IF(B200="TRI Form A",AC200,IF(AH200=0,"Facility has no transfers to POTWs between 2019-2023.",IF(COUNTIF('Processed Non-zero TRI Data'!$I:$I,$I200)&gt;0,INDEX('Processed Non-zero TRI Data'!$A:$A,MATCH(1,($I200='Processed Non-zero TRI Data'!$I:$I)*(AH200='Processed Non-zero TRI Data'!$V:$V),0)),"N/A - Facility Does Not Report to TRI")))</f>
        <v>N/A - Facility Does Not Report to TRI</v>
      </c>
      <c r="AK200" s="97" t="str" cm="1">
        <f t="array" ref="AK200">IFERROR(_xlfn.XLOOKUP(1,  (MAX(IF(I200 = 'Processed Non-zero TRI Data'!$I$2:$I$6,'Processed Non-zero TRI Data'!$A$2:$A$6)) = 'Processed Non-zero TRI Data'!$A$2:$A$6)*('Processed Non-zero TRI Data'!$I$2:$I$6 = I200), 'Processed Non-zero TRI Data'!$X$2:$X$6), "N/A- Facility Does Not Report to TRI")</f>
        <v>N/A- Facility Does Not Report to TRI</v>
      </c>
      <c r="AL200" s="9" t="str">
        <f t="shared" si="72"/>
        <v>N/A - Facility Does Not Report to TRI</v>
      </c>
      <c r="AM200" s="9" t="str" cm="1">
        <f t="array" ref="AM200">IF(COUNTIF('Processed Non-zero TRI Data'!$I:$I,$I200)&gt;0,MEDIAN(IF('Processed Non-zero TRI Data'!$I:$I=I200,'Processed Non-zero TRI Data'!$X:$X)), "N/A - Facility Does Not Report to TRI")</f>
        <v>N/A - Facility Does Not Report to TRI</v>
      </c>
      <c r="AN200" s="9" t="str">
        <f t="shared" si="73"/>
        <v>N/A - Facility Does Not Report to TRI</v>
      </c>
      <c r="AO200" s="9" t="str">
        <f>IF(COUNTIF('Processed Non-zero TRI Data'!$I:$I,$I200)&gt;0,_xlfn.MAXIFS('Processed Non-zero TRI Data'!$X:$X,'Processed Non-zero TRI Data'!$I:$I,$I200), "N/A - Facility Does Not Report to TRI")</f>
        <v>N/A - Facility Does Not Report to TRI</v>
      </c>
      <c r="AP200" s="9" t="str">
        <f t="shared" si="74"/>
        <v>N/A - Facility Does Not Report to TRI</v>
      </c>
      <c r="AQ200" s="251" t="str" cm="1">
        <f t="array" ref="AQ200">IF(B200="TRI Form A",AC200,IF(AO200=0,"Facility has no transfers to non-POTWs between 2019-2023.",IF(COUNTIF('Processed Non-zero TRI Data'!$I:$I,$I200)&gt;0,INDEX('Processed Non-zero TRI Data'!$A:$A,MATCH(1,($I200='Processed Non-zero TRI Data'!$I:$I)*(AO200='Processed Non-zero TRI Data'!$X:$X),0)),"N/A - Facility Does Not Report to TRI")))</f>
        <v>N/A - Facility Does Not Report to TRI</v>
      </c>
      <c r="AR200" s="260">
        <f t="shared" si="75"/>
        <v>0</v>
      </c>
      <c r="AS200" s="260">
        <f t="shared" si="76"/>
        <v>9.7768899999999999</v>
      </c>
    </row>
    <row r="201" spans="1:45" ht="30" x14ac:dyDescent="0.25">
      <c r="A201" s="12">
        <v>198</v>
      </c>
      <c r="B201" s="10" t="str">
        <f>IFERROR("TRI Form "&amp; VLOOKUP(I201, 'Processed Non-zero TRI Data'!$I$2:$K$6, 3, FALSE), "DMR")</f>
        <v>DMR</v>
      </c>
      <c r="C201" s="181" t="e">
        <f>VLOOKUP(D201,#REF!, 2, FALSE)</f>
        <v>#REF!</v>
      </c>
      <c r="D201" s="181" t="str">
        <f>IF(I201&lt;&gt;"",INDEX('Processed Non-zero TRI Data'!$O:$O,MATCH(I201,'Processed Non-zero TRI Data'!$I:$I,0)),INDEX('Processed Non-zero DMR Data'!$S:$S,MATCH(J201,'Processed Non-zero DMR Data'!$I:$I,0)))</f>
        <v>Waste Handling, Disposal and Treatment (non-POTW WWT)</v>
      </c>
      <c r="E201" s="181" t="str">
        <f>IF(I201&lt;&gt;"",INDEX('Processed Non-zero TRI Data'!$P:$P,MATCH(I201,'Processed Non-zero TRI Data'!$I:$I,0)),INDEX('Processed Non-zero DMR Data'!$T:$T,MATCH(J201,'Processed Non-zero DMR Data'!$I:$I,0)))</f>
        <v>Facility provides wastewater treatment and waste hauling services; mapped to non-POTW WWT per facility type flag.</v>
      </c>
      <c r="F201" s="9" t="str">
        <f>_xlfn.XLOOKUP(J201, 'Processed Non-zero DMR Data'!I:I, 'Processed Non-zero DMR Data'!B:B)</f>
        <v>MCDONALD FARMS ENTERPRISES INC</v>
      </c>
      <c r="G201" s="9" t="str">
        <f>_xlfn.XLOOKUP(J201, 'Processed Non-zero DMR Data'!I:I, 'Processed Non-zero DMR Data'!C:C)</f>
        <v>DENVER</v>
      </c>
      <c r="H201" s="9" t="str">
        <f>_xlfn.XLOOKUP(J201, 'Processed Non-zero DMR Data'!I:I, 'Processed Non-zero DMR Data'!E:E)</f>
        <v>CO</v>
      </c>
      <c r="I201" s="12"/>
      <c r="J201" s="13">
        <v>110070162955</v>
      </c>
      <c r="K201" s="9" t="str">
        <f>IFERROR(INDEX('Raw Non-zero DMR Data'!$C:$C, MATCH(J201,'Raw Non-zero DMR Data'!$D:$D,0)),"")</f>
        <v>CO0049005</v>
      </c>
      <c r="L201" s="9" t="str">
        <f>IFERROR(INDEX('Raw Non-zero DMR Data'!$U:$U, MATCH($J201,'Raw Non-zero DMR Data'!$D:$D,0)),"")</f>
        <v>Cherry Creek-South Platte River</v>
      </c>
      <c r="M201" s="155">
        <f>IFERROR(INDEX('Raw Non-zero DMR Data'!$T:$T, MATCH($J201,'Raw Non-zero DMR Data'!$D:$D,0)),"")</f>
        <v>101900030304</v>
      </c>
      <c r="N201" s="155" t="str">
        <f>IFERROR(INDEX('Off-site Locations'!$E:$E,MATCH(I201,'Off-site Locations'!$B:$B,0)),"No offsite transfers")</f>
        <v>No offsite transfers</v>
      </c>
      <c r="O201" s="165">
        <f>INDEX('TRI and DMR OES Summary'!D:D,MATCH('Facility Discharge Summary'!D201,'TRI and DMR OES Summary'!A:A,0))</f>
        <v>250</v>
      </c>
      <c r="P201" s="17" cm="1">
        <f t="array" ref="P201">IFERROR(_xlfn.XLOOKUP(1,  (MAX(IF(J201 = 'Processed Non-zero DMR Data'!$I$2:$I$651,'Processed Non-zero DMR Data'!$A$2:$A$651)) = 'Processed Non-zero DMR Data'!$A$2:$A$651)*('Processed Non-zero DMR Data'!$I$2:$I$651 = J201),'Processed Non-zero DMR Data'!$W$2:$W$651), "N/A- Facility Does Not Report DMRs")</f>
        <v>2.5072994424999999E-3</v>
      </c>
      <c r="Q201" s="10">
        <f t="shared" si="63"/>
        <v>1.0029197769999999E-5</v>
      </c>
      <c r="R201" s="10" cm="1">
        <f t="array" ref="R201">IF(COUNTIF('Processed Non-zero DMR Data'!$I:$I,$J201)&gt;0,MEDIAN(IF('Processed Non-zero DMR Data'!$I:$I=J201,'Processed Non-zero DMR Data'!$W:$W)),"N/A - Facility Does Not Report DMRs")</f>
        <v>5.20329722125E-3</v>
      </c>
      <c r="S201" s="10">
        <f t="shared" si="64"/>
        <v>2.0813188884999999E-5</v>
      </c>
      <c r="T201" s="10">
        <f>IF(COUNTIF('Processed Non-zero DMR Data'!$I:$I,$J201)&gt;0,_xlfn.MAXIFS('Processed Non-zero DMR Data'!$W:$W,'Processed Non-zero DMR Data'!$I:$I,$J201), "N/A - Facility Does Not Report DMRs")</f>
        <v>7.8992950000000006E-3</v>
      </c>
      <c r="U201" s="10">
        <f t="shared" si="65"/>
        <v>3.1597180000000002E-5</v>
      </c>
      <c r="V201" s="158" cm="1">
        <f t="array" ref="V201">IF(COUNTIF('Processed Non-zero DMR Data'!$I:$I,$J201)&gt;0,INDEX('Processed Non-zero DMR Data'!$A:$A,MATCH(1,($J201='Processed Non-zero DMR Data'!$I:$I)*($T201='Processed Non-zero DMR Data'!$W:$W),0)), "N/A - Facility Does Not Report DMRs")</f>
        <v>2022</v>
      </c>
      <c r="W201" s="17" t="str" cm="1">
        <f t="array" ref="W201">IFERROR(_xlfn.XLOOKUP(1,  (MAX(IF(I201 = 'Processed Non-zero TRI Data'!$I$2:$I$6,'Processed Non-zero TRI Data'!$A$2:$A$6)) = 'Processed Non-zero TRI Data'!$A$2:$A$6)*('Processed Non-zero TRI Data'!$I$2:$I$6 = I201), 'Processed Non-zero TRI Data'!$T$2:$T$6), "N/A- Facility Does Not Report to TRI")</f>
        <v>N/A- Facility Does Not Report to TRI</v>
      </c>
      <c r="X201" s="10" t="str">
        <f t="shared" si="66"/>
        <v>N/A - Facility Does Not Report to TRI</v>
      </c>
      <c r="Y201" s="10" t="str" cm="1">
        <f t="array" ref="Y201">IF(COUNTIF('Processed Non-zero TRI Data'!$I:$I,$I201)&gt;0,MEDIAN(IF('Processed Non-zero TRI Data'!$I:$I=I201,'Processed Non-zero TRI Data'!$T:$T)), "N/A - Facility Does Not Report to TRI")</f>
        <v>N/A - Facility Does Not Report to TRI</v>
      </c>
      <c r="Z201" s="10" t="str">
        <f t="shared" si="67"/>
        <v>N/A - Facility Does Not Report to TRI</v>
      </c>
      <c r="AA201" s="10" t="str">
        <f>IF(COUNTIF('Processed Non-zero TRI Data'!$I:$I,$I201)&gt;0,_xlfn.MAXIFS('Processed Non-zero TRI Data'!$T:$T,'Processed Non-zero TRI Data'!$I:$I,$I201), "N/A - Facility Does Not Report to TRI")</f>
        <v>N/A - Facility Does Not Report to TRI</v>
      </c>
      <c r="AB201" s="10" t="str">
        <f t="shared" si="68"/>
        <v>N/A - Facility Does Not Report to TRI</v>
      </c>
      <c r="AC201" s="158" t="str" cm="1">
        <f t="array" ref="AC201">IFERROR(IF(B201 = "TRI Form R", IF(AA201 = 0, "Facility has no on-site water discharges between 2017-2022.",  IF(COUNTIF('Processed Non-zero TRI Data'!$I:$I,$I201)&gt;0,INDEX('Processed Non-zero TRI Data'!$A:$A,MATCH(1,($I201='Processed Non-zero TRI Data'!$I:$I)*(AA201='Processed Non-zero TRI Data'!$T:$T),0)))), VLOOKUP(I201,#REF!, 2, FALSE)), ("N/A - Facility Does Not Report to TRI"))</f>
        <v>N/A - Facility Does Not Report to TRI</v>
      </c>
      <c r="AD201" s="97" t="str" cm="1">
        <f t="array" ref="AD201">IFERROR(_xlfn.XLOOKUP(1,  (MAX(IF(I201 = 'Processed Non-zero TRI Data'!$I$2:$I$6,'Processed Non-zero TRI Data'!$A$2:$A$6)) = 'Processed Non-zero TRI Data'!$A$2:$A$6)*('Processed Non-zero TRI Data'!$I$2:$I$6 = I201), 'Processed Non-zero TRI Data'!$V$2:$V$6), "N/A- Facility Does Not Report to TRI")</f>
        <v>N/A- Facility Does Not Report to TRI</v>
      </c>
      <c r="AE201" s="9" t="str">
        <f t="shared" si="69"/>
        <v>N/A - Facility Does Not Report to TRI</v>
      </c>
      <c r="AF201" s="9" t="str" cm="1">
        <f t="array" ref="AF201">IF(COUNTIF('Processed Non-zero TRI Data'!$I:$I,$I201)&gt;0,MEDIAN(IF('Processed Non-zero TRI Data'!$I:$I=I201,'Processed Non-zero TRI Data'!$V:$V)), "N/A - Facility Does Not Report to TRI")</f>
        <v>N/A - Facility Does Not Report to TRI</v>
      </c>
      <c r="AG201" s="9" t="str">
        <f t="shared" si="70"/>
        <v>N/A - Facility Does Not Report to TRI</v>
      </c>
      <c r="AH201" s="9" t="str">
        <f>IF(COUNTIF('Processed Non-zero TRI Data'!$I:$I,$I201)&gt;0,_xlfn.MAXIFS('Processed Non-zero TRI Data'!$V:$V,'Processed Non-zero TRI Data'!$I:$I,$I201), "N/A - Facility Does Not Report to TRI")</f>
        <v>N/A - Facility Does Not Report to TRI</v>
      </c>
      <c r="AI201" s="9" t="str">
        <f t="shared" si="71"/>
        <v>N/A - Facility Does Not Report to TRI</v>
      </c>
      <c r="AJ201" s="158" t="str" cm="1">
        <f t="array" ref="AJ201">IF(B201="TRI Form A",AC201,IF(AH201=0,"Facility has no transfers to POTWs between 2019-2023.",IF(COUNTIF('Processed Non-zero TRI Data'!$I:$I,$I201)&gt;0,INDEX('Processed Non-zero TRI Data'!$A:$A,MATCH(1,($I201='Processed Non-zero TRI Data'!$I:$I)*(AH201='Processed Non-zero TRI Data'!$V:$V),0)),"N/A - Facility Does Not Report to TRI")))</f>
        <v>N/A - Facility Does Not Report to TRI</v>
      </c>
      <c r="AK201" s="97" t="str" cm="1">
        <f t="array" ref="AK201">IFERROR(_xlfn.XLOOKUP(1,  (MAX(IF(I201 = 'Processed Non-zero TRI Data'!$I$2:$I$6,'Processed Non-zero TRI Data'!$A$2:$A$6)) = 'Processed Non-zero TRI Data'!$A$2:$A$6)*('Processed Non-zero TRI Data'!$I$2:$I$6 = I201), 'Processed Non-zero TRI Data'!$X$2:$X$6), "N/A- Facility Does Not Report to TRI")</f>
        <v>N/A- Facility Does Not Report to TRI</v>
      </c>
      <c r="AL201" s="9" t="str">
        <f t="shared" si="72"/>
        <v>N/A - Facility Does Not Report to TRI</v>
      </c>
      <c r="AM201" s="9" t="str" cm="1">
        <f t="array" ref="AM201">IF(COUNTIF('Processed Non-zero TRI Data'!$I:$I,$I201)&gt;0,MEDIAN(IF('Processed Non-zero TRI Data'!$I:$I=I201,'Processed Non-zero TRI Data'!$X:$X)), "N/A - Facility Does Not Report to TRI")</f>
        <v>N/A - Facility Does Not Report to TRI</v>
      </c>
      <c r="AN201" s="9" t="str">
        <f t="shared" si="73"/>
        <v>N/A - Facility Does Not Report to TRI</v>
      </c>
      <c r="AO201" s="9" t="str">
        <f>IF(COUNTIF('Processed Non-zero TRI Data'!$I:$I,$I201)&gt;0,_xlfn.MAXIFS('Processed Non-zero TRI Data'!$X:$X,'Processed Non-zero TRI Data'!$I:$I,$I201), "N/A - Facility Does Not Report to TRI")</f>
        <v>N/A - Facility Does Not Report to TRI</v>
      </c>
      <c r="AP201" s="9" t="str">
        <f t="shared" si="74"/>
        <v>N/A - Facility Does Not Report to TRI</v>
      </c>
      <c r="AQ201" s="251" t="str" cm="1">
        <f t="array" ref="AQ201">IF(B201="TRI Form A",AC201,IF(AO201=0,"Facility has no transfers to non-POTWs between 2019-2023.",IF(COUNTIF('Processed Non-zero TRI Data'!$I:$I,$I201)&gt;0,INDEX('Processed Non-zero TRI Data'!$A:$A,MATCH(1,($I201='Processed Non-zero TRI Data'!$I:$I)*(AO201='Processed Non-zero TRI Data'!$X:$X),0)),"N/A - Facility Does Not Report to TRI")))</f>
        <v>N/A - Facility Does Not Report to TRI</v>
      </c>
      <c r="AR201" s="260">
        <f t="shared" si="75"/>
        <v>0</v>
      </c>
      <c r="AS201" s="260">
        <f t="shared" si="76"/>
        <v>7.8992950000000006E-3</v>
      </c>
    </row>
    <row r="202" spans="1:45" ht="30" x14ac:dyDescent="0.25">
      <c r="A202" s="12">
        <v>199</v>
      </c>
      <c r="B202" s="10" t="str">
        <f>IFERROR("TRI Form "&amp; VLOOKUP(I202, 'Processed Non-zero TRI Data'!$I$2:$K$6, 3, FALSE), "DMR")</f>
        <v>DMR</v>
      </c>
      <c r="C202" s="181" t="e">
        <f>VLOOKUP(D202,#REF!, 2, FALSE)</f>
        <v>#REF!</v>
      </c>
      <c r="D202" s="181" t="str">
        <f>IF(I202&lt;&gt;"",INDEX('Processed Non-zero TRI Data'!$O:$O,MATCH(I202,'Processed Non-zero TRI Data'!$I:$I,0)),INDEX('Processed Non-zero DMR Data'!$S:$S,MATCH(J202,'Processed Non-zero DMR Data'!$I:$I,0)))</f>
        <v>Processing as a reactant</v>
      </c>
      <c r="E202" s="181" t="str">
        <f>IF(I202&lt;&gt;"",INDEX('Processed Non-zero TRI Data'!$P:$P,MATCH(I202,'Processed Non-zero TRI Data'!$I:$I,0)),INDEX('Processed Non-zero DMR Data'!$T:$T,MATCH(J202,'Processed Non-zero DMR Data'!$I:$I,0)))</f>
        <v>Assumed processing as a reactant based on SIC and NAICS. Not known MFG site.</v>
      </c>
      <c r="F202" s="9" t="str">
        <f>_xlfn.XLOOKUP(J202, 'Processed Non-zero DMR Data'!I:I, 'Processed Non-zero DMR Data'!B:B)</f>
        <v>NORTH STORAGE FACILITY</v>
      </c>
      <c r="G202" s="9" t="str">
        <f>_xlfn.XLOOKUP(J202, 'Processed Non-zero DMR Data'!I:I, 'Processed Non-zero DMR Data'!C:C)</f>
        <v>MONT BELVIEU</v>
      </c>
      <c r="H202" s="9" t="str">
        <f>_xlfn.XLOOKUP(J202, 'Processed Non-zero DMR Data'!I:I, 'Processed Non-zero DMR Data'!E:E)</f>
        <v>TX</v>
      </c>
      <c r="I202" s="12"/>
      <c r="J202" s="13">
        <v>110056961480</v>
      </c>
      <c r="K202" s="9" t="str">
        <f>IFERROR(INDEX('Raw Non-zero DMR Data'!$C:$C, MATCH(J202,'Raw Non-zero DMR Data'!$D:$D,0)),"")</f>
        <v>TX0102326</v>
      </c>
      <c r="L202" s="9" t="str">
        <f>IFERROR(INDEX('Raw Non-zero DMR Data'!$U:$U, MATCH($J202,'Raw Non-zero DMR Data'!$D:$D,0)),"")</f>
        <v>Ellis Branch-Cedar Bayou</v>
      </c>
      <c r="M202" s="155">
        <f>IFERROR(INDEX('Raw Non-zero DMR Data'!$T:$T, MATCH($J202,'Raw Non-zero DMR Data'!$D:$D,0)),"")</f>
        <v>120402030105</v>
      </c>
      <c r="N202" s="155" t="str">
        <f>IFERROR(INDEX('Off-site Locations'!$E:$E,MATCH(I202,'Off-site Locations'!$B:$B,0)),"No offsite transfers")</f>
        <v>No offsite transfers</v>
      </c>
      <c r="O202" s="165">
        <f>INDEX('TRI and DMR OES Summary'!D:D,MATCH('Facility Discharge Summary'!D202,'TRI and DMR OES Summary'!A:A,0))</f>
        <v>350</v>
      </c>
      <c r="P202" s="17" cm="1">
        <f t="array" ref="P202">IFERROR(_xlfn.XLOOKUP(1,  (MAX(IF(J202 = 'Processed Non-zero DMR Data'!$I$2:$I$651,'Processed Non-zero DMR Data'!$A$2:$A$651)) = 'Processed Non-zero DMR Data'!$A$2:$A$651)*('Processed Non-zero DMR Data'!$I$2:$I$651 = J202),'Processed Non-zero DMR Data'!$W$2:$W$651), "N/A- Facility Does Not Report DMRs")</f>
        <v>0.16571</v>
      </c>
      <c r="Q202" s="10">
        <f t="shared" si="63"/>
        <v>4.7345714285714283E-4</v>
      </c>
      <c r="R202" s="10" cm="1">
        <f t="array" ref="R202">IF(COUNTIF('Processed Non-zero DMR Data'!$I:$I,$J202)&gt;0,MEDIAN(IF('Processed Non-zero DMR Data'!$I:$I=J202,'Processed Non-zero DMR Data'!$W:$W)),"N/A - Facility Does Not Report DMRs")</f>
        <v>0.16571</v>
      </c>
      <c r="S202" s="10">
        <f t="shared" si="64"/>
        <v>4.7345714285714283E-4</v>
      </c>
      <c r="T202" s="10">
        <f>IF(COUNTIF('Processed Non-zero DMR Data'!$I:$I,$J202)&gt;0,_xlfn.MAXIFS('Processed Non-zero DMR Data'!$W:$W,'Processed Non-zero DMR Data'!$I:$I,$J202), "N/A - Facility Does Not Report DMRs")</f>
        <v>0.16571</v>
      </c>
      <c r="U202" s="10">
        <f t="shared" si="65"/>
        <v>4.7345714285714283E-4</v>
      </c>
      <c r="V202" s="158" cm="1">
        <f t="array" ref="V202">IF(COUNTIF('Processed Non-zero DMR Data'!$I:$I,$J202)&gt;0,INDEX('Processed Non-zero DMR Data'!$A:$A,MATCH(1,($J202='Processed Non-zero DMR Data'!$I:$I)*($T202='Processed Non-zero DMR Data'!$W:$W),0)), "N/A - Facility Does Not Report DMRs")</f>
        <v>2022</v>
      </c>
      <c r="W202" s="17" t="str" cm="1">
        <f t="array" ref="W202">IFERROR(_xlfn.XLOOKUP(1,  (MAX(IF(I202 = 'Processed Non-zero TRI Data'!$I$2:$I$6,'Processed Non-zero TRI Data'!$A$2:$A$6)) = 'Processed Non-zero TRI Data'!$A$2:$A$6)*('Processed Non-zero TRI Data'!$I$2:$I$6 = I202), 'Processed Non-zero TRI Data'!$T$2:$T$6), "N/A- Facility Does Not Report to TRI")</f>
        <v>N/A- Facility Does Not Report to TRI</v>
      </c>
      <c r="X202" s="10" t="str">
        <f t="shared" si="66"/>
        <v>N/A - Facility Does Not Report to TRI</v>
      </c>
      <c r="Y202" s="10" t="str" cm="1">
        <f t="array" ref="Y202">IF(COUNTIF('Processed Non-zero TRI Data'!$I:$I,$I202)&gt;0,MEDIAN(IF('Processed Non-zero TRI Data'!$I:$I=I202,'Processed Non-zero TRI Data'!$T:$T)), "N/A - Facility Does Not Report to TRI")</f>
        <v>N/A - Facility Does Not Report to TRI</v>
      </c>
      <c r="Z202" s="10" t="str">
        <f t="shared" si="67"/>
        <v>N/A - Facility Does Not Report to TRI</v>
      </c>
      <c r="AA202" s="10" t="str">
        <f>IF(COUNTIF('Processed Non-zero TRI Data'!$I:$I,$I202)&gt;0,_xlfn.MAXIFS('Processed Non-zero TRI Data'!$T:$T,'Processed Non-zero TRI Data'!$I:$I,$I202), "N/A - Facility Does Not Report to TRI")</f>
        <v>N/A - Facility Does Not Report to TRI</v>
      </c>
      <c r="AB202" s="10" t="str">
        <f t="shared" si="68"/>
        <v>N/A - Facility Does Not Report to TRI</v>
      </c>
      <c r="AC202" s="158" t="str" cm="1">
        <f t="array" ref="AC202">IFERROR(IF(B202 = "TRI Form R", IF(AA202 = 0, "Facility has no on-site water discharges between 2017-2022.",  IF(COUNTIF('Processed Non-zero TRI Data'!$I:$I,$I202)&gt;0,INDEX('Processed Non-zero TRI Data'!$A:$A,MATCH(1,($I202='Processed Non-zero TRI Data'!$I:$I)*(AA202='Processed Non-zero TRI Data'!$T:$T),0)))), VLOOKUP(I202,#REF!, 2, FALSE)), ("N/A - Facility Does Not Report to TRI"))</f>
        <v>N/A - Facility Does Not Report to TRI</v>
      </c>
      <c r="AD202" s="97" t="str" cm="1">
        <f t="array" ref="AD202">IFERROR(_xlfn.XLOOKUP(1,  (MAX(IF(I202 = 'Processed Non-zero TRI Data'!$I$2:$I$6,'Processed Non-zero TRI Data'!$A$2:$A$6)) = 'Processed Non-zero TRI Data'!$A$2:$A$6)*('Processed Non-zero TRI Data'!$I$2:$I$6 = I202), 'Processed Non-zero TRI Data'!$V$2:$V$6), "N/A- Facility Does Not Report to TRI")</f>
        <v>N/A- Facility Does Not Report to TRI</v>
      </c>
      <c r="AE202" s="9" t="str">
        <f t="shared" si="69"/>
        <v>N/A - Facility Does Not Report to TRI</v>
      </c>
      <c r="AF202" s="9" t="str" cm="1">
        <f t="array" ref="AF202">IF(COUNTIF('Processed Non-zero TRI Data'!$I:$I,$I202)&gt;0,MEDIAN(IF('Processed Non-zero TRI Data'!$I:$I=I202,'Processed Non-zero TRI Data'!$V:$V)), "N/A - Facility Does Not Report to TRI")</f>
        <v>N/A - Facility Does Not Report to TRI</v>
      </c>
      <c r="AG202" s="9" t="str">
        <f t="shared" si="70"/>
        <v>N/A - Facility Does Not Report to TRI</v>
      </c>
      <c r="AH202" s="9" t="str">
        <f>IF(COUNTIF('Processed Non-zero TRI Data'!$I:$I,$I202)&gt;0,_xlfn.MAXIFS('Processed Non-zero TRI Data'!$V:$V,'Processed Non-zero TRI Data'!$I:$I,$I202), "N/A - Facility Does Not Report to TRI")</f>
        <v>N/A - Facility Does Not Report to TRI</v>
      </c>
      <c r="AI202" s="9" t="str">
        <f t="shared" si="71"/>
        <v>N/A - Facility Does Not Report to TRI</v>
      </c>
      <c r="AJ202" s="158" t="str" cm="1">
        <f t="array" ref="AJ202">IF(B202="TRI Form A",AC202,IF(AH202=0,"Facility has no transfers to POTWs between 2019-2023.",IF(COUNTIF('Processed Non-zero TRI Data'!$I:$I,$I202)&gt;0,INDEX('Processed Non-zero TRI Data'!$A:$A,MATCH(1,($I202='Processed Non-zero TRI Data'!$I:$I)*(AH202='Processed Non-zero TRI Data'!$V:$V),0)),"N/A - Facility Does Not Report to TRI")))</f>
        <v>N/A - Facility Does Not Report to TRI</v>
      </c>
      <c r="AK202" s="97" t="str" cm="1">
        <f t="array" ref="AK202">IFERROR(_xlfn.XLOOKUP(1,  (MAX(IF(I202 = 'Processed Non-zero TRI Data'!$I$2:$I$6,'Processed Non-zero TRI Data'!$A$2:$A$6)) = 'Processed Non-zero TRI Data'!$A$2:$A$6)*('Processed Non-zero TRI Data'!$I$2:$I$6 = I202), 'Processed Non-zero TRI Data'!$X$2:$X$6), "N/A- Facility Does Not Report to TRI")</f>
        <v>N/A- Facility Does Not Report to TRI</v>
      </c>
      <c r="AL202" s="9" t="str">
        <f t="shared" si="72"/>
        <v>N/A - Facility Does Not Report to TRI</v>
      </c>
      <c r="AM202" s="9" t="str" cm="1">
        <f t="array" ref="AM202">IF(COUNTIF('Processed Non-zero TRI Data'!$I:$I,$I202)&gt;0,MEDIAN(IF('Processed Non-zero TRI Data'!$I:$I=I202,'Processed Non-zero TRI Data'!$X:$X)), "N/A - Facility Does Not Report to TRI")</f>
        <v>N/A - Facility Does Not Report to TRI</v>
      </c>
      <c r="AN202" s="9" t="str">
        <f t="shared" si="73"/>
        <v>N/A - Facility Does Not Report to TRI</v>
      </c>
      <c r="AO202" s="9" t="str">
        <f>IF(COUNTIF('Processed Non-zero TRI Data'!$I:$I,$I202)&gt;0,_xlfn.MAXIFS('Processed Non-zero TRI Data'!$X:$X,'Processed Non-zero TRI Data'!$I:$I,$I202), "N/A - Facility Does Not Report to TRI")</f>
        <v>N/A - Facility Does Not Report to TRI</v>
      </c>
      <c r="AP202" s="9" t="str">
        <f t="shared" si="74"/>
        <v>N/A - Facility Does Not Report to TRI</v>
      </c>
      <c r="AQ202" s="251" t="str" cm="1">
        <f t="array" ref="AQ202">IF(B202="TRI Form A",AC202,IF(AO202=0,"Facility has no transfers to non-POTWs between 2019-2023.",IF(COUNTIF('Processed Non-zero TRI Data'!$I:$I,$I202)&gt;0,INDEX('Processed Non-zero TRI Data'!$A:$A,MATCH(1,($I202='Processed Non-zero TRI Data'!$I:$I)*(AO202='Processed Non-zero TRI Data'!$X:$X),0)),"N/A - Facility Does Not Report to TRI")))</f>
        <v>N/A - Facility Does Not Report to TRI</v>
      </c>
      <c r="AR202" s="260">
        <f t="shared" si="75"/>
        <v>0</v>
      </c>
      <c r="AS202" s="260">
        <f t="shared" si="76"/>
        <v>0.16571</v>
      </c>
    </row>
    <row r="203" spans="1:45" ht="30" x14ac:dyDescent="0.25">
      <c r="A203" s="12">
        <v>200</v>
      </c>
      <c r="B203" s="10" t="str">
        <f>IFERROR("TRI Form "&amp; VLOOKUP(I203, 'Processed Non-zero TRI Data'!$I$2:$K$6, 3, FALSE), "DMR")</f>
        <v>DMR</v>
      </c>
      <c r="C203" s="181" t="e">
        <f>VLOOKUP(D203,#REF!, 2, FALSE)</f>
        <v>#REF!</v>
      </c>
      <c r="D203" s="181" t="str">
        <f>IF(I203&lt;&gt;"",INDEX('Processed Non-zero TRI Data'!$O:$O,MATCH(I203,'Processed Non-zero TRI Data'!$I:$I,0)),INDEX('Processed Non-zero DMR Data'!$S:$S,MATCH(J203,'Processed Non-zero DMR Data'!$I:$I,0)))</f>
        <v>Waste Handling, Disposal and Treatment (POTW)</v>
      </c>
      <c r="E203" s="181" t="str">
        <f>IF(I203&lt;&gt;"",INDEX('Processed Non-zero TRI Data'!$P:$P,MATCH(I203,'Processed Non-zero TRI Data'!$I:$I,0)),INDEX('Processed Non-zero DMR Data'!$T:$T,MATCH(J203,'Processed Non-zero DMR Data'!$I:$I,0)))</f>
        <v>POTW indicator in DMR</v>
      </c>
      <c r="F203" s="9" t="str">
        <f>_xlfn.XLOOKUP(J203, 'Processed Non-zero DMR Data'!I:I, 'Processed Non-zero DMR Data'!B:B)</f>
        <v>LOLETA WWTF</v>
      </c>
      <c r="G203" s="9" t="str">
        <f>_xlfn.XLOOKUP(J203, 'Processed Non-zero DMR Data'!I:I, 'Processed Non-zero DMR Data'!C:C)</f>
        <v>LOLETA</v>
      </c>
      <c r="H203" s="9" t="str">
        <f>_xlfn.XLOOKUP(J203, 'Processed Non-zero DMR Data'!I:I, 'Processed Non-zero DMR Data'!E:E)</f>
        <v>CA</v>
      </c>
      <c r="I203" s="12"/>
      <c r="J203" s="13">
        <v>110010059649</v>
      </c>
      <c r="K203" s="9" t="str">
        <f>IFERROR(INDEX('Raw Non-zero DMR Data'!$C:$C, MATCH(J203,'Raw Non-zero DMR Data'!$D:$D,0)),"")</f>
        <v>CA0023671</v>
      </c>
      <c r="L203" s="9" t="str">
        <f>IFERROR(INDEX('Raw Non-zero DMR Data'!$U:$U, MATCH($J203,'Raw Non-zero DMR Data'!$D:$D,0)),"")</f>
        <v>Strongs Creek-Eel River</v>
      </c>
      <c r="M203" s="155">
        <f>IFERROR(INDEX('Raw Non-zero DMR Data'!$T:$T, MATCH($J203,'Raw Non-zero DMR Data'!$D:$D,0)),"")</f>
        <v>180101051102</v>
      </c>
      <c r="N203" s="155" t="str">
        <f>IFERROR(INDEX('Off-site Locations'!$E:$E,MATCH(I203,'Off-site Locations'!$B:$B,0)),"No offsite transfers")</f>
        <v>No offsite transfers</v>
      </c>
      <c r="O203" s="165">
        <f>INDEX('TRI and DMR OES Summary'!D:D,MATCH('Facility Discharge Summary'!D203,'TRI and DMR OES Summary'!A:A,0))</f>
        <v>365</v>
      </c>
      <c r="P203" s="17" cm="1">
        <f t="array" ref="P203">IFERROR(_xlfn.XLOOKUP(1,  (MAX(IF(J203 = 'Processed Non-zero DMR Data'!$I$2:$I$651,'Processed Non-zero DMR Data'!$A$2:$A$651)) = 'Processed Non-zero DMR Data'!$A$2:$A$651)*('Processed Non-zero DMR Data'!$I$2:$I$651 = J203),'Processed Non-zero DMR Data'!$W$2:$W$651), "N/A- Facility Does Not Report DMRs")</f>
        <v>1.222649625E-2</v>
      </c>
      <c r="Q203" s="10">
        <f t="shared" si="63"/>
        <v>3.3497249999999998E-5</v>
      </c>
      <c r="R203" s="10" cm="1">
        <f t="array" ref="R203">IF(COUNTIF('Processed Non-zero DMR Data'!$I:$I,$J203)&gt;0,MEDIAN(IF('Processed Non-zero DMR Data'!$I:$I=J203,'Processed Non-zero DMR Data'!$W:$W)),"N/A - Facility Does Not Report DMRs")</f>
        <v>4.0305991875000002E-2</v>
      </c>
      <c r="S203" s="10">
        <f t="shared" si="64"/>
        <v>1.1042737500000001E-4</v>
      </c>
      <c r="T203" s="10">
        <f>IF(COUNTIF('Processed Non-zero DMR Data'!$I:$I,$J203)&gt;0,_xlfn.MAXIFS('Processed Non-zero DMR Data'!$W:$W,'Processed Non-zero DMR Data'!$I:$I,$J203), "N/A - Facility Does Not Report DMRs")</f>
        <v>6.8385487499999995E-2</v>
      </c>
      <c r="U203" s="10">
        <f t="shared" si="65"/>
        <v>1.8735749999999998E-4</v>
      </c>
      <c r="V203" s="158" cm="1">
        <f t="array" ref="V203">IF(COUNTIF('Processed Non-zero DMR Data'!$I:$I,$J203)&gt;0,INDEX('Processed Non-zero DMR Data'!$A:$A,MATCH(1,($J203='Processed Non-zero DMR Data'!$I:$I)*($T203='Processed Non-zero DMR Data'!$W:$W),0)), "N/A - Facility Does Not Report DMRs")</f>
        <v>2022</v>
      </c>
      <c r="W203" s="17" t="str" cm="1">
        <f t="array" ref="W203">IFERROR(_xlfn.XLOOKUP(1,  (MAX(IF(I203 = 'Processed Non-zero TRI Data'!$I$2:$I$6,'Processed Non-zero TRI Data'!$A$2:$A$6)) = 'Processed Non-zero TRI Data'!$A$2:$A$6)*('Processed Non-zero TRI Data'!$I$2:$I$6 = I203), 'Processed Non-zero TRI Data'!$T$2:$T$6), "N/A- Facility Does Not Report to TRI")</f>
        <v>N/A- Facility Does Not Report to TRI</v>
      </c>
      <c r="X203" s="10" t="str">
        <f t="shared" si="66"/>
        <v>N/A - Facility Does Not Report to TRI</v>
      </c>
      <c r="Y203" s="10" t="str" cm="1">
        <f t="array" ref="Y203">IF(COUNTIF('Processed Non-zero TRI Data'!$I:$I,$I203)&gt;0,MEDIAN(IF('Processed Non-zero TRI Data'!$I:$I=I203,'Processed Non-zero TRI Data'!$T:$T)), "N/A - Facility Does Not Report to TRI")</f>
        <v>N/A - Facility Does Not Report to TRI</v>
      </c>
      <c r="Z203" s="10" t="str">
        <f t="shared" si="67"/>
        <v>N/A - Facility Does Not Report to TRI</v>
      </c>
      <c r="AA203" s="10" t="str">
        <f>IF(COUNTIF('Processed Non-zero TRI Data'!$I:$I,$I203)&gt;0,_xlfn.MAXIFS('Processed Non-zero TRI Data'!$T:$T,'Processed Non-zero TRI Data'!$I:$I,$I203), "N/A - Facility Does Not Report to TRI")</f>
        <v>N/A - Facility Does Not Report to TRI</v>
      </c>
      <c r="AB203" s="10" t="str">
        <f t="shared" si="68"/>
        <v>N/A - Facility Does Not Report to TRI</v>
      </c>
      <c r="AC203" s="158" t="str" cm="1">
        <f t="array" ref="AC203">IFERROR(IF(B203 = "TRI Form R", IF(AA203 = 0, "Facility has no on-site water discharges between 2017-2022.",  IF(COUNTIF('Processed Non-zero TRI Data'!$I:$I,$I203)&gt;0,INDEX('Processed Non-zero TRI Data'!$A:$A,MATCH(1,($I203='Processed Non-zero TRI Data'!$I:$I)*(AA203='Processed Non-zero TRI Data'!$T:$T),0)))), VLOOKUP(I203,#REF!, 2, FALSE)), ("N/A - Facility Does Not Report to TRI"))</f>
        <v>N/A - Facility Does Not Report to TRI</v>
      </c>
      <c r="AD203" s="97" t="str" cm="1">
        <f t="array" ref="AD203">IFERROR(_xlfn.XLOOKUP(1,  (MAX(IF(I203 = 'Processed Non-zero TRI Data'!$I$2:$I$6,'Processed Non-zero TRI Data'!$A$2:$A$6)) = 'Processed Non-zero TRI Data'!$A$2:$A$6)*('Processed Non-zero TRI Data'!$I$2:$I$6 = I203), 'Processed Non-zero TRI Data'!$V$2:$V$6), "N/A- Facility Does Not Report to TRI")</f>
        <v>N/A- Facility Does Not Report to TRI</v>
      </c>
      <c r="AE203" s="9" t="str">
        <f t="shared" si="69"/>
        <v>N/A - Facility Does Not Report to TRI</v>
      </c>
      <c r="AF203" s="9" t="str" cm="1">
        <f t="array" ref="AF203">IF(COUNTIF('Processed Non-zero TRI Data'!$I:$I,$I203)&gt;0,MEDIAN(IF('Processed Non-zero TRI Data'!$I:$I=I203,'Processed Non-zero TRI Data'!$V:$V)), "N/A - Facility Does Not Report to TRI")</f>
        <v>N/A - Facility Does Not Report to TRI</v>
      </c>
      <c r="AG203" s="9" t="str">
        <f t="shared" si="70"/>
        <v>N/A - Facility Does Not Report to TRI</v>
      </c>
      <c r="AH203" s="9" t="str">
        <f>IF(COUNTIF('Processed Non-zero TRI Data'!$I:$I,$I203)&gt;0,_xlfn.MAXIFS('Processed Non-zero TRI Data'!$V:$V,'Processed Non-zero TRI Data'!$I:$I,$I203), "N/A - Facility Does Not Report to TRI")</f>
        <v>N/A - Facility Does Not Report to TRI</v>
      </c>
      <c r="AI203" s="9" t="str">
        <f t="shared" si="71"/>
        <v>N/A - Facility Does Not Report to TRI</v>
      </c>
      <c r="AJ203" s="158" t="str" cm="1">
        <f t="array" ref="AJ203">IF(B203="TRI Form A",AC203,IF(AH203=0,"Facility has no transfers to POTWs between 2019-2023.",IF(COUNTIF('Processed Non-zero TRI Data'!$I:$I,$I203)&gt;0,INDEX('Processed Non-zero TRI Data'!$A:$A,MATCH(1,($I203='Processed Non-zero TRI Data'!$I:$I)*(AH203='Processed Non-zero TRI Data'!$V:$V),0)),"N/A - Facility Does Not Report to TRI")))</f>
        <v>N/A - Facility Does Not Report to TRI</v>
      </c>
      <c r="AK203" s="97" t="str" cm="1">
        <f t="array" ref="AK203">IFERROR(_xlfn.XLOOKUP(1,  (MAX(IF(I203 = 'Processed Non-zero TRI Data'!$I$2:$I$6,'Processed Non-zero TRI Data'!$A$2:$A$6)) = 'Processed Non-zero TRI Data'!$A$2:$A$6)*('Processed Non-zero TRI Data'!$I$2:$I$6 = I203), 'Processed Non-zero TRI Data'!$X$2:$X$6), "N/A- Facility Does Not Report to TRI")</f>
        <v>N/A- Facility Does Not Report to TRI</v>
      </c>
      <c r="AL203" s="9" t="str">
        <f t="shared" si="72"/>
        <v>N/A - Facility Does Not Report to TRI</v>
      </c>
      <c r="AM203" s="9" t="str" cm="1">
        <f t="array" ref="AM203">IF(COUNTIF('Processed Non-zero TRI Data'!$I:$I,$I203)&gt;0,MEDIAN(IF('Processed Non-zero TRI Data'!$I:$I=I203,'Processed Non-zero TRI Data'!$X:$X)), "N/A - Facility Does Not Report to TRI")</f>
        <v>N/A - Facility Does Not Report to TRI</v>
      </c>
      <c r="AN203" s="9" t="str">
        <f t="shared" si="73"/>
        <v>N/A - Facility Does Not Report to TRI</v>
      </c>
      <c r="AO203" s="9" t="str">
        <f>IF(COUNTIF('Processed Non-zero TRI Data'!$I:$I,$I203)&gt;0,_xlfn.MAXIFS('Processed Non-zero TRI Data'!$X:$X,'Processed Non-zero TRI Data'!$I:$I,$I203), "N/A - Facility Does Not Report to TRI")</f>
        <v>N/A - Facility Does Not Report to TRI</v>
      </c>
      <c r="AP203" s="9" t="str">
        <f t="shared" si="74"/>
        <v>N/A - Facility Does Not Report to TRI</v>
      </c>
      <c r="AQ203" s="251" t="str" cm="1">
        <f t="array" ref="AQ203">IF(B203="TRI Form A",AC203,IF(AO203=0,"Facility has no transfers to non-POTWs between 2019-2023.",IF(COUNTIF('Processed Non-zero TRI Data'!$I:$I,$I203)&gt;0,INDEX('Processed Non-zero TRI Data'!$A:$A,MATCH(1,($I203='Processed Non-zero TRI Data'!$I:$I)*(AO203='Processed Non-zero TRI Data'!$X:$X),0)),"N/A - Facility Does Not Report to TRI")))</f>
        <v>N/A - Facility Does Not Report to TRI</v>
      </c>
      <c r="AR203" s="260">
        <f t="shared" si="75"/>
        <v>0</v>
      </c>
      <c r="AS203" s="260">
        <f t="shared" si="76"/>
        <v>6.8385487499999995E-2</v>
      </c>
    </row>
    <row r="204" spans="1:45" ht="30" x14ac:dyDescent="0.25">
      <c r="A204" s="12">
        <v>201</v>
      </c>
      <c r="B204" s="10" t="str">
        <f>IFERROR("TRI Form "&amp; VLOOKUP(I204, 'Processed Non-zero TRI Data'!$I$2:$K$6, 3, FALSE), "DMR")</f>
        <v>DMR</v>
      </c>
      <c r="C204" s="181" t="e">
        <f>VLOOKUP(D204,#REF!, 2, FALSE)</f>
        <v>#REF!</v>
      </c>
      <c r="D204" s="181" t="str">
        <f>IF(I204&lt;&gt;"",INDEX('Processed Non-zero TRI Data'!$O:$O,MATCH(I204,'Processed Non-zero TRI Data'!$I:$I,0)),INDEX('Processed Non-zero DMR Data'!$S:$S,MATCH(J204,'Processed Non-zero DMR Data'!$I:$I,0)))</f>
        <v>Waste Handling, Disposal and Treatment (non-POTW WWT)</v>
      </c>
      <c r="E204" s="181" t="str">
        <f>IF(I204&lt;&gt;"",INDEX('Processed Non-zero TRI Data'!$P:$P,MATCH(I204,'Processed Non-zero TRI Data'!$I:$I,0)),INDEX('Processed Non-zero DMR Data'!$T:$T,MATCH(J204,'Processed Non-zero DMR Data'!$I:$I,0)))</f>
        <v>Site Name is WWTP; non-POTW WWT per facility type flag.</v>
      </c>
      <c r="F204" s="9" t="str">
        <f>_xlfn.XLOOKUP(J204, 'Processed Non-zero DMR Data'!I:I, 'Processed Non-zero DMR Data'!B:B)</f>
        <v>BELL-CARTER OLIVE CO. WWTP</v>
      </c>
      <c r="G204" s="9" t="str">
        <f>_xlfn.XLOOKUP(J204, 'Processed Non-zero DMR Data'!I:I, 'Processed Non-zero DMR Data'!C:C)</f>
        <v>CORNING</v>
      </c>
      <c r="H204" s="9" t="str">
        <f>_xlfn.XLOOKUP(J204, 'Processed Non-zero DMR Data'!I:I, 'Processed Non-zero DMR Data'!E:E)</f>
        <v>CA</v>
      </c>
      <c r="I204" s="12"/>
      <c r="J204" s="13">
        <v>110054272210</v>
      </c>
      <c r="K204" s="9" t="str">
        <f>IFERROR(INDEX('Raw Non-zero DMR Data'!$C:$C, MATCH(J204,'Raw Non-zero DMR Data'!$D:$D,0)),"")</f>
        <v>CA0083721</v>
      </c>
      <c r="L204" s="9" t="str">
        <f>IFERROR(INDEX('Raw Non-zero DMR Data'!$U:$U, MATCH($J204,'Raw Non-zero DMR Data'!$D:$D,0)),"")</f>
        <v>Kopta Slough</v>
      </c>
      <c r="M204" s="155">
        <f>IFERROR(INDEX('Raw Non-zero DMR Data'!$T:$T, MATCH($J204,'Raw Non-zero DMR Data'!$D:$D,0)),"")</f>
        <v>180201570701</v>
      </c>
      <c r="N204" s="155" t="str">
        <f>IFERROR(INDEX('Off-site Locations'!$E:$E,MATCH(I204,'Off-site Locations'!$B:$B,0)),"No offsite transfers")</f>
        <v>No offsite transfers</v>
      </c>
      <c r="O204" s="165">
        <f>INDEX('TRI and DMR OES Summary'!D:D,MATCH('Facility Discharge Summary'!D204,'TRI and DMR OES Summary'!A:A,0))</f>
        <v>250</v>
      </c>
      <c r="P204" s="17" cm="1">
        <f t="array" ref="P204">IFERROR(_xlfn.XLOOKUP(1,  (MAX(IF(J204 = 'Processed Non-zero DMR Data'!$I$2:$I$651,'Processed Non-zero DMR Data'!$A$2:$A$651)) = 'Processed Non-zero DMR Data'!$A$2:$A$651)*('Processed Non-zero DMR Data'!$I$2:$I$651 = J204),'Processed Non-zero DMR Data'!$W$2:$W$651), "N/A- Facility Does Not Report DMRs")</f>
        <v>0.16759979999999999</v>
      </c>
      <c r="Q204" s="10">
        <f t="shared" si="63"/>
        <v>6.7039919999999998E-4</v>
      </c>
      <c r="R204" s="10" cm="1">
        <f t="array" ref="R204">IF(COUNTIF('Processed Non-zero DMR Data'!$I:$I,$J204)&gt;0,MEDIAN(IF('Processed Non-zero DMR Data'!$I:$I=J204,'Processed Non-zero DMR Data'!$W:$W)),"N/A - Facility Does Not Report DMRs")</f>
        <v>0.10343427208333331</v>
      </c>
      <c r="S204" s="10">
        <f t="shared" si="64"/>
        <v>4.1373708833333323E-4</v>
      </c>
      <c r="T204" s="10">
        <f>IF(COUNTIF('Processed Non-zero DMR Data'!$I:$I,$J204)&gt;0,_xlfn.MAXIFS('Processed Non-zero DMR Data'!$W:$W,'Processed Non-zero DMR Data'!$I:$I,$J204), "N/A - Facility Does Not Report DMRs")</f>
        <v>0.16759979999999999</v>
      </c>
      <c r="U204" s="10">
        <f t="shared" si="65"/>
        <v>6.7039919999999998E-4</v>
      </c>
      <c r="V204" s="158" cm="1">
        <f t="array" ref="V204">IF(COUNTIF('Processed Non-zero DMR Data'!$I:$I,$J204)&gt;0,INDEX('Processed Non-zero DMR Data'!$A:$A,MATCH(1,($J204='Processed Non-zero DMR Data'!$I:$I)*($T204='Processed Non-zero DMR Data'!$W:$W),0)), "N/A - Facility Does Not Report DMRs")</f>
        <v>2023</v>
      </c>
      <c r="W204" s="17" t="str" cm="1">
        <f t="array" ref="W204">IFERROR(_xlfn.XLOOKUP(1,  (MAX(IF(I204 = 'Processed Non-zero TRI Data'!$I$2:$I$6,'Processed Non-zero TRI Data'!$A$2:$A$6)) = 'Processed Non-zero TRI Data'!$A$2:$A$6)*('Processed Non-zero TRI Data'!$I$2:$I$6 = I204), 'Processed Non-zero TRI Data'!$T$2:$T$6), "N/A- Facility Does Not Report to TRI")</f>
        <v>N/A- Facility Does Not Report to TRI</v>
      </c>
      <c r="X204" s="10" t="str">
        <f t="shared" si="66"/>
        <v>N/A - Facility Does Not Report to TRI</v>
      </c>
      <c r="Y204" s="10" t="str" cm="1">
        <f t="array" ref="Y204">IF(COUNTIF('Processed Non-zero TRI Data'!$I:$I,$I204)&gt;0,MEDIAN(IF('Processed Non-zero TRI Data'!$I:$I=I204,'Processed Non-zero TRI Data'!$T:$T)), "N/A - Facility Does Not Report to TRI")</f>
        <v>N/A - Facility Does Not Report to TRI</v>
      </c>
      <c r="Z204" s="10" t="str">
        <f t="shared" si="67"/>
        <v>N/A - Facility Does Not Report to TRI</v>
      </c>
      <c r="AA204" s="10" t="str">
        <f>IF(COUNTIF('Processed Non-zero TRI Data'!$I:$I,$I204)&gt;0,_xlfn.MAXIFS('Processed Non-zero TRI Data'!$T:$T,'Processed Non-zero TRI Data'!$I:$I,$I204), "N/A - Facility Does Not Report to TRI")</f>
        <v>N/A - Facility Does Not Report to TRI</v>
      </c>
      <c r="AB204" s="10" t="str">
        <f t="shared" si="68"/>
        <v>N/A - Facility Does Not Report to TRI</v>
      </c>
      <c r="AC204" s="158" t="str" cm="1">
        <f t="array" ref="AC204">IFERROR(IF(B204 = "TRI Form R", IF(AA204 = 0, "Facility has no on-site water discharges between 2017-2022.",  IF(COUNTIF('Processed Non-zero TRI Data'!$I:$I,$I204)&gt;0,INDEX('Processed Non-zero TRI Data'!$A:$A,MATCH(1,($I204='Processed Non-zero TRI Data'!$I:$I)*(AA204='Processed Non-zero TRI Data'!$T:$T),0)))), VLOOKUP(I204,#REF!, 2, FALSE)), ("N/A - Facility Does Not Report to TRI"))</f>
        <v>N/A - Facility Does Not Report to TRI</v>
      </c>
      <c r="AD204" s="97" t="str" cm="1">
        <f t="array" ref="AD204">IFERROR(_xlfn.XLOOKUP(1,  (MAX(IF(I204 = 'Processed Non-zero TRI Data'!$I$2:$I$6,'Processed Non-zero TRI Data'!$A$2:$A$6)) = 'Processed Non-zero TRI Data'!$A$2:$A$6)*('Processed Non-zero TRI Data'!$I$2:$I$6 = I204), 'Processed Non-zero TRI Data'!$V$2:$V$6), "N/A- Facility Does Not Report to TRI")</f>
        <v>N/A- Facility Does Not Report to TRI</v>
      </c>
      <c r="AE204" s="9" t="str">
        <f t="shared" si="69"/>
        <v>N/A - Facility Does Not Report to TRI</v>
      </c>
      <c r="AF204" s="9" t="str" cm="1">
        <f t="array" ref="AF204">IF(COUNTIF('Processed Non-zero TRI Data'!$I:$I,$I204)&gt;0,MEDIAN(IF('Processed Non-zero TRI Data'!$I:$I=I204,'Processed Non-zero TRI Data'!$V:$V)), "N/A - Facility Does Not Report to TRI")</f>
        <v>N/A - Facility Does Not Report to TRI</v>
      </c>
      <c r="AG204" s="9" t="str">
        <f t="shared" si="70"/>
        <v>N/A - Facility Does Not Report to TRI</v>
      </c>
      <c r="AH204" s="9" t="str">
        <f>IF(COUNTIF('Processed Non-zero TRI Data'!$I:$I,$I204)&gt;0,_xlfn.MAXIFS('Processed Non-zero TRI Data'!$V:$V,'Processed Non-zero TRI Data'!$I:$I,$I204), "N/A - Facility Does Not Report to TRI")</f>
        <v>N/A - Facility Does Not Report to TRI</v>
      </c>
      <c r="AI204" s="9" t="str">
        <f t="shared" si="71"/>
        <v>N/A - Facility Does Not Report to TRI</v>
      </c>
      <c r="AJ204" s="158" t="str" cm="1">
        <f t="array" ref="AJ204">IF(B204="TRI Form A",AC204,IF(AH204=0,"Facility has no transfers to POTWs between 2019-2023.",IF(COUNTIF('Processed Non-zero TRI Data'!$I:$I,$I204)&gt;0,INDEX('Processed Non-zero TRI Data'!$A:$A,MATCH(1,($I204='Processed Non-zero TRI Data'!$I:$I)*(AH204='Processed Non-zero TRI Data'!$V:$V),0)),"N/A - Facility Does Not Report to TRI")))</f>
        <v>N/A - Facility Does Not Report to TRI</v>
      </c>
      <c r="AK204" s="97" t="str" cm="1">
        <f t="array" ref="AK204">IFERROR(_xlfn.XLOOKUP(1,  (MAX(IF(I204 = 'Processed Non-zero TRI Data'!$I$2:$I$6,'Processed Non-zero TRI Data'!$A$2:$A$6)) = 'Processed Non-zero TRI Data'!$A$2:$A$6)*('Processed Non-zero TRI Data'!$I$2:$I$6 = I204), 'Processed Non-zero TRI Data'!$X$2:$X$6), "N/A- Facility Does Not Report to TRI")</f>
        <v>N/A- Facility Does Not Report to TRI</v>
      </c>
      <c r="AL204" s="9" t="str">
        <f t="shared" si="72"/>
        <v>N/A - Facility Does Not Report to TRI</v>
      </c>
      <c r="AM204" s="9" t="str" cm="1">
        <f t="array" ref="AM204">IF(COUNTIF('Processed Non-zero TRI Data'!$I:$I,$I204)&gt;0,MEDIAN(IF('Processed Non-zero TRI Data'!$I:$I=I204,'Processed Non-zero TRI Data'!$X:$X)), "N/A - Facility Does Not Report to TRI")</f>
        <v>N/A - Facility Does Not Report to TRI</v>
      </c>
      <c r="AN204" s="9" t="str">
        <f t="shared" si="73"/>
        <v>N/A - Facility Does Not Report to TRI</v>
      </c>
      <c r="AO204" s="9" t="str">
        <f>IF(COUNTIF('Processed Non-zero TRI Data'!$I:$I,$I204)&gt;0,_xlfn.MAXIFS('Processed Non-zero TRI Data'!$X:$X,'Processed Non-zero TRI Data'!$I:$I,$I204), "N/A - Facility Does Not Report to TRI")</f>
        <v>N/A - Facility Does Not Report to TRI</v>
      </c>
      <c r="AP204" s="9" t="str">
        <f t="shared" si="74"/>
        <v>N/A - Facility Does Not Report to TRI</v>
      </c>
      <c r="AQ204" s="251" t="str" cm="1">
        <f t="array" ref="AQ204">IF(B204="TRI Form A",AC204,IF(AO204=0,"Facility has no transfers to non-POTWs between 2019-2023.",IF(COUNTIF('Processed Non-zero TRI Data'!$I:$I,$I204)&gt;0,INDEX('Processed Non-zero TRI Data'!$A:$A,MATCH(1,($I204='Processed Non-zero TRI Data'!$I:$I)*(AO204='Processed Non-zero TRI Data'!$X:$X),0)),"N/A - Facility Does Not Report to TRI")))</f>
        <v>N/A - Facility Does Not Report to TRI</v>
      </c>
      <c r="AR204" s="260">
        <f t="shared" si="75"/>
        <v>0</v>
      </c>
      <c r="AS204" s="260">
        <f t="shared" si="76"/>
        <v>0.16759979999999999</v>
      </c>
    </row>
    <row r="205" spans="1:45" ht="30" x14ac:dyDescent="0.25">
      <c r="A205" s="12">
        <v>202</v>
      </c>
      <c r="B205" s="10" t="str">
        <f>IFERROR("TRI Form "&amp; VLOOKUP(I205, 'Processed Non-zero TRI Data'!$I$2:$K$6, 3, FALSE), "DMR")</f>
        <v>DMR</v>
      </c>
      <c r="C205" s="181" t="e">
        <f>VLOOKUP(D205,#REF!, 2, FALSE)</f>
        <v>#REF!</v>
      </c>
      <c r="D205" s="181" t="str">
        <f>IF(I205&lt;&gt;"",INDEX('Processed Non-zero TRI Data'!$O:$O,MATCH(I205,'Processed Non-zero TRI Data'!$I:$I,0)),INDEX('Processed Non-zero DMR Data'!$S:$S,MATCH(J205,'Processed Non-zero DMR Data'!$I:$I,0)))</f>
        <v>Repackaging</v>
      </c>
      <c r="E205" s="181" t="str">
        <f>IF(I205&lt;&gt;"",INDEX('Processed Non-zero TRI Data'!$P:$P,MATCH(I205,'Processed Non-zero TRI Data'!$I:$I,0)),INDEX('Processed Non-zero DMR Data'!$T:$T,MATCH(J205,'Processed Non-zero DMR Data'!$I:$I,0)))</f>
        <v>Facility is a tank farm/distributor; assumed distribution in commerce.</v>
      </c>
      <c r="F205" s="9" t="str">
        <f>_xlfn.XLOOKUP(J205, 'Processed Non-zero DMR Data'!I:I, 'Processed Non-zero DMR Data'!B:B)</f>
        <v>TESORO LOGISTICS OPERATIONS LLC MARTINEZ TERMINAL</v>
      </c>
      <c r="G205" s="9" t="str">
        <f>_xlfn.XLOOKUP(J205, 'Processed Non-zero DMR Data'!I:I, 'Processed Non-zero DMR Data'!C:C)</f>
        <v>PACHECO</v>
      </c>
      <c r="H205" s="9" t="str">
        <f>_xlfn.XLOOKUP(J205, 'Processed Non-zero DMR Data'!I:I, 'Processed Non-zero DMR Data'!E:E)</f>
        <v>CA</v>
      </c>
      <c r="I205" s="12"/>
      <c r="J205" s="13">
        <v>110071349304</v>
      </c>
      <c r="K205" s="9" t="str">
        <f>IFERROR(INDEX('Raw Non-zero DMR Data'!$C:$C, MATCH(J205,'Raw Non-zero DMR Data'!$D:$D,0)),"")</f>
        <v>CA0004961</v>
      </c>
      <c r="L205" s="9" t="str">
        <f>IFERROR(INDEX('Raw Non-zero DMR Data'!$U:$U, MATCH($J205,'Raw Non-zero DMR Data'!$D:$D,0)),"")</f>
        <v>Mount Diablo Creek-Frontal Suisun Bay Estuaries</v>
      </c>
      <c r="M205" s="155">
        <f>IFERROR(INDEX('Raw Non-zero DMR Data'!$T:$T, MATCH($J205,'Raw Non-zero DMR Data'!$D:$D,0)),"")</f>
        <v>180500010302</v>
      </c>
      <c r="N205" s="155" t="str">
        <f>IFERROR(INDEX('Off-site Locations'!$E:$E,MATCH(I205,'Off-site Locations'!$B:$B,0)),"No offsite transfers")</f>
        <v>No offsite transfers</v>
      </c>
      <c r="O205" s="165">
        <f>INDEX('TRI and DMR OES Summary'!D:D,MATCH('Facility Discharge Summary'!D205,'TRI and DMR OES Summary'!A:A,0))</f>
        <v>250</v>
      </c>
      <c r="P205" s="17" cm="1">
        <f t="array" ref="P205">IFERROR(_xlfn.XLOOKUP(1,  (MAX(IF(J205 = 'Processed Non-zero DMR Data'!$I$2:$I$651,'Processed Non-zero DMR Data'!$A$2:$A$651)) = 'Processed Non-zero DMR Data'!$A$2:$A$651)*('Processed Non-zero DMR Data'!$I$2:$I$651 = J205),'Processed Non-zero DMR Data'!$W$2:$W$651), "N/A- Facility Does Not Report DMRs")</f>
        <v>2.95882534E-2</v>
      </c>
      <c r="Q205" s="10">
        <f t="shared" si="63"/>
        <v>1.183530136E-4</v>
      </c>
      <c r="R205" s="10" cm="1">
        <f t="array" ref="R205">IF(COUNTIF('Processed Non-zero DMR Data'!$I:$I,$J205)&gt;0,MEDIAN(IF('Processed Non-zero DMR Data'!$I:$I=J205,'Processed Non-zero DMR Data'!$W:$W)),"N/A - Facility Does Not Report DMRs")</f>
        <v>2.65047653E-2</v>
      </c>
      <c r="S205" s="10">
        <f t="shared" si="64"/>
        <v>1.060190612E-4</v>
      </c>
      <c r="T205" s="10">
        <f>IF(COUNTIF('Processed Non-zero DMR Data'!$I:$I,$J205)&gt;0,_xlfn.MAXIFS('Processed Non-zero DMR Data'!$W:$W,'Processed Non-zero DMR Data'!$I:$I,$J205), "N/A - Facility Does Not Report DMRs")</f>
        <v>2.95882534E-2</v>
      </c>
      <c r="U205" s="10">
        <f t="shared" si="65"/>
        <v>1.183530136E-4</v>
      </c>
      <c r="V205" s="158" cm="1">
        <f t="array" ref="V205">IF(COUNTIF('Processed Non-zero DMR Data'!$I:$I,$J205)&gt;0,INDEX('Processed Non-zero DMR Data'!$A:$A,MATCH(1,($J205='Processed Non-zero DMR Data'!$I:$I)*($T205='Processed Non-zero DMR Data'!$W:$W),0)), "N/A - Facility Does Not Report DMRs")</f>
        <v>2023</v>
      </c>
      <c r="W205" s="17" t="str" cm="1">
        <f t="array" ref="W205">IFERROR(_xlfn.XLOOKUP(1,  (MAX(IF(I205 = 'Processed Non-zero TRI Data'!$I$2:$I$6,'Processed Non-zero TRI Data'!$A$2:$A$6)) = 'Processed Non-zero TRI Data'!$A$2:$A$6)*('Processed Non-zero TRI Data'!$I$2:$I$6 = I205), 'Processed Non-zero TRI Data'!$T$2:$T$6), "N/A- Facility Does Not Report to TRI")</f>
        <v>N/A- Facility Does Not Report to TRI</v>
      </c>
      <c r="X205" s="10" t="str">
        <f t="shared" si="66"/>
        <v>N/A - Facility Does Not Report to TRI</v>
      </c>
      <c r="Y205" s="10" t="str" cm="1">
        <f t="array" ref="Y205">IF(COUNTIF('Processed Non-zero TRI Data'!$I:$I,$I205)&gt;0,MEDIAN(IF('Processed Non-zero TRI Data'!$I:$I=I205,'Processed Non-zero TRI Data'!$T:$T)), "N/A - Facility Does Not Report to TRI")</f>
        <v>N/A - Facility Does Not Report to TRI</v>
      </c>
      <c r="Z205" s="10" t="str">
        <f t="shared" si="67"/>
        <v>N/A - Facility Does Not Report to TRI</v>
      </c>
      <c r="AA205" s="10" t="str">
        <f>IF(COUNTIF('Processed Non-zero TRI Data'!$I:$I,$I205)&gt;0,_xlfn.MAXIFS('Processed Non-zero TRI Data'!$T:$T,'Processed Non-zero TRI Data'!$I:$I,$I205), "N/A - Facility Does Not Report to TRI")</f>
        <v>N/A - Facility Does Not Report to TRI</v>
      </c>
      <c r="AB205" s="10" t="str">
        <f t="shared" si="68"/>
        <v>N/A - Facility Does Not Report to TRI</v>
      </c>
      <c r="AC205" s="158" t="str" cm="1">
        <f t="array" ref="AC205">IFERROR(IF(B205 = "TRI Form R", IF(AA205 = 0, "Facility has no on-site water discharges between 2017-2022.",  IF(COUNTIF('Processed Non-zero TRI Data'!$I:$I,$I205)&gt;0,INDEX('Processed Non-zero TRI Data'!$A:$A,MATCH(1,($I205='Processed Non-zero TRI Data'!$I:$I)*(AA205='Processed Non-zero TRI Data'!$T:$T),0)))), VLOOKUP(I205,#REF!, 2, FALSE)), ("N/A - Facility Does Not Report to TRI"))</f>
        <v>N/A - Facility Does Not Report to TRI</v>
      </c>
      <c r="AD205" s="97" t="str" cm="1">
        <f t="array" ref="AD205">IFERROR(_xlfn.XLOOKUP(1,  (MAX(IF(I205 = 'Processed Non-zero TRI Data'!$I$2:$I$6,'Processed Non-zero TRI Data'!$A$2:$A$6)) = 'Processed Non-zero TRI Data'!$A$2:$A$6)*('Processed Non-zero TRI Data'!$I$2:$I$6 = I205), 'Processed Non-zero TRI Data'!$V$2:$V$6), "N/A- Facility Does Not Report to TRI")</f>
        <v>N/A- Facility Does Not Report to TRI</v>
      </c>
      <c r="AE205" s="9" t="str">
        <f t="shared" si="69"/>
        <v>N/A - Facility Does Not Report to TRI</v>
      </c>
      <c r="AF205" s="9" t="str" cm="1">
        <f t="array" ref="AF205">IF(COUNTIF('Processed Non-zero TRI Data'!$I:$I,$I205)&gt;0,MEDIAN(IF('Processed Non-zero TRI Data'!$I:$I=I205,'Processed Non-zero TRI Data'!$V:$V)), "N/A - Facility Does Not Report to TRI")</f>
        <v>N/A - Facility Does Not Report to TRI</v>
      </c>
      <c r="AG205" s="9" t="str">
        <f t="shared" si="70"/>
        <v>N/A - Facility Does Not Report to TRI</v>
      </c>
      <c r="AH205" s="9" t="str">
        <f>IF(COUNTIF('Processed Non-zero TRI Data'!$I:$I,$I205)&gt;0,_xlfn.MAXIFS('Processed Non-zero TRI Data'!$V:$V,'Processed Non-zero TRI Data'!$I:$I,$I205), "N/A - Facility Does Not Report to TRI")</f>
        <v>N/A - Facility Does Not Report to TRI</v>
      </c>
      <c r="AI205" s="9" t="str">
        <f t="shared" si="71"/>
        <v>N/A - Facility Does Not Report to TRI</v>
      </c>
      <c r="AJ205" s="158" t="str" cm="1">
        <f t="array" ref="AJ205">IF(B205="TRI Form A",AC205,IF(AH205=0,"Facility has no transfers to POTWs between 2019-2023.",IF(COUNTIF('Processed Non-zero TRI Data'!$I:$I,$I205)&gt;0,INDEX('Processed Non-zero TRI Data'!$A:$A,MATCH(1,($I205='Processed Non-zero TRI Data'!$I:$I)*(AH205='Processed Non-zero TRI Data'!$V:$V),0)),"N/A - Facility Does Not Report to TRI")))</f>
        <v>N/A - Facility Does Not Report to TRI</v>
      </c>
      <c r="AK205" s="97" t="str" cm="1">
        <f t="array" ref="AK205">IFERROR(_xlfn.XLOOKUP(1,  (MAX(IF(I205 = 'Processed Non-zero TRI Data'!$I$2:$I$6,'Processed Non-zero TRI Data'!$A$2:$A$6)) = 'Processed Non-zero TRI Data'!$A$2:$A$6)*('Processed Non-zero TRI Data'!$I$2:$I$6 = I205), 'Processed Non-zero TRI Data'!$X$2:$X$6), "N/A- Facility Does Not Report to TRI")</f>
        <v>N/A- Facility Does Not Report to TRI</v>
      </c>
      <c r="AL205" s="9" t="str">
        <f t="shared" si="72"/>
        <v>N/A - Facility Does Not Report to TRI</v>
      </c>
      <c r="AM205" s="9" t="str" cm="1">
        <f t="array" ref="AM205">IF(COUNTIF('Processed Non-zero TRI Data'!$I:$I,$I205)&gt;0,MEDIAN(IF('Processed Non-zero TRI Data'!$I:$I=I205,'Processed Non-zero TRI Data'!$X:$X)), "N/A - Facility Does Not Report to TRI")</f>
        <v>N/A - Facility Does Not Report to TRI</v>
      </c>
      <c r="AN205" s="9" t="str">
        <f t="shared" si="73"/>
        <v>N/A - Facility Does Not Report to TRI</v>
      </c>
      <c r="AO205" s="9" t="str">
        <f>IF(COUNTIF('Processed Non-zero TRI Data'!$I:$I,$I205)&gt;0,_xlfn.MAXIFS('Processed Non-zero TRI Data'!$X:$X,'Processed Non-zero TRI Data'!$I:$I,$I205), "N/A - Facility Does Not Report to TRI")</f>
        <v>N/A - Facility Does Not Report to TRI</v>
      </c>
      <c r="AP205" s="9" t="str">
        <f t="shared" si="74"/>
        <v>N/A - Facility Does Not Report to TRI</v>
      </c>
      <c r="AQ205" s="251" t="str" cm="1">
        <f t="array" ref="AQ205">IF(B205="TRI Form A",AC205,IF(AO205=0,"Facility has no transfers to non-POTWs between 2019-2023.",IF(COUNTIF('Processed Non-zero TRI Data'!$I:$I,$I205)&gt;0,INDEX('Processed Non-zero TRI Data'!$A:$A,MATCH(1,($I205='Processed Non-zero TRI Data'!$I:$I)*(AO205='Processed Non-zero TRI Data'!$X:$X),0)),"N/A - Facility Does Not Report to TRI")))</f>
        <v>N/A - Facility Does Not Report to TRI</v>
      </c>
      <c r="AR205" s="260">
        <f t="shared" si="75"/>
        <v>0</v>
      </c>
      <c r="AS205" s="260">
        <f t="shared" si="76"/>
        <v>2.95882534E-2</v>
      </c>
    </row>
    <row r="206" spans="1:45" ht="30" x14ac:dyDescent="0.25">
      <c r="A206" s="12">
        <v>203</v>
      </c>
      <c r="B206" s="10" t="str">
        <f>IFERROR("TRI Form "&amp; VLOOKUP(I206, 'Processed Non-zero TRI Data'!$I$2:$K$6, 3, FALSE), "DMR")</f>
        <v>DMR</v>
      </c>
      <c r="C206" s="181" t="e">
        <f>VLOOKUP(D206,#REF!, 2, FALSE)</f>
        <v>#REF!</v>
      </c>
      <c r="D206" s="181" t="str">
        <f>IF(I206&lt;&gt;"",INDEX('Processed Non-zero TRI Data'!$O:$O,MATCH(I206,'Processed Non-zero TRI Data'!$I:$I,0)),INDEX('Processed Non-zero DMR Data'!$S:$S,MATCH(J206,'Processed Non-zero DMR Data'!$I:$I,0)))</f>
        <v>Waste Handling, Disposal and Treatment (POTW)</v>
      </c>
      <c r="E206" s="181" t="str">
        <f>IF(I206&lt;&gt;"",INDEX('Processed Non-zero TRI Data'!$P:$P,MATCH(I206,'Processed Non-zero TRI Data'!$I:$I,0)),INDEX('Processed Non-zero DMR Data'!$T:$T,MATCH(J206,'Processed Non-zero DMR Data'!$I:$I,0)))</f>
        <v>POTW indicator in DMR</v>
      </c>
      <c r="F206" s="9" t="str">
        <f>_xlfn.XLOOKUP(J206, 'Processed Non-zero DMR Data'!I:I, 'Processed Non-zero DMR Data'!B:B)</f>
        <v>MANTECA WWQCF</v>
      </c>
      <c r="G206" s="9" t="str">
        <f>_xlfn.XLOOKUP(J206, 'Processed Non-zero DMR Data'!I:I, 'Processed Non-zero DMR Data'!C:C)</f>
        <v>MANTECA</v>
      </c>
      <c r="H206" s="9" t="str">
        <f>_xlfn.XLOOKUP(J206, 'Processed Non-zero DMR Data'!I:I, 'Processed Non-zero DMR Data'!E:E)</f>
        <v>CA</v>
      </c>
      <c r="I206" s="12"/>
      <c r="J206" s="13">
        <v>110039801462</v>
      </c>
      <c r="K206" s="9" t="str">
        <f>IFERROR(INDEX('Raw Non-zero DMR Data'!$C:$C, MATCH(J206,'Raw Non-zero DMR Data'!$D:$D,0)),"")</f>
        <v>CA0081558</v>
      </c>
      <c r="L206" s="9" t="str">
        <f>IFERROR(INDEX('Raw Non-zero DMR Data'!$U:$U, MATCH($J206,'Raw Non-zero DMR Data'!$D:$D,0)),"")</f>
        <v>Oakwood Lake-San Joaquin River</v>
      </c>
      <c r="M206" s="155">
        <f>IFERROR(INDEX('Raw Non-zero DMR Data'!$T:$T, MATCH($J206,'Raw Non-zero DMR Data'!$D:$D,0)),"")</f>
        <v>180400030204</v>
      </c>
      <c r="N206" s="155" t="str">
        <f>IFERROR(INDEX('Off-site Locations'!$E:$E,MATCH(I206,'Off-site Locations'!$B:$B,0)),"No offsite transfers")</f>
        <v>No offsite transfers</v>
      </c>
      <c r="O206" s="165">
        <f>INDEX('TRI and DMR OES Summary'!D:D,MATCH('Facility Discharge Summary'!D206,'TRI and DMR OES Summary'!A:A,0))</f>
        <v>365</v>
      </c>
      <c r="P206" s="17" cm="1">
        <f t="array" ref="P206">IFERROR(_xlfn.XLOOKUP(1,  (MAX(IF(J206 = 'Processed Non-zero DMR Data'!$I$2:$I$651,'Processed Non-zero DMR Data'!$A$2:$A$651)) = 'Processed Non-zero DMR Data'!$A$2:$A$651)*('Processed Non-zero DMR Data'!$I$2:$I$651 = J206),'Processed Non-zero DMR Data'!$W$2:$W$651), "N/A- Facility Does Not Report DMRs")</f>
        <v>0.27096562666666602</v>
      </c>
      <c r="Q206" s="10">
        <f t="shared" si="63"/>
        <v>7.4237157990867406E-4</v>
      </c>
      <c r="R206" s="10" cm="1">
        <f t="array" ref="R206">IF(COUNTIF('Processed Non-zero DMR Data'!$I:$I,$J206)&gt;0,MEDIAN(IF('Processed Non-zero DMR Data'!$I:$I=J206,'Processed Non-zero DMR Data'!$W:$W)),"N/A - Facility Does Not Report DMRs")</f>
        <v>0.27096562666666602</v>
      </c>
      <c r="S206" s="10">
        <f t="shared" si="64"/>
        <v>7.4237157990867406E-4</v>
      </c>
      <c r="T206" s="10">
        <f>IF(COUNTIF('Processed Non-zero DMR Data'!$I:$I,$J206)&gt;0,_xlfn.MAXIFS('Processed Non-zero DMR Data'!$W:$W,'Processed Non-zero DMR Data'!$I:$I,$J206), "N/A - Facility Does Not Report DMRs")</f>
        <v>0.27096562666666602</v>
      </c>
      <c r="U206" s="10">
        <f t="shared" si="65"/>
        <v>7.4237157990867406E-4</v>
      </c>
      <c r="V206" s="158" cm="1">
        <f t="array" ref="V206">IF(COUNTIF('Processed Non-zero DMR Data'!$I:$I,$J206)&gt;0,INDEX('Processed Non-zero DMR Data'!$A:$A,MATCH(1,($J206='Processed Non-zero DMR Data'!$I:$I)*($T206='Processed Non-zero DMR Data'!$W:$W),0)), "N/A - Facility Does Not Report DMRs")</f>
        <v>2022</v>
      </c>
      <c r="W206" s="17" t="str" cm="1">
        <f t="array" ref="W206">IFERROR(_xlfn.XLOOKUP(1,  (MAX(IF(I206 = 'Processed Non-zero TRI Data'!$I$2:$I$6,'Processed Non-zero TRI Data'!$A$2:$A$6)) = 'Processed Non-zero TRI Data'!$A$2:$A$6)*('Processed Non-zero TRI Data'!$I$2:$I$6 = I206), 'Processed Non-zero TRI Data'!$T$2:$T$6), "N/A- Facility Does Not Report to TRI")</f>
        <v>N/A- Facility Does Not Report to TRI</v>
      </c>
      <c r="X206" s="10" t="str">
        <f t="shared" si="66"/>
        <v>N/A - Facility Does Not Report to TRI</v>
      </c>
      <c r="Y206" s="10" t="str" cm="1">
        <f t="array" ref="Y206">IF(COUNTIF('Processed Non-zero TRI Data'!$I:$I,$I206)&gt;0,MEDIAN(IF('Processed Non-zero TRI Data'!$I:$I=I206,'Processed Non-zero TRI Data'!$T:$T)), "N/A - Facility Does Not Report to TRI")</f>
        <v>N/A - Facility Does Not Report to TRI</v>
      </c>
      <c r="Z206" s="10" t="str">
        <f t="shared" si="67"/>
        <v>N/A - Facility Does Not Report to TRI</v>
      </c>
      <c r="AA206" s="10" t="str">
        <f>IF(COUNTIF('Processed Non-zero TRI Data'!$I:$I,$I206)&gt;0,_xlfn.MAXIFS('Processed Non-zero TRI Data'!$T:$T,'Processed Non-zero TRI Data'!$I:$I,$I206), "N/A - Facility Does Not Report to TRI")</f>
        <v>N/A - Facility Does Not Report to TRI</v>
      </c>
      <c r="AB206" s="10" t="str">
        <f t="shared" si="68"/>
        <v>N/A - Facility Does Not Report to TRI</v>
      </c>
      <c r="AC206" s="158" t="str" cm="1">
        <f t="array" ref="AC206">IFERROR(IF(B206 = "TRI Form R", IF(AA206 = 0, "Facility has no on-site water discharges between 2017-2022.",  IF(COUNTIF('Processed Non-zero TRI Data'!$I:$I,$I206)&gt;0,INDEX('Processed Non-zero TRI Data'!$A:$A,MATCH(1,($I206='Processed Non-zero TRI Data'!$I:$I)*(AA206='Processed Non-zero TRI Data'!$T:$T),0)))), VLOOKUP(I206,#REF!, 2, FALSE)), ("N/A - Facility Does Not Report to TRI"))</f>
        <v>N/A - Facility Does Not Report to TRI</v>
      </c>
      <c r="AD206" s="97" t="str" cm="1">
        <f t="array" ref="AD206">IFERROR(_xlfn.XLOOKUP(1,  (MAX(IF(I206 = 'Processed Non-zero TRI Data'!$I$2:$I$6,'Processed Non-zero TRI Data'!$A$2:$A$6)) = 'Processed Non-zero TRI Data'!$A$2:$A$6)*('Processed Non-zero TRI Data'!$I$2:$I$6 = I206), 'Processed Non-zero TRI Data'!$V$2:$V$6), "N/A- Facility Does Not Report to TRI")</f>
        <v>N/A- Facility Does Not Report to TRI</v>
      </c>
      <c r="AE206" s="9" t="str">
        <f t="shared" si="69"/>
        <v>N/A - Facility Does Not Report to TRI</v>
      </c>
      <c r="AF206" s="9" t="str" cm="1">
        <f t="array" ref="AF206">IF(COUNTIF('Processed Non-zero TRI Data'!$I:$I,$I206)&gt;0,MEDIAN(IF('Processed Non-zero TRI Data'!$I:$I=I206,'Processed Non-zero TRI Data'!$V:$V)), "N/A - Facility Does Not Report to TRI")</f>
        <v>N/A - Facility Does Not Report to TRI</v>
      </c>
      <c r="AG206" s="9" t="str">
        <f t="shared" si="70"/>
        <v>N/A - Facility Does Not Report to TRI</v>
      </c>
      <c r="AH206" s="9" t="str">
        <f>IF(COUNTIF('Processed Non-zero TRI Data'!$I:$I,$I206)&gt;0,_xlfn.MAXIFS('Processed Non-zero TRI Data'!$V:$V,'Processed Non-zero TRI Data'!$I:$I,$I206), "N/A - Facility Does Not Report to TRI")</f>
        <v>N/A - Facility Does Not Report to TRI</v>
      </c>
      <c r="AI206" s="9" t="str">
        <f t="shared" si="71"/>
        <v>N/A - Facility Does Not Report to TRI</v>
      </c>
      <c r="AJ206" s="158" t="str" cm="1">
        <f t="array" ref="AJ206">IF(B206="TRI Form A",AC206,IF(AH206=0,"Facility has no transfers to POTWs between 2019-2023.",IF(COUNTIF('Processed Non-zero TRI Data'!$I:$I,$I206)&gt;0,INDEX('Processed Non-zero TRI Data'!$A:$A,MATCH(1,($I206='Processed Non-zero TRI Data'!$I:$I)*(AH206='Processed Non-zero TRI Data'!$V:$V),0)),"N/A - Facility Does Not Report to TRI")))</f>
        <v>N/A - Facility Does Not Report to TRI</v>
      </c>
      <c r="AK206" s="97" t="str" cm="1">
        <f t="array" ref="AK206">IFERROR(_xlfn.XLOOKUP(1,  (MAX(IF(I206 = 'Processed Non-zero TRI Data'!$I$2:$I$6,'Processed Non-zero TRI Data'!$A$2:$A$6)) = 'Processed Non-zero TRI Data'!$A$2:$A$6)*('Processed Non-zero TRI Data'!$I$2:$I$6 = I206), 'Processed Non-zero TRI Data'!$X$2:$X$6), "N/A- Facility Does Not Report to TRI")</f>
        <v>N/A- Facility Does Not Report to TRI</v>
      </c>
      <c r="AL206" s="9" t="str">
        <f t="shared" si="72"/>
        <v>N/A - Facility Does Not Report to TRI</v>
      </c>
      <c r="AM206" s="9" t="str" cm="1">
        <f t="array" ref="AM206">IF(COUNTIF('Processed Non-zero TRI Data'!$I:$I,$I206)&gt;0,MEDIAN(IF('Processed Non-zero TRI Data'!$I:$I=I206,'Processed Non-zero TRI Data'!$X:$X)), "N/A - Facility Does Not Report to TRI")</f>
        <v>N/A - Facility Does Not Report to TRI</v>
      </c>
      <c r="AN206" s="9" t="str">
        <f t="shared" si="73"/>
        <v>N/A - Facility Does Not Report to TRI</v>
      </c>
      <c r="AO206" s="9" t="str">
        <f>IF(COUNTIF('Processed Non-zero TRI Data'!$I:$I,$I206)&gt;0,_xlfn.MAXIFS('Processed Non-zero TRI Data'!$X:$X,'Processed Non-zero TRI Data'!$I:$I,$I206), "N/A - Facility Does Not Report to TRI")</f>
        <v>N/A - Facility Does Not Report to TRI</v>
      </c>
      <c r="AP206" s="9" t="str">
        <f t="shared" si="74"/>
        <v>N/A - Facility Does Not Report to TRI</v>
      </c>
      <c r="AQ206" s="251" t="str" cm="1">
        <f t="array" ref="AQ206">IF(B206="TRI Form A",AC206,IF(AO206=0,"Facility has no transfers to non-POTWs between 2019-2023.",IF(COUNTIF('Processed Non-zero TRI Data'!$I:$I,$I206)&gt;0,INDEX('Processed Non-zero TRI Data'!$A:$A,MATCH(1,($I206='Processed Non-zero TRI Data'!$I:$I)*(AO206='Processed Non-zero TRI Data'!$X:$X),0)),"N/A - Facility Does Not Report to TRI")))</f>
        <v>N/A - Facility Does Not Report to TRI</v>
      </c>
      <c r="AR206" s="260">
        <f t="shared" si="75"/>
        <v>0</v>
      </c>
      <c r="AS206" s="260">
        <f t="shared" si="76"/>
        <v>0.27096562666666602</v>
      </c>
    </row>
    <row r="207" spans="1:45" ht="30" x14ac:dyDescent="0.25">
      <c r="A207" s="12">
        <v>204</v>
      </c>
      <c r="B207" s="10" t="str">
        <f>IFERROR("TRI Form "&amp; VLOOKUP(I207, 'Processed Non-zero TRI Data'!$I$2:$K$6, 3, FALSE), "DMR")</f>
        <v>DMR</v>
      </c>
      <c r="C207" s="181" t="e">
        <f>VLOOKUP(D207,#REF!, 2, FALSE)</f>
        <v>#REF!</v>
      </c>
      <c r="D207" s="181" t="str">
        <f>IF(I207&lt;&gt;"",INDEX('Processed Non-zero TRI Data'!$O:$O,MATCH(I207,'Processed Non-zero TRI Data'!$I:$I,0)),INDEX('Processed Non-zero DMR Data'!$S:$S,MATCH(J207,'Processed Non-zero DMR Data'!$I:$I,0)))</f>
        <v>Processing as a reactant</v>
      </c>
      <c r="E207" s="181" t="str">
        <f>IF(I207&lt;&gt;"",INDEX('Processed Non-zero TRI Data'!$P:$P,MATCH(I207,'Processed Non-zero TRI Data'!$I:$I,0)),INDEX('Processed Non-zero DMR Data'!$T:$T,MATCH(J207,'Processed Non-zero DMR Data'!$I:$I,0)))</f>
        <v>Assumed processing as a reactant based on SIC and NAICS. Not known MFG site.</v>
      </c>
      <c r="F207" s="9" t="str">
        <f>_xlfn.XLOOKUP(J207, 'Processed Non-zero DMR Data'!I:I, 'Processed Non-zero DMR Data'!B:B)</f>
        <v>INVISTA HOUSTON</v>
      </c>
      <c r="G207" s="9" t="str">
        <f>_xlfn.XLOOKUP(J207, 'Processed Non-zero DMR Data'!I:I, 'Processed Non-zero DMR Data'!C:C)</f>
        <v>HOUSTON</v>
      </c>
      <c r="H207" s="9" t="str">
        <f>_xlfn.XLOOKUP(J207, 'Processed Non-zero DMR Data'!I:I, 'Processed Non-zero DMR Data'!E:E)</f>
        <v>TX</v>
      </c>
      <c r="I207" s="12"/>
      <c r="J207" s="13">
        <v>110000461107</v>
      </c>
      <c r="K207" s="9" t="str">
        <f>IFERROR(INDEX('Raw Non-zero DMR Data'!$C:$C, MATCH(J207,'Raw Non-zero DMR Data'!$D:$D,0)),"")</f>
        <v>TX0006068</v>
      </c>
      <c r="L207" s="9" t="str">
        <f>IFERROR(INDEX('Raw Non-zero DMR Data'!$U:$U, MATCH($J207,'Raw Non-zero DMR Data'!$D:$D,0)),"")</f>
        <v>Lower Sims Bayou</v>
      </c>
      <c r="M207" s="155">
        <f>IFERROR(INDEX('Raw Non-zero DMR Data'!$T:$T, MATCH($J207,'Raw Non-zero DMR Data'!$D:$D,0)),"")</f>
        <v>120401040502</v>
      </c>
      <c r="N207" s="155" t="str">
        <f>IFERROR(INDEX('Off-site Locations'!$E:$E,MATCH(I207,'Off-site Locations'!$B:$B,0)),"No offsite transfers")</f>
        <v>No offsite transfers</v>
      </c>
      <c r="O207" s="165">
        <f>INDEX('TRI and DMR OES Summary'!D:D,MATCH('Facility Discharge Summary'!D207,'TRI and DMR OES Summary'!A:A,0))</f>
        <v>350</v>
      </c>
      <c r="P207" s="17" cm="1">
        <f t="array" ref="P207">IFERROR(_xlfn.XLOOKUP(1,  (MAX(IF(J207 = 'Processed Non-zero DMR Data'!$I$2:$I$651,'Processed Non-zero DMR Data'!$A$2:$A$651)) = 'Processed Non-zero DMR Data'!$A$2:$A$651)*('Processed Non-zero DMR Data'!$I$2:$I$651 = J207),'Processed Non-zero DMR Data'!$W$2:$W$651), "N/A- Facility Does Not Report DMRs")</f>
        <v>5.7998500000000001E-2</v>
      </c>
      <c r="Q207" s="10">
        <f t="shared" si="63"/>
        <v>1.6571000000000001E-4</v>
      </c>
      <c r="R207" s="10" cm="1">
        <f t="array" ref="R207">IF(COUNTIF('Processed Non-zero DMR Data'!$I:$I,$J207)&gt;0,MEDIAN(IF('Processed Non-zero DMR Data'!$I:$I=J207,'Processed Non-zero DMR Data'!$W:$W)),"N/A - Facility Does Not Report DMRs")</f>
        <v>5.7998500000000001E-2</v>
      </c>
      <c r="S207" s="10">
        <f t="shared" si="64"/>
        <v>1.6571000000000001E-4</v>
      </c>
      <c r="T207" s="10">
        <f>IF(COUNTIF('Processed Non-zero DMR Data'!$I:$I,$J207)&gt;0,_xlfn.MAXIFS('Processed Non-zero DMR Data'!$W:$W,'Processed Non-zero DMR Data'!$I:$I,$J207), "N/A - Facility Does Not Report DMRs")</f>
        <v>5.7998500000000001E-2</v>
      </c>
      <c r="U207" s="10">
        <f t="shared" si="65"/>
        <v>1.6571000000000001E-4</v>
      </c>
      <c r="V207" s="158" cm="1">
        <f t="array" ref="V207">IF(COUNTIF('Processed Non-zero DMR Data'!$I:$I,$J207)&gt;0,INDEX('Processed Non-zero DMR Data'!$A:$A,MATCH(1,($J207='Processed Non-zero DMR Data'!$I:$I)*($T207='Processed Non-zero DMR Data'!$W:$W),0)), "N/A - Facility Does Not Report DMRs")</f>
        <v>2023</v>
      </c>
      <c r="W207" s="17" t="str" cm="1">
        <f t="array" ref="W207">IFERROR(_xlfn.XLOOKUP(1,  (MAX(IF(I207 = 'Processed Non-zero TRI Data'!$I$2:$I$6,'Processed Non-zero TRI Data'!$A$2:$A$6)) = 'Processed Non-zero TRI Data'!$A$2:$A$6)*('Processed Non-zero TRI Data'!$I$2:$I$6 = I207), 'Processed Non-zero TRI Data'!$T$2:$T$6), "N/A- Facility Does Not Report to TRI")</f>
        <v>N/A- Facility Does Not Report to TRI</v>
      </c>
      <c r="X207" s="10" t="str">
        <f t="shared" si="66"/>
        <v>N/A - Facility Does Not Report to TRI</v>
      </c>
      <c r="Y207" s="10" t="str" cm="1">
        <f t="array" ref="Y207">IF(COUNTIF('Processed Non-zero TRI Data'!$I:$I,$I207)&gt;0,MEDIAN(IF('Processed Non-zero TRI Data'!$I:$I=I207,'Processed Non-zero TRI Data'!$T:$T)), "N/A - Facility Does Not Report to TRI")</f>
        <v>N/A - Facility Does Not Report to TRI</v>
      </c>
      <c r="Z207" s="10" t="str">
        <f t="shared" si="67"/>
        <v>N/A - Facility Does Not Report to TRI</v>
      </c>
      <c r="AA207" s="10" t="str">
        <f>IF(COUNTIF('Processed Non-zero TRI Data'!$I:$I,$I207)&gt;0,_xlfn.MAXIFS('Processed Non-zero TRI Data'!$T:$T,'Processed Non-zero TRI Data'!$I:$I,$I207), "N/A - Facility Does Not Report to TRI")</f>
        <v>N/A - Facility Does Not Report to TRI</v>
      </c>
      <c r="AB207" s="10" t="str">
        <f t="shared" si="68"/>
        <v>N/A - Facility Does Not Report to TRI</v>
      </c>
      <c r="AC207" s="158" t="str" cm="1">
        <f t="array" ref="AC207">IFERROR(IF(B207 = "TRI Form R", IF(AA207 = 0, "Facility has no on-site water discharges between 2017-2022.",  IF(COUNTIF('Processed Non-zero TRI Data'!$I:$I,$I207)&gt;0,INDEX('Processed Non-zero TRI Data'!$A:$A,MATCH(1,($I207='Processed Non-zero TRI Data'!$I:$I)*(AA207='Processed Non-zero TRI Data'!$T:$T),0)))), VLOOKUP(I207,#REF!, 2, FALSE)), ("N/A - Facility Does Not Report to TRI"))</f>
        <v>N/A - Facility Does Not Report to TRI</v>
      </c>
      <c r="AD207" s="97" t="str" cm="1">
        <f t="array" ref="AD207">IFERROR(_xlfn.XLOOKUP(1,  (MAX(IF(I207 = 'Processed Non-zero TRI Data'!$I$2:$I$6,'Processed Non-zero TRI Data'!$A$2:$A$6)) = 'Processed Non-zero TRI Data'!$A$2:$A$6)*('Processed Non-zero TRI Data'!$I$2:$I$6 = I207), 'Processed Non-zero TRI Data'!$V$2:$V$6), "N/A- Facility Does Not Report to TRI")</f>
        <v>N/A- Facility Does Not Report to TRI</v>
      </c>
      <c r="AE207" s="9" t="str">
        <f t="shared" si="69"/>
        <v>N/A - Facility Does Not Report to TRI</v>
      </c>
      <c r="AF207" s="9" t="str" cm="1">
        <f t="array" ref="AF207">IF(COUNTIF('Processed Non-zero TRI Data'!$I:$I,$I207)&gt;0,MEDIAN(IF('Processed Non-zero TRI Data'!$I:$I=I207,'Processed Non-zero TRI Data'!$V:$V)), "N/A - Facility Does Not Report to TRI")</f>
        <v>N/A - Facility Does Not Report to TRI</v>
      </c>
      <c r="AG207" s="9" t="str">
        <f t="shared" si="70"/>
        <v>N/A - Facility Does Not Report to TRI</v>
      </c>
      <c r="AH207" s="9" t="str">
        <f>IF(COUNTIF('Processed Non-zero TRI Data'!$I:$I,$I207)&gt;0,_xlfn.MAXIFS('Processed Non-zero TRI Data'!$V:$V,'Processed Non-zero TRI Data'!$I:$I,$I207), "N/A - Facility Does Not Report to TRI")</f>
        <v>N/A - Facility Does Not Report to TRI</v>
      </c>
      <c r="AI207" s="9" t="str">
        <f t="shared" si="71"/>
        <v>N/A - Facility Does Not Report to TRI</v>
      </c>
      <c r="AJ207" s="158" t="str" cm="1">
        <f t="array" ref="AJ207">IF(B207="TRI Form A",AC207,IF(AH207=0,"Facility has no transfers to POTWs between 2019-2023.",IF(COUNTIF('Processed Non-zero TRI Data'!$I:$I,$I207)&gt;0,INDEX('Processed Non-zero TRI Data'!$A:$A,MATCH(1,($I207='Processed Non-zero TRI Data'!$I:$I)*(AH207='Processed Non-zero TRI Data'!$V:$V),0)),"N/A - Facility Does Not Report to TRI")))</f>
        <v>N/A - Facility Does Not Report to TRI</v>
      </c>
      <c r="AK207" s="97" t="str" cm="1">
        <f t="array" ref="AK207">IFERROR(_xlfn.XLOOKUP(1,  (MAX(IF(I207 = 'Processed Non-zero TRI Data'!$I$2:$I$6,'Processed Non-zero TRI Data'!$A$2:$A$6)) = 'Processed Non-zero TRI Data'!$A$2:$A$6)*('Processed Non-zero TRI Data'!$I$2:$I$6 = I207), 'Processed Non-zero TRI Data'!$X$2:$X$6), "N/A- Facility Does Not Report to TRI")</f>
        <v>N/A- Facility Does Not Report to TRI</v>
      </c>
      <c r="AL207" s="9" t="str">
        <f t="shared" si="72"/>
        <v>N/A - Facility Does Not Report to TRI</v>
      </c>
      <c r="AM207" s="9" t="str" cm="1">
        <f t="array" ref="AM207">IF(COUNTIF('Processed Non-zero TRI Data'!$I:$I,$I207)&gt;0,MEDIAN(IF('Processed Non-zero TRI Data'!$I:$I=I207,'Processed Non-zero TRI Data'!$X:$X)), "N/A - Facility Does Not Report to TRI")</f>
        <v>N/A - Facility Does Not Report to TRI</v>
      </c>
      <c r="AN207" s="9" t="str">
        <f t="shared" si="73"/>
        <v>N/A - Facility Does Not Report to TRI</v>
      </c>
      <c r="AO207" s="9" t="str">
        <f>IF(COUNTIF('Processed Non-zero TRI Data'!$I:$I,$I207)&gt;0,_xlfn.MAXIFS('Processed Non-zero TRI Data'!$X:$X,'Processed Non-zero TRI Data'!$I:$I,$I207), "N/A - Facility Does Not Report to TRI")</f>
        <v>N/A - Facility Does Not Report to TRI</v>
      </c>
      <c r="AP207" s="9" t="str">
        <f t="shared" si="74"/>
        <v>N/A - Facility Does Not Report to TRI</v>
      </c>
      <c r="AQ207" s="251" t="str" cm="1">
        <f t="array" ref="AQ207">IF(B207="TRI Form A",AC207,IF(AO207=0,"Facility has no transfers to non-POTWs between 2019-2023.",IF(COUNTIF('Processed Non-zero TRI Data'!$I:$I,$I207)&gt;0,INDEX('Processed Non-zero TRI Data'!$A:$A,MATCH(1,($I207='Processed Non-zero TRI Data'!$I:$I)*(AO207='Processed Non-zero TRI Data'!$X:$X),0)),"N/A - Facility Does Not Report to TRI")))</f>
        <v>N/A - Facility Does Not Report to TRI</v>
      </c>
      <c r="AR207" s="260">
        <f t="shared" si="75"/>
        <v>0</v>
      </c>
      <c r="AS207" s="260">
        <f t="shared" si="76"/>
        <v>5.7998500000000001E-2</v>
      </c>
    </row>
    <row r="208" spans="1:45" ht="30" x14ac:dyDescent="0.25">
      <c r="A208" s="12">
        <v>205</v>
      </c>
      <c r="B208" s="10" t="str">
        <f>IFERROR("TRI Form "&amp; VLOOKUP(I208, 'Processed Non-zero TRI Data'!$I$2:$K$6, 3, FALSE), "DMR")</f>
        <v>DMR</v>
      </c>
      <c r="C208" s="181" t="e">
        <f>VLOOKUP(D208,#REF!, 2, FALSE)</f>
        <v>#REF!</v>
      </c>
      <c r="D208" s="181" t="str">
        <f>IF(I208&lt;&gt;"",INDEX('Processed Non-zero TRI Data'!$O:$O,MATCH(I208,'Processed Non-zero TRI Data'!$I:$I,0)),INDEX('Processed Non-zero DMR Data'!$S:$S,MATCH(J208,'Processed Non-zero DMR Data'!$I:$I,0)))</f>
        <v>Unknown</v>
      </c>
      <c r="E208" s="181" t="str">
        <f>IF(I208&lt;&gt;"",INDEX('Processed Non-zero TRI Data'!$P:$P,MATCH(I208,'Processed Non-zero TRI Data'!$I:$I,0)),INDEX('Processed Non-zero DMR Data'!$T:$T,MATCH(J208,'Processed Non-zero DMR Data'!$I:$I,0)))</f>
        <v>Facility is a natural-gas fired combustion gas turbine; no OES to map to.</v>
      </c>
      <c r="F208" s="9" t="str">
        <f>_xlfn.XLOOKUP(J208, 'Processed Non-zero DMR Data'!I:I, 'Processed Non-zero DMR Data'!B:B)</f>
        <v>CROCKETT COGEN PROJECT</v>
      </c>
      <c r="G208" s="9" t="str">
        <f>_xlfn.XLOOKUP(J208, 'Processed Non-zero DMR Data'!I:I, 'Processed Non-zero DMR Data'!C:C)</f>
        <v>CROCKETT</v>
      </c>
      <c r="H208" s="9" t="str">
        <f>_xlfn.XLOOKUP(J208, 'Processed Non-zero DMR Data'!I:I, 'Processed Non-zero DMR Data'!E:E)</f>
        <v>CA</v>
      </c>
      <c r="I208" s="12"/>
      <c r="J208" s="13">
        <v>110001163062</v>
      </c>
      <c r="K208" s="9" t="str">
        <f>IFERROR(INDEX('Raw Non-zero DMR Data'!$C:$C, MATCH(J208,'Raw Non-zero DMR Data'!$D:$D,0)),"")</f>
        <v>CA0029904</v>
      </c>
      <c r="L208" s="9" t="str">
        <f>IFERROR(INDEX('Raw Non-zero DMR Data'!$U:$U, MATCH($J208,'Raw Non-zero DMR Data'!$D:$D,0)),"")</f>
        <v>Arroyo del Hambre-Frontal Suisun Bay Estuaries</v>
      </c>
      <c r="M208" s="155">
        <f>IFERROR(INDEX('Raw Non-zero DMR Data'!$T:$T, MATCH($J208,'Raw Non-zero DMR Data'!$D:$D,0)),"")</f>
        <v>180500010303</v>
      </c>
      <c r="N208" s="155" t="str">
        <f>IFERROR(INDEX('Off-site Locations'!$E:$E,MATCH(I208,'Off-site Locations'!$B:$B,0)),"No offsite transfers")</f>
        <v>No offsite transfers</v>
      </c>
      <c r="O208" s="165">
        <f>INDEX('TRI and DMR OES Summary'!D:D,MATCH('Facility Discharge Summary'!D208,'TRI and DMR OES Summary'!A:A,0))</f>
        <v>250</v>
      </c>
      <c r="P208" s="17" cm="1">
        <f t="array" ref="P208">IFERROR(_xlfn.XLOOKUP(1,  (MAX(IF(J208 = 'Processed Non-zero DMR Data'!$I$2:$I$651,'Processed Non-zero DMR Data'!$A$2:$A$651)) = 'Processed Non-zero DMR Data'!$A$2:$A$651)*('Processed Non-zero DMR Data'!$I$2:$I$651 = J208),'Processed Non-zero DMR Data'!$W$2:$W$651), "N/A- Facility Does Not Report DMRs")</f>
        <v>2.7174161569625001E-3</v>
      </c>
      <c r="Q208" s="10">
        <f t="shared" si="63"/>
        <v>1.0869664627850001E-5</v>
      </c>
      <c r="R208" s="10" cm="1">
        <f t="array" ref="R208">IF(COUNTIF('Processed Non-zero DMR Data'!$I:$I,$J208)&gt;0,MEDIAN(IF('Processed Non-zero DMR Data'!$I:$I=J208,'Processed Non-zero DMR Data'!$W:$W)),"N/A - Facility Does Not Report DMRs")</f>
        <v>2.7174161569625001E-3</v>
      </c>
      <c r="S208" s="10">
        <f t="shared" si="64"/>
        <v>1.0869664627850001E-5</v>
      </c>
      <c r="T208" s="10">
        <f>IF(COUNTIF('Processed Non-zero DMR Data'!$I:$I,$J208)&gt;0,_xlfn.MAXIFS('Processed Non-zero DMR Data'!$W:$W,'Processed Non-zero DMR Data'!$I:$I,$J208), "N/A - Facility Does Not Report DMRs")</f>
        <v>2.7174161569625001E-3</v>
      </c>
      <c r="U208" s="10">
        <f t="shared" si="65"/>
        <v>1.0869664627850001E-5</v>
      </c>
      <c r="V208" s="158" cm="1">
        <f t="array" ref="V208">IF(COUNTIF('Processed Non-zero DMR Data'!$I:$I,$J208)&gt;0,INDEX('Processed Non-zero DMR Data'!$A:$A,MATCH(1,($J208='Processed Non-zero DMR Data'!$I:$I)*($T208='Processed Non-zero DMR Data'!$W:$W),0)), "N/A - Facility Does Not Report DMRs")</f>
        <v>2023</v>
      </c>
      <c r="W208" s="17" t="str" cm="1">
        <f t="array" ref="W208">IFERROR(_xlfn.XLOOKUP(1,  (MAX(IF(I208 = 'Processed Non-zero TRI Data'!$I$2:$I$6,'Processed Non-zero TRI Data'!$A$2:$A$6)) = 'Processed Non-zero TRI Data'!$A$2:$A$6)*('Processed Non-zero TRI Data'!$I$2:$I$6 = I208), 'Processed Non-zero TRI Data'!$T$2:$T$6), "N/A- Facility Does Not Report to TRI")</f>
        <v>N/A- Facility Does Not Report to TRI</v>
      </c>
      <c r="X208" s="10" t="str">
        <f t="shared" si="66"/>
        <v>N/A - Facility Does Not Report to TRI</v>
      </c>
      <c r="Y208" s="10" t="str" cm="1">
        <f t="array" ref="Y208">IF(COUNTIF('Processed Non-zero TRI Data'!$I:$I,$I208)&gt;0,MEDIAN(IF('Processed Non-zero TRI Data'!$I:$I=I208,'Processed Non-zero TRI Data'!$T:$T)), "N/A - Facility Does Not Report to TRI")</f>
        <v>N/A - Facility Does Not Report to TRI</v>
      </c>
      <c r="Z208" s="10" t="str">
        <f t="shared" si="67"/>
        <v>N/A - Facility Does Not Report to TRI</v>
      </c>
      <c r="AA208" s="10" t="str">
        <f>IF(COUNTIF('Processed Non-zero TRI Data'!$I:$I,$I208)&gt;0,_xlfn.MAXIFS('Processed Non-zero TRI Data'!$T:$T,'Processed Non-zero TRI Data'!$I:$I,$I208), "N/A - Facility Does Not Report to TRI")</f>
        <v>N/A - Facility Does Not Report to TRI</v>
      </c>
      <c r="AB208" s="10" t="str">
        <f t="shared" si="68"/>
        <v>N/A - Facility Does Not Report to TRI</v>
      </c>
      <c r="AC208" s="158" t="str" cm="1">
        <f t="array" ref="AC208">IFERROR(IF(B208 = "TRI Form R", IF(AA208 = 0, "Facility has no on-site water discharges between 2017-2022.",  IF(COUNTIF('Processed Non-zero TRI Data'!$I:$I,$I208)&gt;0,INDEX('Processed Non-zero TRI Data'!$A:$A,MATCH(1,($I208='Processed Non-zero TRI Data'!$I:$I)*(AA208='Processed Non-zero TRI Data'!$T:$T),0)))), VLOOKUP(I208,#REF!, 2, FALSE)), ("N/A - Facility Does Not Report to TRI"))</f>
        <v>N/A - Facility Does Not Report to TRI</v>
      </c>
      <c r="AD208" s="97" t="str" cm="1">
        <f t="array" ref="AD208">IFERROR(_xlfn.XLOOKUP(1,  (MAX(IF(I208 = 'Processed Non-zero TRI Data'!$I$2:$I$6,'Processed Non-zero TRI Data'!$A$2:$A$6)) = 'Processed Non-zero TRI Data'!$A$2:$A$6)*('Processed Non-zero TRI Data'!$I$2:$I$6 = I208), 'Processed Non-zero TRI Data'!$V$2:$V$6), "N/A- Facility Does Not Report to TRI")</f>
        <v>N/A- Facility Does Not Report to TRI</v>
      </c>
      <c r="AE208" s="9" t="str">
        <f t="shared" si="69"/>
        <v>N/A - Facility Does Not Report to TRI</v>
      </c>
      <c r="AF208" s="9" t="str" cm="1">
        <f t="array" ref="AF208">IF(COUNTIF('Processed Non-zero TRI Data'!$I:$I,$I208)&gt;0,MEDIAN(IF('Processed Non-zero TRI Data'!$I:$I=I208,'Processed Non-zero TRI Data'!$V:$V)), "N/A - Facility Does Not Report to TRI")</f>
        <v>N/A - Facility Does Not Report to TRI</v>
      </c>
      <c r="AG208" s="9" t="str">
        <f t="shared" si="70"/>
        <v>N/A - Facility Does Not Report to TRI</v>
      </c>
      <c r="AH208" s="9" t="str">
        <f>IF(COUNTIF('Processed Non-zero TRI Data'!$I:$I,$I208)&gt;0,_xlfn.MAXIFS('Processed Non-zero TRI Data'!$V:$V,'Processed Non-zero TRI Data'!$I:$I,$I208), "N/A - Facility Does Not Report to TRI")</f>
        <v>N/A - Facility Does Not Report to TRI</v>
      </c>
      <c r="AI208" s="9" t="str">
        <f t="shared" si="71"/>
        <v>N/A - Facility Does Not Report to TRI</v>
      </c>
      <c r="AJ208" s="158" t="str" cm="1">
        <f t="array" ref="AJ208">IF(B208="TRI Form A",AC208,IF(AH208=0,"Facility has no transfers to POTWs between 2019-2023.",IF(COUNTIF('Processed Non-zero TRI Data'!$I:$I,$I208)&gt;0,INDEX('Processed Non-zero TRI Data'!$A:$A,MATCH(1,($I208='Processed Non-zero TRI Data'!$I:$I)*(AH208='Processed Non-zero TRI Data'!$V:$V),0)),"N/A - Facility Does Not Report to TRI")))</f>
        <v>N/A - Facility Does Not Report to TRI</v>
      </c>
      <c r="AK208" s="97" t="str" cm="1">
        <f t="array" ref="AK208">IFERROR(_xlfn.XLOOKUP(1,  (MAX(IF(I208 = 'Processed Non-zero TRI Data'!$I$2:$I$6,'Processed Non-zero TRI Data'!$A$2:$A$6)) = 'Processed Non-zero TRI Data'!$A$2:$A$6)*('Processed Non-zero TRI Data'!$I$2:$I$6 = I208), 'Processed Non-zero TRI Data'!$X$2:$X$6), "N/A- Facility Does Not Report to TRI")</f>
        <v>N/A- Facility Does Not Report to TRI</v>
      </c>
      <c r="AL208" s="9" t="str">
        <f t="shared" si="72"/>
        <v>N/A - Facility Does Not Report to TRI</v>
      </c>
      <c r="AM208" s="9" t="str" cm="1">
        <f t="array" ref="AM208">IF(COUNTIF('Processed Non-zero TRI Data'!$I:$I,$I208)&gt;0,MEDIAN(IF('Processed Non-zero TRI Data'!$I:$I=I208,'Processed Non-zero TRI Data'!$X:$X)), "N/A - Facility Does Not Report to TRI")</f>
        <v>N/A - Facility Does Not Report to TRI</v>
      </c>
      <c r="AN208" s="9" t="str">
        <f t="shared" si="73"/>
        <v>N/A - Facility Does Not Report to TRI</v>
      </c>
      <c r="AO208" s="9" t="str">
        <f>IF(COUNTIF('Processed Non-zero TRI Data'!$I:$I,$I208)&gt;0,_xlfn.MAXIFS('Processed Non-zero TRI Data'!$X:$X,'Processed Non-zero TRI Data'!$I:$I,$I208), "N/A - Facility Does Not Report to TRI")</f>
        <v>N/A - Facility Does Not Report to TRI</v>
      </c>
      <c r="AP208" s="9" t="str">
        <f t="shared" si="74"/>
        <v>N/A - Facility Does Not Report to TRI</v>
      </c>
      <c r="AQ208" s="251" t="str" cm="1">
        <f t="array" ref="AQ208">IF(B208="TRI Form A",AC208,IF(AO208=0,"Facility has no transfers to non-POTWs between 2019-2023.",IF(COUNTIF('Processed Non-zero TRI Data'!$I:$I,$I208)&gt;0,INDEX('Processed Non-zero TRI Data'!$A:$A,MATCH(1,($I208='Processed Non-zero TRI Data'!$I:$I)*(AO208='Processed Non-zero TRI Data'!$X:$X),0)),"N/A - Facility Does Not Report to TRI")))</f>
        <v>N/A - Facility Does Not Report to TRI</v>
      </c>
      <c r="AR208" s="260">
        <f t="shared" si="75"/>
        <v>0</v>
      </c>
      <c r="AS208" s="260">
        <f t="shared" si="76"/>
        <v>2.7174161569625001E-3</v>
      </c>
    </row>
    <row r="209" spans="1:45" ht="30" x14ac:dyDescent="0.25">
      <c r="A209" s="12">
        <v>206</v>
      </c>
      <c r="B209" s="10" t="str">
        <f>IFERROR("TRI Form "&amp; VLOOKUP(I209, 'Processed Non-zero TRI Data'!$I$2:$K$6, 3, FALSE), "DMR")</f>
        <v>DMR</v>
      </c>
      <c r="C209" s="181" t="e">
        <f>VLOOKUP(D209,#REF!, 2, FALSE)</f>
        <v>#REF!</v>
      </c>
      <c r="D209" s="181" t="str">
        <f>IF(I209&lt;&gt;"",INDEX('Processed Non-zero TRI Data'!$O:$O,MATCH(I209,'Processed Non-zero TRI Data'!$I:$I,0)),INDEX('Processed Non-zero DMR Data'!$S:$S,MATCH(J209,'Processed Non-zero DMR Data'!$I:$I,0)))</f>
        <v>Unknown</v>
      </c>
      <c r="E209" s="181" t="str">
        <f>IF(I209&lt;&gt;"",INDEX('Processed Non-zero TRI Data'!$P:$P,MATCH(I209,'Processed Non-zero TRI Data'!$I:$I,0)),INDEX('Processed Non-zero DMR Data'!$T:$T,MATCH(J209,'Processed Non-zero DMR Data'!$I:$I,0)))</f>
        <v>Location seems to be an apartment complex. No OES to map to.</v>
      </c>
      <c r="F209" s="9" t="str">
        <f>_xlfn.XLOOKUP(J209, 'Processed Non-zero DMR Data'!I:I, 'Processed Non-zero DMR Data'!B:B)</f>
        <v>200 MAIN STREET</v>
      </c>
      <c r="G209" s="9" t="str">
        <f>_xlfn.XLOOKUP(J209, 'Processed Non-zero DMR Data'!I:I, 'Processed Non-zero DMR Data'!C:C)</f>
        <v>CAMBRIDGE</v>
      </c>
      <c r="H209" s="9" t="str">
        <f>_xlfn.XLOOKUP(J209, 'Processed Non-zero DMR Data'!I:I, 'Processed Non-zero DMR Data'!E:E)</f>
        <v>MA</v>
      </c>
      <c r="I209" s="12"/>
      <c r="J209" s="13">
        <v>110071158765</v>
      </c>
      <c r="K209" s="9" t="str">
        <f>IFERROR(INDEX('Raw Non-zero DMR Data'!$C:$C, MATCH(J209,'Raw Non-zero DMR Data'!$D:$D,0)),"")</f>
        <v>MAG912056</v>
      </c>
      <c r="L209" s="9" t="str">
        <f>IFERROR(INDEX('Raw Non-zero DMR Data'!$U:$U, MATCH($J209,'Raw Non-zero DMR Data'!$D:$D,0)),"")</f>
        <v>Charles River-Frontal Boston Harbor</v>
      </c>
      <c r="M209" s="155" t="str">
        <f>IFERROR(INDEX('Raw Non-zero DMR Data'!$T:$T, MATCH($J209,'Raw Non-zero DMR Data'!$D:$D,0)),"")</f>
        <v>010900010704</v>
      </c>
      <c r="N209" s="155" t="str">
        <f>IFERROR(INDEX('Off-site Locations'!$E:$E,MATCH(I209,'Off-site Locations'!$B:$B,0)),"No offsite transfers")</f>
        <v>No offsite transfers</v>
      </c>
      <c r="O209" s="165">
        <f>INDEX('TRI and DMR OES Summary'!D:D,MATCH('Facility Discharge Summary'!D209,'TRI and DMR OES Summary'!A:A,0))</f>
        <v>250</v>
      </c>
      <c r="P209" s="17" cm="1">
        <f t="array" ref="P209">IFERROR(_xlfn.XLOOKUP(1,  (MAX(IF(J209 = 'Processed Non-zero DMR Data'!$I$2:$I$651,'Processed Non-zero DMR Data'!$A$2:$A$651)) = 'Processed Non-zero DMR Data'!$A$2:$A$651)*('Processed Non-zero DMR Data'!$I$2:$I$651 = J209),'Processed Non-zero DMR Data'!$W$2:$W$651), "N/A- Facility Does Not Report DMRs")</f>
        <v>5.5009581375000003E-3</v>
      </c>
      <c r="Q209" s="10">
        <f t="shared" si="63"/>
        <v>2.2003832550000002E-5</v>
      </c>
      <c r="R209" s="10" cm="1">
        <f t="array" ref="R209">IF(COUNTIF('Processed Non-zero DMR Data'!$I:$I,$J209)&gt;0,MEDIAN(IF('Processed Non-zero DMR Data'!$I:$I=J209,'Processed Non-zero DMR Data'!$W:$W)),"N/A - Facility Does Not Report DMRs")</f>
        <v>5.5009581375000003E-3</v>
      </c>
      <c r="S209" s="10">
        <f t="shared" si="64"/>
        <v>2.2003832550000002E-5</v>
      </c>
      <c r="T209" s="10">
        <f>IF(COUNTIF('Processed Non-zero DMR Data'!$I:$I,$J209)&gt;0,_xlfn.MAXIFS('Processed Non-zero DMR Data'!$W:$W,'Processed Non-zero DMR Data'!$I:$I,$J209), "N/A - Facility Does Not Report DMRs")</f>
        <v>5.5009581375000003E-3</v>
      </c>
      <c r="U209" s="10">
        <f t="shared" si="65"/>
        <v>2.2003832550000002E-5</v>
      </c>
      <c r="V209" s="158" cm="1">
        <f t="array" ref="V209">IF(COUNTIF('Processed Non-zero DMR Data'!$I:$I,$J209)&gt;0,INDEX('Processed Non-zero DMR Data'!$A:$A,MATCH(1,($J209='Processed Non-zero DMR Data'!$I:$I)*($T209='Processed Non-zero DMR Data'!$W:$W),0)), "N/A - Facility Does Not Report DMRs")</f>
        <v>2023</v>
      </c>
      <c r="W209" s="17" t="str" cm="1">
        <f t="array" ref="W209">IFERROR(_xlfn.XLOOKUP(1,  (MAX(IF(I209 = 'Processed Non-zero TRI Data'!$I$2:$I$6,'Processed Non-zero TRI Data'!$A$2:$A$6)) = 'Processed Non-zero TRI Data'!$A$2:$A$6)*('Processed Non-zero TRI Data'!$I$2:$I$6 = I209), 'Processed Non-zero TRI Data'!$T$2:$T$6), "N/A- Facility Does Not Report to TRI")</f>
        <v>N/A- Facility Does Not Report to TRI</v>
      </c>
      <c r="X209" s="10" t="str">
        <f t="shared" si="66"/>
        <v>N/A - Facility Does Not Report to TRI</v>
      </c>
      <c r="Y209" s="10" t="str" cm="1">
        <f t="array" ref="Y209">IF(COUNTIF('Processed Non-zero TRI Data'!$I:$I,$I209)&gt;0,MEDIAN(IF('Processed Non-zero TRI Data'!$I:$I=I209,'Processed Non-zero TRI Data'!$T:$T)), "N/A - Facility Does Not Report to TRI")</f>
        <v>N/A - Facility Does Not Report to TRI</v>
      </c>
      <c r="Z209" s="10" t="str">
        <f t="shared" si="67"/>
        <v>N/A - Facility Does Not Report to TRI</v>
      </c>
      <c r="AA209" s="10" t="str">
        <f>IF(COUNTIF('Processed Non-zero TRI Data'!$I:$I,$I209)&gt;0,_xlfn.MAXIFS('Processed Non-zero TRI Data'!$T:$T,'Processed Non-zero TRI Data'!$I:$I,$I209), "N/A - Facility Does Not Report to TRI")</f>
        <v>N/A - Facility Does Not Report to TRI</v>
      </c>
      <c r="AB209" s="10" t="str">
        <f t="shared" si="68"/>
        <v>N/A - Facility Does Not Report to TRI</v>
      </c>
      <c r="AC209" s="158" t="str" cm="1">
        <f t="array" ref="AC209">IFERROR(IF(B209 = "TRI Form R", IF(AA209 = 0, "Facility has no on-site water discharges between 2017-2022.",  IF(COUNTIF('Processed Non-zero TRI Data'!$I:$I,$I209)&gt;0,INDEX('Processed Non-zero TRI Data'!$A:$A,MATCH(1,($I209='Processed Non-zero TRI Data'!$I:$I)*(AA209='Processed Non-zero TRI Data'!$T:$T),0)))), VLOOKUP(I209,#REF!, 2, FALSE)), ("N/A - Facility Does Not Report to TRI"))</f>
        <v>N/A - Facility Does Not Report to TRI</v>
      </c>
      <c r="AD209" s="97" t="str" cm="1">
        <f t="array" ref="AD209">IFERROR(_xlfn.XLOOKUP(1,  (MAX(IF(I209 = 'Processed Non-zero TRI Data'!$I$2:$I$6,'Processed Non-zero TRI Data'!$A$2:$A$6)) = 'Processed Non-zero TRI Data'!$A$2:$A$6)*('Processed Non-zero TRI Data'!$I$2:$I$6 = I209), 'Processed Non-zero TRI Data'!$V$2:$V$6), "N/A- Facility Does Not Report to TRI")</f>
        <v>N/A- Facility Does Not Report to TRI</v>
      </c>
      <c r="AE209" s="9" t="str">
        <f t="shared" si="69"/>
        <v>N/A - Facility Does Not Report to TRI</v>
      </c>
      <c r="AF209" s="9" t="str" cm="1">
        <f t="array" ref="AF209">IF(COUNTIF('Processed Non-zero TRI Data'!$I:$I,$I209)&gt;0,MEDIAN(IF('Processed Non-zero TRI Data'!$I:$I=I209,'Processed Non-zero TRI Data'!$V:$V)), "N/A - Facility Does Not Report to TRI")</f>
        <v>N/A - Facility Does Not Report to TRI</v>
      </c>
      <c r="AG209" s="9" t="str">
        <f t="shared" si="70"/>
        <v>N/A - Facility Does Not Report to TRI</v>
      </c>
      <c r="AH209" s="9" t="str">
        <f>IF(COUNTIF('Processed Non-zero TRI Data'!$I:$I,$I209)&gt;0,_xlfn.MAXIFS('Processed Non-zero TRI Data'!$V:$V,'Processed Non-zero TRI Data'!$I:$I,$I209), "N/A - Facility Does Not Report to TRI")</f>
        <v>N/A - Facility Does Not Report to TRI</v>
      </c>
      <c r="AI209" s="9" t="str">
        <f t="shared" si="71"/>
        <v>N/A - Facility Does Not Report to TRI</v>
      </c>
      <c r="AJ209" s="158" t="str" cm="1">
        <f t="array" ref="AJ209">IF(B209="TRI Form A",AC209,IF(AH209=0,"Facility has no transfers to POTWs between 2019-2023.",IF(COUNTIF('Processed Non-zero TRI Data'!$I:$I,$I209)&gt;0,INDEX('Processed Non-zero TRI Data'!$A:$A,MATCH(1,($I209='Processed Non-zero TRI Data'!$I:$I)*(AH209='Processed Non-zero TRI Data'!$V:$V),0)),"N/A - Facility Does Not Report to TRI")))</f>
        <v>N/A - Facility Does Not Report to TRI</v>
      </c>
      <c r="AK209" s="97" t="str" cm="1">
        <f t="array" ref="AK209">IFERROR(_xlfn.XLOOKUP(1,  (MAX(IF(I209 = 'Processed Non-zero TRI Data'!$I$2:$I$6,'Processed Non-zero TRI Data'!$A$2:$A$6)) = 'Processed Non-zero TRI Data'!$A$2:$A$6)*('Processed Non-zero TRI Data'!$I$2:$I$6 = I209), 'Processed Non-zero TRI Data'!$X$2:$X$6), "N/A- Facility Does Not Report to TRI")</f>
        <v>N/A- Facility Does Not Report to TRI</v>
      </c>
      <c r="AL209" s="9" t="str">
        <f t="shared" si="72"/>
        <v>N/A - Facility Does Not Report to TRI</v>
      </c>
      <c r="AM209" s="9" t="str" cm="1">
        <f t="array" ref="AM209">IF(COUNTIF('Processed Non-zero TRI Data'!$I:$I,$I209)&gt;0,MEDIAN(IF('Processed Non-zero TRI Data'!$I:$I=I209,'Processed Non-zero TRI Data'!$X:$X)), "N/A - Facility Does Not Report to TRI")</f>
        <v>N/A - Facility Does Not Report to TRI</v>
      </c>
      <c r="AN209" s="9" t="str">
        <f t="shared" si="73"/>
        <v>N/A - Facility Does Not Report to TRI</v>
      </c>
      <c r="AO209" s="9" t="str">
        <f>IF(COUNTIF('Processed Non-zero TRI Data'!$I:$I,$I209)&gt;0,_xlfn.MAXIFS('Processed Non-zero TRI Data'!$X:$X,'Processed Non-zero TRI Data'!$I:$I,$I209), "N/A - Facility Does Not Report to TRI")</f>
        <v>N/A - Facility Does Not Report to TRI</v>
      </c>
      <c r="AP209" s="9" t="str">
        <f t="shared" si="74"/>
        <v>N/A - Facility Does Not Report to TRI</v>
      </c>
      <c r="AQ209" s="251" t="str" cm="1">
        <f t="array" ref="AQ209">IF(B209="TRI Form A",AC209,IF(AO209=0,"Facility has no transfers to non-POTWs between 2019-2023.",IF(COUNTIF('Processed Non-zero TRI Data'!$I:$I,$I209)&gt;0,INDEX('Processed Non-zero TRI Data'!$A:$A,MATCH(1,($I209='Processed Non-zero TRI Data'!$I:$I)*(AO209='Processed Non-zero TRI Data'!$X:$X),0)),"N/A - Facility Does Not Report to TRI")))</f>
        <v>N/A - Facility Does Not Report to TRI</v>
      </c>
      <c r="AR209" s="260">
        <f t="shared" si="75"/>
        <v>0</v>
      </c>
      <c r="AS209" s="260">
        <f t="shared" si="76"/>
        <v>5.5009581375000003E-3</v>
      </c>
    </row>
    <row r="210" spans="1:45" ht="30" x14ac:dyDescent="0.25">
      <c r="A210" s="12">
        <v>207</v>
      </c>
      <c r="B210" s="10" t="str">
        <f>IFERROR("TRI Form "&amp; VLOOKUP(I210, 'Processed Non-zero TRI Data'!$I$2:$K$6, 3, FALSE), "DMR")</f>
        <v>DMR</v>
      </c>
      <c r="C210" s="181" t="e">
        <f>VLOOKUP(D210,#REF!, 2, FALSE)</f>
        <v>#REF!</v>
      </c>
      <c r="D210" s="181" t="str">
        <f>IF(I210&lt;&gt;"",INDEX('Processed Non-zero TRI Data'!$O:$O,MATCH(I210,'Processed Non-zero TRI Data'!$I:$I,0)),INDEX('Processed Non-zero DMR Data'!$S:$S,MATCH(J210,'Processed Non-zero DMR Data'!$I:$I,0)))</f>
        <v>Processing as a reactant</v>
      </c>
      <c r="E210" s="181" t="str">
        <f>IF(I210&lt;&gt;"",INDEX('Processed Non-zero TRI Data'!$P:$P,MATCH(I210,'Processed Non-zero TRI Data'!$I:$I,0)),INDEX('Processed Non-zero DMR Data'!$T:$T,MATCH(J210,'Processed Non-zero DMR Data'!$I:$I,0)))</f>
        <v>Facility produces specialty and custom laboratory products.</v>
      </c>
      <c r="F210" s="9" t="str">
        <f>_xlfn.XLOOKUP(J210, 'Processed Non-zero DMR Data'!I:I, 'Processed Non-zero DMR Data'!B:B)</f>
        <v>AVANTOR PERFORMANCE MATERIALS</v>
      </c>
      <c r="G210" s="9" t="str">
        <f>_xlfn.XLOOKUP(J210, 'Processed Non-zero DMR Data'!I:I, 'Processed Non-zero DMR Data'!C:C)</f>
        <v>PHILLIPSBURG</v>
      </c>
      <c r="H210" s="9" t="str">
        <f>_xlfn.XLOOKUP(J210, 'Processed Non-zero DMR Data'!I:I, 'Processed Non-zero DMR Data'!E:E)</f>
        <v>NJ</v>
      </c>
      <c r="I210" s="12"/>
      <c r="J210" s="13">
        <v>110000322311</v>
      </c>
      <c r="K210" s="9" t="str">
        <f>IFERROR(INDEX('Raw Non-zero DMR Data'!$C:$C, MATCH(J210,'Raw Non-zero DMR Data'!$D:$D,0)),"")</f>
        <v>NJ0004006</v>
      </c>
      <c r="L210" s="9" t="str">
        <f>IFERROR(INDEX('Raw Non-zero DMR Data'!$U:$U, MATCH($J210,'Raw Non-zero DMR Data'!$D:$D,0)),"")</f>
        <v>Buckhorn Creek-Delaware River</v>
      </c>
      <c r="M210" s="155" t="str">
        <f>IFERROR(INDEX('Raw Non-zero DMR Data'!$T:$T, MATCH($J210,'Raw Non-zero DMR Data'!$D:$D,0)),"")</f>
        <v>020401050603</v>
      </c>
      <c r="N210" s="155" t="str">
        <f>IFERROR(INDEX('Off-site Locations'!$E:$E,MATCH(I210,'Off-site Locations'!$B:$B,0)),"No offsite transfers")</f>
        <v>No offsite transfers</v>
      </c>
      <c r="O210" s="165">
        <f>INDEX('TRI and DMR OES Summary'!D:D,MATCH('Facility Discharge Summary'!D210,'TRI and DMR OES Summary'!A:A,0))</f>
        <v>350</v>
      </c>
      <c r="P210" s="17" cm="1">
        <f t="array" ref="P210">IFERROR(_xlfn.XLOOKUP(1,  (MAX(IF(J210 = 'Processed Non-zero DMR Data'!$I$2:$I$651,'Processed Non-zero DMR Data'!$A$2:$A$651)) = 'Processed Non-zero DMR Data'!$A$2:$A$651)*('Processed Non-zero DMR Data'!$I$2:$I$651 = J210),'Processed Non-zero DMR Data'!$W$2:$W$651), "N/A- Facility Does Not Report DMRs")</f>
        <v>0.15440000000000001</v>
      </c>
      <c r="Q210" s="10">
        <f t="shared" si="63"/>
        <v>4.4114285714285718E-4</v>
      </c>
      <c r="R210" s="10" cm="1">
        <f t="array" ref="R210">IF(COUNTIF('Processed Non-zero DMR Data'!$I:$I,$J210)&gt;0,MEDIAN(IF('Processed Non-zero DMR Data'!$I:$I=J210,'Processed Non-zero DMR Data'!$W:$W)),"N/A - Facility Does Not Report DMRs")</f>
        <v>0.15440000000000001</v>
      </c>
      <c r="S210" s="10">
        <f t="shared" si="64"/>
        <v>4.4114285714285718E-4</v>
      </c>
      <c r="T210" s="10">
        <f>IF(COUNTIF('Processed Non-zero DMR Data'!$I:$I,$J210)&gt;0,_xlfn.MAXIFS('Processed Non-zero DMR Data'!$W:$W,'Processed Non-zero DMR Data'!$I:$I,$J210), "N/A - Facility Does Not Report DMRs")</f>
        <v>0.15440000000000001</v>
      </c>
      <c r="U210" s="10">
        <f t="shared" si="65"/>
        <v>4.4114285714285718E-4</v>
      </c>
      <c r="V210" s="158" cm="1">
        <f t="array" ref="V210">IF(COUNTIF('Processed Non-zero DMR Data'!$I:$I,$J210)&gt;0,INDEX('Processed Non-zero DMR Data'!$A:$A,MATCH(1,($J210='Processed Non-zero DMR Data'!$I:$I)*($T210='Processed Non-zero DMR Data'!$W:$W),0)), "N/A - Facility Does Not Report DMRs")</f>
        <v>2023</v>
      </c>
      <c r="W210" s="17" t="str" cm="1">
        <f t="array" ref="W210">IFERROR(_xlfn.XLOOKUP(1,  (MAX(IF(I210 = 'Processed Non-zero TRI Data'!$I$2:$I$6,'Processed Non-zero TRI Data'!$A$2:$A$6)) = 'Processed Non-zero TRI Data'!$A$2:$A$6)*('Processed Non-zero TRI Data'!$I$2:$I$6 = I210), 'Processed Non-zero TRI Data'!$T$2:$T$6), "N/A- Facility Does Not Report to TRI")</f>
        <v>N/A- Facility Does Not Report to TRI</v>
      </c>
      <c r="X210" s="10" t="str">
        <f t="shared" si="66"/>
        <v>N/A - Facility Does Not Report to TRI</v>
      </c>
      <c r="Y210" s="10" t="str" cm="1">
        <f t="array" ref="Y210">IF(COUNTIF('Processed Non-zero TRI Data'!$I:$I,$I210)&gt;0,MEDIAN(IF('Processed Non-zero TRI Data'!$I:$I=I210,'Processed Non-zero TRI Data'!$T:$T)), "N/A - Facility Does Not Report to TRI")</f>
        <v>N/A - Facility Does Not Report to TRI</v>
      </c>
      <c r="Z210" s="10" t="str">
        <f t="shared" si="67"/>
        <v>N/A - Facility Does Not Report to TRI</v>
      </c>
      <c r="AA210" s="10" t="str">
        <f>IF(COUNTIF('Processed Non-zero TRI Data'!$I:$I,$I210)&gt;0,_xlfn.MAXIFS('Processed Non-zero TRI Data'!$T:$T,'Processed Non-zero TRI Data'!$I:$I,$I210), "N/A - Facility Does Not Report to TRI")</f>
        <v>N/A - Facility Does Not Report to TRI</v>
      </c>
      <c r="AB210" s="10" t="str">
        <f t="shared" si="68"/>
        <v>N/A - Facility Does Not Report to TRI</v>
      </c>
      <c r="AC210" s="158" t="str" cm="1">
        <f t="array" ref="AC210">IFERROR(IF(B210 = "TRI Form R", IF(AA210 = 0, "Facility has no on-site water discharges between 2017-2022.",  IF(COUNTIF('Processed Non-zero TRI Data'!$I:$I,$I210)&gt;0,INDEX('Processed Non-zero TRI Data'!$A:$A,MATCH(1,($I210='Processed Non-zero TRI Data'!$I:$I)*(AA210='Processed Non-zero TRI Data'!$T:$T),0)))), VLOOKUP(I210,#REF!, 2, FALSE)), ("N/A - Facility Does Not Report to TRI"))</f>
        <v>N/A - Facility Does Not Report to TRI</v>
      </c>
      <c r="AD210" s="97" t="str" cm="1">
        <f t="array" ref="AD210">IFERROR(_xlfn.XLOOKUP(1,  (MAX(IF(I210 = 'Processed Non-zero TRI Data'!$I$2:$I$6,'Processed Non-zero TRI Data'!$A$2:$A$6)) = 'Processed Non-zero TRI Data'!$A$2:$A$6)*('Processed Non-zero TRI Data'!$I$2:$I$6 = I210), 'Processed Non-zero TRI Data'!$V$2:$V$6), "N/A- Facility Does Not Report to TRI")</f>
        <v>N/A- Facility Does Not Report to TRI</v>
      </c>
      <c r="AE210" s="9" t="str">
        <f t="shared" si="69"/>
        <v>N/A - Facility Does Not Report to TRI</v>
      </c>
      <c r="AF210" s="9" t="str" cm="1">
        <f t="array" ref="AF210">IF(COUNTIF('Processed Non-zero TRI Data'!$I:$I,$I210)&gt;0,MEDIAN(IF('Processed Non-zero TRI Data'!$I:$I=I210,'Processed Non-zero TRI Data'!$V:$V)), "N/A - Facility Does Not Report to TRI")</f>
        <v>N/A - Facility Does Not Report to TRI</v>
      </c>
      <c r="AG210" s="9" t="str">
        <f t="shared" si="70"/>
        <v>N/A - Facility Does Not Report to TRI</v>
      </c>
      <c r="AH210" s="9" t="str">
        <f>IF(COUNTIF('Processed Non-zero TRI Data'!$I:$I,$I210)&gt;0,_xlfn.MAXIFS('Processed Non-zero TRI Data'!$V:$V,'Processed Non-zero TRI Data'!$I:$I,$I210), "N/A - Facility Does Not Report to TRI")</f>
        <v>N/A - Facility Does Not Report to TRI</v>
      </c>
      <c r="AI210" s="9" t="str">
        <f t="shared" si="71"/>
        <v>N/A - Facility Does Not Report to TRI</v>
      </c>
      <c r="AJ210" s="158" t="str" cm="1">
        <f t="array" ref="AJ210">IF(B210="TRI Form A",AC210,IF(AH210=0,"Facility has no transfers to POTWs between 2019-2023.",IF(COUNTIF('Processed Non-zero TRI Data'!$I:$I,$I210)&gt;0,INDEX('Processed Non-zero TRI Data'!$A:$A,MATCH(1,($I210='Processed Non-zero TRI Data'!$I:$I)*(AH210='Processed Non-zero TRI Data'!$V:$V),0)),"N/A - Facility Does Not Report to TRI")))</f>
        <v>N/A - Facility Does Not Report to TRI</v>
      </c>
      <c r="AK210" s="97" t="str" cm="1">
        <f t="array" ref="AK210">IFERROR(_xlfn.XLOOKUP(1,  (MAX(IF(I210 = 'Processed Non-zero TRI Data'!$I$2:$I$6,'Processed Non-zero TRI Data'!$A$2:$A$6)) = 'Processed Non-zero TRI Data'!$A$2:$A$6)*('Processed Non-zero TRI Data'!$I$2:$I$6 = I210), 'Processed Non-zero TRI Data'!$X$2:$X$6), "N/A- Facility Does Not Report to TRI")</f>
        <v>N/A- Facility Does Not Report to TRI</v>
      </c>
      <c r="AL210" s="9" t="str">
        <f t="shared" si="72"/>
        <v>N/A - Facility Does Not Report to TRI</v>
      </c>
      <c r="AM210" s="9" t="str" cm="1">
        <f t="array" ref="AM210">IF(COUNTIF('Processed Non-zero TRI Data'!$I:$I,$I210)&gt;0,MEDIAN(IF('Processed Non-zero TRI Data'!$I:$I=I210,'Processed Non-zero TRI Data'!$X:$X)), "N/A - Facility Does Not Report to TRI")</f>
        <v>N/A - Facility Does Not Report to TRI</v>
      </c>
      <c r="AN210" s="9" t="str">
        <f t="shared" si="73"/>
        <v>N/A - Facility Does Not Report to TRI</v>
      </c>
      <c r="AO210" s="9" t="str">
        <f>IF(COUNTIF('Processed Non-zero TRI Data'!$I:$I,$I210)&gt;0,_xlfn.MAXIFS('Processed Non-zero TRI Data'!$X:$X,'Processed Non-zero TRI Data'!$I:$I,$I210), "N/A - Facility Does Not Report to TRI")</f>
        <v>N/A - Facility Does Not Report to TRI</v>
      </c>
      <c r="AP210" s="9" t="str">
        <f t="shared" si="74"/>
        <v>N/A - Facility Does Not Report to TRI</v>
      </c>
      <c r="AQ210" s="251" t="str" cm="1">
        <f t="array" ref="AQ210">IF(B210="TRI Form A",AC210,IF(AO210=0,"Facility has no transfers to non-POTWs between 2019-2023.",IF(COUNTIF('Processed Non-zero TRI Data'!$I:$I,$I210)&gt;0,INDEX('Processed Non-zero TRI Data'!$A:$A,MATCH(1,($I210='Processed Non-zero TRI Data'!$I:$I)*(AO210='Processed Non-zero TRI Data'!$X:$X),0)),"N/A - Facility Does Not Report to TRI")))</f>
        <v>N/A - Facility Does Not Report to TRI</v>
      </c>
      <c r="AR210" s="260">
        <f t="shared" si="75"/>
        <v>0</v>
      </c>
      <c r="AS210" s="260">
        <f t="shared" si="76"/>
        <v>0.15440000000000001</v>
      </c>
    </row>
    <row r="211" spans="1:45" ht="30" x14ac:dyDescent="0.25">
      <c r="A211" s="12">
        <v>208</v>
      </c>
      <c r="B211" s="10" t="str">
        <f>IFERROR("TRI Form "&amp; VLOOKUP(I211, 'Processed Non-zero TRI Data'!$I$2:$K$6, 3, FALSE), "DMR")</f>
        <v>DMR</v>
      </c>
      <c r="C211" s="181" t="e">
        <f>VLOOKUP(D211,#REF!, 2, FALSE)</f>
        <v>#REF!</v>
      </c>
      <c r="D211" s="181" t="str">
        <f>IF(I211&lt;&gt;"",INDEX('Processed Non-zero TRI Data'!$O:$O,MATCH(I211,'Processed Non-zero TRI Data'!$I:$I,0)),INDEX('Processed Non-zero DMR Data'!$S:$S,MATCH(J211,'Processed Non-zero DMR Data'!$I:$I,0)))</f>
        <v>Unknown</v>
      </c>
      <c r="E211" s="181" t="str">
        <f>IF(I211&lt;&gt;"",INDEX('Processed Non-zero TRI Data'!$P:$P,MATCH(I211,'Processed Non-zero TRI Data'!$I:$I,0)),INDEX('Processed Non-zero DMR Data'!$T:$T,MATCH(J211,'Processed Non-zero DMR Data'!$I:$I,0)))</f>
        <v>Mobile home complex; no OES to map to.</v>
      </c>
      <c r="F211" s="9" t="str">
        <f>_xlfn.XLOOKUP(J211, 'Processed Non-zero DMR Data'!I:I, 'Processed Non-zero DMR Data'!B:B)</f>
        <v>DATE GARDENS MOBILE HOME PARK</v>
      </c>
      <c r="G211" s="9" t="str">
        <f>_xlfn.XLOOKUP(J211, 'Processed Non-zero DMR Data'!I:I, 'Processed Non-zero DMR Data'!C:C)</f>
        <v>EL CENTRO</v>
      </c>
      <c r="H211" s="9" t="str">
        <f>_xlfn.XLOOKUP(J211, 'Processed Non-zero DMR Data'!I:I, 'Processed Non-zero DMR Data'!E:E)</f>
        <v>CA</v>
      </c>
      <c r="I211" s="12"/>
      <c r="J211" s="13">
        <v>110013128169</v>
      </c>
      <c r="K211" s="9" t="str">
        <f>IFERROR(INDEX('Raw Non-zero DMR Data'!$C:$C, MATCH(J211,'Raw Non-zero DMR Data'!$D:$D,0)),"")</f>
        <v>CA0104841</v>
      </c>
      <c r="L211" s="9" t="str">
        <f>IFERROR(INDEX('Raw Non-zero DMR Data'!$U:$U, MATCH($J211,'Raw Non-zero DMR Data'!$D:$D,0)),"")</f>
        <v>Upper New River</v>
      </c>
      <c r="M211" s="155">
        <f>IFERROR(INDEX('Raw Non-zero DMR Data'!$T:$T, MATCH($J211,'Raw Non-zero DMR Data'!$D:$D,0)),"")</f>
        <v>181002040902</v>
      </c>
      <c r="N211" s="155" t="str">
        <f>IFERROR(INDEX('Off-site Locations'!$E:$E,MATCH(I211,'Off-site Locations'!$B:$B,0)),"No offsite transfers")</f>
        <v>No offsite transfers</v>
      </c>
      <c r="O211" s="165">
        <f>INDEX('TRI and DMR OES Summary'!D:D,MATCH('Facility Discharge Summary'!D211,'TRI and DMR OES Summary'!A:A,0))</f>
        <v>250</v>
      </c>
      <c r="P211" s="17" cm="1">
        <f t="array" ref="P211">IFERROR(_xlfn.XLOOKUP(1,  (MAX(IF(J211 = 'Processed Non-zero DMR Data'!$I$2:$I$651,'Processed Non-zero DMR Data'!$A$2:$A$651)) = 'Processed Non-zero DMR Data'!$A$2:$A$651)*('Processed Non-zero DMR Data'!$I$2:$I$651 = J211),'Processed Non-zero DMR Data'!$W$2:$W$651), "N/A- Facility Does Not Report DMRs")</f>
        <v>2.0722875000000001E-3</v>
      </c>
      <c r="Q211" s="10">
        <f t="shared" si="63"/>
        <v>8.2891500000000001E-6</v>
      </c>
      <c r="R211" s="10" cm="1">
        <f t="array" ref="R211">IF(COUNTIF('Processed Non-zero DMR Data'!$I:$I,$J211)&gt;0,MEDIAN(IF('Processed Non-zero DMR Data'!$I:$I=J211,'Processed Non-zero DMR Data'!$W:$W)),"N/A - Facility Does Not Report DMRs")</f>
        <v>2.0722875000000001E-3</v>
      </c>
      <c r="S211" s="10">
        <f t="shared" si="64"/>
        <v>8.2891500000000001E-6</v>
      </c>
      <c r="T211" s="10">
        <f>IF(COUNTIF('Processed Non-zero DMR Data'!$I:$I,$J211)&gt;0,_xlfn.MAXIFS('Processed Non-zero DMR Data'!$W:$W,'Processed Non-zero DMR Data'!$I:$I,$J211), "N/A - Facility Does Not Report DMRs")</f>
        <v>2.0722875000000001E-3</v>
      </c>
      <c r="U211" s="10">
        <f t="shared" si="65"/>
        <v>8.2891500000000001E-6</v>
      </c>
      <c r="V211" s="158" cm="1">
        <f t="array" ref="V211">IF(COUNTIF('Processed Non-zero DMR Data'!$I:$I,$J211)&gt;0,INDEX('Processed Non-zero DMR Data'!$A:$A,MATCH(1,($J211='Processed Non-zero DMR Data'!$I:$I)*($T211='Processed Non-zero DMR Data'!$W:$W),0)), "N/A - Facility Does Not Report DMRs")</f>
        <v>2023</v>
      </c>
      <c r="W211" s="17" t="str" cm="1">
        <f t="array" ref="W211">IFERROR(_xlfn.XLOOKUP(1,  (MAX(IF(I211 = 'Processed Non-zero TRI Data'!$I$2:$I$6,'Processed Non-zero TRI Data'!$A$2:$A$6)) = 'Processed Non-zero TRI Data'!$A$2:$A$6)*('Processed Non-zero TRI Data'!$I$2:$I$6 = I211), 'Processed Non-zero TRI Data'!$T$2:$T$6), "N/A- Facility Does Not Report to TRI")</f>
        <v>N/A- Facility Does Not Report to TRI</v>
      </c>
      <c r="X211" s="10" t="str">
        <f t="shared" si="66"/>
        <v>N/A - Facility Does Not Report to TRI</v>
      </c>
      <c r="Y211" s="10" t="str" cm="1">
        <f t="array" ref="Y211">IF(COUNTIF('Processed Non-zero TRI Data'!$I:$I,$I211)&gt;0,MEDIAN(IF('Processed Non-zero TRI Data'!$I:$I=I211,'Processed Non-zero TRI Data'!$T:$T)), "N/A - Facility Does Not Report to TRI")</f>
        <v>N/A - Facility Does Not Report to TRI</v>
      </c>
      <c r="Z211" s="10" t="str">
        <f t="shared" si="67"/>
        <v>N/A - Facility Does Not Report to TRI</v>
      </c>
      <c r="AA211" s="10" t="str">
        <f>IF(COUNTIF('Processed Non-zero TRI Data'!$I:$I,$I211)&gt;0,_xlfn.MAXIFS('Processed Non-zero TRI Data'!$T:$T,'Processed Non-zero TRI Data'!$I:$I,$I211), "N/A - Facility Does Not Report to TRI")</f>
        <v>N/A - Facility Does Not Report to TRI</v>
      </c>
      <c r="AB211" s="10" t="str">
        <f t="shared" si="68"/>
        <v>N/A - Facility Does Not Report to TRI</v>
      </c>
      <c r="AC211" s="158" t="str" cm="1">
        <f t="array" ref="AC211">IFERROR(IF(B211 = "TRI Form R", IF(AA211 = 0, "Facility has no on-site water discharges between 2017-2022.",  IF(COUNTIF('Processed Non-zero TRI Data'!$I:$I,$I211)&gt;0,INDEX('Processed Non-zero TRI Data'!$A:$A,MATCH(1,($I211='Processed Non-zero TRI Data'!$I:$I)*(AA211='Processed Non-zero TRI Data'!$T:$T),0)))), VLOOKUP(I211,#REF!, 2, FALSE)), ("N/A - Facility Does Not Report to TRI"))</f>
        <v>N/A - Facility Does Not Report to TRI</v>
      </c>
      <c r="AD211" s="97" t="str" cm="1">
        <f t="array" ref="AD211">IFERROR(_xlfn.XLOOKUP(1,  (MAX(IF(I211 = 'Processed Non-zero TRI Data'!$I$2:$I$6,'Processed Non-zero TRI Data'!$A$2:$A$6)) = 'Processed Non-zero TRI Data'!$A$2:$A$6)*('Processed Non-zero TRI Data'!$I$2:$I$6 = I211), 'Processed Non-zero TRI Data'!$V$2:$V$6), "N/A- Facility Does Not Report to TRI")</f>
        <v>N/A- Facility Does Not Report to TRI</v>
      </c>
      <c r="AE211" s="9" t="str">
        <f t="shared" si="69"/>
        <v>N/A - Facility Does Not Report to TRI</v>
      </c>
      <c r="AF211" s="9" t="str" cm="1">
        <f t="array" ref="AF211">IF(COUNTIF('Processed Non-zero TRI Data'!$I:$I,$I211)&gt;0,MEDIAN(IF('Processed Non-zero TRI Data'!$I:$I=I211,'Processed Non-zero TRI Data'!$V:$V)), "N/A - Facility Does Not Report to TRI")</f>
        <v>N/A - Facility Does Not Report to TRI</v>
      </c>
      <c r="AG211" s="9" t="str">
        <f t="shared" si="70"/>
        <v>N/A - Facility Does Not Report to TRI</v>
      </c>
      <c r="AH211" s="9" t="str">
        <f>IF(COUNTIF('Processed Non-zero TRI Data'!$I:$I,$I211)&gt;0,_xlfn.MAXIFS('Processed Non-zero TRI Data'!$V:$V,'Processed Non-zero TRI Data'!$I:$I,$I211), "N/A - Facility Does Not Report to TRI")</f>
        <v>N/A - Facility Does Not Report to TRI</v>
      </c>
      <c r="AI211" s="9" t="str">
        <f t="shared" si="71"/>
        <v>N/A - Facility Does Not Report to TRI</v>
      </c>
      <c r="AJ211" s="158" t="str" cm="1">
        <f t="array" ref="AJ211">IF(B211="TRI Form A",AC211,IF(AH211=0,"Facility has no transfers to POTWs between 2019-2023.",IF(COUNTIF('Processed Non-zero TRI Data'!$I:$I,$I211)&gt;0,INDEX('Processed Non-zero TRI Data'!$A:$A,MATCH(1,($I211='Processed Non-zero TRI Data'!$I:$I)*(AH211='Processed Non-zero TRI Data'!$V:$V),0)),"N/A - Facility Does Not Report to TRI")))</f>
        <v>N/A - Facility Does Not Report to TRI</v>
      </c>
      <c r="AK211" s="97" t="str" cm="1">
        <f t="array" ref="AK211">IFERROR(_xlfn.XLOOKUP(1,  (MAX(IF(I211 = 'Processed Non-zero TRI Data'!$I$2:$I$6,'Processed Non-zero TRI Data'!$A$2:$A$6)) = 'Processed Non-zero TRI Data'!$A$2:$A$6)*('Processed Non-zero TRI Data'!$I$2:$I$6 = I211), 'Processed Non-zero TRI Data'!$X$2:$X$6), "N/A- Facility Does Not Report to TRI")</f>
        <v>N/A- Facility Does Not Report to TRI</v>
      </c>
      <c r="AL211" s="9" t="str">
        <f t="shared" si="72"/>
        <v>N/A - Facility Does Not Report to TRI</v>
      </c>
      <c r="AM211" s="9" t="str" cm="1">
        <f t="array" ref="AM211">IF(COUNTIF('Processed Non-zero TRI Data'!$I:$I,$I211)&gt;0,MEDIAN(IF('Processed Non-zero TRI Data'!$I:$I=I211,'Processed Non-zero TRI Data'!$X:$X)), "N/A - Facility Does Not Report to TRI")</f>
        <v>N/A - Facility Does Not Report to TRI</v>
      </c>
      <c r="AN211" s="9" t="str">
        <f t="shared" si="73"/>
        <v>N/A - Facility Does Not Report to TRI</v>
      </c>
      <c r="AO211" s="9" t="str">
        <f>IF(COUNTIF('Processed Non-zero TRI Data'!$I:$I,$I211)&gt;0,_xlfn.MAXIFS('Processed Non-zero TRI Data'!$X:$X,'Processed Non-zero TRI Data'!$I:$I,$I211), "N/A - Facility Does Not Report to TRI")</f>
        <v>N/A - Facility Does Not Report to TRI</v>
      </c>
      <c r="AP211" s="9" t="str">
        <f t="shared" si="74"/>
        <v>N/A - Facility Does Not Report to TRI</v>
      </c>
      <c r="AQ211" s="251" t="str" cm="1">
        <f t="array" ref="AQ211">IF(B211="TRI Form A",AC211,IF(AO211=0,"Facility has no transfers to non-POTWs between 2019-2023.",IF(COUNTIF('Processed Non-zero TRI Data'!$I:$I,$I211)&gt;0,INDEX('Processed Non-zero TRI Data'!$A:$A,MATCH(1,($I211='Processed Non-zero TRI Data'!$I:$I)*(AO211='Processed Non-zero TRI Data'!$X:$X),0)),"N/A - Facility Does Not Report to TRI")))</f>
        <v>N/A - Facility Does Not Report to TRI</v>
      </c>
      <c r="AR211" s="260">
        <f t="shared" si="75"/>
        <v>0</v>
      </c>
      <c r="AS211" s="260">
        <f t="shared" si="76"/>
        <v>2.0722875000000001E-3</v>
      </c>
    </row>
    <row r="212" spans="1:45" ht="30" x14ac:dyDescent="0.25">
      <c r="A212" s="12">
        <v>209</v>
      </c>
      <c r="B212" s="10" t="str">
        <f>IFERROR("TRI Form "&amp; VLOOKUP(I212, 'Processed Non-zero TRI Data'!$I$2:$K$6, 3, FALSE), "DMR")</f>
        <v>DMR</v>
      </c>
      <c r="C212" s="181" t="e">
        <f>VLOOKUP(D212,#REF!, 2, FALSE)</f>
        <v>#REF!</v>
      </c>
      <c r="D212" s="181" t="str">
        <f>IF(I212&lt;&gt;"",INDEX('Processed Non-zero TRI Data'!$O:$O,MATCH(I212,'Processed Non-zero TRI Data'!$I:$I,0)),INDEX('Processed Non-zero DMR Data'!$S:$S,MATCH(J212,'Processed Non-zero DMR Data'!$I:$I,0)))</f>
        <v>Waste Handling, Disposal and Treatment (POTW)</v>
      </c>
      <c r="E212" s="181" t="str">
        <f>IF(I212&lt;&gt;"",INDEX('Processed Non-zero TRI Data'!$P:$P,MATCH(I212,'Processed Non-zero TRI Data'!$I:$I,0)),INDEX('Processed Non-zero DMR Data'!$T:$T,MATCH(J212,'Processed Non-zero DMR Data'!$I:$I,0)))</f>
        <v>POTW indicator in DMR</v>
      </c>
      <c r="F212" s="9" t="str">
        <f>_xlfn.XLOOKUP(J212, 'Processed Non-zero DMR Data'!I:I, 'Processed Non-zero DMR Data'!B:B)</f>
        <v>STRODES CREEK STP</v>
      </c>
      <c r="G212" s="9" t="str">
        <f>_xlfn.XLOOKUP(J212, 'Processed Non-zero DMR Data'!I:I, 'Processed Non-zero DMR Data'!C:C)</f>
        <v>WINCHESTER</v>
      </c>
      <c r="H212" s="9" t="str">
        <f>_xlfn.XLOOKUP(J212, 'Processed Non-zero DMR Data'!I:I, 'Processed Non-zero DMR Data'!E:E)</f>
        <v>KY</v>
      </c>
      <c r="I212" s="12"/>
      <c r="J212" s="13">
        <v>110000542896</v>
      </c>
      <c r="K212" s="9" t="str">
        <f>IFERROR(INDEX('Raw Non-zero DMR Data'!$C:$C, MATCH(J212,'Raw Non-zero DMR Data'!$D:$D,0)),"")</f>
        <v>KY0037991</v>
      </c>
      <c r="L212" s="9" t="str">
        <f>IFERROR(INDEX('Raw Non-zero DMR Data'!$U:$U, MATCH($J212,'Raw Non-zero DMR Data'!$D:$D,0)),"")</f>
        <v>Hancock Creek-Strodes Creek</v>
      </c>
      <c r="M212" s="155" t="str">
        <f>IFERROR(INDEX('Raw Non-zero DMR Data'!$T:$T, MATCH($J212,'Raw Non-zero DMR Data'!$D:$D,0)),"")</f>
        <v>051001020101</v>
      </c>
      <c r="N212" s="155" t="str">
        <f>IFERROR(INDEX('Off-site Locations'!$E:$E,MATCH(I212,'Off-site Locations'!$B:$B,0)),"No offsite transfers")</f>
        <v>No offsite transfers</v>
      </c>
      <c r="O212" s="165">
        <f>INDEX('TRI and DMR OES Summary'!D:D,MATCH('Facility Discharge Summary'!D212,'TRI and DMR OES Summary'!A:A,0))</f>
        <v>365</v>
      </c>
      <c r="P212" s="17" cm="1">
        <f t="array" ref="P212">IFERROR(_xlfn.XLOOKUP(1,  (MAX(IF(J212 = 'Processed Non-zero DMR Data'!$I$2:$I$651,'Processed Non-zero DMR Data'!$A$2:$A$651)) = 'Processed Non-zero DMR Data'!$A$2:$A$651)*('Processed Non-zero DMR Data'!$I$2:$I$651 = J212),'Processed Non-zero DMR Data'!$W$2:$W$651), "N/A- Facility Does Not Report DMRs")</f>
        <v>0.55833642112500004</v>
      </c>
      <c r="Q212" s="10">
        <f t="shared" si="63"/>
        <v>1.5296888250000001E-3</v>
      </c>
      <c r="R212" s="10" cm="1">
        <f t="array" ref="R212">IF(COUNTIF('Processed Non-zero DMR Data'!$I:$I,$J212)&gt;0,MEDIAN(IF('Processed Non-zero DMR Data'!$I:$I=J212,'Processed Non-zero DMR Data'!$W:$W)),"N/A - Facility Does Not Report DMRs")</f>
        <v>0.55833642112500004</v>
      </c>
      <c r="S212" s="10">
        <f t="shared" si="64"/>
        <v>1.5296888250000001E-3</v>
      </c>
      <c r="T212" s="10">
        <f>IF(COUNTIF('Processed Non-zero DMR Data'!$I:$I,$J212)&gt;0,_xlfn.MAXIFS('Processed Non-zero DMR Data'!$W:$W,'Processed Non-zero DMR Data'!$I:$I,$J212), "N/A - Facility Does Not Report DMRs")</f>
        <v>0.55833642112500004</v>
      </c>
      <c r="U212" s="10">
        <f t="shared" si="65"/>
        <v>1.5296888250000001E-3</v>
      </c>
      <c r="V212" s="158" cm="1">
        <f t="array" ref="V212">IF(COUNTIF('Processed Non-zero DMR Data'!$I:$I,$J212)&gt;0,INDEX('Processed Non-zero DMR Data'!$A:$A,MATCH(1,($J212='Processed Non-zero DMR Data'!$I:$I)*($T212='Processed Non-zero DMR Data'!$W:$W),0)), "N/A - Facility Does Not Report DMRs")</f>
        <v>2023</v>
      </c>
      <c r="W212" s="17" t="str" cm="1">
        <f t="array" ref="W212">IFERROR(_xlfn.XLOOKUP(1,  (MAX(IF(I212 = 'Processed Non-zero TRI Data'!$I$2:$I$6,'Processed Non-zero TRI Data'!$A$2:$A$6)) = 'Processed Non-zero TRI Data'!$A$2:$A$6)*('Processed Non-zero TRI Data'!$I$2:$I$6 = I212), 'Processed Non-zero TRI Data'!$T$2:$T$6), "N/A- Facility Does Not Report to TRI")</f>
        <v>N/A- Facility Does Not Report to TRI</v>
      </c>
      <c r="X212" s="10" t="str">
        <f t="shared" si="66"/>
        <v>N/A - Facility Does Not Report to TRI</v>
      </c>
      <c r="Y212" s="10" t="str" cm="1">
        <f t="array" ref="Y212">IF(COUNTIF('Processed Non-zero TRI Data'!$I:$I,$I212)&gt;0,MEDIAN(IF('Processed Non-zero TRI Data'!$I:$I=I212,'Processed Non-zero TRI Data'!$T:$T)), "N/A - Facility Does Not Report to TRI")</f>
        <v>N/A - Facility Does Not Report to TRI</v>
      </c>
      <c r="Z212" s="10" t="str">
        <f t="shared" si="67"/>
        <v>N/A - Facility Does Not Report to TRI</v>
      </c>
      <c r="AA212" s="10" t="str">
        <f>IF(COUNTIF('Processed Non-zero TRI Data'!$I:$I,$I212)&gt;0,_xlfn.MAXIFS('Processed Non-zero TRI Data'!$T:$T,'Processed Non-zero TRI Data'!$I:$I,$I212), "N/A - Facility Does Not Report to TRI")</f>
        <v>N/A - Facility Does Not Report to TRI</v>
      </c>
      <c r="AB212" s="10" t="str">
        <f t="shared" si="68"/>
        <v>N/A - Facility Does Not Report to TRI</v>
      </c>
      <c r="AC212" s="158" t="str" cm="1">
        <f t="array" ref="AC212">IFERROR(IF(B212 = "TRI Form R", IF(AA212 = 0, "Facility has no on-site water discharges between 2017-2022.",  IF(COUNTIF('Processed Non-zero TRI Data'!$I:$I,$I212)&gt;0,INDEX('Processed Non-zero TRI Data'!$A:$A,MATCH(1,($I212='Processed Non-zero TRI Data'!$I:$I)*(AA212='Processed Non-zero TRI Data'!$T:$T),0)))), VLOOKUP(I212,#REF!, 2, FALSE)), ("N/A - Facility Does Not Report to TRI"))</f>
        <v>N/A - Facility Does Not Report to TRI</v>
      </c>
      <c r="AD212" s="97" t="str" cm="1">
        <f t="array" ref="AD212">IFERROR(_xlfn.XLOOKUP(1,  (MAX(IF(I212 = 'Processed Non-zero TRI Data'!$I$2:$I$6,'Processed Non-zero TRI Data'!$A$2:$A$6)) = 'Processed Non-zero TRI Data'!$A$2:$A$6)*('Processed Non-zero TRI Data'!$I$2:$I$6 = I212), 'Processed Non-zero TRI Data'!$V$2:$V$6), "N/A- Facility Does Not Report to TRI")</f>
        <v>N/A- Facility Does Not Report to TRI</v>
      </c>
      <c r="AE212" s="9" t="str">
        <f t="shared" si="69"/>
        <v>N/A - Facility Does Not Report to TRI</v>
      </c>
      <c r="AF212" s="9" t="str" cm="1">
        <f t="array" ref="AF212">IF(COUNTIF('Processed Non-zero TRI Data'!$I:$I,$I212)&gt;0,MEDIAN(IF('Processed Non-zero TRI Data'!$I:$I=I212,'Processed Non-zero TRI Data'!$V:$V)), "N/A - Facility Does Not Report to TRI")</f>
        <v>N/A - Facility Does Not Report to TRI</v>
      </c>
      <c r="AG212" s="9" t="str">
        <f t="shared" si="70"/>
        <v>N/A - Facility Does Not Report to TRI</v>
      </c>
      <c r="AH212" s="9" t="str">
        <f>IF(COUNTIF('Processed Non-zero TRI Data'!$I:$I,$I212)&gt;0,_xlfn.MAXIFS('Processed Non-zero TRI Data'!$V:$V,'Processed Non-zero TRI Data'!$I:$I,$I212), "N/A - Facility Does Not Report to TRI")</f>
        <v>N/A - Facility Does Not Report to TRI</v>
      </c>
      <c r="AI212" s="9" t="str">
        <f t="shared" si="71"/>
        <v>N/A - Facility Does Not Report to TRI</v>
      </c>
      <c r="AJ212" s="158" t="str" cm="1">
        <f t="array" ref="AJ212">IF(B212="TRI Form A",AC212,IF(AH212=0,"Facility has no transfers to POTWs between 2019-2023.",IF(COUNTIF('Processed Non-zero TRI Data'!$I:$I,$I212)&gt;0,INDEX('Processed Non-zero TRI Data'!$A:$A,MATCH(1,($I212='Processed Non-zero TRI Data'!$I:$I)*(AH212='Processed Non-zero TRI Data'!$V:$V),0)),"N/A - Facility Does Not Report to TRI")))</f>
        <v>N/A - Facility Does Not Report to TRI</v>
      </c>
      <c r="AK212" s="97" t="str" cm="1">
        <f t="array" ref="AK212">IFERROR(_xlfn.XLOOKUP(1,  (MAX(IF(I212 = 'Processed Non-zero TRI Data'!$I$2:$I$6,'Processed Non-zero TRI Data'!$A$2:$A$6)) = 'Processed Non-zero TRI Data'!$A$2:$A$6)*('Processed Non-zero TRI Data'!$I$2:$I$6 = I212), 'Processed Non-zero TRI Data'!$X$2:$X$6), "N/A- Facility Does Not Report to TRI")</f>
        <v>N/A- Facility Does Not Report to TRI</v>
      </c>
      <c r="AL212" s="9" t="str">
        <f t="shared" si="72"/>
        <v>N/A - Facility Does Not Report to TRI</v>
      </c>
      <c r="AM212" s="9" t="str" cm="1">
        <f t="array" ref="AM212">IF(COUNTIF('Processed Non-zero TRI Data'!$I:$I,$I212)&gt;0,MEDIAN(IF('Processed Non-zero TRI Data'!$I:$I=I212,'Processed Non-zero TRI Data'!$X:$X)), "N/A - Facility Does Not Report to TRI")</f>
        <v>N/A - Facility Does Not Report to TRI</v>
      </c>
      <c r="AN212" s="9" t="str">
        <f t="shared" si="73"/>
        <v>N/A - Facility Does Not Report to TRI</v>
      </c>
      <c r="AO212" s="9" t="str">
        <f>IF(COUNTIF('Processed Non-zero TRI Data'!$I:$I,$I212)&gt;0,_xlfn.MAXIFS('Processed Non-zero TRI Data'!$X:$X,'Processed Non-zero TRI Data'!$I:$I,$I212), "N/A - Facility Does Not Report to TRI")</f>
        <v>N/A - Facility Does Not Report to TRI</v>
      </c>
      <c r="AP212" s="9" t="str">
        <f t="shared" si="74"/>
        <v>N/A - Facility Does Not Report to TRI</v>
      </c>
      <c r="AQ212" s="251" t="str" cm="1">
        <f t="array" ref="AQ212">IF(B212="TRI Form A",AC212,IF(AO212=0,"Facility has no transfers to non-POTWs between 2019-2023.",IF(COUNTIF('Processed Non-zero TRI Data'!$I:$I,$I212)&gt;0,INDEX('Processed Non-zero TRI Data'!$A:$A,MATCH(1,($I212='Processed Non-zero TRI Data'!$I:$I)*(AO212='Processed Non-zero TRI Data'!$X:$X),0)),"N/A - Facility Does Not Report to TRI")))</f>
        <v>N/A - Facility Does Not Report to TRI</v>
      </c>
      <c r="AR212" s="260">
        <f t="shared" si="75"/>
        <v>0</v>
      </c>
      <c r="AS212" s="260">
        <f t="shared" si="76"/>
        <v>0.55833642112500004</v>
      </c>
    </row>
    <row r="213" spans="1:45" ht="30" x14ac:dyDescent="0.25">
      <c r="A213" s="12">
        <v>210</v>
      </c>
      <c r="B213" s="10" t="str">
        <f>IFERROR("TRI Form "&amp; VLOOKUP(I213, 'Processed Non-zero TRI Data'!$I$2:$K$6, 3, FALSE), "DMR")</f>
        <v>DMR</v>
      </c>
      <c r="C213" s="181" t="e">
        <f>VLOOKUP(D213,#REF!, 2, FALSE)</f>
        <v>#REF!</v>
      </c>
      <c r="D213" s="181" t="str">
        <f>IF(I213&lt;&gt;"",INDEX('Processed Non-zero TRI Data'!$O:$O,MATCH(I213,'Processed Non-zero TRI Data'!$I:$I,0)),INDEX('Processed Non-zero DMR Data'!$S:$S,MATCH(J213,'Processed Non-zero DMR Data'!$I:$I,0)))</f>
        <v>Unknown</v>
      </c>
      <c r="E213" s="181" t="str">
        <f>IF(I213&lt;&gt;"",INDEX('Processed Non-zero TRI Data'!$P:$P,MATCH(I213,'Processed Non-zero TRI Data'!$I:$I,0)),INDEX('Processed Non-zero DMR Data'!$T:$T,MATCH(J213,'Processed Non-zero DMR Data'!$I:$I,0)))</f>
        <v>Facility is a hotel in Las Vegas; no OES to map to.</v>
      </c>
      <c r="F213" s="9" t="str">
        <f>_xlfn.XLOOKUP(J213, 'Processed Non-zero DMR Data'!I:I, 'Processed Non-zero DMR Data'!B:B)</f>
        <v>GOLDEN NUGGET</v>
      </c>
      <c r="G213" s="9" t="str">
        <f>_xlfn.XLOOKUP(J213, 'Processed Non-zero DMR Data'!I:I, 'Processed Non-zero DMR Data'!C:C)</f>
        <v>LAS VEGAS</v>
      </c>
      <c r="H213" s="9" t="str">
        <f>_xlfn.XLOOKUP(J213, 'Processed Non-zero DMR Data'!I:I, 'Processed Non-zero DMR Data'!E:E)</f>
        <v>NV</v>
      </c>
      <c r="I213" s="12"/>
      <c r="J213" s="13">
        <v>110004300596</v>
      </c>
      <c r="K213" s="9" t="str">
        <f>IFERROR(INDEX('Raw Non-zero DMR Data'!$C:$C, MATCH(J213,'Raw Non-zero DMR Data'!$D:$D,0)),"")</f>
        <v>NV0022993</v>
      </c>
      <c r="L213" s="9" t="str">
        <f>IFERROR(INDEX('Raw Non-zero DMR Data'!$U:$U, MATCH($J213,'Raw Non-zero DMR Data'!$D:$D,0)),"")</f>
        <v>City of Las Vegas-Las Vegas Wash</v>
      </c>
      <c r="M213" s="155">
        <f>IFERROR(INDEX('Raw Non-zero DMR Data'!$T:$T, MATCH($J213,'Raw Non-zero DMR Data'!$D:$D,0)),"")</f>
        <v>150100150604</v>
      </c>
      <c r="N213" s="155" t="str">
        <f>IFERROR(INDEX('Off-site Locations'!$E:$E,MATCH(I213,'Off-site Locations'!$B:$B,0)),"No offsite transfers")</f>
        <v>No offsite transfers</v>
      </c>
      <c r="O213" s="165">
        <f>INDEX('TRI and DMR OES Summary'!D:D,MATCH('Facility Discharge Summary'!D213,'TRI and DMR OES Summary'!A:A,0))</f>
        <v>250</v>
      </c>
      <c r="P213" s="17" cm="1">
        <f t="array" ref="P213">IFERROR(_xlfn.XLOOKUP(1,  (MAX(IF(J213 = 'Processed Non-zero DMR Data'!$I$2:$I$651,'Processed Non-zero DMR Data'!$A$2:$A$651)) = 'Processed Non-zero DMR Data'!$A$2:$A$651)*('Processed Non-zero DMR Data'!$I$2:$I$651 = J213),'Processed Non-zero DMR Data'!$W$2:$W$651), "N/A- Facility Does Not Report DMRs")</f>
        <v>2.2898776875000001E-3</v>
      </c>
      <c r="Q213" s="10">
        <f t="shared" si="63"/>
        <v>9.1595107500000004E-6</v>
      </c>
      <c r="R213" s="10" cm="1">
        <f t="array" ref="R213">IF(COUNTIF('Processed Non-zero DMR Data'!$I:$I,$J213)&gt;0,MEDIAN(IF('Processed Non-zero DMR Data'!$I:$I=J213,'Processed Non-zero DMR Data'!$W:$W)),"N/A - Facility Does Not Report DMRs")</f>
        <v>2.2898776875000001E-3</v>
      </c>
      <c r="S213" s="10">
        <f t="shared" si="64"/>
        <v>9.1595107500000004E-6</v>
      </c>
      <c r="T213" s="10">
        <f>IF(COUNTIF('Processed Non-zero DMR Data'!$I:$I,$J213)&gt;0,_xlfn.MAXIFS('Processed Non-zero DMR Data'!$W:$W,'Processed Non-zero DMR Data'!$I:$I,$J213), "N/A - Facility Does Not Report DMRs")</f>
        <v>2.2898776875000001E-3</v>
      </c>
      <c r="U213" s="10">
        <f t="shared" si="65"/>
        <v>9.1595107500000004E-6</v>
      </c>
      <c r="V213" s="158" cm="1">
        <f t="array" ref="V213">IF(COUNTIF('Processed Non-zero DMR Data'!$I:$I,$J213)&gt;0,INDEX('Processed Non-zero DMR Data'!$A:$A,MATCH(1,($J213='Processed Non-zero DMR Data'!$I:$I)*($T213='Processed Non-zero DMR Data'!$W:$W),0)), "N/A - Facility Does Not Report DMRs")</f>
        <v>2023</v>
      </c>
      <c r="W213" s="17" t="str" cm="1">
        <f t="array" ref="W213">IFERROR(_xlfn.XLOOKUP(1,  (MAX(IF(I213 = 'Processed Non-zero TRI Data'!$I$2:$I$6,'Processed Non-zero TRI Data'!$A$2:$A$6)) = 'Processed Non-zero TRI Data'!$A$2:$A$6)*('Processed Non-zero TRI Data'!$I$2:$I$6 = I213), 'Processed Non-zero TRI Data'!$T$2:$T$6), "N/A- Facility Does Not Report to TRI")</f>
        <v>N/A- Facility Does Not Report to TRI</v>
      </c>
      <c r="X213" s="10" t="str">
        <f t="shared" si="66"/>
        <v>N/A - Facility Does Not Report to TRI</v>
      </c>
      <c r="Y213" s="10" t="str" cm="1">
        <f t="array" ref="Y213">IF(COUNTIF('Processed Non-zero TRI Data'!$I:$I,$I213)&gt;0,MEDIAN(IF('Processed Non-zero TRI Data'!$I:$I=I213,'Processed Non-zero TRI Data'!$T:$T)), "N/A - Facility Does Not Report to TRI")</f>
        <v>N/A - Facility Does Not Report to TRI</v>
      </c>
      <c r="Z213" s="10" t="str">
        <f t="shared" si="67"/>
        <v>N/A - Facility Does Not Report to TRI</v>
      </c>
      <c r="AA213" s="10" t="str">
        <f>IF(COUNTIF('Processed Non-zero TRI Data'!$I:$I,$I213)&gt;0,_xlfn.MAXIFS('Processed Non-zero TRI Data'!$T:$T,'Processed Non-zero TRI Data'!$I:$I,$I213), "N/A - Facility Does Not Report to TRI")</f>
        <v>N/A - Facility Does Not Report to TRI</v>
      </c>
      <c r="AB213" s="10" t="str">
        <f t="shared" si="68"/>
        <v>N/A - Facility Does Not Report to TRI</v>
      </c>
      <c r="AC213" s="158" t="str" cm="1">
        <f t="array" ref="AC213">IFERROR(IF(B213 = "TRI Form R", IF(AA213 = 0, "Facility has no on-site water discharges between 2017-2022.",  IF(COUNTIF('Processed Non-zero TRI Data'!$I:$I,$I213)&gt;0,INDEX('Processed Non-zero TRI Data'!$A:$A,MATCH(1,($I213='Processed Non-zero TRI Data'!$I:$I)*(AA213='Processed Non-zero TRI Data'!$T:$T),0)))), VLOOKUP(I213,#REF!, 2, FALSE)), ("N/A - Facility Does Not Report to TRI"))</f>
        <v>N/A - Facility Does Not Report to TRI</v>
      </c>
      <c r="AD213" s="97" t="str" cm="1">
        <f t="array" ref="AD213">IFERROR(_xlfn.XLOOKUP(1,  (MAX(IF(I213 = 'Processed Non-zero TRI Data'!$I$2:$I$6,'Processed Non-zero TRI Data'!$A$2:$A$6)) = 'Processed Non-zero TRI Data'!$A$2:$A$6)*('Processed Non-zero TRI Data'!$I$2:$I$6 = I213), 'Processed Non-zero TRI Data'!$V$2:$V$6), "N/A- Facility Does Not Report to TRI")</f>
        <v>N/A- Facility Does Not Report to TRI</v>
      </c>
      <c r="AE213" s="9" t="str">
        <f t="shared" si="69"/>
        <v>N/A - Facility Does Not Report to TRI</v>
      </c>
      <c r="AF213" s="9" t="str" cm="1">
        <f t="array" ref="AF213">IF(COUNTIF('Processed Non-zero TRI Data'!$I:$I,$I213)&gt;0,MEDIAN(IF('Processed Non-zero TRI Data'!$I:$I=I213,'Processed Non-zero TRI Data'!$V:$V)), "N/A - Facility Does Not Report to TRI")</f>
        <v>N/A - Facility Does Not Report to TRI</v>
      </c>
      <c r="AG213" s="9" t="str">
        <f t="shared" si="70"/>
        <v>N/A - Facility Does Not Report to TRI</v>
      </c>
      <c r="AH213" s="9" t="str">
        <f>IF(COUNTIF('Processed Non-zero TRI Data'!$I:$I,$I213)&gt;0,_xlfn.MAXIFS('Processed Non-zero TRI Data'!$V:$V,'Processed Non-zero TRI Data'!$I:$I,$I213), "N/A - Facility Does Not Report to TRI")</f>
        <v>N/A - Facility Does Not Report to TRI</v>
      </c>
      <c r="AI213" s="9" t="str">
        <f t="shared" si="71"/>
        <v>N/A - Facility Does Not Report to TRI</v>
      </c>
      <c r="AJ213" s="158" t="str" cm="1">
        <f t="array" ref="AJ213">IF(B213="TRI Form A",AC213,IF(AH213=0,"Facility has no transfers to POTWs between 2019-2023.",IF(COUNTIF('Processed Non-zero TRI Data'!$I:$I,$I213)&gt;0,INDEX('Processed Non-zero TRI Data'!$A:$A,MATCH(1,($I213='Processed Non-zero TRI Data'!$I:$I)*(AH213='Processed Non-zero TRI Data'!$V:$V),0)),"N/A - Facility Does Not Report to TRI")))</f>
        <v>N/A - Facility Does Not Report to TRI</v>
      </c>
      <c r="AK213" s="97" t="str" cm="1">
        <f t="array" ref="AK213">IFERROR(_xlfn.XLOOKUP(1,  (MAX(IF(I213 = 'Processed Non-zero TRI Data'!$I$2:$I$6,'Processed Non-zero TRI Data'!$A$2:$A$6)) = 'Processed Non-zero TRI Data'!$A$2:$A$6)*('Processed Non-zero TRI Data'!$I$2:$I$6 = I213), 'Processed Non-zero TRI Data'!$X$2:$X$6), "N/A- Facility Does Not Report to TRI")</f>
        <v>N/A- Facility Does Not Report to TRI</v>
      </c>
      <c r="AL213" s="9" t="str">
        <f t="shared" si="72"/>
        <v>N/A - Facility Does Not Report to TRI</v>
      </c>
      <c r="AM213" s="9" t="str" cm="1">
        <f t="array" ref="AM213">IF(COUNTIF('Processed Non-zero TRI Data'!$I:$I,$I213)&gt;0,MEDIAN(IF('Processed Non-zero TRI Data'!$I:$I=I213,'Processed Non-zero TRI Data'!$X:$X)), "N/A - Facility Does Not Report to TRI")</f>
        <v>N/A - Facility Does Not Report to TRI</v>
      </c>
      <c r="AN213" s="9" t="str">
        <f t="shared" si="73"/>
        <v>N/A - Facility Does Not Report to TRI</v>
      </c>
      <c r="AO213" s="9" t="str">
        <f>IF(COUNTIF('Processed Non-zero TRI Data'!$I:$I,$I213)&gt;0,_xlfn.MAXIFS('Processed Non-zero TRI Data'!$X:$X,'Processed Non-zero TRI Data'!$I:$I,$I213), "N/A - Facility Does Not Report to TRI")</f>
        <v>N/A - Facility Does Not Report to TRI</v>
      </c>
      <c r="AP213" s="9" t="str">
        <f t="shared" si="74"/>
        <v>N/A - Facility Does Not Report to TRI</v>
      </c>
      <c r="AQ213" s="251" t="str" cm="1">
        <f t="array" ref="AQ213">IF(B213="TRI Form A",AC213,IF(AO213=0,"Facility has no transfers to non-POTWs between 2019-2023.",IF(COUNTIF('Processed Non-zero TRI Data'!$I:$I,$I213)&gt;0,INDEX('Processed Non-zero TRI Data'!$A:$A,MATCH(1,($I213='Processed Non-zero TRI Data'!$I:$I)*(AO213='Processed Non-zero TRI Data'!$X:$X),0)),"N/A - Facility Does Not Report to TRI")))</f>
        <v>N/A - Facility Does Not Report to TRI</v>
      </c>
      <c r="AR213" s="260">
        <f t="shared" si="75"/>
        <v>0</v>
      </c>
      <c r="AS213" s="260">
        <f t="shared" si="76"/>
        <v>2.2898776875000001E-3</v>
      </c>
    </row>
    <row r="214" spans="1:45" ht="30" x14ac:dyDescent="0.25">
      <c r="A214" s="12">
        <v>211</v>
      </c>
      <c r="B214" s="10" t="str">
        <f>IFERROR("TRI Form "&amp; VLOOKUP(I214, 'Processed Non-zero TRI Data'!$I$2:$K$6, 3, FALSE), "DMR")</f>
        <v>DMR</v>
      </c>
      <c r="C214" s="181" t="e">
        <f>VLOOKUP(D214,#REF!, 2, FALSE)</f>
        <v>#REF!</v>
      </c>
      <c r="D214" s="181" t="str">
        <f>IF(I214&lt;&gt;"",INDEX('Processed Non-zero TRI Data'!$O:$O,MATCH(I214,'Processed Non-zero TRI Data'!$I:$I,0)),INDEX('Processed Non-zero DMR Data'!$S:$S,MATCH(J214,'Processed Non-zero DMR Data'!$I:$I,0)))</f>
        <v>Waste Handling, Disposal and Treatment (POTW)</v>
      </c>
      <c r="E214" s="181" t="str">
        <f>IF(I214&lt;&gt;"",INDEX('Processed Non-zero TRI Data'!$P:$P,MATCH(I214,'Processed Non-zero TRI Data'!$I:$I,0)),INDEX('Processed Non-zero DMR Data'!$T:$T,MATCH(J214,'Processed Non-zero DMR Data'!$I:$I,0)))</f>
        <v>POTW indicator in DMR</v>
      </c>
      <c r="F214" s="9" t="str">
        <f>_xlfn.XLOOKUP(J214, 'Processed Non-zero DMR Data'!I:I, 'Processed Non-zero DMR Data'!B:B)</f>
        <v>SHIPROCK WWTF</v>
      </c>
      <c r="G214" s="9" t="str">
        <f>_xlfn.XLOOKUP(J214, 'Processed Non-zero DMR Data'!I:I, 'Processed Non-zero DMR Data'!C:C)</f>
        <v>SHIPROCK</v>
      </c>
      <c r="H214" s="9" t="str">
        <f>_xlfn.XLOOKUP(J214, 'Processed Non-zero DMR Data'!I:I, 'Processed Non-zero DMR Data'!E:E)</f>
        <v>NM</v>
      </c>
      <c r="I214" s="12"/>
      <c r="J214" s="13">
        <v>110024409362</v>
      </c>
      <c r="K214" s="9" t="str">
        <f>IFERROR(INDEX('Raw Non-zero DMR Data'!$C:$C, MATCH(J214,'Raw Non-zero DMR Data'!$D:$D,0)),"")</f>
        <v>NN0020621</v>
      </c>
      <c r="L214" s="9" t="str">
        <f>IFERROR(INDEX('Raw Non-zero DMR Data'!$U:$U, MATCH($J214,'Raw Non-zero DMR Data'!$D:$D,0)),"")</f>
        <v>Rattlesnake Wash-San Juan River</v>
      </c>
      <c r="M214" s="155">
        <f>IFERROR(INDEX('Raw Non-zero DMR Data'!$T:$T, MATCH($J214,'Raw Non-zero DMR Data'!$D:$D,0)),"")</f>
        <v>140801050704</v>
      </c>
      <c r="N214" s="155" t="str">
        <f>IFERROR(INDEX('Off-site Locations'!$E:$E,MATCH(I214,'Off-site Locations'!$B:$B,0)),"No offsite transfers")</f>
        <v>No offsite transfers</v>
      </c>
      <c r="O214" s="165">
        <f>INDEX('TRI and DMR OES Summary'!D:D,MATCH('Facility Discharge Summary'!D214,'TRI and DMR OES Summary'!A:A,0))</f>
        <v>365</v>
      </c>
      <c r="P214" s="17" cm="1">
        <f t="array" ref="P214">IFERROR(_xlfn.XLOOKUP(1,  (MAX(IF(J214 = 'Processed Non-zero DMR Data'!$I$2:$I$651,'Processed Non-zero DMR Data'!$A$2:$A$651)) = 'Processed Non-zero DMR Data'!$A$2:$A$651)*('Processed Non-zero DMR Data'!$I$2:$I$651 = J214),'Processed Non-zero DMR Data'!$W$2:$W$651), "N/A- Facility Does Not Report DMRs")</f>
        <v>0.80347979999999997</v>
      </c>
      <c r="Q214" s="10">
        <f t="shared" si="63"/>
        <v>2.2013145205479452E-3</v>
      </c>
      <c r="R214" s="10" cm="1">
        <f t="array" ref="R214">IF(COUNTIF('Processed Non-zero DMR Data'!$I:$I,$J214)&gt;0,MEDIAN(IF('Processed Non-zero DMR Data'!$I:$I=J214,'Processed Non-zero DMR Data'!$W:$W)),"N/A - Facility Does Not Report DMRs")</f>
        <v>0.80347979999999997</v>
      </c>
      <c r="S214" s="10">
        <f t="shared" si="64"/>
        <v>2.2013145205479452E-3</v>
      </c>
      <c r="T214" s="10">
        <f>IF(COUNTIF('Processed Non-zero DMR Data'!$I:$I,$J214)&gt;0,_xlfn.MAXIFS('Processed Non-zero DMR Data'!$W:$W,'Processed Non-zero DMR Data'!$I:$I,$J214), "N/A - Facility Does Not Report DMRs")</f>
        <v>0.80347979999999997</v>
      </c>
      <c r="U214" s="10">
        <f t="shared" si="65"/>
        <v>2.2013145205479452E-3</v>
      </c>
      <c r="V214" s="158" cm="1">
        <f t="array" ref="V214">IF(COUNTIF('Processed Non-zero DMR Data'!$I:$I,$J214)&gt;0,INDEX('Processed Non-zero DMR Data'!$A:$A,MATCH(1,($J214='Processed Non-zero DMR Data'!$I:$I)*($T214='Processed Non-zero DMR Data'!$W:$W),0)), "N/A - Facility Does Not Report DMRs")</f>
        <v>2023</v>
      </c>
      <c r="W214" s="17" t="str" cm="1">
        <f t="array" ref="W214">IFERROR(_xlfn.XLOOKUP(1,  (MAX(IF(I214 = 'Processed Non-zero TRI Data'!$I$2:$I$6,'Processed Non-zero TRI Data'!$A$2:$A$6)) = 'Processed Non-zero TRI Data'!$A$2:$A$6)*('Processed Non-zero TRI Data'!$I$2:$I$6 = I214), 'Processed Non-zero TRI Data'!$T$2:$T$6), "N/A- Facility Does Not Report to TRI")</f>
        <v>N/A- Facility Does Not Report to TRI</v>
      </c>
      <c r="X214" s="10" t="str">
        <f t="shared" si="66"/>
        <v>N/A - Facility Does Not Report to TRI</v>
      </c>
      <c r="Y214" s="10" t="str" cm="1">
        <f t="array" ref="Y214">IF(COUNTIF('Processed Non-zero TRI Data'!$I:$I,$I214)&gt;0,MEDIAN(IF('Processed Non-zero TRI Data'!$I:$I=I214,'Processed Non-zero TRI Data'!$T:$T)), "N/A - Facility Does Not Report to TRI")</f>
        <v>N/A - Facility Does Not Report to TRI</v>
      </c>
      <c r="Z214" s="10" t="str">
        <f t="shared" si="67"/>
        <v>N/A - Facility Does Not Report to TRI</v>
      </c>
      <c r="AA214" s="10" t="str">
        <f>IF(COUNTIF('Processed Non-zero TRI Data'!$I:$I,$I214)&gt;0,_xlfn.MAXIFS('Processed Non-zero TRI Data'!$T:$T,'Processed Non-zero TRI Data'!$I:$I,$I214), "N/A - Facility Does Not Report to TRI")</f>
        <v>N/A - Facility Does Not Report to TRI</v>
      </c>
      <c r="AB214" s="10" t="str">
        <f t="shared" si="68"/>
        <v>N/A - Facility Does Not Report to TRI</v>
      </c>
      <c r="AC214" s="158" t="str" cm="1">
        <f t="array" ref="AC214">IFERROR(IF(B214 = "TRI Form R", IF(AA214 = 0, "Facility has no on-site water discharges between 2017-2022.",  IF(COUNTIF('Processed Non-zero TRI Data'!$I:$I,$I214)&gt;0,INDEX('Processed Non-zero TRI Data'!$A:$A,MATCH(1,($I214='Processed Non-zero TRI Data'!$I:$I)*(AA214='Processed Non-zero TRI Data'!$T:$T),0)))), VLOOKUP(I214,#REF!, 2, FALSE)), ("N/A - Facility Does Not Report to TRI"))</f>
        <v>N/A - Facility Does Not Report to TRI</v>
      </c>
      <c r="AD214" s="97" t="str" cm="1">
        <f t="array" ref="AD214">IFERROR(_xlfn.XLOOKUP(1,  (MAX(IF(I214 = 'Processed Non-zero TRI Data'!$I$2:$I$6,'Processed Non-zero TRI Data'!$A$2:$A$6)) = 'Processed Non-zero TRI Data'!$A$2:$A$6)*('Processed Non-zero TRI Data'!$I$2:$I$6 = I214), 'Processed Non-zero TRI Data'!$V$2:$V$6), "N/A- Facility Does Not Report to TRI")</f>
        <v>N/A- Facility Does Not Report to TRI</v>
      </c>
      <c r="AE214" s="9" t="str">
        <f t="shared" si="69"/>
        <v>N/A - Facility Does Not Report to TRI</v>
      </c>
      <c r="AF214" s="9" t="str" cm="1">
        <f t="array" ref="AF214">IF(COUNTIF('Processed Non-zero TRI Data'!$I:$I,$I214)&gt;0,MEDIAN(IF('Processed Non-zero TRI Data'!$I:$I=I214,'Processed Non-zero TRI Data'!$V:$V)), "N/A - Facility Does Not Report to TRI")</f>
        <v>N/A - Facility Does Not Report to TRI</v>
      </c>
      <c r="AG214" s="9" t="str">
        <f t="shared" si="70"/>
        <v>N/A - Facility Does Not Report to TRI</v>
      </c>
      <c r="AH214" s="9" t="str">
        <f>IF(COUNTIF('Processed Non-zero TRI Data'!$I:$I,$I214)&gt;0,_xlfn.MAXIFS('Processed Non-zero TRI Data'!$V:$V,'Processed Non-zero TRI Data'!$I:$I,$I214), "N/A - Facility Does Not Report to TRI")</f>
        <v>N/A - Facility Does Not Report to TRI</v>
      </c>
      <c r="AI214" s="9" t="str">
        <f t="shared" si="71"/>
        <v>N/A - Facility Does Not Report to TRI</v>
      </c>
      <c r="AJ214" s="158" t="str" cm="1">
        <f t="array" ref="AJ214">IF(B214="TRI Form A",AC214,IF(AH214=0,"Facility has no transfers to POTWs between 2019-2023.",IF(COUNTIF('Processed Non-zero TRI Data'!$I:$I,$I214)&gt;0,INDEX('Processed Non-zero TRI Data'!$A:$A,MATCH(1,($I214='Processed Non-zero TRI Data'!$I:$I)*(AH214='Processed Non-zero TRI Data'!$V:$V),0)),"N/A - Facility Does Not Report to TRI")))</f>
        <v>N/A - Facility Does Not Report to TRI</v>
      </c>
      <c r="AK214" s="97" t="str" cm="1">
        <f t="array" ref="AK214">IFERROR(_xlfn.XLOOKUP(1,  (MAX(IF(I214 = 'Processed Non-zero TRI Data'!$I$2:$I$6,'Processed Non-zero TRI Data'!$A$2:$A$6)) = 'Processed Non-zero TRI Data'!$A$2:$A$6)*('Processed Non-zero TRI Data'!$I$2:$I$6 = I214), 'Processed Non-zero TRI Data'!$X$2:$X$6), "N/A- Facility Does Not Report to TRI")</f>
        <v>N/A- Facility Does Not Report to TRI</v>
      </c>
      <c r="AL214" s="9" t="str">
        <f t="shared" si="72"/>
        <v>N/A - Facility Does Not Report to TRI</v>
      </c>
      <c r="AM214" s="9" t="str" cm="1">
        <f t="array" ref="AM214">IF(COUNTIF('Processed Non-zero TRI Data'!$I:$I,$I214)&gt;0,MEDIAN(IF('Processed Non-zero TRI Data'!$I:$I=I214,'Processed Non-zero TRI Data'!$X:$X)), "N/A - Facility Does Not Report to TRI")</f>
        <v>N/A - Facility Does Not Report to TRI</v>
      </c>
      <c r="AN214" s="9" t="str">
        <f t="shared" si="73"/>
        <v>N/A - Facility Does Not Report to TRI</v>
      </c>
      <c r="AO214" s="9" t="str">
        <f>IF(COUNTIF('Processed Non-zero TRI Data'!$I:$I,$I214)&gt;0,_xlfn.MAXIFS('Processed Non-zero TRI Data'!$X:$X,'Processed Non-zero TRI Data'!$I:$I,$I214), "N/A - Facility Does Not Report to TRI")</f>
        <v>N/A - Facility Does Not Report to TRI</v>
      </c>
      <c r="AP214" s="9" t="str">
        <f t="shared" si="74"/>
        <v>N/A - Facility Does Not Report to TRI</v>
      </c>
      <c r="AQ214" s="251" t="str" cm="1">
        <f t="array" ref="AQ214">IF(B214="TRI Form A",AC214,IF(AO214=0,"Facility has no transfers to non-POTWs between 2019-2023.",IF(COUNTIF('Processed Non-zero TRI Data'!$I:$I,$I214)&gt;0,INDEX('Processed Non-zero TRI Data'!$A:$A,MATCH(1,($I214='Processed Non-zero TRI Data'!$I:$I)*(AO214='Processed Non-zero TRI Data'!$X:$X),0)),"N/A - Facility Does Not Report to TRI")))</f>
        <v>N/A - Facility Does Not Report to TRI</v>
      </c>
      <c r="AR214" s="260">
        <f t="shared" si="75"/>
        <v>0</v>
      </c>
      <c r="AS214" s="260">
        <f t="shared" si="76"/>
        <v>0.80347979999999997</v>
      </c>
    </row>
    <row r="215" spans="1:45" ht="30" x14ac:dyDescent="0.25">
      <c r="A215" s="12">
        <v>212</v>
      </c>
      <c r="B215" s="10" t="str">
        <f>IFERROR("TRI Form "&amp; VLOOKUP(I215, 'Processed Non-zero TRI Data'!$I$2:$K$6, 3, FALSE), "DMR")</f>
        <v>DMR</v>
      </c>
      <c r="C215" s="181" t="e">
        <f>VLOOKUP(D215,#REF!, 2, FALSE)</f>
        <v>#REF!</v>
      </c>
      <c r="D215" s="181" t="str">
        <f>IF(I215&lt;&gt;"",INDEX('Processed Non-zero TRI Data'!$O:$O,MATCH(I215,'Processed Non-zero TRI Data'!$I:$I,0)),INDEX('Processed Non-zero DMR Data'!$S:$S,MATCH(J215,'Processed Non-zero DMR Data'!$I:$I,0)))</f>
        <v>Waste Handling, Disposal and Treatment (POTW)</v>
      </c>
      <c r="E215" s="181" t="str">
        <f>IF(I215&lt;&gt;"",INDEX('Processed Non-zero TRI Data'!$P:$P,MATCH(I215,'Processed Non-zero TRI Data'!$I:$I,0)),INDEX('Processed Non-zero DMR Data'!$T:$T,MATCH(J215,'Processed Non-zero DMR Data'!$I:$I,0)))</f>
        <v>POTW indicator in DMR</v>
      </c>
      <c r="F215" s="9" t="str">
        <f>_xlfn.XLOOKUP(J215, 'Processed Non-zero DMR Data'!I:I, 'Processed Non-zero DMR Data'!B:B)</f>
        <v>FALMOUTH STP (NEW)</v>
      </c>
      <c r="G215" s="9" t="str">
        <f>_xlfn.XLOOKUP(J215, 'Processed Non-zero DMR Data'!I:I, 'Processed Non-zero DMR Data'!C:C)</f>
        <v>FALMOUTH</v>
      </c>
      <c r="H215" s="9" t="str">
        <f>_xlfn.XLOOKUP(J215, 'Processed Non-zero DMR Data'!I:I, 'Processed Non-zero DMR Data'!E:E)</f>
        <v>KY</v>
      </c>
      <c r="I215" s="12"/>
      <c r="J215" s="13">
        <v>110023140420</v>
      </c>
      <c r="K215" s="9" t="str">
        <f>IFERROR(INDEX('Raw Non-zero DMR Data'!$C:$C, MATCH(J215,'Raw Non-zero DMR Data'!$D:$D,0)),"")</f>
        <v>KY0106267</v>
      </c>
      <c r="L215" s="9" t="str">
        <f>IFERROR(INDEX('Raw Non-zero DMR Data'!$U:$U, MATCH($J215,'Raw Non-zero DMR Data'!$D:$D,0)),"")</f>
        <v>Blanket Creek-Licking River</v>
      </c>
      <c r="M215" s="155" t="str">
        <f>IFERROR(INDEX('Raw Non-zero DMR Data'!$T:$T, MATCH($J215,'Raw Non-zero DMR Data'!$D:$D,0)),"")</f>
        <v>051001011203</v>
      </c>
      <c r="N215" s="155" t="str">
        <f>IFERROR(INDEX('Off-site Locations'!$E:$E,MATCH(I215,'Off-site Locations'!$B:$B,0)),"No offsite transfers")</f>
        <v>No offsite transfers</v>
      </c>
      <c r="O215" s="165">
        <f>INDEX('TRI and DMR OES Summary'!D:D,MATCH('Facility Discharge Summary'!D215,'TRI and DMR OES Summary'!A:A,0))</f>
        <v>365</v>
      </c>
      <c r="P215" s="17" cm="1">
        <f t="array" ref="P215">IFERROR(_xlfn.XLOOKUP(1,  (MAX(IF(J215 = 'Processed Non-zero DMR Data'!$I$2:$I$651,'Processed Non-zero DMR Data'!$A$2:$A$651)) = 'Processed Non-zero DMR Data'!$A$2:$A$651)*('Processed Non-zero DMR Data'!$I$2:$I$651 = J215),'Processed Non-zero DMR Data'!$W$2:$W$651), "N/A- Facility Does Not Report DMRs")</f>
        <v>1.4194029616874999</v>
      </c>
      <c r="Q215" s="10">
        <f t="shared" si="63"/>
        <v>3.8887752374999998E-3</v>
      </c>
      <c r="R215" s="10" cm="1">
        <f t="array" ref="R215">IF(COUNTIF('Processed Non-zero DMR Data'!$I:$I,$J215)&gt;0,MEDIAN(IF('Processed Non-zero DMR Data'!$I:$I=J215,'Processed Non-zero DMR Data'!$W:$W)),"N/A - Facility Does Not Report DMRs")</f>
        <v>1.4194029616874999</v>
      </c>
      <c r="S215" s="10">
        <f t="shared" si="64"/>
        <v>3.8887752374999998E-3</v>
      </c>
      <c r="T215" s="10">
        <f>IF(COUNTIF('Processed Non-zero DMR Data'!$I:$I,$J215)&gt;0,_xlfn.MAXIFS('Processed Non-zero DMR Data'!$W:$W,'Processed Non-zero DMR Data'!$I:$I,$J215), "N/A - Facility Does Not Report DMRs")</f>
        <v>1.4194029616874999</v>
      </c>
      <c r="U215" s="10">
        <f t="shared" si="65"/>
        <v>3.8887752374999998E-3</v>
      </c>
      <c r="V215" s="158" cm="1">
        <f t="array" ref="V215">IF(COUNTIF('Processed Non-zero DMR Data'!$I:$I,$J215)&gt;0,INDEX('Processed Non-zero DMR Data'!$A:$A,MATCH(1,($J215='Processed Non-zero DMR Data'!$I:$I)*($T215='Processed Non-zero DMR Data'!$W:$W),0)), "N/A - Facility Does Not Report DMRs")</f>
        <v>2023</v>
      </c>
      <c r="W215" s="17" t="str" cm="1">
        <f t="array" ref="W215">IFERROR(_xlfn.XLOOKUP(1,  (MAX(IF(I215 = 'Processed Non-zero TRI Data'!$I$2:$I$6,'Processed Non-zero TRI Data'!$A$2:$A$6)) = 'Processed Non-zero TRI Data'!$A$2:$A$6)*('Processed Non-zero TRI Data'!$I$2:$I$6 = I215), 'Processed Non-zero TRI Data'!$T$2:$T$6), "N/A- Facility Does Not Report to TRI")</f>
        <v>N/A- Facility Does Not Report to TRI</v>
      </c>
      <c r="X215" s="10" t="str">
        <f t="shared" si="66"/>
        <v>N/A - Facility Does Not Report to TRI</v>
      </c>
      <c r="Y215" s="10" t="str" cm="1">
        <f t="array" ref="Y215">IF(COUNTIF('Processed Non-zero TRI Data'!$I:$I,$I215)&gt;0,MEDIAN(IF('Processed Non-zero TRI Data'!$I:$I=I215,'Processed Non-zero TRI Data'!$T:$T)), "N/A - Facility Does Not Report to TRI")</f>
        <v>N/A - Facility Does Not Report to TRI</v>
      </c>
      <c r="Z215" s="10" t="str">
        <f t="shared" si="67"/>
        <v>N/A - Facility Does Not Report to TRI</v>
      </c>
      <c r="AA215" s="10" t="str">
        <f>IF(COUNTIF('Processed Non-zero TRI Data'!$I:$I,$I215)&gt;0,_xlfn.MAXIFS('Processed Non-zero TRI Data'!$T:$T,'Processed Non-zero TRI Data'!$I:$I,$I215), "N/A - Facility Does Not Report to TRI")</f>
        <v>N/A - Facility Does Not Report to TRI</v>
      </c>
      <c r="AB215" s="10" t="str">
        <f t="shared" si="68"/>
        <v>N/A - Facility Does Not Report to TRI</v>
      </c>
      <c r="AC215" s="158" t="str" cm="1">
        <f t="array" ref="AC215">IFERROR(IF(B215 = "TRI Form R", IF(AA215 = 0, "Facility has no on-site water discharges between 2017-2022.",  IF(COUNTIF('Processed Non-zero TRI Data'!$I:$I,$I215)&gt;0,INDEX('Processed Non-zero TRI Data'!$A:$A,MATCH(1,($I215='Processed Non-zero TRI Data'!$I:$I)*(AA215='Processed Non-zero TRI Data'!$T:$T),0)))), VLOOKUP(I215,#REF!, 2, FALSE)), ("N/A - Facility Does Not Report to TRI"))</f>
        <v>N/A - Facility Does Not Report to TRI</v>
      </c>
      <c r="AD215" s="97" t="str" cm="1">
        <f t="array" ref="AD215">IFERROR(_xlfn.XLOOKUP(1,  (MAX(IF(I215 = 'Processed Non-zero TRI Data'!$I$2:$I$6,'Processed Non-zero TRI Data'!$A$2:$A$6)) = 'Processed Non-zero TRI Data'!$A$2:$A$6)*('Processed Non-zero TRI Data'!$I$2:$I$6 = I215), 'Processed Non-zero TRI Data'!$V$2:$V$6), "N/A- Facility Does Not Report to TRI")</f>
        <v>N/A- Facility Does Not Report to TRI</v>
      </c>
      <c r="AE215" s="9" t="str">
        <f t="shared" si="69"/>
        <v>N/A - Facility Does Not Report to TRI</v>
      </c>
      <c r="AF215" s="9" t="str" cm="1">
        <f t="array" ref="AF215">IF(COUNTIF('Processed Non-zero TRI Data'!$I:$I,$I215)&gt;0,MEDIAN(IF('Processed Non-zero TRI Data'!$I:$I=I215,'Processed Non-zero TRI Data'!$V:$V)), "N/A - Facility Does Not Report to TRI")</f>
        <v>N/A - Facility Does Not Report to TRI</v>
      </c>
      <c r="AG215" s="9" t="str">
        <f t="shared" si="70"/>
        <v>N/A - Facility Does Not Report to TRI</v>
      </c>
      <c r="AH215" s="9" t="str">
        <f>IF(COUNTIF('Processed Non-zero TRI Data'!$I:$I,$I215)&gt;0,_xlfn.MAXIFS('Processed Non-zero TRI Data'!$V:$V,'Processed Non-zero TRI Data'!$I:$I,$I215), "N/A - Facility Does Not Report to TRI")</f>
        <v>N/A - Facility Does Not Report to TRI</v>
      </c>
      <c r="AI215" s="9" t="str">
        <f t="shared" si="71"/>
        <v>N/A - Facility Does Not Report to TRI</v>
      </c>
      <c r="AJ215" s="158" t="str" cm="1">
        <f t="array" ref="AJ215">IF(B215="TRI Form A",AC215,IF(AH215=0,"Facility has no transfers to POTWs between 2019-2023.",IF(COUNTIF('Processed Non-zero TRI Data'!$I:$I,$I215)&gt;0,INDEX('Processed Non-zero TRI Data'!$A:$A,MATCH(1,($I215='Processed Non-zero TRI Data'!$I:$I)*(AH215='Processed Non-zero TRI Data'!$V:$V),0)),"N/A - Facility Does Not Report to TRI")))</f>
        <v>N/A - Facility Does Not Report to TRI</v>
      </c>
      <c r="AK215" s="97" t="str" cm="1">
        <f t="array" ref="AK215">IFERROR(_xlfn.XLOOKUP(1,  (MAX(IF(I215 = 'Processed Non-zero TRI Data'!$I$2:$I$6,'Processed Non-zero TRI Data'!$A$2:$A$6)) = 'Processed Non-zero TRI Data'!$A$2:$A$6)*('Processed Non-zero TRI Data'!$I$2:$I$6 = I215), 'Processed Non-zero TRI Data'!$X$2:$X$6), "N/A- Facility Does Not Report to TRI")</f>
        <v>N/A- Facility Does Not Report to TRI</v>
      </c>
      <c r="AL215" s="9" t="str">
        <f t="shared" si="72"/>
        <v>N/A - Facility Does Not Report to TRI</v>
      </c>
      <c r="AM215" s="9" t="str" cm="1">
        <f t="array" ref="AM215">IF(COUNTIF('Processed Non-zero TRI Data'!$I:$I,$I215)&gt;0,MEDIAN(IF('Processed Non-zero TRI Data'!$I:$I=I215,'Processed Non-zero TRI Data'!$X:$X)), "N/A - Facility Does Not Report to TRI")</f>
        <v>N/A - Facility Does Not Report to TRI</v>
      </c>
      <c r="AN215" s="9" t="str">
        <f t="shared" si="73"/>
        <v>N/A - Facility Does Not Report to TRI</v>
      </c>
      <c r="AO215" s="9" t="str">
        <f>IF(COUNTIF('Processed Non-zero TRI Data'!$I:$I,$I215)&gt;0,_xlfn.MAXIFS('Processed Non-zero TRI Data'!$X:$X,'Processed Non-zero TRI Data'!$I:$I,$I215), "N/A - Facility Does Not Report to TRI")</f>
        <v>N/A - Facility Does Not Report to TRI</v>
      </c>
      <c r="AP215" s="9" t="str">
        <f t="shared" si="74"/>
        <v>N/A - Facility Does Not Report to TRI</v>
      </c>
      <c r="AQ215" s="251" t="str" cm="1">
        <f t="array" ref="AQ215">IF(B215="TRI Form A",AC215,IF(AO215=0,"Facility has no transfers to non-POTWs between 2019-2023.",IF(COUNTIF('Processed Non-zero TRI Data'!$I:$I,$I215)&gt;0,INDEX('Processed Non-zero TRI Data'!$A:$A,MATCH(1,($I215='Processed Non-zero TRI Data'!$I:$I)*(AO215='Processed Non-zero TRI Data'!$X:$X),0)),"N/A - Facility Does Not Report to TRI")))</f>
        <v>N/A - Facility Does Not Report to TRI</v>
      </c>
      <c r="AR215" s="260">
        <f t="shared" si="75"/>
        <v>0</v>
      </c>
      <c r="AS215" s="260">
        <f t="shared" si="76"/>
        <v>1.4194029616874999</v>
      </c>
    </row>
    <row r="216" spans="1:45" ht="30" x14ac:dyDescent="0.25">
      <c r="A216" s="12">
        <v>213</v>
      </c>
      <c r="B216" s="10" t="str">
        <f>IFERROR("TRI Form "&amp; VLOOKUP(I216, 'Processed Non-zero TRI Data'!$I$2:$K$6, 3, FALSE), "DMR")</f>
        <v>DMR</v>
      </c>
      <c r="C216" s="181" t="e">
        <f>VLOOKUP(D216,#REF!, 2, FALSE)</f>
        <v>#REF!</v>
      </c>
      <c r="D216" s="181" t="str">
        <f>IF(I216&lt;&gt;"",INDEX('Processed Non-zero TRI Data'!$O:$O,MATCH(I216,'Processed Non-zero TRI Data'!$I:$I,0)),INDEX('Processed Non-zero DMR Data'!$S:$S,MATCH(J216,'Processed Non-zero DMR Data'!$I:$I,0)))</f>
        <v>Processing as a reactant</v>
      </c>
      <c r="E216" s="181" t="str">
        <f>IF(I216&lt;&gt;"",INDEX('Processed Non-zero TRI Data'!$P:$P,MATCH(I216,'Processed Non-zero TRI Data'!$I:$I,0)),INDEX('Processed Non-zero DMR Data'!$T:$T,MATCH(J216,'Processed Non-zero DMR Data'!$I:$I,0)))</f>
        <v>Oil refinery; assumed processing as a reactant.</v>
      </c>
      <c r="F216" s="9" t="str">
        <f>_xlfn.XLOOKUP(J216, 'Processed Non-zero DMR Data'!I:I, 'Processed Non-zero DMR Data'!B:B)</f>
        <v>VALERO REFINING COMPANY-CALIF</v>
      </c>
      <c r="G216" s="9" t="str">
        <f>_xlfn.XLOOKUP(J216, 'Processed Non-zero DMR Data'!I:I, 'Processed Non-zero DMR Data'!C:C)</f>
        <v>BENICIA</v>
      </c>
      <c r="H216" s="9" t="str">
        <f>_xlfn.XLOOKUP(J216, 'Processed Non-zero DMR Data'!I:I, 'Processed Non-zero DMR Data'!E:E)</f>
        <v>CA</v>
      </c>
      <c r="I216" s="12"/>
      <c r="J216" s="13">
        <v>110033145353</v>
      </c>
      <c r="K216" s="9" t="str">
        <f>IFERROR(INDEX('Raw Non-zero DMR Data'!$C:$C, MATCH(J216,'Raw Non-zero DMR Data'!$D:$D,0)),"")</f>
        <v>CA0005550</v>
      </c>
      <c r="L216" s="9" t="str">
        <f>IFERROR(INDEX('Raw Non-zero DMR Data'!$U:$U, MATCH($J216,'Raw Non-zero DMR Data'!$D:$D,0)),"")</f>
        <v>American Canyon-Frontal Suisun Bay Estuaries</v>
      </c>
      <c r="M216" s="155">
        <f>IFERROR(INDEX('Raw Non-zero DMR Data'!$T:$T, MATCH($J216,'Raw Non-zero DMR Data'!$D:$D,0)),"")</f>
        <v>180500010109</v>
      </c>
      <c r="N216" s="155" t="str">
        <f>IFERROR(INDEX('Off-site Locations'!$E:$E,MATCH(I216,'Off-site Locations'!$B:$B,0)),"No offsite transfers")</f>
        <v>No offsite transfers</v>
      </c>
      <c r="O216" s="165">
        <f>INDEX('TRI and DMR OES Summary'!D:D,MATCH('Facility Discharge Summary'!D216,'TRI and DMR OES Summary'!A:A,0))</f>
        <v>350</v>
      </c>
      <c r="P216" s="17" cm="1">
        <f t="array" ref="P216">IFERROR(_xlfn.XLOOKUP(1,  (MAX(IF(J216 = 'Processed Non-zero DMR Data'!$I$2:$I$651,'Processed Non-zero DMR Data'!$A$2:$A$651)) = 'Processed Non-zero DMR Data'!$A$2:$A$651)*('Processed Non-zero DMR Data'!$I$2:$I$651 = J216),'Processed Non-zero DMR Data'!$W$2:$W$651), "N/A- Facility Does Not Report DMRs")</f>
        <v>0.27745942499999998</v>
      </c>
      <c r="Q216" s="10">
        <f t="shared" si="63"/>
        <v>7.9274121428571419E-4</v>
      </c>
      <c r="R216" s="10" cm="1">
        <f t="array" ref="R216">IF(COUNTIF('Processed Non-zero DMR Data'!$I:$I,$J216)&gt;0,MEDIAN(IF('Processed Non-zero DMR Data'!$I:$I=J216,'Processed Non-zero DMR Data'!$W:$W)),"N/A - Facility Does Not Report DMRs")</f>
        <v>0.27745942499999998</v>
      </c>
      <c r="S216" s="10">
        <f t="shared" si="64"/>
        <v>7.9274121428571419E-4</v>
      </c>
      <c r="T216" s="10">
        <f>IF(COUNTIF('Processed Non-zero DMR Data'!$I:$I,$J216)&gt;0,_xlfn.MAXIFS('Processed Non-zero DMR Data'!$W:$W,'Processed Non-zero DMR Data'!$I:$I,$J216), "N/A - Facility Does Not Report DMRs")</f>
        <v>0.27745942499999998</v>
      </c>
      <c r="U216" s="10">
        <f t="shared" si="65"/>
        <v>7.9274121428571419E-4</v>
      </c>
      <c r="V216" s="158" cm="1">
        <f t="array" ref="V216">IF(COUNTIF('Processed Non-zero DMR Data'!$I:$I,$J216)&gt;0,INDEX('Processed Non-zero DMR Data'!$A:$A,MATCH(1,($J216='Processed Non-zero DMR Data'!$I:$I)*($T216='Processed Non-zero DMR Data'!$W:$W),0)), "N/A - Facility Does Not Report DMRs")</f>
        <v>2023</v>
      </c>
      <c r="W216" s="17" t="str" cm="1">
        <f t="array" ref="W216">IFERROR(_xlfn.XLOOKUP(1,  (MAX(IF(I216 = 'Processed Non-zero TRI Data'!$I$2:$I$6,'Processed Non-zero TRI Data'!$A$2:$A$6)) = 'Processed Non-zero TRI Data'!$A$2:$A$6)*('Processed Non-zero TRI Data'!$I$2:$I$6 = I216), 'Processed Non-zero TRI Data'!$T$2:$T$6), "N/A- Facility Does Not Report to TRI")</f>
        <v>N/A- Facility Does Not Report to TRI</v>
      </c>
      <c r="X216" s="10" t="str">
        <f t="shared" si="66"/>
        <v>N/A - Facility Does Not Report to TRI</v>
      </c>
      <c r="Y216" s="10" t="str" cm="1">
        <f t="array" ref="Y216">IF(COUNTIF('Processed Non-zero TRI Data'!$I:$I,$I216)&gt;0,MEDIAN(IF('Processed Non-zero TRI Data'!$I:$I=I216,'Processed Non-zero TRI Data'!$T:$T)), "N/A - Facility Does Not Report to TRI")</f>
        <v>N/A - Facility Does Not Report to TRI</v>
      </c>
      <c r="Z216" s="10" t="str">
        <f t="shared" si="67"/>
        <v>N/A - Facility Does Not Report to TRI</v>
      </c>
      <c r="AA216" s="10" t="str">
        <f>IF(COUNTIF('Processed Non-zero TRI Data'!$I:$I,$I216)&gt;0,_xlfn.MAXIFS('Processed Non-zero TRI Data'!$T:$T,'Processed Non-zero TRI Data'!$I:$I,$I216), "N/A - Facility Does Not Report to TRI")</f>
        <v>N/A - Facility Does Not Report to TRI</v>
      </c>
      <c r="AB216" s="10" t="str">
        <f t="shared" si="68"/>
        <v>N/A - Facility Does Not Report to TRI</v>
      </c>
      <c r="AC216" s="158" t="str" cm="1">
        <f t="array" ref="AC216">IFERROR(IF(B216 = "TRI Form R", IF(AA216 = 0, "Facility has no on-site water discharges between 2017-2022.",  IF(COUNTIF('Processed Non-zero TRI Data'!$I:$I,$I216)&gt;0,INDEX('Processed Non-zero TRI Data'!$A:$A,MATCH(1,($I216='Processed Non-zero TRI Data'!$I:$I)*(AA216='Processed Non-zero TRI Data'!$T:$T),0)))), VLOOKUP(I216,#REF!, 2, FALSE)), ("N/A - Facility Does Not Report to TRI"))</f>
        <v>N/A - Facility Does Not Report to TRI</v>
      </c>
      <c r="AD216" s="97" t="str" cm="1">
        <f t="array" ref="AD216">IFERROR(_xlfn.XLOOKUP(1,  (MAX(IF(I216 = 'Processed Non-zero TRI Data'!$I$2:$I$6,'Processed Non-zero TRI Data'!$A$2:$A$6)) = 'Processed Non-zero TRI Data'!$A$2:$A$6)*('Processed Non-zero TRI Data'!$I$2:$I$6 = I216), 'Processed Non-zero TRI Data'!$V$2:$V$6), "N/A- Facility Does Not Report to TRI")</f>
        <v>N/A- Facility Does Not Report to TRI</v>
      </c>
      <c r="AE216" s="9" t="str">
        <f t="shared" si="69"/>
        <v>N/A - Facility Does Not Report to TRI</v>
      </c>
      <c r="AF216" s="9" t="str" cm="1">
        <f t="array" ref="AF216">IF(COUNTIF('Processed Non-zero TRI Data'!$I:$I,$I216)&gt;0,MEDIAN(IF('Processed Non-zero TRI Data'!$I:$I=I216,'Processed Non-zero TRI Data'!$V:$V)), "N/A - Facility Does Not Report to TRI")</f>
        <v>N/A - Facility Does Not Report to TRI</v>
      </c>
      <c r="AG216" s="9" t="str">
        <f t="shared" si="70"/>
        <v>N/A - Facility Does Not Report to TRI</v>
      </c>
      <c r="AH216" s="9" t="str">
        <f>IF(COUNTIF('Processed Non-zero TRI Data'!$I:$I,$I216)&gt;0,_xlfn.MAXIFS('Processed Non-zero TRI Data'!$V:$V,'Processed Non-zero TRI Data'!$I:$I,$I216), "N/A - Facility Does Not Report to TRI")</f>
        <v>N/A - Facility Does Not Report to TRI</v>
      </c>
      <c r="AI216" s="9" t="str">
        <f t="shared" si="71"/>
        <v>N/A - Facility Does Not Report to TRI</v>
      </c>
      <c r="AJ216" s="158" t="str" cm="1">
        <f t="array" ref="AJ216">IF(B216="TRI Form A",AC216,IF(AH216=0,"Facility has no transfers to POTWs between 2019-2023.",IF(COUNTIF('Processed Non-zero TRI Data'!$I:$I,$I216)&gt;0,INDEX('Processed Non-zero TRI Data'!$A:$A,MATCH(1,($I216='Processed Non-zero TRI Data'!$I:$I)*(AH216='Processed Non-zero TRI Data'!$V:$V),0)),"N/A - Facility Does Not Report to TRI")))</f>
        <v>N/A - Facility Does Not Report to TRI</v>
      </c>
      <c r="AK216" s="97" t="str" cm="1">
        <f t="array" ref="AK216">IFERROR(_xlfn.XLOOKUP(1,  (MAX(IF(I216 = 'Processed Non-zero TRI Data'!$I$2:$I$6,'Processed Non-zero TRI Data'!$A$2:$A$6)) = 'Processed Non-zero TRI Data'!$A$2:$A$6)*('Processed Non-zero TRI Data'!$I$2:$I$6 = I216), 'Processed Non-zero TRI Data'!$X$2:$X$6), "N/A- Facility Does Not Report to TRI")</f>
        <v>N/A- Facility Does Not Report to TRI</v>
      </c>
      <c r="AL216" s="9" t="str">
        <f t="shared" si="72"/>
        <v>N/A - Facility Does Not Report to TRI</v>
      </c>
      <c r="AM216" s="9" t="str" cm="1">
        <f t="array" ref="AM216">IF(COUNTIF('Processed Non-zero TRI Data'!$I:$I,$I216)&gt;0,MEDIAN(IF('Processed Non-zero TRI Data'!$I:$I=I216,'Processed Non-zero TRI Data'!$X:$X)), "N/A - Facility Does Not Report to TRI")</f>
        <v>N/A - Facility Does Not Report to TRI</v>
      </c>
      <c r="AN216" s="9" t="str">
        <f t="shared" si="73"/>
        <v>N/A - Facility Does Not Report to TRI</v>
      </c>
      <c r="AO216" s="9" t="str">
        <f>IF(COUNTIF('Processed Non-zero TRI Data'!$I:$I,$I216)&gt;0,_xlfn.MAXIFS('Processed Non-zero TRI Data'!$X:$X,'Processed Non-zero TRI Data'!$I:$I,$I216), "N/A - Facility Does Not Report to TRI")</f>
        <v>N/A - Facility Does Not Report to TRI</v>
      </c>
      <c r="AP216" s="9" t="str">
        <f t="shared" si="74"/>
        <v>N/A - Facility Does Not Report to TRI</v>
      </c>
      <c r="AQ216" s="251" t="str" cm="1">
        <f t="array" ref="AQ216">IF(B216="TRI Form A",AC216,IF(AO216=0,"Facility has no transfers to non-POTWs between 2019-2023.",IF(COUNTIF('Processed Non-zero TRI Data'!$I:$I,$I216)&gt;0,INDEX('Processed Non-zero TRI Data'!$A:$A,MATCH(1,($I216='Processed Non-zero TRI Data'!$I:$I)*(AO216='Processed Non-zero TRI Data'!$X:$X),0)),"N/A - Facility Does Not Report to TRI")))</f>
        <v>N/A - Facility Does Not Report to TRI</v>
      </c>
      <c r="AR216" s="260">
        <f t="shared" si="75"/>
        <v>0</v>
      </c>
      <c r="AS216" s="260">
        <f t="shared" si="76"/>
        <v>0.27745942499999998</v>
      </c>
    </row>
    <row r="217" spans="1:45" ht="30" x14ac:dyDescent="0.25">
      <c r="A217" s="12">
        <v>214</v>
      </c>
      <c r="B217" s="10" t="str">
        <f>IFERROR("TRI Form "&amp; VLOOKUP(I217, 'Processed Non-zero TRI Data'!$I$2:$K$6, 3, FALSE), "DMR")</f>
        <v>DMR</v>
      </c>
      <c r="C217" s="181" t="e">
        <f>VLOOKUP(D217,#REF!, 2, FALSE)</f>
        <v>#REF!</v>
      </c>
      <c r="D217" s="181" t="str">
        <f>IF(I217&lt;&gt;"",INDEX('Processed Non-zero TRI Data'!$O:$O,MATCH(I217,'Processed Non-zero TRI Data'!$I:$I,0)),INDEX('Processed Non-zero DMR Data'!$S:$S,MATCH(J217,'Processed Non-zero DMR Data'!$I:$I,0)))</f>
        <v>Unknown</v>
      </c>
      <c r="E217" s="181" t="str">
        <f>IF(I217&lt;&gt;"",INDEX('Processed Non-zero TRI Data'!$P:$P,MATCH(I217,'Processed Non-zero TRI Data'!$I:$I,0)),INDEX('Processed Non-zero DMR Data'!$T:$T,MATCH(J217,'Processed Non-zero DMR Data'!$I:$I,0)))</f>
        <v>Underground transmission line; no OES to map to.</v>
      </c>
      <c r="F217" s="9" t="str">
        <f>_xlfn.XLOOKUP(J217, 'Processed Non-zero DMR Data'!I:I, 'Processed Non-zero DMR Data'!B:B)</f>
        <v>115KV UNDERGROUND TRANSMISSION LINE - ANDREW SQUARE TO DEWAR STREET</v>
      </c>
      <c r="G217" s="9" t="str">
        <f>_xlfn.XLOOKUP(J217, 'Processed Non-zero DMR Data'!I:I, 'Processed Non-zero DMR Data'!C:C)</f>
        <v>BOSTON</v>
      </c>
      <c r="H217" s="9" t="str">
        <f>_xlfn.XLOOKUP(J217, 'Processed Non-zero DMR Data'!I:I, 'Processed Non-zero DMR Data'!E:E)</f>
        <v>MA</v>
      </c>
      <c r="I217" s="12"/>
      <c r="J217" s="13">
        <v>110071445083</v>
      </c>
      <c r="K217" s="9" t="str">
        <f>IFERROR(INDEX('Raw Non-zero DMR Data'!$C:$C, MATCH(J217,'Raw Non-zero DMR Data'!$D:$D,0)),"")</f>
        <v>MAG912023</v>
      </c>
      <c r="L217" s="9" t="str">
        <f>IFERROR(INDEX('Raw Non-zero DMR Data'!$U:$U, MATCH($J217,'Raw Non-zero DMR Data'!$D:$D,0)),"")</f>
        <v>Charles River-Frontal Boston Harbor</v>
      </c>
      <c r="M217" s="155" t="str">
        <f>IFERROR(INDEX('Raw Non-zero DMR Data'!$T:$T, MATCH($J217,'Raw Non-zero DMR Data'!$D:$D,0)),"")</f>
        <v>010900010704</v>
      </c>
      <c r="N217" s="155" t="str">
        <f>IFERROR(INDEX('Off-site Locations'!$E:$E,MATCH(I217,'Off-site Locations'!$B:$B,0)),"No offsite transfers")</f>
        <v>No offsite transfers</v>
      </c>
      <c r="O217" s="165">
        <f>INDEX('TRI and DMR OES Summary'!D:D,MATCH('Facility Discharge Summary'!D217,'TRI and DMR OES Summary'!A:A,0))</f>
        <v>250</v>
      </c>
      <c r="P217" s="17" cm="1">
        <f t="array" ref="P217">IFERROR(_xlfn.XLOOKUP(1,  (MAX(IF(J217 = 'Processed Non-zero DMR Data'!$I$2:$I$651,'Processed Non-zero DMR Data'!$A$2:$A$651)) = 'Processed Non-zero DMR Data'!$A$2:$A$651)*('Processed Non-zero DMR Data'!$I$2:$I$651 = J217),'Processed Non-zero DMR Data'!$W$2:$W$651), "N/A- Facility Does Not Report DMRs")</f>
        <v>4.6591457500000004E-3</v>
      </c>
      <c r="Q217" s="10">
        <f t="shared" si="63"/>
        <v>1.8636583000000001E-5</v>
      </c>
      <c r="R217" s="10" cm="1">
        <f t="array" ref="R217">IF(COUNTIF('Processed Non-zero DMR Data'!$I:$I,$J217)&gt;0,MEDIAN(IF('Processed Non-zero DMR Data'!$I:$I=J217,'Processed Non-zero DMR Data'!$W:$W)),"N/A - Facility Does Not Report DMRs")</f>
        <v>4.6591457500000004E-3</v>
      </c>
      <c r="S217" s="10">
        <f t="shared" si="64"/>
        <v>1.8636583000000001E-5</v>
      </c>
      <c r="T217" s="10">
        <f>IF(COUNTIF('Processed Non-zero DMR Data'!$I:$I,$J217)&gt;0,_xlfn.MAXIFS('Processed Non-zero DMR Data'!$W:$W,'Processed Non-zero DMR Data'!$I:$I,$J217), "N/A - Facility Does Not Report DMRs")</f>
        <v>4.6591457500000004E-3</v>
      </c>
      <c r="U217" s="10">
        <f t="shared" si="65"/>
        <v>1.8636583000000001E-5</v>
      </c>
      <c r="V217" s="158" cm="1">
        <f t="array" ref="V217">IF(COUNTIF('Processed Non-zero DMR Data'!$I:$I,$J217)&gt;0,INDEX('Processed Non-zero DMR Data'!$A:$A,MATCH(1,($J217='Processed Non-zero DMR Data'!$I:$I)*($T217='Processed Non-zero DMR Data'!$W:$W),0)), "N/A - Facility Does Not Report DMRs")</f>
        <v>2023</v>
      </c>
      <c r="W217" s="17" t="str" cm="1">
        <f t="array" ref="W217">IFERROR(_xlfn.XLOOKUP(1,  (MAX(IF(I217 = 'Processed Non-zero TRI Data'!$I$2:$I$6,'Processed Non-zero TRI Data'!$A$2:$A$6)) = 'Processed Non-zero TRI Data'!$A$2:$A$6)*('Processed Non-zero TRI Data'!$I$2:$I$6 = I217), 'Processed Non-zero TRI Data'!$T$2:$T$6), "N/A- Facility Does Not Report to TRI")</f>
        <v>N/A- Facility Does Not Report to TRI</v>
      </c>
      <c r="X217" s="10" t="str">
        <f t="shared" si="66"/>
        <v>N/A - Facility Does Not Report to TRI</v>
      </c>
      <c r="Y217" s="10" t="str" cm="1">
        <f t="array" ref="Y217">IF(COUNTIF('Processed Non-zero TRI Data'!$I:$I,$I217)&gt;0,MEDIAN(IF('Processed Non-zero TRI Data'!$I:$I=I217,'Processed Non-zero TRI Data'!$T:$T)), "N/A - Facility Does Not Report to TRI")</f>
        <v>N/A - Facility Does Not Report to TRI</v>
      </c>
      <c r="Z217" s="10" t="str">
        <f t="shared" si="67"/>
        <v>N/A - Facility Does Not Report to TRI</v>
      </c>
      <c r="AA217" s="10" t="str">
        <f>IF(COUNTIF('Processed Non-zero TRI Data'!$I:$I,$I217)&gt;0,_xlfn.MAXIFS('Processed Non-zero TRI Data'!$T:$T,'Processed Non-zero TRI Data'!$I:$I,$I217), "N/A - Facility Does Not Report to TRI")</f>
        <v>N/A - Facility Does Not Report to TRI</v>
      </c>
      <c r="AB217" s="10" t="str">
        <f t="shared" si="68"/>
        <v>N/A - Facility Does Not Report to TRI</v>
      </c>
      <c r="AC217" s="158" t="str" cm="1">
        <f t="array" ref="AC217">IFERROR(IF(B217 = "TRI Form R", IF(AA217 = 0, "Facility has no on-site water discharges between 2017-2022.",  IF(COUNTIF('Processed Non-zero TRI Data'!$I:$I,$I217)&gt;0,INDEX('Processed Non-zero TRI Data'!$A:$A,MATCH(1,($I217='Processed Non-zero TRI Data'!$I:$I)*(AA217='Processed Non-zero TRI Data'!$T:$T),0)))), VLOOKUP(I217,#REF!, 2, FALSE)), ("N/A - Facility Does Not Report to TRI"))</f>
        <v>N/A - Facility Does Not Report to TRI</v>
      </c>
      <c r="AD217" s="97" t="str" cm="1">
        <f t="array" ref="AD217">IFERROR(_xlfn.XLOOKUP(1,  (MAX(IF(I217 = 'Processed Non-zero TRI Data'!$I$2:$I$6,'Processed Non-zero TRI Data'!$A$2:$A$6)) = 'Processed Non-zero TRI Data'!$A$2:$A$6)*('Processed Non-zero TRI Data'!$I$2:$I$6 = I217), 'Processed Non-zero TRI Data'!$V$2:$V$6), "N/A- Facility Does Not Report to TRI")</f>
        <v>N/A- Facility Does Not Report to TRI</v>
      </c>
      <c r="AE217" s="9" t="str">
        <f t="shared" si="69"/>
        <v>N/A - Facility Does Not Report to TRI</v>
      </c>
      <c r="AF217" s="9" t="str" cm="1">
        <f t="array" ref="AF217">IF(COUNTIF('Processed Non-zero TRI Data'!$I:$I,$I217)&gt;0,MEDIAN(IF('Processed Non-zero TRI Data'!$I:$I=I217,'Processed Non-zero TRI Data'!$V:$V)), "N/A - Facility Does Not Report to TRI")</f>
        <v>N/A - Facility Does Not Report to TRI</v>
      </c>
      <c r="AG217" s="9" t="str">
        <f t="shared" si="70"/>
        <v>N/A - Facility Does Not Report to TRI</v>
      </c>
      <c r="AH217" s="9" t="str">
        <f>IF(COUNTIF('Processed Non-zero TRI Data'!$I:$I,$I217)&gt;0,_xlfn.MAXIFS('Processed Non-zero TRI Data'!$V:$V,'Processed Non-zero TRI Data'!$I:$I,$I217), "N/A - Facility Does Not Report to TRI")</f>
        <v>N/A - Facility Does Not Report to TRI</v>
      </c>
      <c r="AI217" s="9" t="str">
        <f t="shared" si="71"/>
        <v>N/A - Facility Does Not Report to TRI</v>
      </c>
      <c r="AJ217" s="158" t="str" cm="1">
        <f t="array" ref="AJ217">IF(B217="TRI Form A",AC217,IF(AH217=0,"Facility has no transfers to POTWs between 2019-2023.",IF(COUNTIF('Processed Non-zero TRI Data'!$I:$I,$I217)&gt;0,INDEX('Processed Non-zero TRI Data'!$A:$A,MATCH(1,($I217='Processed Non-zero TRI Data'!$I:$I)*(AH217='Processed Non-zero TRI Data'!$V:$V),0)),"N/A - Facility Does Not Report to TRI")))</f>
        <v>N/A - Facility Does Not Report to TRI</v>
      </c>
      <c r="AK217" s="97" t="str" cm="1">
        <f t="array" ref="AK217">IFERROR(_xlfn.XLOOKUP(1,  (MAX(IF(I217 = 'Processed Non-zero TRI Data'!$I$2:$I$6,'Processed Non-zero TRI Data'!$A$2:$A$6)) = 'Processed Non-zero TRI Data'!$A$2:$A$6)*('Processed Non-zero TRI Data'!$I$2:$I$6 = I217), 'Processed Non-zero TRI Data'!$X$2:$X$6), "N/A- Facility Does Not Report to TRI")</f>
        <v>N/A- Facility Does Not Report to TRI</v>
      </c>
      <c r="AL217" s="9" t="str">
        <f t="shared" si="72"/>
        <v>N/A - Facility Does Not Report to TRI</v>
      </c>
      <c r="AM217" s="9" t="str" cm="1">
        <f t="array" ref="AM217">IF(COUNTIF('Processed Non-zero TRI Data'!$I:$I,$I217)&gt;0,MEDIAN(IF('Processed Non-zero TRI Data'!$I:$I=I217,'Processed Non-zero TRI Data'!$X:$X)), "N/A - Facility Does Not Report to TRI")</f>
        <v>N/A - Facility Does Not Report to TRI</v>
      </c>
      <c r="AN217" s="9" t="str">
        <f t="shared" si="73"/>
        <v>N/A - Facility Does Not Report to TRI</v>
      </c>
      <c r="AO217" s="9" t="str">
        <f>IF(COUNTIF('Processed Non-zero TRI Data'!$I:$I,$I217)&gt;0,_xlfn.MAXIFS('Processed Non-zero TRI Data'!$X:$X,'Processed Non-zero TRI Data'!$I:$I,$I217), "N/A - Facility Does Not Report to TRI")</f>
        <v>N/A - Facility Does Not Report to TRI</v>
      </c>
      <c r="AP217" s="9" t="str">
        <f t="shared" si="74"/>
        <v>N/A - Facility Does Not Report to TRI</v>
      </c>
      <c r="AQ217" s="251" t="str" cm="1">
        <f t="array" ref="AQ217">IF(B217="TRI Form A",AC217,IF(AO217=0,"Facility has no transfers to non-POTWs between 2019-2023.",IF(COUNTIF('Processed Non-zero TRI Data'!$I:$I,$I217)&gt;0,INDEX('Processed Non-zero TRI Data'!$A:$A,MATCH(1,($I217='Processed Non-zero TRI Data'!$I:$I)*(AO217='Processed Non-zero TRI Data'!$X:$X),0)),"N/A - Facility Does Not Report to TRI")))</f>
        <v>N/A - Facility Does Not Report to TRI</v>
      </c>
      <c r="AR217" s="260">
        <f t="shared" si="75"/>
        <v>0</v>
      </c>
      <c r="AS217" s="260">
        <f t="shared" si="76"/>
        <v>4.6591457500000004E-3</v>
      </c>
    </row>
    <row r="218" spans="1:45" ht="30" x14ac:dyDescent="0.25">
      <c r="A218" s="12">
        <v>215</v>
      </c>
      <c r="B218" s="10" t="str">
        <f>IFERROR("TRI Form "&amp; VLOOKUP(I218, 'Processed Non-zero TRI Data'!$I$2:$K$6, 3, FALSE), "DMR")</f>
        <v>DMR</v>
      </c>
      <c r="C218" s="181" t="e">
        <f>VLOOKUP(D218,#REF!, 2, FALSE)</f>
        <v>#REF!</v>
      </c>
      <c r="D218" s="181" t="str">
        <f>IF(I218&lt;&gt;"",INDEX('Processed Non-zero TRI Data'!$O:$O,MATCH(I218,'Processed Non-zero TRI Data'!$I:$I,0)),INDEX('Processed Non-zero DMR Data'!$S:$S,MATCH(J218,'Processed Non-zero DMR Data'!$I:$I,0)))</f>
        <v>Unknown</v>
      </c>
      <c r="E218" s="181" t="str">
        <f>IF(I218&lt;&gt;"",INDEX('Processed Non-zero TRI Data'!$P:$P,MATCH(I218,'Processed Non-zero TRI Data'!$I:$I,0)),INDEX('Processed Non-zero DMR Data'!$T:$T,MATCH(J218,'Processed Non-zero DMR Data'!$I:$I,0)))</f>
        <v>RV park; no OES to map to.</v>
      </c>
      <c r="F218" s="9" t="str">
        <f>_xlfn.XLOOKUP(J218, 'Processed Non-zero DMR Data'!I:I, 'Processed Non-zero DMR Data'!B:B)</f>
        <v>COUNTRY LIFE MH &amp; RV PARK</v>
      </c>
      <c r="G218" s="9" t="str">
        <f>_xlfn.XLOOKUP(J218, 'Processed Non-zero DMR Data'!I:I, 'Processed Non-zero DMR Data'!C:C)</f>
        <v>EL CENTRO</v>
      </c>
      <c r="H218" s="9" t="str">
        <f>_xlfn.XLOOKUP(J218, 'Processed Non-zero DMR Data'!I:I, 'Processed Non-zero DMR Data'!E:E)</f>
        <v>CA</v>
      </c>
      <c r="I218" s="12"/>
      <c r="J218" s="13">
        <v>110012876557</v>
      </c>
      <c r="K218" s="9" t="str">
        <f>IFERROR(INDEX('Raw Non-zero DMR Data'!$C:$C, MATCH(J218,'Raw Non-zero DMR Data'!$D:$D,0)),"")</f>
        <v>CA0104264</v>
      </c>
      <c r="L218" s="9" t="str">
        <f>IFERROR(INDEX('Raw Non-zero DMR Data'!$U:$U, MATCH($J218,'Raw Non-zero DMR Data'!$D:$D,0)),"")</f>
        <v>Town of El Centro</v>
      </c>
      <c r="M218" s="155">
        <f>IFERROR(INDEX('Raw Non-zero DMR Data'!$T:$T, MATCH($J218,'Raw Non-zero DMR Data'!$D:$D,0)),"")</f>
        <v>181002040701</v>
      </c>
      <c r="N218" s="155" t="str">
        <f>IFERROR(INDEX('Off-site Locations'!$E:$E,MATCH(I218,'Off-site Locations'!$B:$B,0)),"No offsite transfers")</f>
        <v>No offsite transfers</v>
      </c>
      <c r="O218" s="165">
        <f>INDEX('TRI and DMR OES Summary'!D:D,MATCH('Facility Discharge Summary'!D218,'TRI and DMR OES Summary'!A:A,0))</f>
        <v>250</v>
      </c>
      <c r="P218" s="17" cm="1">
        <f t="array" ref="P218">IFERROR(_xlfn.XLOOKUP(1,  (MAX(IF(J218 = 'Processed Non-zero DMR Data'!$I$2:$I$651,'Processed Non-zero DMR Data'!$A$2:$A$651)) = 'Processed Non-zero DMR Data'!$A$2:$A$651)*('Processed Non-zero DMR Data'!$I$2:$I$651 = J218),'Processed Non-zero DMR Data'!$W$2:$W$651), "N/A- Facility Does Not Report DMRs")</f>
        <v>7.94376875E-3</v>
      </c>
      <c r="Q218" s="10">
        <f t="shared" si="63"/>
        <v>3.1775074999999998E-5</v>
      </c>
      <c r="R218" s="10" cm="1">
        <f t="array" ref="R218">IF(COUNTIF('Processed Non-zero DMR Data'!$I:$I,$J218)&gt;0,MEDIAN(IF('Processed Non-zero DMR Data'!$I:$I=J218,'Processed Non-zero DMR Data'!$W:$W)),"N/A - Facility Does Not Report DMRs")</f>
        <v>7.94376875E-3</v>
      </c>
      <c r="S218" s="10">
        <f t="shared" si="64"/>
        <v>3.1775074999999998E-5</v>
      </c>
      <c r="T218" s="10">
        <f>IF(COUNTIF('Processed Non-zero DMR Data'!$I:$I,$J218)&gt;0,_xlfn.MAXIFS('Processed Non-zero DMR Data'!$W:$W,'Processed Non-zero DMR Data'!$I:$I,$J218), "N/A - Facility Does Not Report DMRs")</f>
        <v>7.94376875E-3</v>
      </c>
      <c r="U218" s="10">
        <f t="shared" si="65"/>
        <v>3.1775074999999998E-5</v>
      </c>
      <c r="V218" s="158" cm="1">
        <f t="array" ref="V218">IF(COUNTIF('Processed Non-zero DMR Data'!$I:$I,$J218)&gt;0,INDEX('Processed Non-zero DMR Data'!$A:$A,MATCH(1,($J218='Processed Non-zero DMR Data'!$I:$I)*($T218='Processed Non-zero DMR Data'!$W:$W),0)), "N/A - Facility Does Not Report DMRs")</f>
        <v>2023</v>
      </c>
      <c r="W218" s="17" t="str" cm="1">
        <f t="array" ref="W218">IFERROR(_xlfn.XLOOKUP(1,  (MAX(IF(I218 = 'Processed Non-zero TRI Data'!$I$2:$I$6,'Processed Non-zero TRI Data'!$A$2:$A$6)) = 'Processed Non-zero TRI Data'!$A$2:$A$6)*('Processed Non-zero TRI Data'!$I$2:$I$6 = I218), 'Processed Non-zero TRI Data'!$T$2:$T$6), "N/A- Facility Does Not Report to TRI")</f>
        <v>N/A- Facility Does Not Report to TRI</v>
      </c>
      <c r="X218" s="10" t="str">
        <f t="shared" si="66"/>
        <v>N/A - Facility Does Not Report to TRI</v>
      </c>
      <c r="Y218" s="10" t="str" cm="1">
        <f t="array" ref="Y218">IF(COUNTIF('Processed Non-zero TRI Data'!$I:$I,$I218)&gt;0,MEDIAN(IF('Processed Non-zero TRI Data'!$I:$I=I218,'Processed Non-zero TRI Data'!$T:$T)), "N/A - Facility Does Not Report to TRI")</f>
        <v>N/A - Facility Does Not Report to TRI</v>
      </c>
      <c r="Z218" s="10" t="str">
        <f t="shared" si="67"/>
        <v>N/A - Facility Does Not Report to TRI</v>
      </c>
      <c r="AA218" s="10" t="str">
        <f>IF(COUNTIF('Processed Non-zero TRI Data'!$I:$I,$I218)&gt;0,_xlfn.MAXIFS('Processed Non-zero TRI Data'!$T:$T,'Processed Non-zero TRI Data'!$I:$I,$I218), "N/A - Facility Does Not Report to TRI")</f>
        <v>N/A - Facility Does Not Report to TRI</v>
      </c>
      <c r="AB218" s="10" t="str">
        <f t="shared" si="68"/>
        <v>N/A - Facility Does Not Report to TRI</v>
      </c>
      <c r="AC218" s="158" t="str" cm="1">
        <f t="array" ref="AC218">IFERROR(IF(B218 = "TRI Form R", IF(AA218 = 0, "Facility has no on-site water discharges between 2017-2022.",  IF(COUNTIF('Processed Non-zero TRI Data'!$I:$I,$I218)&gt;0,INDEX('Processed Non-zero TRI Data'!$A:$A,MATCH(1,($I218='Processed Non-zero TRI Data'!$I:$I)*(AA218='Processed Non-zero TRI Data'!$T:$T),0)))), VLOOKUP(I218,#REF!, 2, FALSE)), ("N/A - Facility Does Not Report to TRI"))</f>
        <v>N/A - Facility Does Not Report to TRI</v>
      </c>
      <c r="AD218" s="97" t="str" cm="1">
        <f t="array" ref="AD218">IFERROR(_xlfn.XLOOKUP(1,  (MAX(IF(I218 = 'Processed Non-zero TRI Data'!$I$2:$I$6,'Processed Non-zero TRI Data'!$A$2:$A$6)) = 'Processed Non-zero TRI Data'!$A$2:$A$6)*('Processed Non-zero TRI Data'!$I$2:$I$6 = I218), 'Processed Non-zero TRI Data'!$V$2:$V$6), "N/A- Facility Does Not Report to TRI")</f>
        <v>N/A- Facility Does Not Report to TRI</v>
      </c>
      <c r="AE218" s="9" t="str">
        <f t="shared" si="69"/>
        <v>N/A - Facility Does Not Report to TRI</v>
      </c>
      <c r="AF218" s="9" t="str" cm="1">
        <f t="array" ref="AF218">IF(COUNTIF('Processed Non-zero TRI Data'!$I:$I,$I218)&gt;0,MEDIAN(IF('Processed Non-zero TRI Data'!$I:$I=I218,'Processed Non-zero TRI Data'!$V:$V)), "N/A - Facility Does Not Report to TRI")</f>
        <v>N/A - Facility Does Not Report to TRI</v>
      </c>
      <c r="AG218" s="9" t="str">
        <f t="shared" si="70"/>
        <v>N/A - Facility Does Not Report to TRI</v>
      </c>
      <c r="AH218" s="9" t="str">
        <f>IF(COUNTIF('Processed Non-zero TRI Data'!$I:$I,$I218)&gt;0,_xlfn.MAXIFS('Processed Non-zero TRI Data'!$V:$V,'Processed Non-zero TRI Data'!$I:$I,$I218), "N/A - Facility Does Not Report to TRI")</f>
        <v>N/A - Facility Does Not Report to TRI</v>
      </c>
      <c r="AI218" s="9" t="str">
        <f t="shared" si="71"/>
        <v>N/A - Facility Does Not Report to TRI</v>
      </c>
      <c r="AJ218" s="158" t="str" cm="1">
        <f t="array" ref="AJ218">IF(B218="TRI Form A",AC218,IF(AH218=0,"Facility has no transfers to POTWs between 2019-2023.",IF(COUNTIF('Processed Non-zero TRI Data'!$I:$I,$I218)&gt;0,INDEX('Processed Non-zero TRI Data'!$A:$A,MATCH(1,($I218='Processed Non-zero TRI Data'!$I:$I)*(AH218='Processed Non-zero TRI Data'!$V:$V),0)),"N/A - Facility Does Not Report to TRI")))</f>
        <v>N/A - Facility Does Not Report to TRI</v>
      </c>
      <c r="AK218" s="97" t="str" cm="1">
        <f t="array" ref="AK218">IFERROR(_xlfn.XLOOKUP(1,  (MAX(IF(I218 = 'Processed Non-zero TRI Data'!$I$2:$I$6,'Processed Non-zero TRI Data'!$A$2:$A$6)) = 'Processed Non-zero TRI Data'!$A$2:$A$6)*('Processed Non-zero TRI Data'!$I$2:$I$6 = I218), 'Processed Non-zero TRI Data'!$X$2:$X$6), "N/A- Facility Does Not Report to TRI")</f>
        <v>N/A- Facility Does Not Report to TRI</v>
      </c>
      <c r="AL218" s="9" t="str">
        <f t="shared" si="72"/>
        <v>N/A - Facility Does Not Report to TRI</v>
      </c>
      <c r="AM218" s="9" t="str" cm="1">
        <f t="array" ref="AM218">IF(COUNTIF('Processed Non-zero TRI Data'!$I:$I,$I218)&gt;0,MEDIAN(IF('Processed Non-zero TRI Data'!$I:$I=I218,'Processed Non-zero TRI Data'!$X:$X)), "N/A - Facility Does Not Report to TRI")</f>
        <v>N/A - Facility Does Not Report to TRI</v>
      </c>
      <c r="AN218" s="9" t="str">
        <f t="shared" si="73"/>
        <v>N/A - Facility Does Not Report to TRI</v>
      </c>
      <c r="AO218" s="9" t="str">
        <f>IF(COUNTIF('Processed Non-zero TRI Data'!$I:$I,$I218)&gt;0,_xlfn.MAXIFS('Processed Non-zero TRI Data'!$X:$X,'Processed Non-zero TRI Data'!$I:$I,$I218), "N/A - Facility Does Not Report to TRI")</f>
        <v>N/A - Facility Does Not Report to TRI</v>
      </c>
      <c r="AP218" s="9" t="str">
        <f t="shared" si="74"/>
        <v>N/A - Facility Does Not Report to TRI</v>
      </c>
      <c r="AQ218" s="251" t="str" cm="1">
        <f t="array" ref="AQ218">IF(B218="TRI Form A",AC218,IF(AO218=0,"Facility has no transfers to non-POTWs between 2019-2023.",IF(COUNTIF('Processed Non-zero TRI Data'!$I:$I,$I218)&gt;0,INDEX('Processed Non-zero TRI Data'!$A:$A,MATCH(1,($I218='Processed Non-zero TRI Data'!$I:$I)*(AO218='Processed Non-zero TRI Data'!$X:$X),0)),"N/A - Facility Does Not Report to TRI")))</f>
        <v>N/A - Facility Does Not Report to TRI</v>
      </c>
      <c r="AR218" s="260">
        <f t="shared" si="75"/>
        <v>0</v>
      </c>
      <c r="AS218" s="260">
        <f t="shared" si="76"/>
        <v>7.94376875E-3</v>
      </c>
    </row>
    <row r="219" spans="1:45" ht="30" x14ac:dyDescent="0.25">
      <c r="A219" s="12">
        <v>216</v>
      </c>
      <c r="B219" s="10" t="str">
        <f>IFERROR("TRI Form "&amp; VLOOKUP(I219, 'Processed Non-zero TRI Data'!$I$2:$K$6, 3, FALSE), "DMR")</f>
        <v>DMR</v>
      </c>
      <c r="C219" s="181" t="e">
        <f>VLOOKUP(D219,#REF!, 2, FALSE)</f>
        <v>#REF!</v>
      </c>
      <c r="D219" s="181" t="str">
        <f>IF(I219&lt;&gt;"",INDEX('Processed Non-zero TRI Data'!$O:$O,MATCH(I219,'Processed Non-zero TRI Data'!$I:$I,0)),INDEX('Processed Non-zero DMR Data'!$S:$S,MATCH(J219,'Processed Non-zero DMR Data'!$I:$I,0)))</f>
        <v>Unknown</v>
      </c>
      <c r="E219" s="181" t="str">
        <f>IF(I219&lt;&gt;"",INDEX('Processed Non-zero TRI Data'!$P:$P,MATCH(I219,'Processed Non-zero TRI Data'!$I:$I,0)),INDEX('Processed Non-zero DMR Data'!$T:$T,MATCH(J219,'Processed Non-zero DMR Data'!$I:$I,0)))</f>
        <v>Solar energy project; no OES to map to.</v>
      </c>
      <c r="F219" s="9" t="str">
        <f>_xlfn.XLOOKUP(J219, 'Processed Non-zero DMR Data'!I:I, 'Processed Non-zero DMR Data'!B:B)</f>
        <v>LARIMER ENERGY FACILITY</v>
      </c>
      <c r="G219" s="9" t="str">
        <f>_xlfn.XLOOKUP(J219, 'Processed Non-zero DMR Data'!I:I, 'Processed Non-zero DMR Data'!C:C)</f>
        <v>FORT COLLINS</v>
      </c>
      <c r="H219" s="9" t="str">
        <f>_xlfn.XLOOKUP(J219, 'Processed Non-zero DMR Data'!I:I, 'Processed Non-zero DMR Data'!E:E)</f>
        <v>CO</v>
      </c>
      <c r="I219" s="12"/>
      <c r="J219" s="13">
        <v>110012150858</v>
      </c>
      <c r="K219" s="9" t="str">
        <f>IFERROR(INDEX('Raw Non-zero DMR Data'!$C:$C, MATCH(J219,'Raw Non-zero DMR Data'!$D:$D,0)),"")</f>
        <v>CO0049056</v>
      </c>
      <c r="L219" s="9" t="str">
        <f>IFERROR(INDEX('Raw Non-zero DMR Data'!$U:$U, MATCH($J219,'Raw Non-zero DMR Data'!$D:$D,0)),"")</f>
        <v>Fossil Creek-Reservoir-Cache La Poudre River</v>
      </c>
      <c r="M219" s="155">
        <f>IFERROR(INDEX('Raw Non-zero DMR Data'!$T:$T, MATCH($J219,'Raw Non-zero DMR Data'!$D:$D,0)),"")</f>
        <v>101900071002</v>
      </c>
      <c r="N219" s="155" t="str">
        <f>IFERROR(INDEX('Off-site Locations'!$E:$E,MATCH(I219,'Off-site Locations'!$B:$B,0)),"No offsite transfers")</f>
        <v>No offsite transfers</v>
      </c>
      <c r="O219" s="165">
        <f>INDEX('TRI and DMR OES Summary'!D:D,MATCH('Facility Discharge Summary'!D219,'TRI and DMR OES Summary'!A:A,0))</f>
        <v>250</v>
      </c>
      <c r="P219" s="17" cm="1">
        <f t="array" ref="P219">IFERROR(_xlfn.XLOOKUP(1,  (MAX(IF(J219 = 'Processed Non-zero DMR Data'!$I$2:$I$651,'Processed Non-zero DMR Data'!$A$2:$A$651)) = 'Processed Non-zero DMR Data'!$A$2:$A$651)*('Processed Non-zero DMR Data'!$I$2:$I$651 = J219),'Processed Non-zero DMR Data'!$W$2:$W$651), "N/A- Facility Does Not Report DMRs")</f>
        <v>2.4702492818181798E-3</v>
      </c>
      <c r="Q219" s="10">
        <f t="shared" si="63"/>
        <v>9.8809971272727185E-6</v>
      </c>
      <c r="R219" s="10" cm="1">
        <f t="array" ref="R219">IF(COUNTIF('Processed Non-zero DMR Data'!$I:$I,$J219)&gt;0,MEDIAN(IF('Processed Non-zero DMR Data'!$I:$I=J219,'Processed Non-zero DMR Data'!$W:$W)),"N/A - Facility Does Not Report DMRs")</f>
        <v>2.4702492818181798E-3</v>
      </c>
      <c r="S219" s="10">
        <f t="shared" si="64"/>
        <v>9.8809971272727185E-6</v>
      </c>
      <c r="T219" s="10">
        <f>IF(COUNTIF('Processed Non-zero DMR Data'!$I:$I,$J219)&gt;0,_xlfn.MAXIFS('Processed Non-zero DMR Data'!$W:$W,'Processed Non-zero DMR Data'!$I:$I,$J219), "N/A - Facility Does Not Report DMRs")</f>
        <v>2.4702492818181798E-3</v>
      </c>
      <c r="U219" s="10">
        <f t="shared" si="65"/>
        <v>9.8809971272727185E-6</v>
      </c>
      <c r="V219" s="158" cm="1">
        <f t="array" ref="V219">IF(COUNTIF('Processed Non-zero DMR Data'!$I:$I,$J219)&gt;0,INDEX('Processed Non-zero DMR Data'!$A:$A,MATCH(1,($J219='Processed Non-zero DMR Data'!$I:$I)*($T219='Processed Non-zero DMR Data'!$W:$W),0)), "N/A - Facility Does Not Report DMRs")</f>
        <v>2023</v>
      </c>
      <c r="W219" s="17" t="str" cm="1">
        <f t="array" ref="W219">IFERROR(_xlfn.XLOOKUP(1,  (MAX(IF(I219 = 'Processed Non-zero TRI Data'!$I$2:$I$6,'Processed Non-zero TRI Data'!$A$2:$A$6)) = 'Processed Non-zero TRI Data'!$A$2:$A$6)*('Processed Non-zero TRI Data'!$I$2:$I$6 = I219), 'Processed Non-zero TRI Data'!$T$2:$T$6), "N/A- Facility Does Not Report to TRI")</f>
        <v>N/A- Facility Does Not Report to TRI</v>
      </c>
      <c r="X219" s="10" t="str">
        <f t="shared" si="66"/>
        <v>N/A - Facility Does Not Report to TRI</v>
      </c>
      <c r="Y219" s="10" t="str" cm="1">
        <f t="array" ref="Y219">IF(COUNTIF('Processed Non-zero TRI Data'!$I:$I,$I219)&gt;0,MEDIAN(IF('Processed Non-zero TRI Data'!$I:$I=I219,'Processed Non-zero TRI Data'!$T:$T)), "N/A - Facility Does Not Report to TRI")</f>
        <v>N/A - Facility Does Not Report to TRI</v>
      </c>
      <c r="Z219" s="10" t="str">
        <f t="shared" si="67"/>
        <v>N/A - Facility Does Not Report to TRI</v>
      </c>
      <c r="AA219" s="10" t="str">
        <f>IF(COUNTIF('Processed Non-zero TRI Data'!$I:$I,$I219)&gt;0,_xlfn.MAXIFS('Processed Non-zero TRI Data'!$T:$T,'Processed Non-zero TRI Data'!$I:$I,$I219), "N/A - Facility Does Not Report to TRI")</f>
        <v>N/A - Facility Does Not Report to TRI</v>
      </c>
      <c r="AB219" s="10" t="str">
        <f t="shared" si="68"/>
        <v>N/A - Facility Does Not Report to TRI</v>
      </c>
      <c r="AC219" s="158" t="str" cm="1">
        <f t="array" ref="AC219">IFERROR(IF(B219 = "TRI Form R", IF(AA219 = 0, "Facility has no on-site water discharges between 2017-2022.",  IF(COUNTIF('Processed Non-zero TRI Data'!$I:$I,$I219)&gt;0,INDEX('Processed Non-zero TRI Data'!$A:$A,MATCH(1,($I219='Processed Non-zero TRI Data'!$I:$I)*(AA219='Processed Non-zero TRI Data'!$T:$T),0)))), VLOOKUP(I219,#REF!, 2, FALSE)), ("N/A - Facility Does Not Report to TRI"))</f>
        <v>N/A - Facility Does Not Report to TRI</v>
      </c>
      <c r="AD219" s="97" t="str" cm="1">
        <f t="array" ref="AD219">IFERROR(_xlfn.XLOOKUP(1,  (MAX(IF(I219 = 'Processed Non-zero TRI Data'!$I$2:$I$6,'Processed Non-zero TRI Data'!$A$2:$A$6)) = 'Processed Non-zero TRI Data'!$A$2:$A$6)*('Processed Non-zero TRI Data'!$I$2:$I$6 = I219), 'Processed Non-zero TRI Data'!$V$2:$V$6), "N/A- Facility Does Not Report to TRI")</f>
        <v>N/A- Facility Does Not Report to TRI</v>
      </c>
      <c r="AE219" s="9" t="str">
        <f t="shared" si="69"/>
        <v>N/A - Facility Does Not Report to TRI</v>
      </c>
      <c r="AF219" s="9" t="str" cm="1">
        <f t="array" ref="AF219">IF(COUNTIF('Processed Non-zero TRI Data'!$I:$I,$I219)&gt;0,MEDIAN(IF('Processed Non-zero TRI Data'!$I:$I=I219,'Processed Non-zero TRI Data'!$V:$V)), "N/A - Facility Does Not Report to TRI")</f>
        <v>N/A - Facility Does Not Report to TRI</v>
      </c>
      <c r="AG219" s="9" t="str">
        <f t="shared" si="70"/>
        <v>N/A - Facility Does Not Report to TRI</v>
      </c>
      <c r="AH219" s="9" t="str">
        <f>IF(COUNTIF('Processed Non-zero TRI Data'!$I:$I,$I219)&gt;0,_xlfn.MAXIFS('Processed Non-zero TRI Data'!$V:$V,'Processed Non-zero TRI Data'!$I:$I,$I219), "N/A - Facility Does Not Report to TRI")</f>
        <v>N/A - Facility Does Not Report to TRI</v>
      </c>
      <c r="AI219" s="9" t="str">
        <f t="shared" si="71"/>
        <v>N/A - Facility Does Not Report to TRI</v>
      </c>
      <c r="AJ219" s="158" t="str" cm="1">
        <f t="array" ref="AJ219">IF(B219="TRI Form A",AC219,IF(AH219=0,"Facility has no transfers to POTWs between 2019-2023.",IF(COUNTIF('Processed Non-zero TRI Data'!$I:$I,$I219)&gt;0,INDEX('Processed Non-zero TRI Data'!$A:$A,MATCH(1,($I219='Processed Non-zero TRI Data'!$I:$I)*(AH219='Processed Non-zero TRI Data'!$V:$V),0)),"N/A - Facility Does Not Report to TRI")))</f>
        <v>N/A - Facility Does Not Report to TRI</v>
      </c>
      <c r="AK219" s="97" t="str" cm="1">
        <f t="array" ref="AK219">IFERROR(_xlfn.XLOOKUP(1,  (MAX(IF(I219 = 'Processed Non-zero TRI Data'!$I$2:$I$6,'Processed Non-zero TRI Data'!$A$2:$A$6)) = 'Processed Non-zero TRI Data'!$A$2:$A$6)*('Processed Non-zero TRI Data'!$I$2:$I$6 = I219), 'Processed Non-zero TRI Data'!$X$2:$X$6), "N/A- Facility Does Not Report to TRI")</f>
        <v>N/A- Facility Does Not Report to TRI</v>
      </c>
      <c r="AL219" s="9" t="str">
        <f t="shared" si="72"/>
        <v>N/A - Facility Does Not Report to TRI</v>
      </c>
      <c r="AM219" s="9" t="str" cm="1">
        <f t="array" ref="AM219">IF(COUNTIF('Processed Non-zero TRI Data'!$I:$I,$I219)&gt;0,MEDIAN(IF('Processed Non-zero TRI Data'!$I:$I=I219,'Processed Non-zero TRI Data'!$X:$X)), "N/A - Facility Does Not Report to TRI")</f>
        <v>N/A - Facility Does Not Report to TRI</v>
      </c>
      <c r="AN219" s="9" t="str">
        <f t="shared" si="73"/>
        <v>N/A - Facility Does Not Report to TRI</v>
      </c>
      <c r="AO219" s="9" t="str">
        <f>IF(COUNTIF('Processed Non-zero TRI Data'!$I:$I,$I219)&gt;0,_xlfn.MAXIFS('Processed Non-zero TRI Data'!$X:$X,'Processed Non-zero TRI Data'!$I:$I,$I219), "N/A - Facility Does Not Report to TRI")</f>
        <v>N/A - Facility Does Not Report to TRI</v>
      </c>
      <c r="AP219" s="9" t="str">
        <f t="shared" si="74"/>
        <v>N/A - Facility Does Not Report to TRI</v>
      </c>
      <c r="AQ219" s="251" t="str" cm="1">
        <f t="array" ref="AQ219">IF(B219="TRI Form A",AC219,IF(AO219=0,"Facility has no transfers to non-POTWs between 2019-2023.",IF(COUNTIF('Processed Non-zero TRI Data'!$I:$I,$I219)&gt;0,INDEX('Processed Non-zero TRI Data'!$A:$A,MATCH(1,($I219='Processed Non-zero TRI Data'!$I:$I)*(AO219='Processed Non-zero TRI Data'!$X:$X),0)),"N/A - Facility Does Not Report to TRI")))</f>
        <v>N/A - Facility Does Not Report to TRI</v>
      </c>
      <c r="AR219" s="260">
        <f t="shared" si="75"/>
        <v>0</v>
      </c>
      <c r="AS219" s="260">
        <f t="shared" si="76"/>
        <v>2.4702492818181798E-3</v>
      </c>
    </row>
    <row r="220" spans="1:45" ht="30" x14ac:dyDescent="0.25">
      <c r="A220" s="12">
        <v>217</v>
      </c>
      <c r="B220" s="10" t="str">
        <f>IFERROR("TRI Form "&amp; VLOOKUP(I220, 'Processed Non-zero TRI Data'!$I$2:$K$6, 3, FALSE), "DMR")</f>
        <v>DMR</v>
      </c>
      <c r="C220" s="181" t="e">
        <f>VLOOKUP(D220,#REF!, 2, FALSE)</f>
        <v>#REF!</v>
      </c>
      <c r="D220" s="181" t="str">
        <f>IF(I220&lt;&gt;"",INDEX('Processed Non-zero TRI Data'!$O:$O,MATCH(I220,'Processed Non-zero TRI Data'!$I:$I,0)),INDEX('Processed Non-zero DMR Data'!$S:$S,MATCH(J220,'Processed Non-zero DMR Data'!$I:$I,0)))</f>
        <v>Waste Handling, Disposal and Treatment (POTW)</v>
      </c>
      <c r="E220" s="181" t="str">
        <f>IF(I220&lt;&gt;"",INDEX('Processed Non-zero TRI Data'!$P:$P,MATCH(I220,'Processed Non-zero TRI Data'!$I:$I,0)),INDEX('Processed Non-zero DMR Data'!$T:$T,MATCH(J220,'Processed Non-zero DMR Data'!$I:$I,0)))</f>
        <v>POTW indicator in DMR</v>
      </c>
      <c r="F220" s="9" t="str">
        <f>_xlfn.XLOOKUP(J220, 'Processed Non-zero DMR Data'!I:I, 'Processed Non-zero DMR Data'!B:B)</f>
        <v>FRANKFORT MUNICIPAL STP</v>
      </c>
      <c r="G220" s="9" t="str">
        <f>_xlfn.XLOOKUP(J220, 'Processed Non-zero DMR Data'!I:I, 'Processed Non-zero DMR Data'!C:C)</f>
        <v>FRANKFORT</v>
      </c>
      <c r="H220" s="9" t="str">
        <f>_xlfn.XLOOKUP(J220, 'Processed Non-zero DMR Data'!I:I, 'Processed Non-zero DMR Data'!E:E)</f>
        <v>KY</v>
      </c>
      <c r="I220" s="12"/>
      <c r="J220" s="13">
        <v>110000732299</v>
      </c>
      <c r="K220" s="9" t="str">
        <f>IFERROR(INDEX('Raw Non-zero DMR Data'!$C:$C, MATCH(J220,'Raw Non-zero DMR Data'!$D:$D,0)),"")</f>
        <v>KY0022861</v>
      </c>
      <c r="L220" s="9" t="str">
        <f>IFERROR(INDEX('Raw Non-zero DMR Data'!$U:$U, MATCH($J220,'Raw Non-zero DMR Data'!$D:$D,0)),"")</f>
        <v>Stony Creek-Kentucky River</v>
      </c>
      <c r="M220" s="155" t="str">
        <f>IFERROR(INDEX('Raw Non-zero DMR Data'!$T:$T, MATCH($J220,'Raw Non-zero DMR Data'!$D:$D,0)),"")</f>
        <v>051002051501</v>
      </c>
      <c r="N220" s="155" t="str">
        <f>IFERROR(INDEX('Off-site Locations'!$E:$E,MATCH(I220,'Off-site Locations'!$B:$B,0)),"No offsite transfers")</f>
        <v>No offsite transfers</v>
      </c>
      <c r="O220" s="165">
        <f>INDEX('TRI and DMR OES Summary'!D:D,MATCH('Facility Discharge Summary'!D220,'TRI and DMR OES Summary'!A:A,0))</f>
        <v>365</v>
      </c>
      <c r="P220" s="17" cm="1">
        <f t="array" ref="P220">IFERROR(_xlfn.XLOOKUP(1,  (MAX(IF(J220 = 'Processed Non-zero DMR Data'!$I$2:$I$651,'Processed Non-zero DMR Data'!$A$2:$A$651)) = 'Processed Non-zero DMR Data'!$A$2:$A$651)*('Processed Non-zero DMR Data'!$I$2:$I$651 = J220),'Processed Non-zero DMR Data'!$W$2:$W$651), "N/A- Facility Does Not Report DMRs")</f>
        <v>13.4007925</v>
      </c>
      <c r="Q220" s="10">
        <f t="shared" si="63"/>
        <v>3.6714499999999997E-2</v>
      </c>
      <c r="R220" s="10" cm="1">
        <f t="array" ref="R220">IF(COUNTIF('Processed Non-zero DMR Data'!$I:$I,$J220)&gt;0,MEDIAN(IF('Processed Non-zero DMR Data'!$I:$I=J220,'Processed Non-zero DMR Data'!$W:$W)),"N/A - Facility Does Not Report DMRs")</f>
        <v>13.4007925</v>
      </c>
      <c r="S220" s="10">
        <f t="shared" si="64"/>
        <v>3.6714499999999997E-2</v>
      </c>
      <c r="T220" s="10">
        <f>IF(COUNTIF('Processed Non-zero DMR Data'!$I:$I,$J220)&gt;0,_xlfn.MAXIFS('Processed Non-zero DMR Data'!$W:$W,'Processed Non-zero DMR Data'!$I:$I,$J220), "N/A - Facility Does Not Report DMRs")</f>
        <v>13.4007925</v>
      </c>
      <c r="U220" s="10">
        <f t="shared" si="65"/>
        <v>3.6714499999999997E-2</v>
      </c>
      <c r="V220" s="158" cm="1">
        <f t="array" ref="V220">IF(COUNTIF('Processed Non-zero DMR Data'!$I:$I,$J220)&gt;0,INDEX('Processed Non-zero DMR Data'!$A:$A,MATCH(1,($J220='Processed Non-zero DMR Data'!$I:$I)*($T220='Processed Non-zero DMR Data'!$W:$W),0)), "N/A - Facility Does Not Report DMRs")</f>
        <v>2023</v>
      </c>
      <c r="W220" s="17" t="str" cm="1">
        <f t="array" ref="W220">IFERROR(_xlfn.XLOOKUP(1,  (MAX(IF(I220 = 'Processed Non-zero TRI Data'!$I$2:$I$6,'Processed Non-zero TRI Data'!$A$2:$A$6)) = 'Processed Non-zero TRI Data'!$A$2:$A$6)*('Processed Non-zero TRI Data'!$I$2:$I$6 = I220), 'Processed Non-zero TRI Data'!$T$2:$T$6), "N/A- Facility Does Not Report to TRI")</f>
        <v>N/A- Facility Does Not Report to TRI</v>
      </c>
      <c r="X220" s="10" t="str">
        <f t="shared" si="66"/>
        <v>N/A - Facility Does Not Report to TRI</v>
      </c>
      <c r="Y220" s="10" t="str" cm="1">
        <f t="array" ref="Y220">IF(COUNTIF('Processed Non-zero TRI Data'!$I:$I,$I220)&gt;0,MEDIAN(IF('Processed Non-zero TRI Data'!$I:$I=I220,'Processed Non-zero TRI Data'!$T:$T)), "N/A - Facility Does Not Report to TRI")</f>
        <v>N/A - Facility Does Not Report to TRI</v>
      </c>
      <c r="Z220" s="10" t="str">
        <f t="shared" si="67"/>
        <v>N/A - Facility Does Not Report to TRI</v>
      </c>
      <c r="AA220" s="10" t="str">
        <f>IF(COUNTIF('Processed Non-zero TRI Data'!$I:$I,$I220)&gt;0,_xlfn.MAXIFS('Processed Non-zero TRI Data'!$T:$T,'Processed Non-zero TRI Data'!$I:$I,$I220), "N/A - Facility Does Not Report to TRI")</f>
        <v>N/A - Facility Does Not Report to TRI</v>
      </c>
      <c r="AB220" s="10" t="str">
        <f t="shared" si="68"/>
        <v>N/A - Facility Does Not Report to TRI</v>
      </c>
      <c r="AC220" s="158" t="str" cm="1">
        <f t="array" ref="AC220">IFERROR(IF(B220 = "TRI Form R", IF(AA220 = 0, "Facility has no on-site water discharges between 2017-2022.",  IF(COUNTIF('Processed Non-zero TRI Data'!$I:$I,$I220)&gt;0,INDEX('Processed Non-zero TRI Data'!$A:$A,MATCH(1,($I220='Processed Non-zero TRI Data'!$I:$I)*(AA220='Processed Non-zero TRI Data'!$T:$T),0)))), VLOOKUP(I220,#REF!, 2, FALSE)), ("N/A - Facility Does Not Report to TRI"))</f>
        <v>N/A - Facility Does Not Report to TRI</v>
      </c>
      <c r="AD220" s="97" t="str" cm="1">
        <f t="array" ref="AD220">IFERROR(_xlfn.XLOOKUP(1,  (MAX(IF(I220 = 'Processed Non-zero TRI Data'!$I$2:$I$6,'Processed Non-zero TRI Data'!$A$2:$A$6)) = 'Processed Non-zero TRI Data'!$A$2:$A$6)*('Processed Non-zero TRI Data'!$I$2:$I$6 = I220), 'Processed Non-zero TRI Data'!$V$2:$V$6), "N/A- Facility Does Not Report to TRI")</f>
        <v>N/A- Facility Does Not Report to TRI</v>
      </c>
      <c r="AE220" s="9" t="str">
        <f t="shared" si="69"/>
        <v>N/A - Facility Does Not Report to TRI</v>
      </c>
      <c r="AF220" s="9" t="str" cm="1">
        <f t="array" ref="AF220">IF(COUNTIF('Processed Non-zero TRI Data'!$I:$I,$I220)&gt;0,MEDIAN(IF('Processed Non-zero TRI Data'!$I:$I=I220,'Processed Non-zero TRI Data'!$V:$V)), "N/A - Facility Does Not Report to TRI")</f>
        <v>N/A - Facility Does Not Report to TRI</v>
      </c>
      <c r="AG220" s="9" t="str">
        <f t="shared" si="70"/>
        <v>N/A - Facility Does Not Report to TRI</v>
      </c>
      <c r="AH220" s="9" t="str">
        <f>IF(COUNTIF('Processed Non-zero TRI Data'!$I:$I,$I220)&gt;0,_xlfn.MAXIFS('Processed Non-zero TRI Data'!$V:$V,'Processed Non-zero TRI Data'!$I:$I,$I220), "N/A - Facility Does Not Report to TRI")</f>
        <v>N/A - Facility Does Not Report to TRI</v>
      </c>
      <c r="AI220" s="9" t="str">
        <f t="shared" si="71"/>
        <v>N/A - Facility Does Not Report to TRI</v>
      </c>
      <c r="AJ220" s="158" t="str" cm="1">
        <f t="array" ref="AJ220">IF(B220="TRI Form A",AC220,IF(AH220=0,"Facility has no transfers to POTWs between 2019-2023.",IF(COUNTIF('Processed Non-zero TRI Data'!$I:$I,$I220)&gt;0,INDEX('Processed Non-zero TRI Data'!$A:$A,MATCH(1,($I220='Processed Non-zero TRI Data'!$I:$I)*(AH220='Processed Non-zero TRI Data'!$V:$V),0)),"N/A - Facility Does Not Report to TRI")))</f>
        <v>N/A - Facility Does Not Report to TRI</v>
      </c>
      <c r="AK220" s="97" t="str" cm="1">
        <f t="array" ref="AK220">IFERROR(_xlfn.XLOOKUP(1,  (MAX(IF(I220 = 'Processed Non-zero TRI Data'!$I$2:$I$6,'Processed Non-zero TRI Data'!$A$2:$A$6)) = 'Processed Non-zero TRI Data'!$A$2:$A$6)*('Processed Non-zero TRI Data'!$I$2:$I$6 = I220), 'Processed Non-zero TRI Data'!$X$2:$X$6), "N/A- Facility Does Not Report to TRI")</f>
        <v>N/A- Facility Does Not Report to TRI</v>
      </c>
      <c r="AL220" s="9" t="str">
        <f t="shared" si="72"/>
        <v>N/A - Facility Does Not Report to TRI</v>
      </c>
      <c r="AM220" s="9" t="str" cm="1">
        <f t="array" ref="AM220">IF(COUNTIF('Processed Non-zero TRI Data'!$I:$I,$I220)&gt;0,MEDIAN(IF('Processed Non-zero TRI Data'!$I:$I=I220,'Processed Non-zero TRI Data'!$X:$X)), "N/A - Facility Does Not Report to TRI")</f>
        <v>N/A - Facility Does Not Report to TRI</v>
      </c>
      <c r="AN220" s="9" t="str">
        <f t="shared" si="73"/>
        <v>N/A - Facility Does Not Report to TRI</v>
      </c>
      <c r="AO220" s="9" t="str">
        <f>IF(COUNTIF('Processed Non-zero TRI Data'!$I:$I,$I220)&gt;0,_xlfn.MAXIFS('Processed Non-zero TRI Data'!$X:$X,'Processed Non-zero TRI Data'!$I:$I,$I220), "N/A - Facility Does Not Report to TRI")</f>
        <v>N/A - Facility Does Not Report to TRI</v>
      </c>
      <c r="AP220" s="9" t="str">
        <f t="shared" si="74"/>
        <v>N/A - Facility Does Not Report to TRI</v>
      </c>
      <c r="AQ220" s="251" t="str" cm="1">
        <f t="array" ref="AQ220">IF(B220="TRI Form A",AC220,IF(AO220=0,"Facility has no transfers to non-POTWs between 2019-2023.",IF(COUNTIF('Processed Non-zero TRI Data'!$I:$I,$I220)&gt;0,INDEX('Processed Non-zero TRI Data'!$A:$A,MATCH(1,($I220='Processed Non-zero TRI Data'!$I:$I)*(AO220='Processed Non-zero TRI Data'!$X:$X),0)),"N/A - Facility Does Not Report to TRI")))</f>
        <v>N/A - Facility Does Not Report to TRI</v>
      </c>
      <c r="AR220" s="260">
        <f t="shared" si="75"/>
        <v>0</v>
      </c>
      <c r="AS220" s="260">
        <f t="shared" si="76"/>
        <v>13.4007925</v>
      </c>
    </row>
  </sheetData>
  <sheetProtection sheet="1" objects="1" scenarios="1" formatCells="0" formatColumns="0" formatRows="0" sort="0" autoFilter="0"/>
  <autoFilter ref="A3:AR220" xr:uid="{B0650E4B-BE99-4D18-9F73-4A4D50EDE5B7}"/>
  <mergeCells count="6">
    <mergeCell ref="P2:V2"/>
    <mergeCell ref="P1:AC1"/>
    <mergeCell ref="W2:AC2"/>
    <mergeCell ref="AD1:AQ1"/>
    <mergeCell ref="AD2:AJ2"/>
    <mergeCell ref="AK2:AQ2"/>
  </mergeCells>
  <phoneticPr fontId="7" type="noConversion"/>
  <pageMargins left="0.7" right="0.7" top="0.75" bottom="0.75" header="0.3" footer="0.3"/>
  <pageSetup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5A4E7-8CFB-428E-B62D-FA61FC7EF019}">
  <sheetPr codeName="Sheet6">
    <tabColor theme="4"/>
  </sheetPr>
  <dimension ref="A1:W218"/>
  <sheetViews>
    <sheetView workbookViewId="0">
      <selection activeCell="P2" sqref="P2"/>
    </sheetView>
  </sheetViews>
  <sheetFormatPr defaultRowHeight="15" x14ac:dyDescent="0.25"/>
  <cols>
    <col min="1" max="1" width="16.5703125" style="242" customWidth="1"/>
    <col min="2" max="2" width="17" style="7" bestFit="1" customWidth="1"/>
    <col min="3" max="4" width="17" style="7" customWidth="1"/>
    <col min="5" max="5" width="51.7109375" style="7" customWidth="1"/>
    <col min="6" max="6" width="21.85546875" style="26" customWidth="1"/>
    <col min="7" max="7" width="18.85546875" style="26" customWidth="1"/>
    <col min="8" max="8" width="7.5703125" style="7" customWidth="1"/>
    <col min="9" max="9" width="11.5703125" style="7" customWidth="1"/>
    <col min="10" max="10" width="16.42578125" customWidth="1"/>
    <col min="11" max="11" width="18" customWidth="1"/>
    <col min="12" max="12" width="20.42578125" style="7" customWidth="1"/>
    <col min="13" max="13" width="15.85546875" style="183" customWidth="1"/>
    <col min="14" max="14" width="16.7109375" style="25" customWidth="1"/>
    <col min="15" max="15" width="49" style="7" customWidth="1"/>
    <col min="16" max="16" width="26.85546875" style="7" bestFit="1" customWidth="1"/>
    <col min="17" max="17" width="41.7109375" style="7" hidden="1" customWidth="1"/>
    <col min="18" max="18" width="54.85546875" style="7" bestFit="1" customWidth="1"/>
    <col min="19" max="19" width="54.85546875" style="7" customWidth="1"/>
    <col min="20" max="20" width="17.42578125" style="7" bestFit="1" customWidth="1"/>
    <col min="21" max="22" width="11.5703125" customWidth="1"/>
    <col min="23" max="23" width="33.5703125" bestFit="1" customWidth="1"/>
  </cols>
  <sheetData>
    <row r="1" spans="1:23" ht="60" x14ac:dyDescent="0.25">
      <c r="A1" s="241" t="s">
        <v>79</v>
      </c>
      <c r="B1" s="218" t="s">
        <v>122</v>
      </c>
      <c r="C1" s="218" t="s">
        <v>123</v>
      </c>
      <c r="D1" s="218" t="s">
        <v>80</v>
      </c>
      <c r="E1" s="218" t="s">
        <v>83</v>
      </c>
      <c r="F1" s="218" t="s">
        <v>124</v>
      </c>
      <c r="G1" s="218" t="s">
        <v>84</v>
      </c>
      <c r="H1" s="218" t="s">
        <v>85</v>
      </c>
      <c r="I1" s="218" t="s">
        <v>125</v>
      </c>
      <c r="J1" s="218" t="s">
        <v>126</v>
      </c>
      <c r="K1" s="218" t="s">
        <v>127</v>
      </c>
      <c r="L1" s="218" t="s">
        <v>86</v>
      </c>
      <c r="M1" s="218" t="s">
        <v>87</v>
      </c>
      <c r="N1" s="219" t="s">
        <v>128</v>
      </c>
      <c r="O1" s="218" t="s">
        <v>129</v>
      </c>
      <c r="P1" s="220" t="s">
        <v>130</v>
      </c>
      <c r="Q1" s="220" t="s">
        <v>81</v>
      </c>
      <c r="R1" s="220" t="s">
        <v>51</v>
      </c>
      <c r="S1" s="220" t="s">
        <v>82</v>
      </c>
      <c r="T1" s="220" t="s">
        <v>131</v>
      </c>
      <c r="U1" s="217" t="s">
        <v>132</v>
      </c>
      <c r="V1" s="217" t="s">
        <v>100</v>
      </c>
      <c r="W1" s="217" t="s">
        <v>101</v>
      </c>
    </row>
    <row r="2" spans="1:23" ht="45" x14ac:dyDescent="0.25">
      <c r="A2" s="9">
        <v>1</v>
      </c>
      <c r="B2" s="10" t="str">
        <f>IF(COUNTIF('Processed Non-zero TRI Data'!J:J,'Facility Summary_Water'!M2)&gt;0, "TRI Form " &amp; INDEX('Processed Non-zero TRI Data'!K:K,MATCH('Facility Summary_Water'!M2,'Processed Non-zero TRI Data'!J:J,0)), "" )</f>
        <v>TRI Form R</v>
      </c>
      <c r="C2" s="10" t="str">
        <f>IF(COUNTIF('Processed Non-zero DMR Data'!I:I, 'Facility Summary_Water'!M2)&gt;0, "DMR", "")</f>
        <v>DMR</v>
      </c>
      <c r="D2" s="10"/>
      <c r="E2" s="9" t="s">
        <v>133</v>
      </c>
      <c r="F2" s="9"/>
      <c r="G2" s="9" t="s">
        <v>134</v>
      </c>
      <c r="H2" s="9" t="s">
        <v>135</v>
      </c>
      <c r="I2" s="9"/>
      <c r="J2" s="9">
        <f>IF(L2&lt;&gt;"", INDEX('Processed Non-zero TRI Data'!$G:$G, MATCH(L2, 'Processed Non-zero TRI Data'!$I:$I,0)), INDEX('Processed Non-zero DMR Data'!$F:$F, MATCH(M2,'Processed Non-zero DMR Data'!$I:$I, 0)))</f>
        <v>38.772219999999997</v>
      </c>
      <c r="K2" s="9">
        <f>IF(L2&lt;&gt;"", INDEX('Processed Non-zero TRI Data'!$H:$H, MATCH(L2, 'Processed Non-zero TRI Data'!$I:$I,0)), INDEX('Processed Non-zero DMR Data'!$G:$G, MATCH(M2,'Processed Non-zero DMR Data'!$I:$I, 0)))</f>
        <v>-82.205560000000006</v>
      </c>
      <c r="L2" s="9" t="s">
        <v>103</v>
      </c>
      <c r="M2" s="13">
        <v>110000607772</v>
      </c>
      <c r="N2" s="9">
        <f>IF(L2&lt;&gt;"",INDEX('Processed Non-zero TRI Data'!L:L,MATCH('Facility Summary_Water'!L2,'Processed Non-zero TRI Data'!I:I,0)),INDEX('Processed Non-zero DMR Data'!$L:$L,MATCH('Facility Summary_Water'!M2,'Processed Non-zero DMR Data'!$I:$I,0)))</f>
        <v>325998</v>
      </c>
      <c r="O2" s="10" t="str">
        <f>INDEX('2017 - 2022 NAICS'!D:D,MATCH('Facility Summary_Water'!N2,'2017 - 2022 NAICS'!C:C,0))</f>
        <v>All Other Miscellaneous Chemical Product and Preparation Manufacturing</v>
      </c>
      <c r="P2" s="10" t="str">
        <f>IFERROR(VLOOKUP(L2, 'Processed Non-zero TRI Data'!I:Q, 8, 0), "Direct")</f>
        <v>EarthJustice Technical Report (EPA-HQ-OPPT-2018-0428-0011)</v>
      </c>
      <c r="Q2" s="10" t="e">
        <f>VLOOKUP(R2,#REF!, 2, FALSE)</f>
        <v>#REF!</v>
      </c>
      <c r="R2" s="10" t="str">
        <f>INDEX('Facility Discharge Summary'!D:D, MATCH('Facility Summary_Water'!M2, 'Facility Discharge Summary'!J:J,0))</f>
        <v>Manufacture</v>
      </c>
      <c r="S2" s="10" t="str">
        <f>INDEX('TRIFD-OES Crosswalk'!C:C, MATCH('Facility Summary_Water'!M2, 'TRIFD-OES Crosswalk'!A:A,0))</f>
        <v>TRI Use: Manufacturing</v>
      </c>
      <c r="T2" s="10" t="s">
        <v>72</v>
      </c>
      <c r="U2" s="9">
        <f>INDEX('TRI and DMR OES Summary'!D:D, MATCH('Facility Summary_Water'!R2,'TRI and DMR OES Summary'!A:A,0))</f>
        <v>350</v>
      </c>
      <c r="V2" s="258">
        <f>INDEX('Facility Discharge Summary'!AR:AR,MATCH('Facility Summary_Water'!M2,'Facility Discharge Summary'!J:J,0))</f>
        <v>5.4208824138700002</v>
      </c>
      <c r="W2" s="258">
        <f>INDEX('Facility Discharge Summary'!T:T,MATCH('Facility Summary_Water'!M2,'Facility Discharge Summary'!J:J,0))</f>
        <v>6.0027198999999998</v>
      </c>
    </row>
    <row r="3" spans="1:23" x14ac:dyDescent="0.25">
      <c r="A3" s="9">
        <v>2</v>
      </c>
      <c r="B3" s="10" t="str">
        <f>IF(COUNTIF('Processed Non-zero TRI Data'!J:J,'Facility Summary_Water'!M3)&gt;0, "TRI Form " &amp; INDEX('Processed Non-zero TRI Data'!K:K,MATCH('Facility Summary_Water'!M3,'Processed Non-zero TRI Data'!J:J,0)), "" )</f>
        <v>TRI Form R</v>
      </c>
      <c r="C3" s="10" t="str">
        <f>IF(COUNTIF('Processed Non-zero DMR Data'!I:I, 'Facility Summary_Water'!M3)&gt;0, "DMR", "")</f>
        <v/>
      </c>
      <c r="D3" s="10"/>
      <c r="E3" s="9" t="s">
        <v>104</v>
      </c>
      <c r="F3" s="9"/>
      <c r="G3" s="9" t="s">
        <v>105</v>
      </c>
      <c r="H3" s="9" t="s">
        <v>106</v>
      </c>
      <c r="I3" s="9"/>
      <c r="J3" s="9">
        <f>IF(L3&lt;&gt;"", INDEX('Processed Non-zero TRI Data'!$G:$G, MATCH(L3, 'Processed Non-zero TRI Data'!$I:$I,0)), INDEX('Processed Non-zero DMR Data'!$F:$F, MATCH(M3,'Processed Non-zero DMR Data'!$I:$I, 0)))</f>
        <v>30.320903000000001</v>
      </c>
      <c r="K3" s="9">
        <f>IF(L3&lt;&gt;"", INDEX('Processed Non-zero TRI Data'!$H:$H, MATCH(L3, 'Processed Non-zero TRI Data'!$I:$I,0)), INDEX('Processed Non-zero DMR Data'!$G:$G, MATCH(M3,'Processed Non-zero DMR Data'!$I:$I, 0)))</f>
        <v>-91.239014999999995</v>
      </c>
      <c r="L3" s="9" t="s">
        <v>107</v>
      </c>
      <c r="M3" s="13">
        <v>110001244724</v>
      </c>
      <c r="N3" s="9">
        <f>IF(L3&lt;&gt;"",INDEX('Processed Non-zero TRI Data'!L:L,MATCH('Facility Summary_Water'!L3,'Processed Non-zero TRI Data'!I:I,0)),INDEX('Processed Non-zero DMR Data'!$L:$L,MATCH('Facility Summary_Water'!M3,'Processed Non-zero DMR Data'!$I:$I,0)))</f>
        <v>325199</v>
      </c>
      <c r="O3" s="10" t="str">
        <f>INDEX('2017 - 2022 NAICS'!D:D,MATCH('Facility Summary_Water'!N3,'2017 - 2022 NAICS'!C:C,0))</f>
        <v>All Other Basic Organic Chemical Manufacturing</v>
      </c>
      <c r="P3" s="10" t="str">
        <f>IFERROR(VLOOKUP(L3, 'Processed Non-zero TRI Data'!I:Q, 8, 0), "Direct")</f>
        <v>VI Final Study Plan</v>
      </c>
      <c r="Q3" s="10" t="e">
        <f>VLOOKUP(R3,#REF!, 2, FALSE)</f>
        <v>#REF!</v>
      </c>
      <c r="R3" s="10" t="str">
        <f>INDEX('Facility Discharge Summary'!D:D, MATCH('Facility Summary_Water'!M3, 'Facility Discharge Summary'!J:J,0))</f>
        <v>Manufacture</v>
      </c>
      <c r="S3" s="10" t="str">
        <f>INDEX('TRIFD-OES Crosswalk'!C:C, MATCH('Facility Summary_Water'!M3, 'TRIFD-OES Crosswalk'!A:A,0))</f>
        <v>2016/2020 CDR; Manufacturing and Processing as a Reactant</v>
      </c>
      <c r="T3" s="10" t="s">
        <v>72</v>
      </c>
      <c r="U3" s="9">
        <f>INDEX('TRI and DMR OES Summary'!D:D, MATCH('Facility Summary_Water'!R3,'TRI and DMR OES Summary'!A:A,0))</f>
        <v>350</v>
      </c>
      <c r="V3" s="258">
        <f>INDEX('Facility Discharge Summary'!AR:AR,MATCH('Facility Summary_Water'!M3,'Facility Discharge Summary'!J:J,0))</f>
        <v>302.09251842000003</v>
      </c>
      <c r="W3" s="258" t="str">
        <f>INDEX('Facility Discharge Summary'!T:T,MATCH('Facility Summary_Water'!M3,'Facility Discharge Summary'!J:J,0))</f>
        <v>N/A - Facility Does Not Report DMRs</v>
      </c>
    </row>
    <row r="4" spans="1:23" ht="30" x14ac:dyDescent="0.25">
      <c r="A4" s="9">
        <v>3</v>
      </c>
      <c r="B4" s="10" t="str">
        <f>IF(COUNTIF('Processed Non-zero TRI Data'!J:J,'Facility Summary_Water'!M4)&gt;0, "TRI Form " &amp; INDEX('Processed Non-zero TRI Data'!K:K,MATCH('Facility Summary_Water'!M4,'Processed Non-zero TRI Data'!J:J,0)), "" )</f>
        <v>TRI Form R</v>
      </c>
      <c r="C4" s="10" t="str">
        <f>IF(COUNTIF('Processed Non-zero DMR Data'!I:I, 'Facility Summary_Water'!M4)&gt;0, "DMR", "")</f>
        <v/>
      </c>
      <c r="D4" s="10"/>
      <c r="E4" s="9" t="s">
        <v>108</v>
      </c>
      <c r="F4" s="9"/>
      <c r="G4" s="9" t="s">
        <v>109</v>
      </c>
      <c r="H4" s="9" t="s">
        <v>110</v>
      </c>
      <c r="I4" s="9"/>
      <c r="J4" s="9">
        <f>IF(L4&lt;&gt;"", INDEX('Processed Non-zero TRI Data'!$G:$G, MATCH(L4, 'Processed Non-zero TRI Data'!$I:$I,0)), INDEX('Processed Non-zero DMR Data'!$F:$F, MATCH(M4,'Processed Non-zero DMR Data'!$I:$I, 0)))</f>
        <v>36.651200000000003</v>
      </c>
      <c r="K4" s="9">
        <f>IF(L4&lt;&gt;"", INDEX('Processed Non-zero TRI Data'!$H:$H, MATCH(L4, 'Processed Non-zero TRI Data'!$I:$I,0)), INDEX('Processed Non-zero DMR Data'!$G:$G, MATCH(M4,'Processed Non-zero DMR Data'!$I:$I, 0)))</f>
        <v>-76.999044999999995</v>
      </c>
      <c r="L4" s="9" t="s">
        <v>111</v>
      </c>
      <c r="M4" s="13">
        <v>110000499611</v>
      </c>
      <c r="N4" s="9">
        <f>IF(L4&lt;&gt;"",INDEX('Processed Non-zero TRI Data'!L:L,MATCH('Facility Summary_Water'!L4,'Processed Non-zero TRI Data'!I:I,0)),INDEX('Processed Non-zero DMR Data'!$L:$L,MATCH('Facility Summary_Water'!M4,'Processed Non-zero DMR Data'!$I:$I,0)))</f>
        <v>325199</v>
      </c>
      <c r="O4" s="10" t="str">
        <f>INDEX('2017 - 2022 NAICS'!D:D,MATCH('Facility Summary_Water'!N4,'2017 - 2022 NAICS'!C:C,0))</f>
        <v>All Other Basic Organic Chemical Manufacturing</v>
      </c>
      <c r="P4" s="10" t="str">
        <f>IFERROR(VLOOKUP(L4, 'Processed Non-zero TRI Data'!I:Q, 8, 0), "Direct")</f>
        <v>TRI Use: Chemical Processing Aid</v>
      </c>
      <c r="Q4" s="10" t="e">
        <f>VLOOKUP(R4,#REF!, 2, FALSE)</f>
        <v>#REF!</v>
      </c>
      <c r="R4" s="10" t="str">
        <f>INDEX('Facility Discharge Summary'!D:D, MATCH('Facility Summary_Water'!M4, 'Facility Discharge Summary'!J:J,0))</f>
        <v>Processing aid</v>
      </c>
      <c r="S4" s="10" t="str">
        <f>INDEX('TRIFD-OES Crosswalk'!C:C, MATCH('Facility Summary_Water'!M4, 'TRIFD-OES Crosswalk'!A:A,0))</f>
        <v>TRI Use: Chemical Processing Aid</v>
      </c>
      <c r="T4" s="10" t="s">
        <v>72</v>
      </c>
      <c r="U4" s="9">
        <f>INDEX('TRI and DMR OES Summary'!D:D, MATCH('Facility Summary_Water'!R4,'TRI and DMR OES Summary'!A:A,0))</f>
        <v>300</v>
      </c>
      <c r="V4" s="258">
        <f>INDEX('Facility Discharge Summary'!AR:AR,MATCH('Facility Summary_Water'!M4,'Facility Discharge Summary'!J:J,0))</f>
        <v>41.0274298665</v>
      </c>
      <c r="W4" s="258" t="str">
        <f>INDEX('Facility Discharge Summary'!T:T,MATCH('Facility Summary_Water'!M4,'Facility Discharge Summary'!J:J,0))</f>
        <v>N/A - Facility Does Not Report DMRs</v>
      </c>
    </row>
    <row r="5" spans="1:23" x14ac:dyDescent="0.25">
      <c r="A5" s="9">
        <v>4</v>
      </c>
      <c r="B5" s="10" t="str">
        <f>IF(COUNTIF('Processed Non-zero TRI Data'!J:J,'Facility Summary_Water'!M5)&gt;0, "TRI Form " &amp; INDEX('Processed Non-zero TRI Data'!K:K,MATCH('Facility Summary_Water'!M5,'Processed Non-zero TRI Data'!J:J,0)), "" )</f>
        <v>TRI Form R</v>
      </c>
      <c r="C5" s="10" t="str">
        <f>IF(COUNTIF('Processed Non-zero DMR Data'!I:I, 'Facility Summary_Water'!M5)&gt;0, "DMR", "")</f>
        <v/>
      </c>
      <c r="D5" s="10"/>
      <c r="E5" s="9" t="s">
        <v>112</v>
      </c>
      <c r="F5" s="9"/>
      <c r="G5" s="9" t="s">
        <v>113</v>
      </c>
      <c r="H5" s="9" t="s">
        <v>114</v>
      </c>
      <c r="I5" s="9"/>
      <c r="J5" s="9">
        <f>IF(L5&lt;&gt;"", INDEX('Processed Non-zero TRI Data'!$G:$G, MATCH(L5, 'Processed Non-zero TRI Data'!$I:$I,0)), INDEX('Processed Non-zero DMR Data'!$F:$F, MATCH(M5,'Processed Non-zero DMR Data'!$I:$I, 0)))</f>
        <v>28.980146999999999</v>
      </c>
      <c r="K5" s="9">
        <f>IF(L5&lt;&gt;"", INDEX('Processed Non-zero TRI Data'!$H:$H, MATCH(L5, 'Processed Non-zero TRI Data'!$I:$I,0)), INDEX('Processed Non-zero DMR Data'!$G:$G, MATCH(M5,'Processed Non-zero DMR Data'!$I:$I, 0)))</f>
        <v>-95.342271999999994</v>
      </c>
      <c r="L5" s="9" t="s">
        <v>115</v>
      </c>
      <c r="M5" s="13">
        <v>110008170237</v>
      </c>
      <c r="N5" s="9">
        <f>IF(L5&lt;&gt;"",INDEX('Processed Non-zero TRI Data'!L:L,MATCH('Facility Summary_Water'!L5,'Processed Non-zero TRI Data'!I:I,0)),INDEX('Processed Non-zero DMR Data'!$L:$L,MATCH('Facility Summary_Water'!M5,'Processed Non-zero DMR Data'!$I:$I,0)))</f>
        <v>325199</v>
      </c>
      <c r="O5" s="10" t="str">
        <f>INDEX('2017 - 2022 NAICS'!D:D,MATCH('Facility Summary_Water'!N5,'2017 - 2022 NAICS'!C:C,0))</f>
        <v>All Other Basic Organic Chemical Manufacturing</v>
      </c>
      <c r="P5" s="10" t="str">
        <f>IFERROR(VLOOKUP(L5, 'Processed Non-zero TRI Data'!I:Q, 8, 0), "Direct")</f>
        <v>VI Final Study Plan</v>
      </c>
      <c r="Q5" s="10" t="e">
        <f>VLOOKUP(R5,#REF!, 2, FALSE)</f>
        <v>#REF!</v>
      </c>
      <c r="R5" s="10" t="str">
        <f>INDEX('Facility Discharge Summary'!D:D, MATCH('Facility Summary_Water'!M5, 'Facility Discharge Summary'!J:J,0))</f>
        <v>Manufacture</v>
      </c>
      <c r="S5" s="10" t="str">
        <f>INDEX('TRIFD-OES Crosswalk'!C:C, MATCH('Facility Summary_Water'!M5, 'TRIFD-OES Crosswalk'!A:A,0))</f>
        <v>2016/2020 CDR; Manufacturing and Processing as a Reactant</v>
      </c>
      <c r="T5" s="10" t="s">
        <v>72</v>
      </c>
      <c r="U5" s="9">
        <f>INDEX('TRI and DMR OES Summary'!D:D, MATCH('Facility Summary_Water'!R5,'TRI and DMR OES Summary'!A:A,0))</f>
        <v>350</v>
      </c>
      <c r="V5" s="258">
        <f>INDEX('Facility Discharge Summary'!AR:AR,MATCH('Facility Summary_Water'!M5,'Facility Discharge Summary'!J:J,0))</f>
        <v>98.883136660000005</v>
      </c>
      <c r="W5" s="258" t="str">
        <f>INDEX('Facility Discharge Summary'!T:T,MATCH('Facility Summary_Water'!M5,'Facility Discharge Summary'!J:J,0))</f>
        <v>N/A - Facility Does Not Report DMRs</v>
      </c>
    </row>
    <row r="6" spans="1:23" ht="30" x14ac:dyDescent="0.25">
      <c r="A6" s="9">
        <v>5</v>
      </c>
      <c r="B6" s="10" t="str">
        <f>IF(COUNTIF('Processed Non-zero TRI Data'!J:J,'Facility Summary_Water'!M6)&gt;0, "TRI Form " &amp; INDEX('Processed Non-zero TRI Data'!K:K,MATCH('Facility Summary_Water'!M6,'Processed Non-zero TRI Data'!J:J,0)), "" )</f>
        <v>TRI Form R</v>
      </c>
      <c r="C6" s="10" t="str">
        <f>IF(COUNTIF('Processed Non-zero DMR Data'!I:I, 'Facility Summary_Water'!M6)&gt;0, "DMR", "")</f>
        <v/>
      </c>
      <c r="D6" s="10"/>
      <c r="E6" s="9" t="s">
        <v>116</v>
      </c>
      <c r="F6" s="9"/>
      <c r="G6" s="9" t="s">
        <v>117</v>
      </c>
      <c r="H6" s="9" t="s">
        <v>118</v>
      </c>
      <c r="I6" s="9"/>
      <c r="J6" s="9">
        <f>IF(L6&lt;&gt;"", INDEX('Processed Non-zero TRI Data'!$G:$G, MATCH(L6, 'Processed Non-zero TRI Data'!$I:$I,0)), INDEX('Processed Non-zero DMR Data'!$F:$F, MATCH(M6,'Processed Non-zero DMR Data'!$I:$I, 0)))</f>
        <v>43.600299999999997</v>
      </c>
      <c r="K6" s="9">
        <f>IF(L6&lt;&gt;"", INDEX('Processed Non-zero TRI Data'!$H:$H, MATCH(L6, 'Processed Non-zero TRI Data'!$I:$I,0)), INDEX('Processed Non-zero DMR Data'!$G:$G, MATCH(M6,'Processed Non-zero DMR Data'!$I:$I, 0)))</f>
        <v>-84.223399999999998</v>
      </c>
      <c r="L6" s="9" t="s">
        <v>119</v>
      </c>
      <c r="M6" s="13">
        <v>110043787408</v>
      </c>
      <c r="N6" s="9">
        <f>IF(L6&lt;&gt;"",INDEX('Processed Non-zero TRI Data'!L:L,MATCH('Facility Summary_Water'!L6,'Processed Non-zero TRI Data'!I:I,0)),INDEX('Processed Non-zero DMR Data'!$L:$L,MATCH('Facility Summary_Water'!M6,'Processed Non-zero DMR Data'!$I:$I,0)))</f>
        <v>325211</v>
      </c>
      <c r="O6" s="10" t="str">
        <f>INDEX('2017 - 2022 NAICS'!D:D,MATCH('Facility Summary_Water'!N6,'2017 - 2022 NAICS'!C:C,0))</f>
        <v>Plastics Material and Resin Manufacturing</v>
      </c>
      <c r="P6" s="10" t="str">
        <f>IFERROR(VLOOKUP(L6, 'Processed Non-zero TRI Data'!I:Q, 8, 0), "Direct")</f>
        <v>2020 CDR; Import and Processing as a Reactant</v>
      </c>
      <c r="Q6" s="10" t="e">
        <f>VLOOKUP(R6,#REF!, 2, FALSE)</f>
        <v>#REF!</v>
      </c>
      <c r="R6" s="10" t="str">
        <f>INDEX('Facility Discharge Summary'!D:D, MATCH('Facility Summary_Water'!M6, 'Facility Discharge Summary'!J:J,0))</f>
        <v>Impurity in Plastics</v>
      </c>
      <c r="S6" s="10" t="str">
        <f>INDEX('TRIFD-OES Crosswalk'!C:C, MATCH('Facility Summary_Water'!M6, 'TRIFD-OES Crosswalk'!A:A,0))</f>
        <v>2020 CDR; Import and Processing as a Reactant</v>
      </c>
      <c r="T6" s="10" t="s">
        <v>72</v>
      </c>
      <c r="U6" s="9">
        <f>INDEX('TRI and DMR OES Summary'!D:D, MATCH('Facility Summary_Water'!R6,'TRI and DMR OES Summary'!A:A,0))</f>
        <v>350</v>
      </c>
      <c r="V6" s="258">
        <f>INDEX('Facility Discharge Summary'!AR:AR,MATCH('Facility Summary_Water'!M6,'Facility Discharge Summary'!J:J,0))</f>
        <v>11.33980925</v>
      </c>
      <c r="W6" s="258" t="str">
        <f>INDEX('Facility Discharge Summary'!T:T,MATCH('Facility Summary_Water'!M6,'Facility Discharge Summary'!J:J,0))</f>
        <v>N/A - Facility Does Not Report DMRs</v>
      </c>
    </row>
    <row r="7" spans="1:23" x14ac:dyDescent="0.25">
      <c r="A7" s="9">
        <v>6</v>
      </c>
      <c r="B7" s="10" t="str">
        <f>IF(COUNTIF('Processed Non-zero TRI Data'!J:J,'Facility Summary_Water'!M7)&gt;0, "TRI Form " &amp; INDEX('Processed Non-zero TRI Data'!K:K,MATCH('Facility Summary_Water'!M7,'Processed Non-zero TRI Data'!J:J,0)), "" )</f>
        <v>TRI Form R</v>
      </c>
      <c r="C7" s="10" t="str">
        <f>IF(COUNTIF('Processed Non-zero DMR Data'!I:I, 'Facility Summary_Water'!M7)&gt;0, "DMR", "")</f>
        <v/>
      </c>
      <c r="D7" s="10"/>
      <c r="E7" s="9" t="s">
        <v>120</v>
      </c>
      <c r="F7" s="9"/>
      <c r="G7" s="9" t="s">
        <v>113</v>
      </c>
      <c r="H7" s="9" t="s">
        <v>114</v>
      </c>
      <c r="I7" s="9"/>
      <c r="J7" s="9">
        <f>IF(L7&lt;&gt;"", INDEX('Processed Non-zero TRI Data'!$G:$G, MATCH(L7, 'Processed Non-zero TRI Data'!$I:$I,0)), INDEX('Processed Non-zero DMR Data'!$F:$F, MATCH(M7,'Processed Non-zero DMR Data'!$I:$I, 0)))</f>
        <v>28.969389</v>
      </c>
      <c r="K7" s="9">
        <f>IF(L7&lt;&gt;"", INDEX('Processed Non-zero TRI Data'!$H:$H, MATCH(L7, 'Processed Non-zero TRI Data'!$I:$I,0)), INDEX('Processed Non-zero DMR Data'!$G:$G, MATCH(M7,'Processed Non-zero DMR Data'!$I:$I, 0)))</f>
        <v>-95.379527999999993</v>
      </c>
      <c r="L7" s="9" t="s">
        <v>121</v>
      </c>
      <c r="M7" s="13">
        <v>110066943605</v>
      </c>
      <c r="N7" s="9">
        <f>IF(L7&lt;&gt;"",INDEX('Processed Non-zero TRI Data'!L:L,MATCH('Facility Summary_Water'!L7,'Processed Non-zero TRI Data'!I:I,0)),INDEX('Processed Non-zero DMR Data'!$L:$L,MATCH('Facility Summary_Water'!M7,'Processed Non-zero DMR Data'!$I:$I,0)))</f>
        <v>325199</v>
      </c>
      <c r="O7" s="10" t="str">
        <f>INDEX('2017 - 2022 NAICS'!D:D,MATCH('Facility Summary_Water'!N7,'2017 - 2022 NAICS'!C:C,0))</f>
        <v>All Other Basic Organic Chemical Manufacturing</v>
      </c>
      <c r="P7" s="10" t="str">
        <f>IFERROR(VLOOKUP(L7, 'Processed Non-zero TRI Data'!I:Q, 8, 0), "Direct")</f>
        <v>VI Final Study Plan</v>
      </c>
      <c r="Q7" s="10" t="e">
        <f>VLOOKUP(R7,#REF!, 2, FALSE)</f>
        <v>#REF!</v>
      </c>
      <c r="R7" s="10" t="str">
        <f>INDEX('Facility Discharge Summary'!D:D, MATCH('Facility Summary_Water'!M7, 'Facility Discharge Summary'!J:J,0))</f>
        <v>Manufacture</v>
      </c>
      <c r="S7" s="10" t="str">
        <f>INDEX('TRIFD-OES Crosswalk'!C:C, MATCH('Facility Summary_Water'!M7, 'TRIFD-OES Crosswalk'!A:A,0))</f>
        <v>2016 CDR; Manufacturing</v>
      </c>
      <c r="T7" s="10" t="s">
        <v>72</v>
      </c>
      <c r="U7" s="9">
        <f>INDEX('TRI and DMR OES Summary'!D:D, MATCH('Facility Summary_Water'!R7,'TRI and DMR OES Summary'!A:A,0))</f>
        <v>350</v>
      </c>
      <c r="V7" s="258">
        <f>INDEX('Facility Discharge Summary'!AR:AR,MATCH('Facility Summary_Water'!M7,'Facility Discharge Summary'!J:J,0))</f>
        <v>3305.7811925600004</v>
      </c>
      <c r="W7" s="258" t="str">
        <f>INDEX('Facility Discharge Summary'!T:T,MATCH('Facility Summary_Water'!M7,'Facility Discharge Summary'!J:J,0))</f>
        <v>N/A - Facility Does Not Report DMRs</v>
      </c>
    </row>
    <row r="8" spans="1:23" x14ac:dyDescent="0.25">
      <c r="A8" s="9">
        <v>7</v>
      </c>
      <c r="B8" s="10" t="str">
        <f>IF(COUNTIF('Processed Non-zero TRI Data'!J:J,'Facility Summary_Water'!M8)&gt;0, "TRI Form " &amp; INDEX('Processed Non-zero TRI Data'!K:K,MATCH('Facility Summary_Water'!M8,'Processed Non-zero TRI Data'!J:J,0)), "" )</f>
        <v/>
      </c>
      <c r="C8" s="10" t="str">
        <f>IF(COUNTIF('Processed Non-zero DMR Data'!I:I, 'Facility Summary_Water'!M8)&gt;0, "DMR", "")</f>
        <v>DMR</v>
      </c>
      <c r="D8" s="10"/>
      <c r="E8" s="9" t="s">
        <v>136</v>
      </c>
      <c r="F8" s="9"/>
      <c r="G8" s="9" t="s">
        <v>137</v>
      </c>
      <c r="H8" s="9" t="s">
        <v>138</v>
      </c>
      <c r="I8" s="9"/>
      <c r="J8" s="9">
        <f>IF(L8&lt;&gt;"", INDEX('Processed Non-zero TRI Data'!$G:$G, MATCH(L8, 'Processed Non-zero TRI Data'!$I:$I,0)), INDEX('Processed Non-zero DMR Data'!$F:$F, MATCH(M8,'Processed Non-zero DMR Data'!$I:$I, 0)))</f>
        <v>37.642310000000002</v>
      </c>
      <c r="K8" s="9">
        <f>IF(L8&lt;&gt;"", INDEX('Processed Non-zero TRI Data'!$H:$H, MATCH(L8, 'Processed Non-zero TRI Data'!$I:$I,0)), INDEX('Processed Non-zero DMR Data'!$G:$G, MATCH(M8,'Processed Non-zero DMR Data'!$I:$I, 0)))</f>
        <v>-85.903570000000002</v>
      </c>
      <c r="L8" s="9"/>
      <c r="M8" s="13">
        <v>110000571373</v>
      </c>
      <c r="N8" s="9">
        <f>IF(L8&lt;&gt;"",INDEX('Processed Non-zero TRI Data'!L:L,MATCH('Facility Summary_Water'!L8,'Processed Non-zero TRI Data'!I:I,0)),INDEX('Processed Non-zero DMR Data'!$L:$L,MATCH('Facility Summary_Water'!M8,'Processed Non-zero DMR Data'!$I:$I,0)))</f>
        <v>221320</v>
      </c>
      <c r="O8" s="10" t="str">
        <f>INDEX('2017 - 2022 NAICS'!D:D,MATCH('Facility Summary_Water'!N8,'2017 - 2022 NAICS'!C:C,0))</f>
        <v>Sewage Treatment Facilities</v>
      </c>
      <c r="P8" s="10" t="str">
        <f>IFERROR(VLOOKUP(L8, 'Processed Non-zero TRI Data'!I:Q, 8, 0), "Direct")</f>
        <v>Direct</v>
      </c>
      <c r="Q8" s="10" t="e">
        <f>VLOOKUP(R8,#REF!, 2, FALSE)</f>
        <v>#REF!</v>
      </c>
      <c r="R8" s="10" t="str">
        <f>INDEX('Facility Discharge Summary'!D:D, MATCH('Facility Summary_Water'!M8, 'Facility Discharge Summary'!J:J,0))</f>
        <v>Waste Handling, Disposal and Treatment (POTW)</v>
      </c>
      <c r="S8" s="10" t="str">
        <f>INDEX('Processed Non-zero DMR Data'!T:T, MATCH('Facility Summary_Water'!M8, 'Processed Non-zero DMR Data'!I:I,0))</f>
        <v>POTW indicator in DMR</v>
      </c>
      <c r="T8" s="10" t="s">
        <v>72</v>
      </c>
      <c r="U8" s="9">
        <f>INDEX('TRI and DMR OES Summary'!D:D, MATCH('Facility Summary_Water'!R8,'TRI and DMR OES Summary'!A:A,0))</f>
        <v>365</v>
      </c>
      <c r="V8" s="258">
        <f>INDEX('Facility Discharge Summary'!AR:AR,MATCH('Facility Summary_Water'!M8,'Facility Discharge Summary'!J:J,0))</f>
        <v>0</v>
      </c>
      <c r="W8" s="258">
        <f>INDEX('Facility Discharge Summary'!T:T,MATCH('Facility Summary_Water'!M8,'Facility Discharge Summary'!J:J,0))</f>
        <v>40.754987499999999</v>
      </c>
    </row>
    <row r="9" spans="1:23" ht="105" x14ac:dyDescent="0.25">
      <c r="A9" s="9">
        <v>8</v>
      </c>
      <c r="B9" s="10" t="str">
        <f>IF(COUNTIF('Processed Non-zero TRI Data'!J:J,'Facility Summary_Water'!M9)&gt;0, "TRI Form " &amp; INDEX('Processed Non-zero TRI Data'!K:K,MATCH('Facility Summary_Water'!M9,'Processed Non-zero TRI Data'!J:J,0)), "" )</f>
        <v/>
      </c>
      <c r="C9" s="10" t="str">
        <f>IF(COUNTIF('Processed Non-zero DMR Data'!I:I, 'Facility Summary_Water'!M9)&gt;0, "DMR", "")</f>
        <v>DMR</v>
      </c>
      <c r="D9" s="10"/>
      <c r="E9" s="9" t="s">
        <v>139</v>
      </c>
      <c r="F9" s="9"/>
      <c r="G9" s="9" t="s">
        <v>140</v>
      </c>
      <c r="H9" s="9" t="s">
        <v>141</v>
      </c>
      <c r="I9" s="9"/>
      <c r="J9" s="9">
        <f>IF(L9&lt;&gt;"", INDEX('Processed Non-zero TRI Data'!$G:$G, MATCH(L9, 'Processed Non-zero TRI Data'!$I:$I,0)), INDEX('Processed Non-zero DMR Data'!$F:$F, MATCH(M9,'Processed Non-zero DMR Data'!$I:$I, 0)))</f>
        <v>41.441667000000002</v>
      </c>
      <c r="K9" s="9">
        <f>IF(L9&lt;&gt;"", INDEX('Processed Non-zero TRI Data'!$H:$H, MATCH(L9, 'Processed Non-zero TRI Data'!$I:$I,0)), INDEX('Processed Non-zero DMR Data'!$G:$G, MATCH(M9,'Processed Non-zero DMR Data'!$I:$I, 0)))</f>
        <v>-88.159719999999993</v>
      </c>
      <c r="L9" s="9"/>
      <c r="M9" s="13">
        <v>110000432504</v>
      </c>
      <c r="N9" s="9">
        <f>IF(L9&lt;&gt;"",INDEX('Processed Non-zero TRI Data'!L:L,MATCH('Facility Summary_Water'!L9,'Processed Non-zero TRI Data'!I:I,0)),INDEX('Processed Non-zero DMR Data'!$L:$L,MATCH('Facility Summary_Water'!M9,'Processed Non-zero DMR Data'!$I:$I,0)))</f>
        <v>325613</v>
      </c>
      <c r="O9" s="10" t="str">
        <f>INDEX('2017 - 2022 NAICS'!D:D,MATCH('Facility Summary_Water'!N9,'2017 - 2022 NAICS'!C:C,0))</f>
        <v>Surface Active Agent Manufacturing</v>
      </c>
      <c r="P9" s="10" t="str">
        <f>IFERROR(VLOOKUP(L9, 'Processed Non-zero TRI Data'!I:Q, 8, 0), "Direct")</f>
        <v>Direct</v>
      </c>
      <c r="Q9" s="10" t="e">
        <f>VLOOKUP(R9,#REF!, 2, FALSE)</f>
        <v>#REF!</v>
      </c>
      <c r="R9" s="10" t="str">
        <f>INDEX('Facility Discharge Summary'!D:D, MATCH('Facility Summary_Water'!M9, 'Facility Discharge Summary'!J:J,0))</f>
        <v>Processing as a reactant</v>
      </c>
      <c r="S9" s="10" t="str">
        <f>INDEX('Processed Non-zero DMR Data'!T:T, MATCH('Facility Summary_Water'!M9, 'Processed Non-zero DMR Data'!I:I,0))</f>
        <v xml:space="preserve">The site produces multiple materials including alkoxylates, alpha sulfo methyl esters, amides, amine oxides, esters, sulfosuccinates, sulfacetates, sulfonates, sulfates, blends, phosphate esters, quaternaries, phthalic anhydride, and polyols (https://www.stepan.com/content/stepan-dot-com/en/you-stepan/locations.html). 1,1 DCA is likely used in the manufacturing process. </v>
      </c>
      <c r="T9" s="10" t="s">
        <v>72</v>
      </c>
      <c r="U9" s="9">
        <f>INDEX('TRI and DMR OES Summary'!D:D, MATCH('Facility Summary_Water'!R9,'TRI and DMR OES Summary'!A:A,0))</f>
        <v>350</v>
      </c>
      <c r="V9" s="258">
        <f>INDEX('Facility Discharge Summary'!AR:AR,MATCH('Facility Summary_Water'!M9,'Facility Discharge Summary'!J:J,0))</f>
        <v>0</v>
      </c>
      <c r="W9" s="258">
        <f>INDEX('Facility Discharge Summary'!T:T,MATCH('Facility Summary_Water'!M9,'Facility Discharge Summary'!J:J,0))</f>
        <v>0.74501399999999995</v>
      </c>
    </row>
    <row r="10" spans="1:23" x14ac:dyDescent="0.25">
      <c r="A10" s="9">
        <v>9</v>
      </c>
      <c r="B10" s="10" t="str">
        <f>IF(COUNTIF('Processed Non-zero TRI Data'!J:J,'Facility Summary_Water'!M10)&gt;0, "TRI Form " &amp; INDEX('Processed Non-zero TRI Data'!K:K,MATCH('Facility Summary_Water'!M10,'Processed Non-zero TRI Data'!J:J,0)), "" )</f>
        <v/>
      </c>
      <c r="C10" s="10" t="str">
        <f>IF(COUNTIF('Processed Non-zero DMR Data'!I:I, 'Facility Summary_Water'!M10)&gt;0, "DMR", "")</f>
        <v>DMR</v>
      </c>
      <c r="D10" s="10"/>
      <c r="E10" s="9" t="s">
        <v>142</v>
      </c>
      <c r="F10" s="9"/>
      <c r="G10" s="9" t="s">
        <v>143</v>
      </c>
      <c r="H10" s="9" t="s">
        <v>138</v>
      </c>
      <c r="I10" s="9"/>
      <c r="J10" s="9">
        <f>IF(L10&lt;&gt;"", INDEX('Processed Non-zero TRI Data'!$G:$G, MATCH(L10, 'Processed Non-zero TRI Data'!$I:$I,0)), INDEX('Processed Non-zero DMR Data'!$F:$F, MATCH(M10,'Processed Non-zero DMR Data'!$I:$I, 0)))</f>
        <v>38.627777999999999</v>
      </c>
      <c r="K10" s="9">
        <f>IF(L10&lt;&gt;"", INDEX('Processed Non-zero TRI Data'!$H:$H, MATCH(L10, 'Processed Non-zero TRI Data'!$I:$I,0)), INDEX('Processed Non-zero DMR Data'!$G:$G, MATCH(M10,'Processed Non-zero DMR Data'!$I:$I, 0)))</f>
        <v>-85.115832999999995</v>
      </c>
      <c r="L10" s="9"/>
      <c r="M10" s="13">
        <v>110015632216</v>
      </c>
      <c r="N10" s="9">
        <f>IF(L10&lt;&gt;"",INDEX('Processed Non-zero TRI Data'!L:L,MATCH('Facility Summary_Water'!L10,'Processed Non-zero TRI Data'!I:I,0)),INDEX('Processed Non-zero DMR Data'!$L:$L,MATCH('Facility Summary_Water'!M10,'Processed Non-zero DMR Data'!$I:$I,0)))</f>
        <v>221320</v>
      </c>
      <c r="O10" s="10" t="str">
        <f>INDEX('2017 - 2022 NAICS'!D:D,MATCH('Facility Summary_Water'!N10,'2017 - 2022 NAICS'!C:C,0))</f>
        <v>Sewage Treatment Facilities</v>
      </c>
      <c r="P10" s="10" t="str">
        <f>IFERROR(VLOOKUP(L10, 'Processed Non-zero TRI Data'!I:Q, 8, 0), "Direct")</f>
        <v>Direct</v>
      </c>
      <c r="Q10" s="10" t="e">
        <f>VLOOKUP(R10,#REF!, 2, FALSE)</f>
        <v>#REF!</v>
      </c>
      <c r="R10" s="10" t="str">
        <f>INDEX('Facility Discharge Summary'!D:D, MATCH('Facility Summary_Water'!M10, 'Facility Discharge Summary'!J:J,0))</f>
        <v>Waste Handling, Disposal and Treatment (POTW)</v>
      </c>
      <c r="S10" s="10" t="str">
        <f>INDEX('Processed Non-zero DMR Data'!T:T, MATCH('Facility Summary_Water'!M10, 'Processed Non-zero DMR Data'!I:I,0))</f>
        <v>POTW indicator in DMR</v>
      </c>
      <c r="T10" s="10" t="s">
        <v>72</v>
      </c>
      <c r="U10" s="9">
        <f>INDEX('TRI and DMR OES Summary'!D:D, MATCH('Facility Summary_Water'!R10,'TRI and DMR OES Summary'!A:A,0))</f>
        <v>365</v>
      </c>
      <c r="V10" s="258">
        <f>INDEX('Facility Discharge Summary'!AR:AR,MATCH('Facility Summary_Water'!M10,'Facility Discharge Summary'!J:J,0))</f>
        <v>0</v>
      </c>
      <c r="W10" s="258">
        <f>INDEX('Facility Discharge Summary'!T:T,MATCH('Facility Summary_Water'!M10,'Facility Discharge Summary'!J:J,0))</f>
        <v>5.8714812500000004</v>
      </c>
    </row>
    <row r="11" spans="1:23" x14ac:dyDescent="0.25">
      <c r="A11" s="9">
        <v>10</v>
      </c>
      <c r="B11" s="10" t="str">
        <f>IF(COUNTIF('Processed Non-zero TRI Data'!J:J,'Facility Summary_Water'!M11)&gt;0, "TRI Form " &amp; INDEX('Processed Non-zero TRI Data'!K:K,MATCH('Facility Summary_Water'!M11,'Processed Non-zero TRI Data'!J:J,0)), "" )</f>
        <v/>
      </c>
      <c r="C11" s="10" t="str">
        <f>IF(COUNTIF('Processed Non-zero DMR Data'!I:I, 'Facility Summary_Water'!M11)&gt;0, "DMR", "")</f>
        <v>DMR</v>
      </c>
      <c r="D11" s="10"/>
      <c r="E11" s="9" t="s">
        <v>144</v>
      </c>
      <c r="F11" s="9"/>
      <c r="G11" s="9" t="s">
        <v>145</v>
      </c>
      <c r="H11" s="9" t="s">
        <v>146</v>
      </c>
      <c r="I11" s="9"/>
      <c r="J11" s="9">
        <f>IF(L11&lt;&gt;"", INDEX('Processed Non-zero TRI Data'!$G:$G, MATCH(L11, 'Processed Non-zero TRI Data'!$I:$I,0)), INDEX('Processed Non-zero DMR Data'!$F:$F, MATCH(M11,'Processed Non-zero DMR Data'!$I:$I, 0)))</f>
        <v>39.916111000000001</v>
      </c>
      <c r="K11" s="9">
        <f>IF(L11&lt;&gt;"", INDEX('Processed Non-zero TRI Data'!$H:$H, MATCH(L11, 'Processed Non-zero TRI Data'!$I:$I,0)), INDEX('Processed Non-zero DMR Data'!$G:$G, MATCH(M11,'Processed Non-zero DMR Data'!$I:$I, 0)))</f>
        <v>-122.104444</v>
      </c>
      <c r="L11" s="9"/>
      <c r="M11" s="13">
        <v>110000730451</v>
      </c>
      <c r="N11" s="9">
        <f>IF(L11&lt;&gt;"",INDEX('Processed Non-zero TRI Data'!L:L,MATCH('Facility Summary_Water'!L11,'Processed Non-zero TRI Data'!I:I,0)),INDEX('Processed Non-zero DMR Data'!$L:$L,MATCH('Facility Summary_Water'!M11,'Processed Non-zero DMR Data'!$I:$I,0)))</f>
        <v>221320</v>
      </c>
      <c r="O11" s="10" t="str">
        <f>INDEX('2017 - 2022 NAICS'!D:D,MATCH('Facility Summary_Water'!N11,'2017 - 2022 NAICS'!C:C,0))</f>
        <v>Sewage Treatment Facilities</v>
      </c>
      <c r="P11" s="10" t="str">
        <f>IFERROR(VLOOKUP(L11, 'Processed Non-zero TRI Data'!I:Q, 8, 0), "Direct")</f>
        <v>Direct</v>
      </c>
      <c r="Q11" s="10" t="e">
        <f>VLOOKUP(R11,#REF!, 2, FALSE)</f>
        <v>#REF!</v>
      </c>
      <c r="R11" s="10" t="str">
        <f>INDEX('Facility Discharge Summary'!D:D, MATCH('Facility Summary_Water'!M11, 'Facility Discharge Summary'!J:J,0))</f>
        <v>Waste Handling, Disposal and Treatment (POTW)</v>
      </c>
      <c r="S11" s="10" t="str">
        <f>INDEX('Processed Non-zero DMR Data'!T:T, MATCH('Facility Summary_Water'!M11, 'Processed Non-zero DMR Data'!I:I,0))</f>
        <v>POTW indicator in DMR</v>
      </c>
      <c r="T11" s="10" t="s">
        <v>72</v>
      </c>
      <c r="U11" s="9">
        <f>INDEX('TRI and DMR OES Summary'!D:D, MATCH('Facility Summary_Water'!R11,'TRI and DMR OES Summary'!A:A,0))</f>
        <v>365</v>
      </c>
      <c r="V11" s="258">
        <f>INDEX('Facility Discharge Summary'!AR:AR,MATCH('Facility Summary_Water'!M11,'Facility Discharge Summary'!J:J,0))</f>
        <v>0</v>
      </c>
      <c r="W11" s="258">
        <f>INDEX('Facility Discharge Summary'!T:T,MATCH('Facility Summary_Water'!M11,'Facility Discharge Summary'!J:J,0))</f>
        <v>4.7259257666666603E-2</v>
      </c>
    </row>
    <row r="12" spans="1:23" x14ac:dyDescent="0.25">
      <c r="A12" s="9">
        <v>11</v>
      </c>
      <c r="B12" s="10" t="str">
        <f>IF(COUNTIF('Processed Non-zero TRI Data'!J:J,'Facility Summary_Water'!M12)&gt;0, "TRI Form " &amp; INDEX('Processed Non-zero TRI Data'!K:K,MATCH('Facility Summary_Water'!M12,'Processed Non-zero TRI Data'!J:J,0)), "" )</f>
        <v/>
      </c>
      <c r="C12" s="10" t="str">
        <f>IF(COUNTIF('Processed Non-zero DMR Data'!I:I, 'Facility Summary_Water'!M12)&gt;0, "DMR", "")</f>
        <v>DMR</v>
      </c>
      <c r="D12" s="10"/>
      <c r="E12" s="9" t="s">
        <v>147</v>
      </c>
      <c r="F12" s="9"/>
      <c r="G12" s="9" t="s">
        <v>148</v>
      </c>
      <c r="H12" s="9" t="s">
        <v>138</v>
      </c>
      <c r="I12" s="9"/>
      <c r="J12" s="9">
        <f>IF(L12&lt;&gt;"", INDEX('Processed Non-zero TRI Data'!$G:$G, MATCH(L12, 'Processed Non-zero TRI Data'!$I:$I,0)), INDEX('Processed Non-zero DMR Data'!$F:$F, MATCH(M12,'Processed Non-zero DMR Data'!$I:$I, 0)))</f>
        <v>37.845027999999999</v>
      </c>
      <c r="K12" s="9">
        <f>IF(L12&lt;&gt;"", INDEX('Processed Non-zero TRI Data'!$H:$H, MATCH(L12, 'Processed Non-zero TRI Data'!$I:$I,0)), INDEX('Processed Non-zero DMR Data'!$G:$G, MATCH(M12,'Processed Non-zero DMR Data'!$I:$I, 0)))</f>
        <v>-85.940962999999996</v>
      </c>
      <c r="L12" s="9"/>
      <c r="M12" s="13">
        <v>110000732253</v>
      </c>
      <c r="N12" s="9">
        <f>IF(L12&lt;&gt;"",INDEX('Processed Non-zero TRI Data'!L:L,MATCH('Facility Summary_Water'!L12,'Processed Non-zero TRI Data'!I:I,0)),INDEX('Processed Non-zero DMR Data'!$L:$L,MATCH('Facility Summary_Water'!M12,'Processed Non-zero DMR Data'!$I:$I,0)))</f>
        <v>221320</v>
      </c>
      <c r="O12" s="10" t="str">
        <f>INDEX('2017 - 2022 NAICS'!D:D,MATCH('Facility Summary_Water'!N12,'2017 - 2022 NAICS'!C:C,0))</f>
        <v>Sewage Treatment Facilities</v>
      </c>
      <c r="P12" s="10" t="str">
        <f>IFERROR(VLOOKUP(L12, 'Processed Non-zero TRI Data'!I:Q, 8, 0), "Direct")</f>
        <v>Direct</v>
      </c>
      <c r="Q12" s="10" t="e">
        <f>VLOOKUP(R12,#REF!, 2, FALSE)</f>
        <v>#REF!</v>
      </c>
      <c r="R12" s="10" t="str">
        <f>INDEX('Facility Discharge Summary'!D:D, MATCH('Facility Summary_Water'!M12, 'Facility Discharge Summary'!J:J,0))</f>
        <v>Waste Handling, Disposal and Treatment (POTW)</v>
      </c>
      <c r="S12" s="10" t="str">
        <f>INDEX('Processed Non-zero DMR Data'!T:T, MATCH('Facility Summary_Water'!M12, 'Processed Non-zero DMR Data'!I:I,0))</f>
        <v>POTW indicator in DMR</v>
      </c>
      <c r="T12" s="10" t="s">
        <v>72</v>
      </c>
      <c r="U12" s="9">
        <f>INDEX('TRI and DMR OES Summary'!D:D, MATCH('Facility Summary_Water'!R12,'TRI and DMR OES Summary'!A:A,0))</f>
        <v>365</v>
      </c>
      <c r="V12" s="258">
        <f>INDEX('Facility Discharge Summary'!AR:AR,MATCH('Facility Summary_Water'!M12,'Facility Discharge Summary'!J:J,0))</f>
        <v>0</v>
      </c>
      <c r="W12" s="258">
        <f>INDEX('Facility Discharge Summary'!T:T,MATCH('Facility Summary_Water'!M12,'Facility Discharge Summary'!J:J,0))</f>
        <v>13.5216759375</v>
      </c>
    </row>
    <row r="13" spans="1:23" ht="45" x14ac:dyDescent="0.25">
      <c r="A13" s="9">
        <v>12</v>
      </c>
      <c r="B13" s="10" t="str">
        <f>IF(COUNTIF('Processed Non-zero TRI Data'!J:J,'Facility Summary_Water'!M13)&gt;0, "TRI Form " &amp; INDEX('Processed Non-zero TRI Data'!K:K,MATCH('Facility Summary_Water'!M13,'Processed Non-zero TRI Data'!J:J,0)), "" )</f>
        <v/>
      </c>
      <c r="C13" s="10" t="str">
        <f>IF(COUNTIF('Processed Non-zero DMR Data'!I:I, 'Facility Summary_Water'!M13)&gt;0, "DMR", "")</f>
        <v>DMR</v>
      </c>
      <c r="D13" s="10"/>
      <c r="E13" s="9" t="s">
        <v>149</v>
      </c>
      <c r="F13" s="9"/>
      <c r="G13" s="9" t="s">
        <v>150</v>
      </c>
      <c r="H13" s="9" t="s">
        <v>138</v>
      </c>
      <c r="I13" s="9"/>
      <c r="J13" s="9">
        <f>IF(L13&lt;&gt;"", INDEX('Processed Non-zero TRI Data'!$G:$G, MATCH(L13, 'Processed Non-zero TRI Data'!$I:$I,0)), INDEX('Processed Non-zero DMR Data'!$F:$F, MATCH(M13,'Processed Non-zero DMR Data'!$I:$I, 0)))</f>
        <v>37.8125</v>
      </c>
      <c r="K13" s="9">
        <f>IF(L13&lt;&gt;"", INDEX('Processed Non-zero TRI Data'!$H:$H, MATCH(L13, 'Processed Non-zero TRI Data'!$I:$I,0)), INDEX('Processed Non-zero DMR Data'!$G:$G, MATCH(M13,'Processed Non-zero DMR Data'!$I:$I, 0)))</f>
        <v>-87.05</v>
      </c>
      <c r="L13" s="9"/>
      <c r="M13" s="13">
        <v>110000747835</v>
      </c>
      <c r="N13" s="9">
        <f>IF(L13&lt;&gt;"",INDEX('Processed Non-zero TRI Data'!L:L,MATCH('Facility Summary_Water'!L13,'Processed Non-zero TRI Data'!I:I,0)),INDEX('Processed Non-zero DMR Data'!$L:$L,MATCH('Facility Summary_Water'!M13,'Processed Non-zero DMR Data'!$I:$I,0)))</f>
        <v>325211</v>
      </c>
      <c r="O13" s="10" t="str">
        <f>INDEX('2017 - 2022 NAICS'!D:D,MATCH('Facility Summary_Water'!N13,'2017 - 2022 NAICS'!C:C,0))</f>
        <v>Plastics Material and Resin Manufacturing</v>
      </c>
      <c r="P13" s="10" t="str">
        <f>IFERROR(VLOOKUP(L13, 'Processed Non-zero TRI Data'!I:Q, 8, 0), "Direct")</f>
        <v>Direct</v>
      </c>
      <c r="Q13" s="10" t="e">
        <f>VLOOKUP(R13,#REF!, 2, FALSE)</f>
        <v>#REF!</v>
      </c>
      <c r="R13" s="10" t="str">
        <f>INDEX('Facility Discharge Summary'!D:D, MATCH('Facility Summary_Water'!M13, 'Facility Discharge Summary'!J:J,0))</f>
        <v>Impurity in Plastics</v>
      </c>
      <c r="S13" s="10" t="str">
        <f>INDEX('Processed Non-zero DMR Data'!T:T, MATCH('Facility Summary_Water'!M13, 'Processed Non-zero DMR Data'!I:I,0))</f>
        <v>Plastics SIC/NAICS - EPA-HQ-OPPT-2018-0428-0011 indicates 1,2-dichloropropane can be a residual/byproduct in PVC plastics or a flame retardant plasticizer.</v>
      </c>
      <c r="T13" s="10" t="s">
        <v>72</v>
      </c>
      <c r="U13" s="9">
        <f>INDEX('TRI and DMR OES Summary'!D:D, MATCH('Facility Summary_Water'!R13,'TRI and DMR OES Summary'!A:A,0))</f>
        <v>350</v>
      </c>
      <c r="V13" s="258">
        <f>INDEX('Facility Discharge Summary'!AR:AR,MATCH('Facility Summary_Water'!M13,'Facility Discharge Summary'!J:J,0))</f>
        <v>0</v>
      </c>
      <c r="W13" s="258">
        <f>INDEX('Facility Discharge Summary'!T:T,MATCH('Facility Summary_Water'!M13,'Facility Discharge Summary'!J:J,0))</f>
        <v>0.89140380299999999</v>
      </c>
    </row>
    <row r="14" spans="1:23" ht="30" x14ac:dyDescent="0.25">
      <c r="A14" s="9">
        <v>13</v>
      </c>
      <c r="B14" s="10" t="str">
        <f>IF(COUNTIF('Processed Non-zero TRI Data'!J:J,'Facility Summary_Water'!M14)&gt;0, "TRI Form " &amp; INDEX('Processed Non-zero TRI Data'!K:K,MATCH('Facility Summary_Water'!M14,'Processed Non-zero TRI Data'!J:J,0)), "" )</f>
        <v/>
      </c>
      <c r="C14" s="10" t="str">
        <f>IF(COUNTIF('Processed Non-zero DMR Data'!I:I, 'Facility Summary_Water'!M14)&gt;0, "DMR", "")</f>
        <v>DMR</v>
      </c>
      <c r="D14" s="10"/>
      <c r="E14" s="9" t="s">
        <v>151</v>
      </c>
      <c r="F14" s="9"/>
      <c r="G14" s="9" t="s">
        <v>152</v>
      </c>
      <c r="H14" s="9" t="s">
        <v>153</v>
      </c>
      <c r="I14" s="9"/>
      <c r="J14" s="9">
        <f>IF(L14&lt;&gt;"", INDEX('Processed Non-zero TRI Data'!$G:$G, MATCH(L14, 'Processed Non-zero TRI Data'!$I:$I,0)), INDEX('Processed Non-zero DMR Data'!$F:$F, MATCH(M14,'Processed Non-zero DMR Data'!$I:$I, 0)))</f>
        <v>39.80142</v>
      </c>
      <c r="K14" s="9">
        <f>IF(L14&lt;&gt;"", INDEX('Processed Non-zero TRI Data'!$H:$H, MATCH(L14, 'Processed Non-zero TRI Data'!$I:$I,0)), INDEX('Processed Non-zero DMR Data'!$G:$G, MATCH(M14,'Processed Non-zero DMR Data'!$I:$I, 0)))</f>
        <v>-75.354990000000001</v>
      </c>
      <c r="L14" s="9"/>
      <c r="M14" s="13">
        <v>110000582003</v>
      </c>
      <c r="N14" s="9">
        <f>IF(L14&lt;&gt;"",INDEX('Processed Non-zero TRI Data'!L:L,MATCH('Facility Summary_Water'!L14,'Processed Non-zero TRI Data'!I:I,0)),INDEX('Processed Non-zero DMR Data'!$L:$L,MATCH('Facility Summary_Water'!M14,'Processed Non-zero DMR Data'!$I:$I,0)))</f>
        <v>325110</v>
      </c>
      <c r="O14" s="10" t="str">
        <f>INDEX('2017 - 2022 NAICS'!D:D,MATCH('Facility Summary_Water'!N14,'2017 - 2022 NAICS'!C:C,0))</f>
        <v>Petrochemical Manufacturing</v>
      </c>
      <c r="P14" s="10" t="str">
        <f>IFERROR(VLOOKUP(L14, 'Processed Non-zero TRI Data'!I:Q, 8, 0), "Direct")</f>
        <v>Direct</v>
      </c>
      <c r="Q14" s="10" t="e">
        <f>VLOOKUP(R14,#REF!, 2, FALSE)</f>
        <v>#REF!</v>
      </c>
      <c r="R14" s="10" t="str">
        <f>INDEX('Facility Discharge Summary'!D:D, MATCH('Facility Summary_Water'!M14, 'Facility Discharge Summary'!J:J,0))</f>
        <v>Processing as a reactant</v>
      </c>
      <c r="S14" s="10" t="str">
        <f>INDEX('Processed Non-zero DMR Data'!T:T, MATCH('Facility Summary_Water'!M14, 'Processed Non-zero DMR Data'!I:I,0))</f>
        <v>Assumed processing as a reactant based on SIC and NAICS; this also matches 1,1,-DCA mapping.</v>
      </c>
      <c r="T14" s="10" t="s">
        <v>72</v>
      </c>
      <c r="U14" s="9">
        <f>INDEX('TRI and DMR OES Summary'!D:D, MATCH('Facility Summary_Water'!R14,'TRI and DMR OES Summary'!A:A,0))</f>
        <v>350</v>
      </c>
      <c r="V14" s="258">
        <f>INDEX('Facility Discharge Summary'!AR:AR,MATCH('Facility Summary_Water'!M14,'Facility Discharge Summary'!J:J,0))</f>
        <v>0</v>
      </c>
      <c r="W14" s="258">
        <f>INDEX('Facility Discharge Summary'!T:T,MATCH('Facility Summary_Water'!M14,'Facility Discharge Summary'!J:J,0))</f>
        <v>1.0629999999999999</v>
      </c>
    </row>
    <row r="15" spans="1:23" x14ac:dyDescent="0.25">
      <c r="A15" s="9">
        <v>14</v>
      </c>
      <c r="B15" s="10" t="str">
        <f>IF(COUNTIF('Processed Non-zero TRI Data'!J:J,'Facility Summary_Water'!M15)&gt;0, "TRI Form " &amp; INDEX('Processed Non-zero TRI Data'!K:K,MATCH('Facility Summary_Water'!M15,'Processed Non-zero TRI Data'!J:J,0)), "" )</f>
        <v/>
      </c>
      <c r="C15" s="10" t="str">
        <f>IF(COUNTIF('Processed Non-zero DMR Data'!I:I, 'Facility Summary_Water'!M15)&gt;0, "DMR", "")</f>
        <v>DMR</v>
      </c>
      <c r="D15" s="10"/>
      <c r="E15" s="9" t="s">
        <v>154</v>
      </c>
      <c r="F15" s="9"/>
      <c r="G15" s="9" t="s">
        <v>155</v>
      </c>
      <c r="H15" s="9" t="s">
        <v>138</v>
      </c>
      <c r="I15" s="9"/>
      <c r="J15" s="9">
        <f>IF(L15&lt;&gt;"", INDEX('Processed Non-zero TRI Data'!$G:$G, MATCH(L15, 'Processed Non-zero TRI Data'!$I:$I,0)), INDEX('Processed Non-zero DMR Data'!$F:$F, MATCH(M15,'Processed Non-zero DMR Data'!$I:$I, 0)))</f>
        <v>38.421495999999998</v>
      </c>
      <c r="K15" s="9">
        <f>IF(L15&lt;&gt;"", INDEX('Processed Non-zero TRI Data'!$H:$H, MATCH(L15, 'Processed Non-zero TRI Data'!$I:$I,0)), INDEX('Processed Non-zero DMR Data'!$G:$G, MATCH(M15,'Processed Non-zero DMR Data'!$I:$I, 0)))</f>
        <v>-83.734424000000004</v>
      </c>
      <c r="L15" s="9"/>
      <c r="M15" s="13">
        <v>110003251427</v>
      </c>
      <c r="N15" s="9">
        <f>IF(L15&lt;&gt;"",INDEX('Processed Non-zero TRI Data'!L:L,MATCH('Facility Summary_Water'!L15,'Processed Non-zero TRI Data'!I:I,0)),INDEX('Processed Non-zero DMR Data'!$L:$L,MATCH('Facility Summary_Water'!M15,'Processed Non-zero DMR Data'!$I:$I,0)))</f>
        <v>221320</v>
      </c>
      <c r="O15" s="10" t="str">
        <f>INDEX('2017 - 2022 NAICS'!D:D,MATCH('Facility Summary_Water'!N15,'2017 - 2022 NAICS'!C:C,0))</f>
        <v>Sewage Treatment Facilities</v>
      </c>
      <c r="P15" s="10" t="str">
        <f>IFERROR(VLOOKUP(L15, 'Processed Non-zero TRI Data'!I:Q, 8, 0), "Direct")</f>
        <v>Direct</v>
      </c>
      <c r="Q15" s="10" t="e">
        <f>VLOOKUP(R15,#REF!, 2, FALSE)</f>
        <v>#REF!</v>
      </c>
      <c r="R15" s="10" t="str">
        <f>INDEX('Facility Discharge Summary'!D:D, MATCH('Facility Summary_Water'!M15, 'Facility Discharge Summary'!J:J,0))</f>
        <v>Waste Handling, Disposal and Treatment (POTW)</v>
      </c>
      <c r="S15" s="10" t="str">
        <f>INDEX('Processed Non-zero DMR Data'!T:T, MATCH('Facility Summary_Water'!M15, 'Processed Non-zero DMR Data'!I:I,0))</f>
        <v>POTW indicator in DMR</v>
      </c>
      <c r="T15" s="10" t="s">
        <v>72</v>
      </c>
      <c r="U15" s="9">
        <f>INDEX('TRI and DMR OES Summary'!D:D, MATCH('Facility Summary_Water'!R15,'TRI and DMR OES Summary'!A:A,0))</f>
        <v>365</v>
      </c>
      <c r="V15" s="258">
        <f>INDEX('Facility Discharge Summary'!AR:AR,MATCH('Facility Summary_Water'!M15,'Facility Discharge Summary'!J:J,0))</f>
        <v>0</v>
      </c>
      <c r="W15" s="258">
        <f>INDEX('Facility Discharge Summary'!T:T,MATCH('Facility Summary_Water'!M15,'Facility Discharge Summary'!J:J,0))</f>
        <v>0.47524460000000002</v>
      </c>
    </row>
    <row r="16" spans="1:23" ht="45" x14ac:dyDescent="0.25">
      <c r="A16" s="9">
        <v>15</v>
      </c>
      <c r="B16" s="10" t="str">
        <f>IF(COUNTIF('Processed Non-zero TRI Data'!J:J,'Facility Summary_Water'!M16)&gt;0, "TRI Form " &amp; INDEX('Processed Non-zero TRI Data'!K:K,MATCH('Facility Summary_Water'!M16,'Processed Non-zero TRI Data'!J:J,0)), "" )</f>
        <v/>
      </c>
      <c r="C16" s="10" t="str">
        <f>IF(COUNTIF('Processed Non-zero DMR Data'!I:I, 'Facility Summary_Water'!M16)&gt;0, "DMR", "")</f>
        <v>DMR</v>
      </c>
      <c r="D16" s="10"/>
      <c r="E16" s="9" t="s">
        <v>156</v>
      </c>
      <c r="F16" s="9"/>
      <c r="G16" s="9" t="s">
        <v>157</v>
      </c>
      <c r="H16" s="9" t="s">
        <v>158</v>
      </c>
      <c r="I16" s="9"/>
      <c r="J16" s="9">
        <f>IF(L16&lt;&gt;"", INDEX('Processed Non-zero TRI Data'!$G:$G, MATCH(L16, 'Processed Non-zero TRI Data'!$I:$I,0)), INDEX('Processed Non-zero DMR Data'!$F:$F, MATCH(M16,'Processed Non-zero DMR Data'!$I:$I, 0)))</f>
        <v>36.122100000000003</v>
      </c>
      <c r="K16" s="9">
        <f>IF(L16&lt;&gt;"", INDEX('Processed Non-zero TRI Data'!$H:$H, MATCH(L16, 'Processed Non-zero TRI Data'!$I:$I,0)), INDEX('Processed Non-zero DMR Data'!$G:$G, MATCH(M16,'Processed Non-zero DMR Data'!$I:$I, 0)))</f>
        <v>-115.17139</v>
      </c>
      <c r="L16" s="9"/>
      <c r="M16" s="13">
        <v>110004306938</v>
      </c>
      <c r="N16" s="9">
        <f>IF(L16&lt;&gt;"",INDEX('Processed Non-zero TRI Data'!L:L,MATCH('Facility Summary_Water'!L16,'Processed Non-zero TRI Data'!I:I,0)),INDEX('Processed Non-zero DMR Data'!$L:$L,MATCH('Facility Summary_Water'!M16,'Processed Non-zero DMR Data'!$I:$I,0)))</f>
        <v>721110</v>
      </c>
      <c r="O16" s="10" t="str">
        <f>INDEX('2017 - 2022 NAICS'!D:D,MATCH('Facility Summary_Water'!N16,'2017 - 2022 NAICS'!C:C,0))</f>
        <v>Hotels (except Casino Hotels) and Motels</v>
      </c>
      <c r="P16" s="10" t="str">
        <f>IFERROR(VLOOKUP(L16, 'Processed Non-zero TRI Data'!I:Q, 8, 0), "Direct")</f>
        <v>Direct</v>
      </c>
      <c r="Q16" s="10" t="e">
        <f>VLOOKUP(R16,#REF!, 2, FALSE)</f>
        <v>#REF!</v>
      </c>
      <c r="R16" s="10" t="str">
        <f>INDEX('Facility Discharge Summary'!D:D, MATCH('Facility Summary_Water'!M16, 'Facility Discharge Summary'!J:J,0))</f>
        <v>Waste Handling, Disposal and Treatment (non-POTW WWT)</v>
      </c>
      <c r="S16" s="10" t="str">
        <f>INDEX('Processed Non-zero DMR Data'!T:T, MATCH('Facility Summary_Water'!M16, 'Processed Non-zero DMR Data'!I:I,0))</f>
        <v>Based on 1,1-DCA mapping and reasoning "Discharge of non-contact cooling water from facility, and general discharge".</v>
      </c>
      <c r="T16" s="10" t="s">
        <v>72</v>
      </c>
      <c r="U16" s="9">
        <f>INDEX('TRI and DMR OES Summary'!D:D, MATCH('Facility Summary_Water'!R16,'TRI and DMR OES Summary'!A:A,0))</f>
        <v>250</v>
      </c>
      <c r="V16" s="258">
        <f>INDEX('Facility Discharge Summary'!AR:AR,MATCH('Facility Summary_Water'!M16,'Facility Discharge Summary'!J:J,0))</f>
        <v>0</v>
      </c>
      <c r="W16" s="258">
        <f>INDEX('Facility Discharge Summary'!T:T,MATCH('Facility Summary_Water'!M16,'Facility Discharge Summary'!J:J,0))</f>
        <v>0.67112412212500006</v>
      </c>
    </row>
    <row r="17" spans="1:23" x14ac:dyDescent="0.25">
      <c r="A17" s="9">
        <v>16</v>
      </c>
      <c r="B17" s="10" t="str">
        <f>IF(COUNTIF('Processed Non-zero TRI Data'!J:J,'Facility Summary_Water'!M17)&gt;0, "TRI Form " &amp; INDEX('Processed Non-zero TRI Data'!K:K,MATCH('Facility Summary_Water'!M17,'Processed Non-zero TRI Data'!J:J,0)), "" )</f>
        <v/>
      </c>
      <c r="C17" s="10" t="str">
        <f>IF(COUNTIF('Processed Non-zero DMR Data'!I:I, 'Facility Summary_Water'!M17)&gt;0, "DMR", "")</f>
        <v>DMR</v>
      </c>
      <c r="D17" s="10"/>
      <c r="E17" s="9" t="s">
        <v>159</v>
      </c>
      <c r="F17" s="9"/>
      <c r="G17" s="9" t="s">
        <v>160</v>
      </c>
      <c r="H17" s="9" t="s">
        <v>138</v>
      </c>
      <c r="I17" s="9"/>
      <c r="J17" s="9">
        <f>IF(L17&lt;&gt;"", INDEX('Processed Non-zero TRI Data'!$G:$G, MATCH(L17, 'Processed Non-zero TRI Data'!$I:$I,0)), INDEX('Processed Non-zero DMR Data'!$F:$F, MATCH(M17,'Processed Non-zero DMR Data'!$I:$I, 0)))</f>
        <v>37.983888999999998</v>
      </c>
      <c r="K17" s="9">
        <f>IF(L17&lt;&gt;"", INDEX('Processed Non-zero TRI Data'!$H:$H, MATCH(L17, 'Processed Non-zero TRI Data'!$I:$I,0)), INDEX('Processed Non-zero DMR Data'!$G:$G, MATCH(M17,'Processed Non-zero DMR Data'!$I:$I, 0)))</f>
        <v>-85.722778000000005</v>
      </c>
      <c r="L17" s="9"/>
      <c r="M17" s="13">
        <v>110020941383</v>
      </c>
      <c r="N17" s="9">
        <f>IF(L17&lt;&gt;"",INDEX('Processed Non-zero TRI Data'!L:L,MATCH('Facility Summary_Water'!L17,'Processed Non-zero TRI Data'!I:I,0)),INDEX('Processed Non-zero DMR Data'!$L:$L,MATCH('Facility Summary_Water'!M17,'Processed Non-zero DMR Data'!$I:$I,0)))</f>
        <v>221320</v>
      </c>
      <c r="O17" s="10" t="str">
        <f>INDEX('2017 - 2022 NAICS'!D:D,MATCH('Facility Summary_Water'!N17,'2017 - 2022 NAICS'!C:C,0))</f>
        <v>Sewage Treatment Facilities</v>
      </c>
      <c r="P17" s="10" t="str">
        <f>IFERROR(VLOOKUP(L17, 'Processed Non-zero TRI Data'!I:Q, 8, 0), "Direct")</f>
        <v>Direct</v>
      </c>
      <c r="Q17" s="10" t="e">
        <f>VLOOKUP(R17,#REF!, 2, FALSE)</f>
        <v>#REF!</v>
      </c>
      <c r="R17" s="10" t="str">
        <f>INDEX('Facility Discharge Summary'!D:D, MATCH('Facility Summary_Water'!M17, 'Facility Discharge Summary'!J:J,0))</f>
        <v>Waste Handling, Disposal and Treatment (POTW)</v>
      </c>
      <c r="S17" s="10" t="str">
        <f>INDEX('Processed Non-zero DMR Data'!T:T, MATCH('Facility Summary_Water'!M17, 'Processed Non-zero DMR Data'!I:I,0))</f>
        <v>POTW indicator in DMR</v>
      </c>
      <c r="T17" s="10" t="s">
        <v>72</v>
      </c>
      <c r="U17" s="9">
        <f>INDEX('TRI and DMR OES Summary'!D:D, MATCH('Facility Summary_Water'!R17,'TRI and DMR OES Summary'!A:A,0))</f>
        <v>365</v>
      </c>
      <c r="V17" s="258">
        <f>INDEX('Facility Discharge Summary'!AR:AR,MATCH('Facility Summary_Water'!M17,'Facility Discharge Summary'!J:J,0))</f>
        <v>0</v>
      </c>
      <c r="W17" s="258">
        <f>INDEX('Facility Discharge Summary'!T:T,MATCH('Facility Summary_Water'!M17,'Facility Discharge Summary'!J:J,0))</f>
        <v>2.3485925000000001</v>
      </c>
    </row>
    <row r="18" spans="1:23" x14ac:dyDescent="0.25">
      <c r="A18" s="9">
        <v>17</v>
      </c>
      <c r="B18" s="10" t="str">
        <f>IF(COUNTIF('Processed Non-zero TRI Data'!J:J,'Facility Summary_Water'!M18)&gt;0, "TRI Form " &amp; INDEX('Processed Non-zero TRI Data'!K:K,MATCH('Facility Summary_Water'!M18,'Processed Non-zero TRI Data'!J:J,0)), "" )</f>
        <v/>
      </c>
      <c r="C18" s="10" t="str">
        <f>IF(COUNTIF('Processed Non-zero DMR Data'!I:I, 'Facility Summary_Water'!M18)&gt;0, "DMR", "")</f>
        <v>DMR</v>
      </c>
      <c r="D18" s="10"/>
      <c r="E18" s="9" t="s">
        <v>161</v>
      </c>
      <c r="F18" s="9"/>
      <c r="G18" s="9" t="s">
        <v>162</v>
      </c>
      <c r="H18" s="9" t="s">
        <v>146</v>
      </c>
      <c r="I18" s="9"/>
      <c r="J18" s="9">
        <f>IF(L18&lt;&gt;"", INDEX('Processed Non-zero TRI Data'!$G:$G, MATCH(L18, 'Processed Non-zero TRI Data'!$I:$I,0)), INDEX('Processed Non-zero DMR Data'!$F:$F, MATCH(M18,'Processed Non-zero DMR Data'!$I:$I, 0)))</f>
        <v>34.055900000000001</v>
      </c>
      <c r="K18" s="9">
        <f>IF(L18&lt;&gt;"", INDEX('Processed Non-zero TRI Data'!$H:$H, MATCH(L18, 'Processed Non-zero TRI Data'!$I:$I,0)), INDEX('Processed Non-zero DMR Data'!$G:$G, MATCH(M18,'Processed Non-zero DMR Data'!$I:$I, 0)))</f>
        <v>-117.36134</v>
      </c>
      <c r="L18" s="9"/>
      <c r="M18" s="13">
        <v>110000525842</v>
      </c>
      <c r="N18" s="9">
        <f>IF(L18&lt;&gt;"",INDEX('Processed Non-zero TRI Data'!L:L,MATCH('Facility Summary_Water'!L18,'Processed Non-zero TRI Data'!I:I,0)),INDEX('Processed Non-zero DMR Data'!$L:$L,MATCH('Facility Summary_Water'!M18,'Processed Non-zero DMR Data'!$I:$I,0)))</f>
        <v>221320</v>
      </c>
      <c r="O18" s="10" t="str">
        <f>INDEX('2017 - 2022 NAICS'!D:D,MATCH('Facility Summary_Water'!N18,'2017 - 2022 NAICS'!C:C,0))</f>
        <v>Sewage Treatment Facilities</v>
      </c>
      <c r="P18" s="10" t="str">
        <f>IFERROR(VLOOKUP(L18, 'Processed Non-zero TRI Data'!I:Q, 8, 0), "Direct")</f>
        <v>Direct</v>
      </c>
      <c r="Q18" s="10" t="e">
        <f>VLOOKUP(R18,#REF!, 2, FALSE)</f>
        <v>#REF!</v>
      </c>
      <c r="R18" s="10" t="str">
        <f>INDEX('Facility Discharge Summary'!D:D, MATCH('Facility Summary_Water'!M18, 'Facility Discharge Summary'!J:J,0))</f>
        <v>Waste Handling, Disposal and Treatment (POTW)</v>
      </c>
      <c r="S18" s="10" t="str">
        <f>INDEX('Processed Non-zero DMR Data'!T:T, MATCH('Facility Summary_Water'!M18, 'Processed Non-zero DMR Data'!I:I,0))</f>
        <v>POTW indicator in DMR</v>
      </c>
      <c r="T18" s="10" t="s">
        <v>72</v>
      </c>
      <c r="U18" s="9">
        <f>INDEX('TRI and DMR OES Summary'!D:D, MATCH('Facility Summary_Water'!R18,'TRI and DMR OES Summary'!A:A,0))</f>
        <v>365</v>
      </c>
      <c r="V18" s="258">
        <f>INDEX('Facility Discharge Summary'!AR:AR,MATCH('Facility Summary_Water'!M18,'Facility Discharge Summary'!J:J,0))</f>
        <v>0</v>
      </c>
      <c r="W18" s="258">
        <f>INDEX('Facility Discharge Summary'!T:T,MATCH('Facility Summary_Water'!M18,'Facility Discharge Summary'!J:J,0))</f>
        <v>2.4338193449999999</v>
      </c>
    </row>
    <row r="19" spans="1:23" ht="30" x14ac:dyDescent="0.25">
      <c r="A19" s="9">
        <v>18</v>
      </c>
      <c r="B19" s="10" t="str">
        <f>IF(COUNTIF('Processed Non-zero TRI Data'!J:J,'Facility Summary_Water'!M19)&gt;0, "TRI Form " &amp; INDEX('Processed Non-zero TRI Data'!K:K,MATCH('Facility Summary_Water'!M19,'Processed Non-zero TRI Data'!J:J,0)), "" )</f>
        <v/>
      </c>
      <c r="C19" s="10" t="str">
        <f>IF(COUNTIF('Processed Non-zero DMR Data'!I:I, 'Facility Summary_Water'!M19)&gt;0, "DMR", "")</f>
        <v>DMR</v>
      </c>
      <c r="D19" s="10"/>
      <c r="E19" s="9" t="s">
        <v>163</v>
      </c>
      <c r="F19" s="9"/>
      <c r="G19" s="9" t="s">
        <v>164</v>
      </c>
      <c r="H19" s="9" t="s">
        <v>135</v>
      </c>
      <c r="I19" s="9"/>
      <c r="J19" s="9">
        <f>IF(L19&lt;&gt;"", INDEX('Processed Non-zero TRI Data'!$G:$G, MATCH(L19, 'Processed Non-zero TRI Data'!$I:$I,0)), INDEX('Processed Non-zero DMR Data'!$F:$F, MATCH(M19,'Processed Non-zero DMR Data'!$I:$I, 0)))</f>
        <v>39.599829999999997</v>
      </c>
      <c r="K19" s="9">
        <f>IF(L19&lt;&gt;"", INDEX('Processed Non-zero TRI Data'!$H:$H, MATCH(L19, 'Processed Non-zero TRI Data'!$I:$I,0)), INDEX('Processed Non-zero DMR Data'!$G:$G, MATCH(M19,'Processed Non-zero DMR Data'!$I:$I, 0)))</f>
        <v>-79.97148</v>
      </c>
      <c r="L19" s="9"/>
      <c r="M19" s="13">
        <v>110000572782</v>
      </c>
      <c r="N19" s="9">
        <f>IF(L19&lt;&gt;"",INDEX('Processed Non-zero TRI Data'!L:L,MATCH('Facility Summary_Water'!L19,'Processed Non-zero TRI Data'!I:I,0)),INDEX('Processed Non-zero DMR Data'!$L:$L,MATCH('Facility Summary_Water'!M19,'Processed Non-zero DMR Data'!$I:$I,0)))</f>
        <v>325110</v>
      </c>
      <c r="O19" s="10" t="str">
        <f>INDEX('2017 - 2022 NAICS'!D:D,MATCH('Facility Summary_Water'!N19,'2017 - 2022 NAICS'!C:C,0))</f>
        <v>Petrochemical Manufacturing</v>
      </c>
      <c r="P19" s="10" t="str">
        <f>IFERROR(VLOOKUP(L19, 'Processed Non-zero TRI Data'!I:Q, 8, 0), "Direct")</f>
        <v>Direct</v>
      </c>
      <c r="Q19" s="10" t="e">
        <f>VLOOKUP(R19,#REF!, 2, FALSE)</f>
        <v>#REF!</v>
      </c>
      <c r="R19" s="10" t="str">
        <f>INDEX('Facility Discharge Summary'!D:D, MATCH('Facility Summary_Water'!M19, 'Facility Discharge Summary'!J:J,0))</f>
        <v>Processing as a reactant</v>
      </c>
      <c r="S19" s="10" t="str">
        <f>INDEX('Processed Non-zero DMR Data'!T:T, MATCH('Facility Summary_Water'!M19, 'Processed Non-zero DMR Data'!I:I,0))</f>
        <v>Assumed processing as a reactant based on SIC and NAICS; this also matches 1,1,-DCA mapping.</v>
      </c>
      <c r="T19" s="10" t="s">
        <v>72</v>
      </c>
      <c r="U19" s="9">
        <f>INDEX('TRI and DMR OES Summary'!D:D, MATCH('Facility Summary_Water'!R19,'TRI and DMR OES Summary'!A:A,0))</f>
        <v>350</v>
      </c>
      <c r="V19" s="258">
        <f>INDEX('Facility Discharge Summary'!AR:AR,MATCH('Facility Summary_Water'!M19,'Facility Discharge Summary'!J:J,0))</f>
        <v>0</v>
      </c>
      <c r="W19" s="258">
        <f>INDEX('Facility Discharge Summary'!T:T,MATCH('Facility Summary_Water'!M19,'Facility Discharge Summary'!J:J,0))</f>
        <v>0.74926344</v>
      </c>
    </row>
    <row r="20" spans="1:23" ht="30" x14ac:dyDescent="0.25">
      <c r="A20" s="9">
        <v>19</v>
      </c>
      <c r="B20" s="10" t="str">
        <f>IF(COUNTIF('Processed Non-zero TRI Data'!J:J,'Facility Summary_Water'!M20)&gt;0, "TRI Form " &amp; INDEX('Processed Non-zero TRI Data'!K:K,MATCH('Facility Summary_Water'!M20,'Processed Non-zero TRI Data'!J:J,0)), "" )</f>
        <v/>
      </c>
      <c r="C20" s="10" t="str">
        <f>IF(COUNTIF('Processed Non-zero DMR Data'!I:I, 'Facility Summary_Water'!M20)&gt;0, "DMR", "")</f>
        <v>DMR</v>
      </c>
      <c r="D20" s="10"/>
      <c r="E20" s="9" t="s">
        <v>165</v>
      </c>
      <c r="F20" s="9"/>
      <c r="G20" s="9" t="s">
        <v>166</v>
      </c>
      <c r="H20" s="9" t="s">
        <v>146</v>
      </c>
      <c r="I20" s="9"/>
      <c r="J20" s="9">
        <f>IF(L20&lt;&gt;"", INDEX('Processed Non-zero TRI Data'!$G:$G, MATCH(L20, 'Processed Non-zero TRI Data'!$I:$I,0)), INDEX('Processed Non-zero DMR Data'!$F:$F, MATCH(M20,'Processed Non-zero DMR Data'!$I:$I, 0)))</f>
        <v>35.178620000000002</v>
      </c>
      <c r="K20" s="9">
        <f>IF(L20&lt;&gt;"", INDEX('Processed Non-zero TRI Data'!$H:$H, MATCH(L20, 'Processed Non-zero TRI Data'!$I:$I,0)), INDEX('Processed Non-zero DMR Data'!$G:$G, MATCH(M20,'Processed Non-zero DMR Data'!$I:$I, 0)))</f>
        <v>-120.62067500000001</v>
      </c>
      <c r="L20" s="9"/>
      <c r="M20" s="13">
        <v>110037256867</v>
      </c>
      <c r="N20" s="9">
        <f>IF(L20&lt;&gt;"",INDEX('Processed Non-zero TRI Data'!L:L,MATCH('Facility Summary_Water'!L20,'Processed Non-zero TRI Data'!I:I,0)),INDEX('Processed Non-zero DMR Data'!$L:$L,MATCH('Facility Summary_Water'!M20,'Processed Non-zero DMR Data'!$I:$I,0)))</f>
        <v>324110</v>
      </c>
      <c r="O20" s="10" t="str">
        <f>INDEX('2017 - 2022 NAICS'!D:D,MATCH('Facility Summary_Water'!N20,'2017 - 2022 NAICS'!C:C,0))</f>
        <v>Petroleum Refineries</v>
      </c>
      <c r="P20" s="10" t="str">
        <f>IFERROR(VLOOKUP(L20, 'Processed Non-zero TRI Data'!I:Q, 8, 0), "Direct")</f>
        <v>Direct</v>
      </c>
      <c r="Q20" s="10" t="e">
        <f>VLOOKUP(R20,#REF!, 2, FALSE)</f>
        <v>#REF!</v>
      </c>
      <c r="R20" s="10" t="str">
        <f>INDEX('Facility Discharge Summary'!D:D, MATCH('Facility Summary_Water'!M20, 'Facility Discharge Summary'!J:J,0))</f>
        <v>Waste Handling, Disposal and Treatment (non-POTW WWT)</v>
      </c>
      <c r="S20" s="10" t="str">
        <f>INDEX('Processed Non-zero DMR Data'!T:T, MATCH('Facility Summary_Water'!M20, 'Processed Non-zero DMR Data'!I:I,0))</f>
        <v>Water reclamation facility; per facility type flag, non-POTW WWT.</v>
      </c>
      <c r="T20" s="10" t="s">
        <v>72</v>
      </c>
      <c r="U20" s="9">
        <f>INDEX('TRI and DMR OES Summary'!D:D, MATCH('Facility Summary_Water'!R20,'TRI and DMR OES Summary'!A:A,0))</f>
        <v>250</v>
      </c>
      <c r="V20" s="258">
        <f>INDEX('Facility Discharge Summary'!AR:AR,MATCH('Facility Summary_Water'!M20,'Facility Discharge Summary'!J:J,0))</f>
        <v>0</v>
      </c>
      <c r="W20" s="258">
        <f>INDEX('Facility Discharge Summary'!T:T,MATCH('Facility Summary_Water'!M20,'Facility Discharge Summary'!J:J,0))</f>
        <v>0.1623291875</v>
      </c>
    </row>
    <row r="21" spans="1:23" x14ac:dyDescent="0.25">
      <c r="A21" s="9">
        <v>20</v>
      </c>
      <c r="B21" s="10" t="str">
        <f>IF(COUNTIF('Processed Non-zero TRI Data'!J:J,'Facility Summary_Water'!M21)&gt;0, "TRI Form " &amp; INDEX('Processed Non-zero TRI Data'!K:K,MATCH('Facility Summary_Water'!M21,'Processed Non-zero TRI Data'!J:J,0)), "" )</f>
        <v/>
      </c>
      <c r="C21" s="10" t="str">
        <f>IF(COUNTIF('Processed Non-zero DMR Data'!I:I, 'Facility Summary_Water'!M21)&gt;0, "DMR", "")</f>
        <v>DMR</v>
      </c>
      <c r="D21" s="10"/>
      <c r="E21" s="9" t="s">
        <v>167</v>
      </c>
      <c r="F21" s="9"/>
      <c r="G21" s="9" t="s">
        <v>157</v>
      </c>
      <c r="H21" s="9" t="s">
        <v>158</v>
      </c>
      <c r="I21" s="9"/>
      <c r="J21" s="9">
        <f>IF(L21&lt;&gt;"", INDEX('Processed Non-zero TRI Data'!$G:$G, MATCH(L21, 'Processed Non-zero TRI Data'!$I:$I,0)), INDEX('Processed Non-zero DMR Data'!$F:$F, MATCH(M21,'Processed Non-zero DMR Data'!$I:$I, 0)))</f>
        <v>36.116160999999998</v>
      </c>
      <c r="K21" s="9">
        <f>IF(L21&lt;&gt;"", INDEX('Processed Non-zero TRI Data'!$H:$H, MATCH(L21, 'Processed Non-zero TRI Data'!$I:$I,0)), INDEX('Processed Non-zero DMR Data'!$G:$G, MATCH(M21,'Processed Non-zero DMR Data'!$I:$I, 0)))</f>
        <v>-115.172741</v>
      </c>
      <c r="L21" s="9"/>
      <c r="M21" s="13">
        <v>110015972562</v>
      </c>
      <c r="N21" s="9">
        <f>IF(L21&lt;&gt;"",INDEX('Processed Non-zero TRI Data'!L:L,MATCH('Facility Summary_Water'!L21,'Processed Non-zero TRI Data'!I:I,0)),INDEX('Processed Non-zero DMR Data'!$L:$L,MATCH('Facility Summary_Water'!M21,'Processed Non-zero DMR Data'!$I:$I,0)))</f>
        <v>721110</v>
      </c>
      <c r="O21" s="10" t="str">
        <f>INDEX('2017 - 2022 NAICS'!D:D,MATCH('Facility Summary_Water'!N21,'2017 - 2022 NAICS'!C:C,0))</f>
        <v>Hotels (except Casino Hotels) and Motels</v>
      </c>
      <c r="P21" s="10" t="str">
        <f>IFERROR(VLOOKUP(L21, 'Processed Non-zero TRI Data'!I:Q, 8, 0), "Direct")</f>
        <v>Direct</v>
      </c>
      <c r="Q21" s="10" t="e">
        <f>VLOOKUP(R21,#REF!, 2, FALSE)</f>
        <v>#REF!</v>
      </c>
      <c r="R21" s="10" t="str">
        <f>INDEX('Facility Discharge Summary'!D:D, MATCH('Facility Summary_Water'!M21, 'Facility Discharge Summary'!J:J,0))</f>
        <v>Unknown</v>
      </c>
      <c r="S21" s="10" t="str">
        <f>INDEX('Processed Non-zero DMR Data'!T:T, MATCH('Facility Summary_Water'!M21, 'Processed Non-zero DMR Data'!I:I,0))</f>
        <v>Facility is a hotel in Las Vegas; no OES to map to.</v>
      </c>
      <c r="T21" s="10" t="s">
        <v>72</v>
      </c>
      <c r="U21" s="9">
        <f>INDEX('TRI and DMR OES Summary'!D:D, MATCH('Facility Summary_Water'!R21,'TRI and DMR OES Summary'!A:A,0))</f>
        <v>250</v>
      </c>
      <c r="V21" s="258">
        <f>INDEX('Facility Discharge Summary'!AR:AR,MATCH('Facility Summary_Water'!M21,'Facility Discharge Summary'!J:J,0))</f>
        <v>0</v>
      </c>
      <c r="W21" s="258">
        <f>INDEX('Facility Discharge Summary'!T:T,MATCH('Facility Summary_Water'!M21,'Facility Discharge Summary'!J:J,0))</f>
        <v>0.28724449216249998</v>
      </c>
    </row>
    <row r="22" spans="1:23" x14ac:dyDescent="0.25">
      <c r="A22" s="9">
        <v>21</v>
      </c>
      <c r="B22" s="10" t="str">
        <f>IF(COUNTIF('Processed Non-zero TRI Data'!J:J,'Facility Summary_Water'!M22)&gt;0, "TRI Form " &amp; INDEX('Processed Non-zero TRI Data'!K:K,MATCH('Facility Summary_Water'!M22,'Processed Non-zero TRI Data'!J:J,0)), "" )</f>
        <v/>
      </c>
      <c r="C22" s="10" t="str">
        <f>IF(COUNTIF('Processed Non-zero DMR Data'!I:I, 'Facility Summary_Water'!M22)&gt;0, "DMR", "")</f>
        <v>DMR</v>
      </c>
      <c r="D22" s="10"/>
      <c r="E22" s="9" t="s">
        <v>168</v>
      </c>
      <c r="F22" s="9"/>
      <c r="G22" s="9" t="s">
        <v>169</v>
      </c>
      <c r="H22" s="9" t="s">
        <v>170</v>
      </c>
      <c r="I22" s="9"/>
      <c r="J22" s="9">
        <f>IF(L22&lt;&gt;"", INDEX('Processed Non-zero TRI Data'!$G:$G, MATCH(L22, 'Processed Non-zero TRI Data'!$I:$I,0)), INDEX('Processed Non-zero DMR Data'!$F:$F, MATCH(M22,'Processed Non-zero DMR Data'!$I:$I, 0)))</f>
        <v>37.188566000000002</v>
      </c>
      <c r="K22" s="9">
        <f>IF(L22&lt;&gt;"", INDEX('Processed Non-zero TRI Data'!$H:$H, MATCH(L22, 'Processed Non-zero TRI Data'!$I:$I,0)), INDEX('Processed Non-zero DMR Data'!$G:$G, MATCH(M22,'Processed Non-zero DMR Data'!$I:$I, 0)))</f>
        <v>-93.325920999999994</v>
      </c>
      <c r="L22" s="9"/>
      <c r="M22" s="13">
        <v>110045547547</v>
      </c>
      <c r="N22" s="9">
        <f>IF(L22&lt;&gt;"",INDEX('Processed Non-zero TRI Data'!L:L,MATCH('Facility Summary_Water'!L22,'Processed Non-zero TRI Data'!I:I,0)),INDEX('Processed Non-zero DMR Data'!$L:$L,MATCH('Facility Summary_Water'!M22,'Processed Non-zero DMR Data'!$I:$I,0)))</f>
        <v>325411</v>
      </c>
      <c r="O22" s="10" t="str">
        <f>INDEX('2017 - 2022 NAICS'!D:D,MATCH('Facility Summary_Water'!N22,'2017 - 2022 NAICS'!C:C,0))</f>
        <v>Medicinal and Botanical Manufacturing</v>
      </c>
      <c r="P22" s="10" t="str">
        <f>IFERROR(VLOOKUP(L22, 'Processed Non-zero TRI Data'!I:Q, 8, 0), "Direct")</f>
        <v>Direct</v>
      </c>
      <c r="Q22" s="10" t="e">
        <f>VLOOKUP(R22,#REF!, 2, FALSE)</f>
        <v>#REF!</v>
      </c>
      <c r="R22" s="10" t="str">
        <f>INDEX('Facility Discharge Summary'!D:D, MATCH('Facility Summary_Water'!M22, 'Facility Discharge Summary'!J:J,0))</f>
        <v>Processing as a reactant</v>
      </c>
      <c r="S22" s="10" t="str">
        <f>INDEX('Processed Non-zero DMR Data'!T:T, MATCH('Facility Summary_Water'!M22, 'Processed Non-zero DMR Data'!I:I,0))</f>
        <v>Facility produces pharmaceuticals.</v>
      </c>
      <c r="T22" s="10" t="s">
        <v>72</v>
      </c>
      <c r="U22" s="9">
        <f>INDEX('TRI and DMR OES Summary'!D:D, MATCH('Facility Summary_Water'!R22,'TRI and DMR OES Summary'!A:A,0))</f>
        <v>350</v>
      </c>
      <c r="V22" s="258">
        <f>INDEX('Facility Discharge Summary'!AR:AR,MATCH('Facility Summary_Water'!M22,'Facility Discharge Summary'!J:J,0))</f>
        <v>0</v>
      </c>
      <c r="W22" s="258">
        <f>INDEX('Facility Discharge Summary'!T:T,MATCH('Facility Summary_Water'!M22,'Facility Discharge Summary'!J:J,0))</f>
        <v>0.25477844333333299</v>
      </c>
    </row>
    <row r="23" spans="1:23" x14ac:dyDescent="0.25">
      <c r="A23" s="9">
        <v>22</v>
      </c>
      <c r="B23" s="10" t="str">
        <f>IF(COUNTIF('Processed Non-zero TRI Data'!J:J,'Facility Summary_Water'!M23)&gt;0, "TRI Form " &amp; INDEX('Processed Non-zero TRI Data'!K:K,MATCH('Facility Summary_Water'!M23,'Processed Non-zero TRI Data'!J:J,0)), "" )</f>
        <v/>
      </c>
      <c r="C23" s="10" t="str">
        <f>IF(COUNTIF('Processed Non-zero DMR Data'!I:I, 'Facility Summary_Water'!M23)&gt;0, "DMR", "")</f>
        <v>DMR</v>
      </c>
      <c r="D23" s="10"/>
      <c r="E23" s="9" t="s">
        <v>171</v>
      </c>
      <c r="F23" s="9"/>
      <c r="G23" s="9" t="s">
        <v>157</v>
      </c>
      <c r="H23" s="9" t="s">
        <v>158</v>
      </c>
      <c r="I23" s="9"/>
      <c r="J23" s="9">
        <f>IF(L23&lt;&gt;"", INDEX('Processed Non-zero TRI Data'!$G:$G, MATCH(L23, 'Processed Non-zero TRI Data'!$I:$I,0)), INDEX('Processed Non-zero DMR Data'!$F:$F, MATCH(M23,'Processed Non-zero DMR Data'!$I:$I, 0)))</f>
        <v>36.132570000000001</v>
      </c>
      <c r="K23" s="9">
        <f>IF(L23&lt;&gt;"", INDEX('Processed Non-zero TRI Data'!$H:$H, MATCH(L23, 'Processed Non-zero TRI Data'!$I:$I,0)), INDEX('Processed Non-zero DMR Data'!$G:$G, MATCH(M23,'Processed Non-zero DMR Data'!$I:$I, 0)))</f>
        <v>-115.16477</v>
      </c>
      <c r="L23" s="9"/>
      <c r="M23" s="13">
        <v>110041253256</v>
      </c>
      <c r="N23" s="9">
        <f>IF(L23&lt;&gt;"",INDEX('Processed Non-zero TRI Data'!L:L,MATCH('Facility Summary_Water'!L23,'Processed Non-zero TRI Data'!I:I,0)),INDEX('Processed Non-zero DMR Data'!$L:$L,MATCH('Facility Summary_Water'!M23,'Processed Non-zero DMR Data'!$I:$I,0)))</f>
        <v>721110</v>
      </c>
      <c r="O23" s="10" t="str">
        <f>INDEX('2017 - 2022 NAICS'!D:D,MATCH('Facility Summary_Water'!N23,'2017 - 2022 NAICS'!C:C,0))</f>
        <v>Hotels (except Casino Hotels) and Motels</v>
      </c>
      <c r="P23" s="10" t="str">
        <f>IFERROR(VLOOKUP(L23, 'Processed Non-zero TRI Data'!I:Q, 8, 0), "Direct")</f>
        <v>Direct</v>
      </c>
      <c r="Q23" s="10" t="e">
        <f>VLOOKUP(R23,#REF!, 2, FALSE)</f>
        <v>#REF!</v>
      </c>
      <c r="R23" s="10" t="str">
        <f>INDEX('Facility Discharge Summary'!D:D, MATCH('Facility Summary_Water'!M23, 'Facility Discharge Summary'!J:J,0))</f>
        <v>Unknown</v>
      </c>
      <c r="S23" s="10" t="str">
        <f>INDEX('Processed Non-zero DMR Data'!T:T, MATCH('Facility Summary_Water'!M23, 'Processed Non-zero DMR Data'!I:I,0))</f>
        <v>Facility is a hotel; no OES to map to.</v>
      </c>
      <c r="T23" s="10" t="s">
        <v>72</v>
      </c>
      <c r="U23" s="9">
        <f>INDEX('TRI and DMR OES Summary'!D:D, MATCH('Facility Summary_Water'!R23,'TRI and DMR OES Summary'!A:A,0))</f>
        <v>250</v>
      </c>
      <c r="V23" s="258">
        <f>INDEX('Facility Discharge Summary'!AR:AR,MATCH('Facility Summary_Water'!M23,'Facility Discharge Summary'!J:J,0))</f>
        <v>0</v>
      </c>
      <c r="W23" s="258">
        <f>INDEX('Facility Discharge Summary'!T:T,MATCH('Facility Summary_Water'!M23,'Facility Discharge Summary'!J:J,0))</f>
        <v>0.1271003</v>
      </c>
    </row>
    <row r="24" spans="1:23" ht="30" x14ac:dyDescent="0.25">
      <c r="A24" s="9">
        <v>23</v>
      </c>
      <c r="B24" s="10" t="str">
        <f>IF(COUNTIF('Processed Non-zero TRI Data'!J:J,'Facility Summary_Water'!M24)&gt;0, "TRI Form " &amp; INDEX('Processed Non-zero TRI Data'!K:K,MATCH('Facility Summary_Water'!M24,'Processed Non-zero TRI Data'!J:J,0)), "" )</f>
        <v/>
      </c>
      <c r="C24" s="10" t="str">
        <f>IF(COUNTIF('Processed Non-zero DMR Data'!I:I, 'Facility Summary_Water'!M24)&gt;0, "DMR", "")</f>
        <v>DMR</v>
      </c>
      <c r="D24" s="10"/>
      <c r="E24" s="9" t="s">
        <v>172</v>
      </c>
      <c r="F24" s="9"/>
      <c r="G24" s="9" t="s">
        <v>173</v>
      </c>
      <c r="H24" s="9" t="s">
        <v>158</v>
      </c>
      <c r="I24" s="9"/>
      <c r="J24" s="9">
        <f>IF(L24&lt;&gt;"", INDEX('Processed Non-zero TRI Data'!$G:$G, MATCH(L24, 'Processed Non-zero TRI Data'!$I:$I,0)), INDEX('Processed Non-zero DMR Data'!$F:$F, MATCH(M24,'Processed Non-zero DMR Data'!$I:$I, 0)))</f>
        <v>36.035440000000001</v>
      </c>
      <c r="K24" s="9">
        <f>IF(L24&lt;&gt;"", INDEX('Processed Non-zero TRI Data'!$H:$H, MATCH(L24, 'Processed Non-zero TRI Data'!$I:$I,0)), INDEX('Processed Non-zero DMR Data'!$G:$G, MATCH(M24,'Processed Non-zero DMR Data'!$I:$I, 0)))</f>
        <v>-114.99994</v>
      </c>
      <c r="L24" s="9"/>
      <c r="M24" s="13">
        <v>110043808467</v>
      </c>
      <c r="N24" s="9">
        <f>IF(L24&lt;&gt;"",INDEX('Processed Non-zero TRI Data'!L:L,MATCH('Facility Summary_Water'!L24,'Processed Non-zero TRI Data'!I:I,0)),INDEX('Processed Non-zero DMR Data'!$L:$L,MATCH('Facility Summary_Water'!M24,'Processed Non-zero DMR Data'!$I:$I,0)))</f>
        <v>236220</v>
      </c>
      <c r="O24" s="10" t="str">
        <f>INDEX('2017 - 2022 NAICS'!D:D,MATCH('Facility Summary_Water'!N24,'2017 - 2022 NAICS'!C:C,0))</f>
        <v>Commercial and Institutional Building Construction</v>
      </c>
      <c r="P24" s="10" t="str">
        <f>IFERROR(VLOOKUP(L24, 'Processed Non-zero TRI Data'!I:Q, 8, 0), "Direct")</f>
        <v>Direct</v>
      </c>
      <c r="Q24" s="10" t="e">
        <f>VLOOKUP(R24,#REF!, 2, FALSE)</f>
        <v>#REF!</v>
      </c>
      <c r="R24" s="10" t="str">
        <f>INDEX('Facility Discharge Summary'!D:D, MATCH('Facility Summary_Water'!M24, 'Facility Discharge Summary'!J:J,0))</f>
        <v>Waste Handling, Disposal and Treatment (Remediation)</v>
      </c>
      <c r="S24" s="10" t="str">
        <f>INDEX('Processed Non-zero DMR Data'!T:T, MATCH('Facility Summary_Water'!M24, 'Processed Non-zero DMR Data'!I:I,0))</f>
        <v>Remediation treatment facility to remove chromium and perchlorate from groundwater</v>
      </c>
      <c r="T24" s="10" t="s">
        <v>72</v>
      </c>
      <c r="U24" s="9">
        <f>INDEX('TRI and DMR OES Summary'!D:D, MATCH('Facility Summary_Water'!R24,'TRI and DMR OES Summary'!A:A,0))</f>
        <v>250</v>
      </c>
      <c r="V24" s="258">
        <f>INDEX('Facility Discharge Summary'!AR:AR,MATCH('Facility Summary_Water'!M24,'Facility Discharge Summary'!J:J,0))</f>
        <v>0</v>
      </c>
      <c r="W24" s="258">
        <f>INDEX('Facility Discharge Summary'!T:T,MATCH('Facility Summary_Water'!M24,'Facility Discharge Summary'!J:J,0))</f>
        <v>0.63700111699999995</v>
      </c>
    </row>
    <row r="25" spans="1:23" ht="45" x14ac:dyDescent="0.25">
      <c r="A25" s="9">
        <v>24</v>
      </c>
      <c r="B25" s="10" t="str">
        <f>IF(COUNTIF('Processed Non-zero TRI Data'!J:J,'Facility Summary_Water'!M25)&gt;0, "TRI Form " &amp; INDEX('Processed Non-zero TRI Data'!K:K,MATCH('Facility Summary_Water'!M25,'Processed Non-zero TRI Data'!J:J,0)), "" )</f>
        <v/>
      </c>
      <c r="C25" s="10" t="str">
        <f>IF(COUNTIF('Processed Non-zero DMR Data'!I:I, 'Facility Summary_Water'!M25)&gt;0, "DMR", "")</f>
        <v>DMR</v>
      </c>
      <c r="D25" s="10"/>
      <c r="E25" s="9" t="s">
        <v>174</v>
      </c>
      <c r="F25" s="9"/>
      <c r="G25" s="9" t="s">
        <v>175</v>
      </c>
      <c r="H25" s="9" t="s">
        <v>106</v>
      </c>
      <c r="I25" s="9"/>
      <c r="J25" s="9">
        <f>IF(L25&lt;&gt;"", INDEX('Processed Non-zero TRI Data'!$G:$G, MATCH(L25, 'Processed Non-zero TRI Data'!$I:$I,0)), INDEX('Processed Non-zero DMR Data'!$F:$F, MATCH(M25,'Processed Non-zero DMR Data'!$I:$I, 0)))</f>
        <v>30.193916000000002</v>
      </c>
      <c r="K25" s="9">
        <f>IF(L25&lt;&gt;"", INDEX('Processed Non-zero TRI Data'!$H:$H, MATCH(L25, 'Processed Non-zero TRI Data'!$I:$I,0)), INDEX('Processed Non-zero DMR Data'!$G:$G, MATCH(M25,'Processed Non-zero DMR Data'!$I:$I, 0)))</f>
        <v>-93.321347000000003</v>
      </c>
      <c r="L25" s="9"/>
      <c r="M25" s="13">
        <v>110000597266</v>
      </c>
      <c r="N25" s="9">
        <f>IF(L25&lt;&gt;"",INDEX('Processed Non-zero TRI Data'!L:L,MATCH('Facility Summary_Water'!L25,'Processed Non-zero TRI Data'!I:I,0)),INDEX('Processed Non-zero DMR Data'!$L:$L,MATCH('Facility Summary_Water'!M25,'Processed Non-zero DMR Data'!$I:$I,0)))</f>
        <v>325211</v>
      </c>
      <c r="O25" s="10" t="str">
        <f>INDEX('2017 - 2022 NAICS'!D:D,MATCH('Facility Summary_Water'!N25,'2017 - 2022 NAICS'!C:C,0))</f>
        <v>Plastics Material and Resin Manufacturing</v>
      </c>
      <c r="P25" s="10" t="str">
        <f>IFERROR(VLOOKUP(L25, 'Processed Non-zero TRI Data'!I:Q, 8, 0), "Direct")</f>
        <v>Direct</v>
      </c>
      <c r="Q25" s="10" t="e">
        <f>VLOOKUP(R25,#REF!, 2, FALSE)</f>
        <v>#REF!</v>
      </c>
      <c r="R25" s="10" t="str">
        <f>INDEX('Facility Discharge Summary'!D:D, MATCH('Facility Summary_Water'!M25, 'Facility Discharge Summary'!J:J,0))</f>
        <v>Impurity in Plastics</v>
      </c>
      <c r="S25" s="10" t="str">
        <f>INDEX('Processed Non-zero DMR Data'!T:T, MATCH('Facility Summary_Water'!M25, 'Processed Non-zero DMR Data'!I:I,0))</f>
        <v>Plastics SIC/NAICS - EPA-HQ-OPPT-2018-0428-0011 indicates 1,2-dichloropropane can be a residual/byproduct in PVC plastics or a flame retardant plasticizer.</v>
      </c>
      <c r="T25" s="10" t="s">
        <v>72</v>
      </c>
      <c r="U25" s="9">
        <f>INDEX('TRI and DMR OES Summary'!D:D, MATCH('Facility Summary_Water'!R25,'TRI and DMR OES Summary'!A:A,0))</f>
        <v>350</v>
      </c>
      <c r="V25" s="258">
        <f>INDEX('Facility Discharge Summary'!AR:AR,MATCH('Facility Summary_Water'!M25,'Facility Discharge Summary'!J:J,0))</f>
        <v>0</v>
      </c>
      <c r="W25" s="258">
        <f>INDEX('Facility Discharge Summary'!T:T,MATCH('Facility Summary_Water'!M25,'Facility Discharge Summary'!J:J,0))</f>
        <v>0.82855000000000001</v>
      </c>
    </row>
    <row r="26" spans="1:23" x14ac:dyDescent="0.25">
      <c r="A26" s="9">
        <v>25</v>
      </c>
      <c r="B26" s="10" t="str">
        <f>IF(COUNTIF('Processed Non-zero TRI Data'!J:J,'Facility Summary_Water'!M26)&gt;0, "TRI Form " &amp; INDEX('Processed Non-zero TRI Data'!K:K,MATCH('Facility Summary_Water'!M26,'Processed Non-zero TRI Data'!J:J,0)), "" )</f>
        <v/>
      </c>
      <c r="C26" s="10" t="str">
        <f>IF(COUNTIF('Processed Non-zero DMR Data'!I:I, 'Facility Summary_Water'!M26)&gt;0, "DMR", "")</f>
        <v>DMR</v>
      </c>
      <c r="D26" s="10"/>
      <c r="E26" s="9" t="s">
        <v>176</v>
      </c>
      <c r="F26" s="9"/>
      <c r="G26" s="9" t="s">
        <v>177</v>
      </c>
      <c r="H26" s="9" t="s">
        <v>146</v>
      </c>
      <c r="I26" s="9"/>
      <c r="J26" s="9">
        <f>IF(L26&lt;&gt;"", INDEX('Processed Non-zero TRI Data'!$G:$G, MATCH(L26, 'Processed Non-zero TRI Data'!$I:$I,0)), INDEX('Processed Non-zero DMR Data'!$F:$F, MATCH(M26,'Processed Non-zero DMR Data'!$I:$I, 0)))</f>
        <v>38.368760000000002</v>
      </c>
      <c r="K26" s="9">
        <f>IF(L26&lt;&gt;"", INDEX('Processed Non-zero TRI Data'!$H:$H, MATCH(L26, 'Processed Non-zero TRI Data'!$I:$I,0)), INDEX('Processed Non-zero DMR Data'!$G:$G, MATCH(M26,'Processed Non-zero DMR Data'!$I:$I, 0)))</f>
        <v>-122.76860000000001</v>
      </c>
      <c r="L26" s="9"/>
      <c r="M26" s="13">
        <v>110000730460</v>
      </c>
      <c r="N26" s="9">
        <f>IF(L26&lt;&gt;"",INDEX('Processed Non-zero TRI Data'!L:L,MATCH('Facility Summary_Water'!L26,'Processed Non-zero TRI Data'!I:I,0)),INDEX('Processed Non-zero DMR Data'!$L:$L,MATCH('Facility Summary_Water'!M26,'Processed Non-zero DMR Data'!$I:$I,0)))</f>
        <v>221320</v>
      </c>
      <c r="O26" s="10" t="str">
        <f>INDEX('2017 - 2022 NAICS'!D:D,MATCH('Facility Summary_Water'!N26,'2017 - 2022 NAICS'!C:C,0))</f>
        <v>Sewage Treatment Facilities</v>
      </c>
      <c r="P26" s="10" t="str">
        <f>IFERROR(VLOOKUP(L26, 'Processed Non-zero TRI Data'!I:Q, 8, 0), "Direct")</f>
        <v>Direct</v>
      </c>
      <c r="Q26" s="10" t="e">
        <f>VLOOKUP(R26,#REF!, 2, FALSE)</f>
        <v>#REF!</v>
      </c>
      <c r="R26" s="10" t="str">
        <f>INDEX('Facility Discharge Summary'!D:D, MATCH('Facility Summary_Water'!M26, 'Facility Discharge Summary'!J:J,0))</f>
        <v>Waste Handling, Disposal and Treatment (POTW)</v>
      </c>
      <c r="S26" s="10" t="str">
        <f>INDEX('Processed Non-zero DMR Data'!T:T, MATCH('Facility Summary_Water'!M26, 'Processed Non-zero DMR Data'!I:I,0))</f>
        <v>POTW indicator in DMR</v>
      </c>
      <c r="T26" s="10" t="s">
        <v>72</v>
      </c>
      <c r="U26" s="9">
        <f>INDEX('TRI and DMR OES Summary'!D:D, MATCH('Facility Summary_Water'!R26,'TRI and DMR OES Summary'!A:A,0))</f>
        <v>365</v>
      </c>
      <c r="V26" s="258">
        <f>INDEX('Facility Discharge Summary'!AR:AR,MATCH('Facility Summary_Water'!M26,'Facility Discharge Summary'!J:J,0))</f>
        <v>0</v>
      </c>
      <c r="W26" s="258">
        <f>INDEX('Facility Discharge Summary'!T:T,MATCH('Facility Summary_Water'!M26,'Facility Discharge Summary'!J:J,0))</f>
        <v>3.9515400000000001</v>
      </c>
    </row>
    <row r="27" spans="1:23" x14ac:dyDescent="0.25">
      <c r="A27" s="9">
        <v>26</v>
      </c>
      <c r="B27" s="10" t="str">
        <f>IF(COUNTIF('Processed Non-zero TRI Data'!J:J,'Facility Summary_Water'!M27)&gt;0, "TRI Form " &amp; INDEX('Processed Non-zero TRI Data'!K:K,MATCH('Facility Summary_Water'!M27,'Processed Non-zero TRI Data'!J:J,0)), "" )</f>
        <v/>
      </c>
      <c r="C27" s="10" t="str">
        <f>IF(COUNTIF('Processed Non-zero DMR Data'!I:I, 'Facility Summary_Water'!M27)&gt;0, "DMR", "")</f>
        <v>DMR</v>
      </c>
      <c r="D27" s="10"/>
      <c r="E27" s="9" t="s">
        <v>178</v>
      </c>
      <c r="F27" s="9"/>
      <c r="G27" s="9" t="s">
        <v>179</v>
      </c>
      <c r="H27" s="9" t="s">
        <v>138</v>
      </c>
      <c r="I27" s="9"/>
      <c r="J27" s="9">
        <f>IF(L27&lt;&gt;"", INDEX('Processed Non-zero TRI Data'!$G:$G, MATCH(L27, 'Processed Non-zero TRI Data'!$I:$I,0)), INDEX('Processed Non-zero DMR Data'!$F:$F, MATCH(M27,'Processed Non-zero DMR Data'!$I:$I, 0)))</f>
        <v>38.101582000000001</v>
      </c>
      <c r="K27" s="9">
        <f>IF(L27&lt;&gt;"", INDEX('Processed Non-zero TRI Data'!$H:$H, MATCH(L27, 'Processed Non-zero TRI Data'!$I:$I,0)), INDEX('Processed Non-zero DMR Data'!$G:$G, MATCH(M27,'Processed Non-zero DMR Data'!$I:$I, 0)))</f>
        <v>-83.919770999999997</v>
      </c>
      <c r="L27" s="9"/>
      <c r="M27" s="13">
        <v>110039705361</v>
      </c>
      <c r="N27" s="9">
        <f>IF(L27&lt;&gt;"",INDEX('Processed Non-zero TRI Data'!L:L,MATCH('Facility Summary_Water'!L27,'Processed Non-zero TRI Data'!I:I,0)),INDEX('Processed Non-zero DMR Data'!$L:$L,MATCH('Facility Summary_Water'!M27,'Processed Non-zero DMR Data'!$I:$I,0)))</f>
        <v>221320</v>
      </c>
      <c r="O27" s="10" t="str">
        <f>INDEX('2017 - 2022 NAICS'!D:D,MATCH('Facility Summary_Water'!N27,'2017 - 2022 NAICS'!C:C,0))</f>
        <v>Sewage Treatment Facilities</v>
      </c>
      <c r="P27" s="10" t="str">
        <f>IFERROR(VLOOKUP(L27, 'Processed Non-zero TRI Data'!I:Q, 8, 0), "Direct")</f>
        <v>Direct</v>
      </c>
      <c r="Q27" s="10" t="e">
        <f>VLOOKUP(R27,#REF!, 2, FALSE)</f>
        <v>#REF!</v>
      </c>
      <c r="R27" s="10" t="str">
        <f>INDEX('Facility Discharge Summary'!D:D, MATCH('Facility Summary_Water'!M27, 'Facility Discharge Summary'!J:J,0))</f>
        <v>Waste Handling, Disposal and Treatment (POTW)</v>
      </c>
      <c r="S27" s="10" t="str">
        <f>INDEX('Processed Non-zero DMR Data'!T:T, MATCH('Facility Summary_Water'!M27, 'Processed Non-zero DMR Data'!I:I,0))</f>
        <v>POTW indicator in DMR</v>
      </c>
      <c r="T27" s="10" t="s">
        <v>72</v>
      </c>
      <c r="U27" s="9">
        <f>INDEX('TRI and DMR OES Summary'!D:D, MATCH('Facility Summary_Water'!R27,'TRI and DMR OES Summary'!A:A,0))</f>
        <v>365</v>
      </c>
      <c r="V27" s="258">
        <f>INDEX('Facility Discharge Summary'!AR:AR,MATCH('Facility Summary_Water'!M27,'Facility Discharge Summary'!J:J,0))</f>
        <v>0</v>
      </c>
      <c r="W27" s="258">
        <f>INDEX('Facility Discharge Summary'!T:T,MATCH('Facility Summary_Water'!M27,'Facility Discharge Summary'!J:J,0))</f>
        <v>11.086738125</v>
      </c>
    </row>
    <row r="28" spans="1:23" ht="30" x14ac:dyDescent="0.25">
      <c r="A28" s="9">
        <v>27</v>
      </c>
      <c r="B28" s="10" t="str">
        <f>IF(COUNTIF('Processed Non-zero TRI Data'!J:J,'Facility Summary_Water'!M28)&gt;0, "TRI Form " &amp; INDEX('Processed Non-zero TRI Data'!K:K,MATCH('Facility Summary_Water'!M28,'Processed Non-zero TRI Data'!J:J,0)), "" )</f>
        <v/>
      </c>
      <c r="C28" s="10" t="str">
        <f>IF(COUNTIF('Processed Non-zero DMR Data'!I:I, 'Facility Summary_Water'!M28)&gt;0, "DMR", "")</f>
        <v>DMR</v>
      </c>
      <c r="D28" s="10"/>
      <c r="E28" s="9" t="s">
        <v>180</v>
      </c>
      <c r="F28" s="9"/>
      <c r="G28" s="9" t="s">
        <v>181</v>
      </c>
      <c r="H28" s="9" t="s">
        <v>106</v>
      </c>
      <c r="I28" s="9"/>
      <c r="J28" s="9">
        <f>IF(L28&lt;&gt;"", INDEX('Processed Non-zero TRI Data'!$G:$G, MATCH(L28, 'Processed Non-zero TRI Data'!$I:$I,0)), INDEX('Processed Non-zero DMR Data'!$F:$F, MATCH(M28,'Processed Non-zero DMR Data'!$I:$I, 0)))</f>
        <v>30.486767</v>
      </c>
      <c r="K28" s="9">
        <f>IF(L28&lt;&gt;"", INDEX('Processed Non-zero TRI Data'!$H:$H, MATCH(L28, 'Processed Non-zero TRI Data'!$I:$I,0)), INDEX('Processed Non-zero DMR Data'!$G:$G, MATCH(M28,'Processed Non-zero DMR Data'!$I:$I, 0)))</f>
        <v>-90.925479999999993</v>
      </c>
      <c r="L28" s="9"/>
      <c r="M28" s="13">
        <v>110000597355</v>
      </c>
      <c r="N28" s="9">
        <f>IF(L28&lt;&gt;"",INDEX('Processed Non-zero TRI Data'!L:L,MATCH('Facility Summary_Water'!L28,'Processed Non-zero TRI Data'!I:I,0)),INDEX('Processed Non-zero DMR Data'!$L:$L,MATCH('Facility Summary_Water'!M28,'Processed Non-zero DMR Data'!$I:$I,0)))</f>
        <v>311942</v>
      </c>
      <c r="O28" s="10" t="str">
        <f>INDEX('2017 - 2022 NAICS'!D:D,MATCH('Facility Summary_Water'!N28,'2017 - 2022 NAICS'!C:C,0))</f>
        <v>Spice and Extract Manufacturing</v>
      </c>
      <c r="P28" s="10" t="str">
        <f>IFERROR(VLOOKUP(L28, 'Processed Non-zero TRI Data'!I:Q, 8, 0), "Direct")</f>
        <v>Direct</v>
      </c>
      <c r="Q28" s="10" t="e">
        <f>VLOOKUP(R28,#REF!, 2, FALSE)</f>
        <v>#REF!</v>
      </c>
      <c r="R28" s="10" t="str">
        <f>INDEX('Facility Discharge Summary'!D:D, MATCH('Facility Summary_Water'!M28, 'Facility Discharge Summary'!J:J,0))</f>
        <v>Processing as a reactant</v>
      </c>
      <c r="S28" s="10" t="str">
        <f>INDEX('Processed Non-zero DMR Data'!T:T, MATCH('Facility Summary_Water'!M28, 'Processed Non-zero DMR Data'!I:I,0))</f>
        <v>Facility is a specialty chemical manufacturer specializing in alkenyl succinic anhydrides and other chemicals.</v>
      </c>
      <c r="T28" s="10" t="s">
        <v>72</v>
      </c>
      <c r="U28" s="9">
        <f>INDEX('TRI and DMR OES Summary'!D:D, MATCH('Facility Summary_Water'!R28,'TRI and DMR OES Summary'!A:A,0))</f>
        <v>350</v>
      </c>
      <c r="V28" s="258">
        <f>INDEX('Facility Discharge Summary'!AR:AR,MATCH('Facility Summary_Water'!M28,'Facility Discharge Summary'!J:J,0))</f>
        <v>0</v>
      </c>
      <c r="W28" s="258">
        <f>INDEX('Facility Discharge Summary'!T:T,MATCH('Facility Summary_Water'!M28,'Facility Discharge Summary'!J:J,0))</f>
        <v>3.3141999999999998E-2</v>
      </c>
    </row>
    <row r="29" spans="1:23" x14ac:dyDescent="0.25">
      <c r="A29" s="9">
        <v>28</v>
      </c>
      <c r="B29" s="10" t="str">
        <f>IF(COUNTIF('Processed Non-zero TRI Data'!J:J,'Facility Summary_Water'!M29)&gt;0, "TRI Form " &amp; INDEX('Processed Non-zero TRI Data'!K:K,MATCH('Facility Summary_Water'!M29,'Processed Non-zero TRI Data'!J:J,0)), "" )</f>
        <v/>
      </c>
      <c r="C29" s="10" t="str">
        <f>IF(COUNTIF('Processed Non-zero DMR Data'!I:I, 'Facility Summary_Water'!M29)&gt;0, "DMR", "")</f>
        <v>DMR</v>
      </c>
      <c r="D29" s="10"/>
      <c r="E29" s="9" t="s">
        <v>182</v>
      </c>
      <c r="F29" s="9"/>
      <c r="G29" s="9" t="s">
        <v>183</v>
      </c>
      <c r="H29" s="9" t="s">
        <v>138</v>
      </c>
      <c r="I29" s="9"/>
      <c r="J29" s="9">
        <f>IF(L29&lt;&gt;"", INDEX('Processed Non-zero TRI Data'!$G:$G, MATCH(L29, 'Processed Non-zero TRI Data'!$I:$I,0)), INDEX('Processed Non-zero DMR Data'!$F:$F, MATCH(M29,'Processed Non-zero DMR Data'!$I:$I, 0)))</f>
        <v>37.852220000000003</v>
      </c>
      <c r="K29" s="9">
        <f>IF(L29&lt;&gt;"", INDEX('Processed Non-zero TRI Data'!$H:$H, MATCH(L29, 'Processed Non-zero TRI Data'!$I:$I,0)), INDEX('Processed Non-zero DMR Data'!$G:$G, MATCH(M29,'Processed Non-zero DMR Data'!$I:$I, 0)))</f>
        <v>-84.363079999999997</v>
      </c>
      <c r="L29" s="9"/>
      <c r="M29" s="13">
        <v>110016759444</v>
      </c>
      <c r="N29" s="9">
        <f>IF(L29&lt;&gt;"",INDEX('Processed Non-zero TRI Data'!L:L,MATCH('Facility Summary_Water'!L29,'Processed Non-zero TRI Data'!I:I,0)),INDEX('Processed Non-zero DMR Data'!$L:$L,MATCH('Facility Summary_Water'!M29,'Processed Non-zero DMR Data'!$I:$I,0)))</f>
        <v>221320</v>
      </c>
      <c r="O29" s="10" t="str">
        <f>INDEX('2017 - 2022 NAICS'!D:D,MATCH('Facility Summary_Water'!N29,'2017 - 2022 NAICS'!C:C,0))</f>
        <v>Sewage Treatment Facilities</v>
      </c>
      <c r="P29" s="10" t="str">
        <f>IFERROR(VLOOKUP(L29, 'Processed Non-zero TRI Data'!I:Q, 8, 0), "Direct")</f>
        <v>Direct</v>
      </c>
      <c r="Q29" s="10" t="e">
        <f>VLOOKUP(R29,#REF!, 2, FALSE)</f>
        <v>#REF!</v>
      </c>
      <c r="R29" s="10" t="str">
        <f>INDEX('Facility Discharge Summary'!D:D, MATCH('Facility Summary_Water'!M29, 'Facility Discharge Summary'!J:J,0))</f>
        <v>Waste Handling, Disposal and Treatment (POTW)</v>
      </c>
      <c r="S29" s="10" t="str">
        <f>INDEX('Processed Non-zero DMR Data'!T:T, MATCH('Facility Summary_Water'!M29, 'Processed Non-zero DMR Data'!I:I,0))</f>
        <v>POTW indicator in DMR</v>
      </c>
      <c r="T29" s="10" t="s">
        <v>72</v>
      </c>
      <c r="U29" s="9">
        <f>INDEX('TRI and DMR OES Summary'!D:D, MATCH('Facility Summary_Water'!R29,'TRI and DMR OES Summary'!A:A,0))</f>
        <v>365</v>
      </c>
      <c r="V29" s="258">
        <f>INDEX('Facility Discharge Summary'!AR:AR,MATCH('Facility Summary_Water'!M29,'Facility Discharge Summary'!J:J,0))</f>
        <v>0</v>
      </c>
      <c r="W29" s="258">
        <f>INDEX('Facility Discharge Summary'!T:T,MATCH('Facility Summary_Water'!M29,'Facility Discharge Summary'!J:J,0))</f>
        <v>0.97397512500000005</v>
      </c>
    </row>
    <row r="30" spans="1:23" ht="30" x14ac:dyDescent="0.25">
      <c r="A30" s="9">
        <v>29</v>
      </c>
      <c r="B30" s="10" t="str">
        <f>IF(COUNTIF('Processed Non-zero TRI Data'!J:J,'Facility Summary_Water'!M30)&gt;0, "TRI Form " &amp; INDEX('Processed Non-zero TRI Data'!K:K,MATCH('Facility Summary_Water'!M30,'Processed Non-zero TRI Data'!J:J,0)), "" )</f>
        <v/>
      </c>
      <c r="C30" s="10" t="str">
        <f>IF(COUNTIF('Processed Non-zero DMR Data'!I:I, 'Facility Summary_Water'!M30)&gt;0, "DMR", "")</f>
        <v>DMR</v>
      </c>
      <c r="D30" s="10"/>
      <c r="E30" s="9" t="s">
        <v>184</v>
      </c>
      <c r="F30" s="9"/>
      <c r="G30" s="9" t="s">
        <v>185</v>
      </c>
      <c r="H30" s="9" t="s">
        <v>186</v>
      </c>
      <c r="I30" s="9"/>
      <c r="J30" s="9">
        <f>IF(L30&lt;&gt;"", INDEX('Processed Non-zero TRI Data'!$G:$G, MATCH(L30, 'Processed Non-zero TRI Data'!$I:$I,0)), INDEX('Processed Non-zero DMR Data'!$F:$F, MATCH(M30,'Processed Non-zero DMR Data'!$I:$I, 0)))</f>
        <v>21.352499999999999</v>
      </c>
      <c r="K30" s="9">
        <f>IF(L30&lt;&gt;"", INDEX('Processed Non-zero TRI Data'!$H:$H, MATCH(L30, 'Processed Non-zero TRI Data'!$I:$I,0)), INDEX('Processed Non-zero DMR Data'!$G:$G, MATCH(M30,'Processed Non-zero DMR Data'!$I:$I, 0)))</f>
        <v>-157.95813899999999</v>
      </c>
      <c r="L30" s="9"/>
      <c r="M30" s="13">
        <v>110046184516</v>
      </c>
      <c r="N30" s="9">
        <f>IF(L30&lt;&gt;"",INDEX('Processed Non-zero TRI Data'!L:L,MATCH('Facility Summary_Water'!L30,'Processed Non-zero TRI Data'!I:I,0)),INDEX('Processed Non-zero DMR Data'!$L:$L,MATCH('Facility Summary_Water'!M30,'Processed Non-zero DMR Data'!$I:$I,0)))</f>
        <v>336611</v>
      </c>
      <c r="O30" s="10" t="str">
        <f>INDEX('2017 - 2022 NAICS'!D:D,MATCH('Facility Summary_Water'!N30,'2017 - 2022 NAICS'!C:C,0))</f>
        <v>Ship Building and Repairing</v>
      </c>
      <c r="P30" s="10" t="str">
        <f>IFERROR(VLOOKUP(L30, 'Processed Non-zero TRI Data'!I:Q, 8, 0), "Direct")</f>
        <v>Direct</v>
      </c>
      <c r="Q30" s="10" t="e">
        <f>VLOOKUP(R30,#REF!, 2, FALSE)</f>
        <v>#REF!</v>
      </c>
      <c r="R30" s="10" t="str">
        <f>INDEX('Facility Discharge Summary'!D:D, MATCH('Facility Summary_Water'!M30, 'Facility Discharge Summary'!J:J,0))</f>
        <v>Unknown</v>
      </c>
      <c r="S30" s="10" t="str">
        <f>INDEX('Processed Non-zero DMR Data'!T:T, MATCH('Facility Summary_Water'!M30, 'Processed Non-zero DMR Data'!I:I,0))</f>
        <v>Unknown how ship building and repairing would fit into any of the OES's</v>
      </c>
      <c r="T30" s="10" t="s">
        <v>72</v>
      </c>
      <c r="U30" s="9">
        <f>INDEX('TRI and DMR OES Summary'!D:D, MATCH('Facility Summary_Water'!R30,'TRI and DMR OES Summary'!A:A,0))</f>
        <v>250</v>
      </c>
      <c r="V30" s="258">
        <f>INDEX('Facility Discharge Summary'!AR:AR,MATCH('Facility Summary_Water'!M30,'Facility Discharge Summary'!J:J,0))</f>
        <v>0</v>
      </c>
      <c r="W30" s="258">
        <f>INDEX('Facility Discharge Summary'!T:T,MATCH('Facility Summary_Water'!M30,'Facility Discharge Summary'!J:J,0))</f>
        <v>1.0430513749999999</v>
      </c>
    </row>
    <row r="31" spans="1:23" ht="30" x14ac:dyDescent="0.25">
      <c r="A31" s="9">
        <v>30</v>
      </c>
      <c r="B31" s="10" t="str">
        <f>IF(COUNTIF('Processed Non-zero TRI Data'!J:J,'Facility Summary_Water'!M31)&gt;0, "TRI Form " &amp; INDEX('Processed Non-zero TRI Data'!K:K,MATCH('Facility Summary_Water'!M31,'Processed Non-zero TRI Data'!J:J,0)), "" )</f>
        <v/>
      </c>
      <c r="C31" s="10" t="str">
        <f>IF(COUNTIF('Processed Non-zero DMR Data'!I:I, 'Facility Summary_Water'!M31)&gt;0, "DMR", "")</f>
        <v>DMR</v>
      </c>
      <c r="D31" s="10"/>
      <c r="E31" s="9" t="s">
        <v>187</v>
      </c>
      <c r="F31" s="9"/>
      <c r="G31" s="9" t="s">
        <v>188</v>
      </c>
      <c r="H31" s="9" t="s">
        <v>114</v>
      </c>
      <c r="I31" s="9"/>
      <c r="J31" s="9">
        <f>IF(L31&lt;&gt;"", INDEX('Processed Non-zero TRI Data'!$G:$G, MATCH(L31, 'Processed Non-zero TRI Data'!$I:$I,0)), INDEX('Processed Non-zero DMR Data'!$F:$F, MATCH(M31,'Processed Non-zero DMR Data'!$I:$I, 0)))</f>
        <v>29.717471</v>
      </c>
      <c r="K31" s="9">
        <f>IF(L31&lt;&gt;"", INDEX('Processed Non-zero TRI Data'!$H:$H, MATCH(L31, 'Processed Non-zero TRI Data'!$I:$I,0)), INDEX('Processed Non-zero DMR Data'!$G:$G, MATCH(M31,'Processed Non-zero DMR Data'!$I:$I, 0)))</f>
        <v>-95.068008000000006</v>
      </c>
      <c r="L31" s="9"/>
      <c r="M31" s="13">
        <v>110034641635</v>
      </c>
      <c r="N31" s="9">
        <f>IF(L31&lt;&gt;"",INDEX('Processed Non-zero TRI Data'!L:L,MATCH('Facility Summary_Water'!L31,'Processed Non-zero TRI Data'!I:I,0)),INDEX('Processed Non-zero DMR Data'!$L:$L,MATCH('Facility Summary_Water'!M31,'Processed Non-zero DMR Data'!$I:$I,0)))</f>
        <v>325110</v>
      </c>
      <c r="O31" s="10" t="str">
        <f>INDEX('2017 - 2022 NAICS'!D:D,MATCH('Facility Summary_Water'!N31,'2017 - 2022 NAICS'!C:C,0))</f>
        <v>Petrochemical Manufacturing</v>
      </c>
      <c r="P31" s="10" t="str">
        <f>IFERROR(VLOOKUP(L31, 'Processed Non-zero TRI Data'!I:Q, 8, 0), "Direct")</f>
        <v>Direct</v>
      </c>
      <c r="Q31" s="10" t="e">
        <f>VLOOKUP(R31,#REF!, 2, FALSE)</f>
        <v>#REF!</v>
      </c>
      <c r="R31" s="10" t="str">
        <f>INDEX('Facility Discharge Summary'!D:D, MATCH('Facility Summary_Water'!M31, 'Facility Discharge Summary'!J:J,0))</f>
        <v>Processing as a reactant</v>
      </c>
      <c r="S31" s="10" t="str">
        <f>INDEX('Processed Non-zero DMR Data'!T:T, MATCH('Facility Summary_Water'!M31, 'Processed Non-zero DMR Data'!I:I,0))</f>
        <v>Assumed processing as a reactant based on SIC and NAICS; this also matches 1,1,-DCA mapping.</v>
      </c>
      <c r="T31" s="10" t="s">
        <v>72</v>
      </c>
      <c r="U31" s="9">
        <f>INDEX('TRI and DMR OES Summary'!D:D, MATCH('Facility Summary_Water'!R31,'TRI and DMR OES Summary'!A:A,0))</f>
        <v>350</v>
      </c>
      <c r="V31" s="258">
        <f>INDEX('Facility Discharge Summary'!AR:AR,MATCH('Facility Summary_Water'!M31,'Facility Discharge Summary'!J:J,0))</f>
        <v>0</v>
      </c>
      <c r="W31" s="258">
        <f>INDEX('Facility Discharge Summary'!T:T,MATCH('Facility Summary_Water'!M31,'Facility Discharge Summary'!J:J,0))</f>
        <v>4.4208800000000004</v>
      </c>
    </row>
    <row r="32" spans="1:23" x14ac:dyDescent="0.25">
      <c r="A32" s="9">
        <v>31</v>
      </c>
      <c r="B32" s="10" t="str">
        <f>IF(COUNTIF('Processed Non-zero TRI Data'!J:J,'Facility Summary_Water'!M32)&gt;0, "TRI Form " &amp; INDEX('Processed Non-zero TRI Data'!K:K,MATCH('Facility Summary_Water'!M32,'Processed Non-zero TRI Data'!J:J,0)), "" )</f>
        <v/>
      </c>
      <c r="C32" s="10" t="str">
        <f>IF(COUNTIF('Processed Non-zero DMR Data'!I:I, 'Facility Summary_Water'!M32)&gt;0, "DMR", "")</f>
        <v>DMR</v>
      </c>
      <c r="D32" s="10"/>
      <c r="E32" s="9" t="s">
        <v>189</v>
      </c>
      <c r="F32" s="9"/>
      <c r="G32" s="9" t="s">
        <v>190</v>
      </c>
      <c r="H32" s="9" t="s">
        <v>146</v>
      </c>
      <c r="I32" s="9"/>
      <c r="J32" s="9">
        <f>IF(L32&lt;&gt;"", INDEX('Processed Non-zero TRI Data'!$G:$G, MATCH(L32, 'Processed Non-zero TRI Data'!$I:$I,0)), INDEX('Processed Non-zero DMR Data'!$F:$F, MATCH(M32,'Processed Non-zero DMR Data'!$I:$I, 0)))</f>
        <v>32.803809999999999</v>
      </c>
      <c r="K32" s="9">
        <f>IF(L32&lt;&gt;"", INDEX('Processed Non-zero TRI Data'!$H:$H, MATCH(L32, 'Processed Non-zero TRI Data'!$I:$I,0)), INDEX('Processed Non-zero DMR Data'!$G:$G, MATCH(M32,'Processed Non-zero DMR Data'!$I:$I, 0)))</f>
        <v>-115.53973999999999</v>
      </c>
      <c r="L32" s="9"/>
      <c r="M32" s="13">
        <v>110002672484</v>
      </c>
      <c r="N32" s="9">
        <f>IF(L32&lt;&gt;"",INDEX('Processed Non-zero TRI Data'!L:L,MATCH('Facility Summary_Water'!L32,'Processed Non-zero TRI Data'!I:I,0)),INDEX('Processed Non-zero DMR Data'!$L:$L,MATCH('Facility Summary_Water'!M32,'Processed Non-zero DMR Data'!$I:$I,0)))</f>
        <v>112511</v>
      </c>
      <c r="O32" s="10" t="str">
        <f>INDEX('2017 - 2022 NAICS'!D:D,MATCH('Facility Summary_Water'!N32,'2017 - 2022 NAICS'!C:C,0))</f>
        <v>Finfish Farming and Fish Hatcheries</v>
      </c>
      <c r="P32" s="10" t="str">
        <f>IFERROR(VLOOKUP(L32, 'Processed Non-zero TRI Data'!I:Q, 8, 0), "Direct")</f>
        <v>Direct</v>
      </c>
      <c r="Q32" s="10" t="e">
        <f>VLOOKUP(R32,#REF!, 2, FALSE)</f>
        <v>#REF!</v>
      </c>
      <c r="R32" s="10" t="str">
        <f>INDEX('Facility Discharge Summary'!D:D, MATCH('Facility Summary_Water'!M32, 'Facility Discharge Summary'!J:J,0))</f>
        <v>Unknown</v>
      </c>
      <c r="S32" s="10" t="str">
        <f>INDEX('Processed Non-zero DMR Data'!T:T, MATCH('Facility Summary_Water'!M32, 'Processed Non-zero DMR Data'!I:I,0))</f>
        <v>No OES for power generating stations.</v>
      </c>
      <c r="T32" s="10" t="s">
        <v>72</v>
      </c>
      <c r="U32" s="9">
        <f>INDEX('TRI and DMR OES Summary'!D:D, MATCH('Facility Summary_Water'!R32,'TRI and DMR OES Summary'!A:A,0))</f>
        <v>250</v>
      </c>
      <c r="V32" s="258">
        <f>INDEX('Facility Discharge Summary'!AR:AR,MATCH('Facility Summary_Water'!M32,'Facility Discharge Summary'!J:J,0))</f>
        <v>0</v>
      </c>
      <c r="W32" s="258">
        <f>INDEX('Facility Discharge Summary'!T:T,MATCH('Facility Summary_Water'!M32,'Facility Discharge Summary'!J:J,0))</f>
        <v>5.3188712499999999E-2</v>
      </c>
    </row>
    <row r="33" spans="1:23" x14ac:dyDescent="0.25">
      <c r="A33" s="9">
        <v>32</v>
      </c>
      <c r="B33" s="10" t="str">
        <f>IF(COUNTIF('Processed Non-zero TRI Data'!J:J,'Facility Summary_Water'!M33)&gt;0, "TRI Form " &amp; INDEX('Processed Non-zero TRI Data'!K:K,MATCH('Facility Summary_Water'!M33,'Processed Non-zero TRI Data'!J:J,0)), "" )</f>
        <v/>
      </c>
      <c r="C33" s="10" t="str">
        <f>IF(COUNTIF('Processed Non-zero DMR Data'!I:I, 'Facility Summary_Water'!M33)&gt;0, "DMR", "")</f>
        <v>DMR</v>
      </c>
      <c r="D33" s="10"/>
      <c r="E33" s="9" t="s">
        <v>191</v>
      </c>
      <c r="F33" s="9"/>
      <c r="G33" s="9" t="s">
        <v>192</v>
      </c>
      <c r="H33" s="9" t="s">
        <v>153</v>
      </c>
      <c r="I33" s="10"/>
      <c r="J33" s="9">
        <f>IF(L33&lt;&gt;"", INDEX('Processed Non-zero TRI Data'!$G:$G, MATCH(L33, 'Processed Non-zero TRI Data'!$I:$I,0)), INDEX('Processed Non-zero DMR Data'!$F:$F, MATCH(M33,'Processed Non-zero DMR Data'!$I:$I, 0)))</f>
        <v>39.827696000000003</v>
      </c>
      <c r="K33" s="9">
        <f>IF(L33&lt;&gt;"", INDEX('Processed Non-zero TRI Data'!$H:$H, MATCH(L33, 'Processed Non-zero TRI Data'!$I:$I,0)), INDEX('Processed Non-zero DMR Data'!$G:$G, MATCH(M33,'Processed Non-zero DMR Data'!$I:$I, 0)))</f>
        <v>-75.277782000000002</v>
      </c>
      <c r="L33" s="9"/>
      <c r="M33" s="13">
        <v>110070210457</v>
      </c>
      <c r="N33" s="9">
        <f>IF(L33&lt;&gt;"",INDEX('Processed Non-zero TRI Data'!L:L,MATCH('Facility Summary_Water'!L33,'Processed Non-zero TRI Data'!I:I,0)),INDEX('Processed Non-zero DMR Data'!$L:$L,MATCH('Facility Summary_Water'!M33,'Processed Non-zero DMR Data'!$I:$I,0)))</f>
        <v>325110</v>
      </c>
      <c r="O33" s="10" t="str">
        <f>INDEX('2017 - 2022 NAICS'!D:D,MATCH('Facility Summary_Water'!N33,'2017 - 2022 NAICS'!C:C,0))</f>
        <v>Petrochemical Manufacturing</v>
      </c>
      <c r="P33" s="10" t="str">
        <f>IFERROR(VLOOKUP(L33, 'Processed Non-zero TRI Data'!I:Q, 8, 0), "Direct")</f>
        <v>Direct</v>
      </c>
      <c r="Q33" s="10" t="e">
        <f>VLOOKUP(R33,#REF!, 2, FALSE)</f>
        <v>#REF!</v>
      </c>
      <c r="R33" s="10" t="str">
        <f>INDEX('Facility Discharge Summary'!D:D, MATCH('Facility Summary_Water'!M33, 'Facility Discharge Summary'!J:J,0))</f>
        <v>Waste Handling, Disposal and Treatment (Remediation)</v>
      </c>
      <c r="S33" s="10" t="str">
        <f>INDEX('Processed Non-zero DMR Data'!T:T, MATCH('Facility Summary_Water'!M33, 'Processed Non-zero DMR Data'!I:I,0))</f>
        <v>Consistent with 1,1-DCA</v>
      </c>
      <c r="T33" s="10" t="s">
        <v>72</v>
      </c>
      <c r="U33" s="9">
        <f>INDEX('TRI and DMR OES Summary'!D:D, MATCH('Facility Summary_Water'!R33,'TRI and DMR OES Summary'!A:A,0))</f>
        <v>250</v>
      </c>
      <c r="V33" s="258">
        <f>INDEX('Facility Discharge Summary'!AR:AR,MATCH('Facility Summary_Water'!M33,'Facility Discharge Summary'!J:J,0))</f>
        <v>0</v>
      </c>
      <c r="W33" s="258">
        <f>INDEX('Facility Discharge Summary'!T:T,MATCH('Facility Summary_Water'!M33,'Facility Discharge Summary'!J:J,0))</f>
        <v>6.674366805E-3</v>
      </c>
    </row>
    <row r="34" spans="1:23" ht="30" x14ac:dyDescent="0.25">
      <c r="A34" s="9">
        <v>33</v>
      </c>
      <c r="B34" s="10" t="str">
        <f>IF(COUNTIF('Processed Non-zero TRI Data'!J:J,'Facility Summary_Water'!M34)&gt;0, "TRI Form " &amp; INDEX('Processed Non-zero TRI Data'!K:K,MATCH('Facility Summary_Water'!M34,'Processed Non-zero TRI Data'!J:J,0)), "" )</f>
        <v/>
      </c>
      <c r="C34" s="10" t="str">
        <f>IF(COUNTIF('Processed Non-zero DMR Data'!I:I, 'Facility Summary_Water'!M34)&gt;0, "DMR", "")</f>
        <v>DMR</v>
      </c>
      <c r="D34" s="10"/>
      <c r="E34" s="9" t="s">
        <v>193</v>
      </c>
      <c r="F34" s="9"/>
      <c r="G34" s="9" t="s">
        <v>194</v>
      </c>
      <c r="H34" s="9" t="s">
        <v>106</v>
      </c>
      <c r="I34" s="10"/>
      <c r="J34" s="9">
        <f>IF(L34&lt;&gt;"", INDEX('Processed Non-zero TRI Data'!$G:$G, MATCH(L34, 'Processed Non-zero TRI Data'!$I:$I,0)), INDEX('Processed Non-zero DMR Data'!$F:$F, MATCH(M34,'Processed Non-zero DMR Data'!$I:$I, 0)))</f>
        <v>30.250833</v>
      </c>
      <c r="K34" s="9">
        <f>IF(L34&lt;&gt;"", INDEX('Processed Non-zero TRI Data'!$H:$H, MATCH(L34, 'Processed Non-zero TRI Data'!$I:$I,0)), INDEX('Processed Non-zero DMR Data'!$G:$G, MATCH(M34,'Processed Non-zero DMR Data'!$I:$I, 0)))</f>
        <v>-91.092277999999993</v>
      </c>
      <c r="L34" s="9"/>
      <c r="M34" s="13">
        <v>110056972432</v>
      </c>
      <c r="N34" s="9">
        <f>IF(L34&lt;&gt;"",INDEX('Processed Non-zero TRI Data'!L:L,MATCH('Facility Summary_Water'!L34,'Processed Non-zero TRI Data'!I:I,0)),INDEX('Processed Non-zero DMR Data'!$L:$L,MATCH('Facility Summary_Water'!M34,'Processed Non-zero DMR Data'!$I:$I,0)))</f>
        <v>325110</v>
      </c>
      <c r="O34" s="10" t="str">
        <f>INDEX('2017 - 2022 NAICS'!D:D,MATCH('Facility Summary_Water'!N34,'2017 - 2022 NAICS'!C:C,0))</f>
        <v>Petrochemical Manufacturing</v>
      </c>
      <c r="P34" s="10" t="str">
        <f>IFERROR(VLOOKUP(L34, 'Processed Non-zero TRI Data'!I:Q, 8, 0), "Direct")</f>
        <v>Direct</v>
      </c>
      <c r="Q34" s="10" t="e">
        <f>VLOOKUP(R34,#REF!, 2, FALSE)</f>
        <v>#REF!</v>
      </c>
      <c r="R34" s="10" t="str">
        <f>INDEX('Facility Discharge Summary'!D:D, MATCH('Facility Summary_Water'!M34, 'Facility Discharge Summary'!J:J,0))</f>
        <v>Processing as a reactant</v>
      </c>
      <c r="S34" s="10" t="str">
        <f>INDEX('Processed Non-zero DMR Data'!T:T, MATCH('Facility Summary_Water'!M34, 'Processed Non-zero DMR Data'!I:I,0))</f>
        <v>Assumed processing as a reactant based on SIC and NAICS; this also matches 1,1,-DCA mapping.</v>
      </c>
      <c r="T34" s="10" t="s">
        <v>72</v>
      </c>
      <c r="U34" s="9">
        <f>INDEX('TRI and DMR OES Summary'!D:D, MATCH('Facility Summary_Water'!R34,'TRI and DMR OES Summary'!A:A,0))</f>
        <v>350</v>
      </c>
      <c r="V34" s="258">
        <f>INDEX('Facility Discharge Summary'!AR:AR,MATCH('Facility Summary_Water'!M34,'Facility Discharge Summary'!J:J,0))</f>
        <v>0</v>
      </c>
      <c r="W34" s="258">
        <f>INDEX('Facility Discharge Summary'!T:T,MATCH('Facility Summary_Water'!M34,'Facility Discharge Summary'!J:J,0))</f>
        <v>0.414275</v>
      </c>
    </row>
    <row r="35" spans="1:23" ht="30" x14ac:dyDescent="0.25">
      <c r="A35" s="9">
        <v>34</v>
      </c>
      <c r="B35" s="10" t="str">
        <f>IF(COUNTIF('Processed Non-zero TRI Data'!J:J,'Facility Summary_Water'!M35)&gt;0, "TRI Form " &amp; INDEX('Processed Non-zero TRI Data'!K:K,MATCH('Facility Summary_Water'!M35,'Processed Non-zero TRI Data'!J:J,0)), "" )</f>
        <v/>
      </c>
      <c r="C35" s="10" t="str">
        <f>IF(COUNTIF('Processed Non-zero DMR Data'!I:I, 'Facility Summary_Water'!M35)&gt;0, "DMR", "")</f>
        <v>DMR</v>
      </c>
      <c r="D35" s="10"/>
      <c r="E35" s="9" t="s">
        <v>195</v>
      </c>
      <c r="F35" s="9"/>
      <c r="G35" s="9" t="s">
        <v>196</v>
      </c>
      <c r="H35" s="9" t="s">
        <v>197</v>
      </c>
      <c r="I35" s="10"/>
      <c r="J35" s="9">
        <f>IF(L35&lt;&gt;"", INDEX('Processed Non-zero TRI Data'!$G:$G, MATCH(L35, 'Processed Non-zero TRI Data'!$I:$I,0)), INDEX('Processed Non-zero DMR Data'!$F:$F, MATCH(M35,'Processed Non-zero DMR Data'!$I:$I, 0)))</f>
        <v>45.543847</v>
      </c>
      <c r="K35" s="9">
        <f>IF(L35&lt;&gt;"", INDEX('Processed Non-zero TRI Data'!$H:$H, MATCH(L35, 'Processed Non-zero TRI Data'!$I:$I,0)), INDEX('Processed Non-zero DMR Data'!$G:$G, MATCH(M35,'Processed Non-zero DMR Data'!$I:$I, 0)))</f>
        <v>-122.46656299999999</v>
      </c>
      <c r="L35" s="9"/>
      <c r="M35" s="13">
        <v>110000487633</v>
      </c>
      <c r="N35" s="9">
        <f>IF(L35&lt;&gt;"",INDEX('Processed Non-zero TRI Data'!L:L,MATCH('Facility Summary_Water'!L35,'Processed Non-zero TRI Data'!I:I,0)),INDEX('Processed Non-zero DMR Data'!$L:$L,MATCH('Facility Summary_Water'!M35,'Processed Non-zero DMR Data'!$I:$I,0)))</f>
        <v>332912</v>
      </c>
      <c r="O35" s="10" t="str">
        <f>INDEX('2017 - 2022 NAICS'!D:D,MATCH('Facility Summary_Water'!N35,'2017 - 2022 NAICS'!C:C,0))</f>
        <v>Fluid Power Valve and Hose Fitting Manufacturing</v>
      </c>
      <c r="P35" s="10" t="str">
        <f>IFERROR(VLOOKUP(L35, 'Processed Non-zero TRI Data'!I:Q, 8, 0), "Direct")</f>
        <v>Direct</v>
      </c>
      <c r="Q35" s="10" t="e">
        <f>VLOOKUP(R35,#REF!, 2, FALSE)</f>
        <v>#REF!</v>
      </c>
      <c r="R35" s="10" t="str">
        <f>INDEX('Facility Discharge Summary'!D:D, MATCH('Facility Summary_Water'!M35, 'Facility Discharge Summary'!J:J,0))</f>
        <v>Processing as a reactant</v>
      </c>
      <c r="S35" s="10" t="str">
        <f>INDEX('Processed Non-zero DMR Data'!T:T, MATCH('Facility Summary_Water'!M35, 'Processed Non-zero DMR Data'!I:I,0))</f>
        <v>Aircraft parts manufacturer and chemical processor; assumed processing as a reactant.</v>
      </c>
      <c r="T35" s="10" t="s">
        <v>72</v>
      </c>
      <c r="U35" s="9">
        <f>INDEX('TRI and DMR OES Summary'!D:D, MATCH('Facility Summary_Water'!R35,'TRI and DMR OES Summary'!A:A,0))</f>
        <v>350</v>
      </c>
      <c r="V35" s="258">
        <f>INDEX('Facility Discharge Summary'!AR:AR,MATCH('Facility Summary_Water'!M35,'Facility Discharge Summary'!J:J,0))</f>
        <v>0</v>
      </c>
      <c r="W35" s="258">
        <f>INDEX('Facility Discharge Summary'!T:T,MATCH('Facility Summary_Water'!M35,'Facility Discharge Summary'!J:J,0))</f>
        <v>3.5311779000000001E-2</v>
      </c>
    </row>
    <row r="36" spans="1:23" ht="30" x14ac:dyDescent="0.25">
      <c r="A36" s="9">
        <v>35</v>
      </c>
      <c r="B36" s="10" t="str">
        <f>IF(COUNTIF('Processed Non-zero TRI Data'!J:J,'Facility Summary_Water'!M36)&gt;0, "TRI Form " &amp; INDEX('Processed Non-zero TRI Data'!K:K,MATCH('Facility Summary_Water'!M36,'Processed Non-zero TRI Data'!J:J,0)), "" )</f>
        <v/>
      </c>
      <c r="C36" s="10" t="str">
        <f>IF(COUNTIF('Processed Non-zero DMR Data'!I:I, 'Facility Summary_Water'!M36)&gt;0, "DMR", "")</f>
        <v>DMR</v>
      </c>
      <c r="D36" s="10"/>
      <c r="E36" s="9" t="s">
        <v>198</v>
      </c>
      <c r="F36" s="9"/>
      <c r="G36" s="9" t="s">
        <v>175</v>
      </c>
      <c r="H36" s="9" t="s">
        <v>106</v>
      </c>
      <c r="I36" s="10"/>
      <c r="J36" s="9">
        <f>IF(L36&lt;&gt;"", INDEX('Processed Non-zero TRI Data'!$G:$G, MATCH(L36, 'Processed Non-zero TRI Data'!$I:$I,0)), INDEX('Processed Non-zero DMR Data'!$F:$F, MATCH(M36,'Processed Non-zero DMR Data'!$I:$I, 0)))</f>
        <v>30.214192000000001</v>
      </c>
      <c r="K36" s="9">
        <f>IF(L36&lt;&gt;"", INDEX('Processed Non-zero TRI Data'!$H:$H, MATCH(L36, 'Processed Non-zero TRI Data'!$I:$I,0)), INDEX('Processed Non-zero DMR Data'!$G:$G, MATCH(M36,'Processed Non-zero DMR Data'!$I:$I, 0)))</f>
        <v>-93.308589999999995</v>
      </c>
      <c r="L36" s="9"/>
      <c r="M36" s="13">
        <v>110070208769</v>
      </c>
      <c r="N36" s="9">
        <f>IF(L36&lt;&gt;"",INDEX('Processed Non-zero TRI Data'!L:L,MATCH('Facility Summary_Water'!L36,'Processed Non-zero TRI Data'!I:I,0)),INDEX('Processed Non-zero DMR Data'!$L:$L,MATCH('Facility Summary_Water'!M36,'Processed Non-zero DMR Data'!$I:$I,0)))</f>
        <v>325110</v>
      </c>
      <c r="O36" s="10" t="str">
        <f>INDEX('2017 - 2022 NAICS'!D:D,MATCH('Facility Summary_Water'!N36,'2017 - 2022 NAICS'!C:C,0))</f>
        <v>Petrochemical Manufacturing</v>
      </c>
      <c r="P36" s="10" t="str">
        <f>IFERROR(VLOOKUP(L36, 'Processed Non-zero TRI Data'!I:Q, 8, 0), "Direct")</f>
        <v>Direct</v>
      </c>
      <c r="Q36" s="10" t="e">
        <f>VLOOKUP(R36,#REF!, 2, FALSE)</f>
        <v>#REF!</v>
      </c>
      <c r="R36" s="10" t="str">
        <f>INDEX('Facility Discharge Summary'!D:D, MATCH('Facility Summary_Water'!M36, 'Facility Discharge Summary'!J:J,0))</f>
        <v>Processing as a reactant</v>
      </c>
      <c r="S36" s="10" t="str">
        <f>INDEX('Processed Non-zero DMR Data'!T:T, MATCH('Facility Summary_Water'!M36, 'Processed Non-zero DMR Data'!I:I,0))</f>
        <v>Assumed processing as a reactant based on SIC and NAICS. Not known MFG site.</v>
      </c>
      <c r="T36" s="10" t="s">
        <v>72</v>
      </c>
      <c r="U36" s="9">
        <f>INDEX('TRI and DMR OES Summary'!D:D, MATCH('Facility Summary_Water'!R36,'TRI and DMR OES Summary'!A:A,0))</f>
        <v>350</v>
      </c>
      <c r="V36" s="258">
        <f>INDEX('Facility Discharge Summary'!AR:AR,MATCH('Facility Summary_Water'!M36,'Facility Discharge Summary'!J:J,0))</f>
        <v>0</v>
      </c>
      <c r="W36" s="258">
        <f>INDEX('Facility Discharge Summary'!T:T,MATCH('Facility Summary_Water'!M36,'Facility Discharge Summary'!J:J,0))</f>
        <v>4.8884449999999999</v>
      </c>
    </row>
    <row r="37" spans="1:23" x14ac:dyDescent="0.25">
      <c r="A37" s="9">
        <v>36</v>
      </c>
      <c r="B37" s="10" t="str">
        <f>IF(COUNTIF('Processed Non-zero TRI Data'!J:J,'Facility Summary_Water'!M37)&gt;0, "TRI Form " &amp; INDEX('Processed Non-zero TRI Data'!K:K,MATCH('Facility Summary_Water'!M37,'Processed Non-zero TRI Data'!J:J,0)), "" )</f>
        <v/>
      </c>
      <c r="C37" s="10" t="str">
        <f>IF(COUNTIF('Processed Non-zero DMR Data'!I:I, 'Facility Summary_Water'!M37)&gt;0, "DMR", "")</f>
        <v>DMR</v>
      </c>
      <c r="D37" s="10"/>
      <c r="E37" s="9" t="s">
        <v>199</v>
      </c>
      <c r="F37" s="9"/>
      <c r="G37" s="9" t="s">
        <v>200</v>
      </c>
      <c r="H37" s="9" t="s">
        <v>138</v>
      </c>
      <c r="I37" s="10"/>
      <c r="J37" s="9">
        <f>IF(L37&lt;&gt;"", INDEX('Processed Non-zero TRI Data'!$G:$G, MATCH(L37, 'Processed Non-zero TRI Data'!$I:$I,0)), INDEX('Processed Non-zero DMR Data'!$F:$F, MATCH(M37,'Processed Non-zero DMR Data'!$I:$I, 0)))</f>
        <v>36.787260000000003</v>
      </c>
      <c r="K37" s="9">
        <f>IF(L37&lt;&gt;"", INDEX('Processed Non-zero TRI Data'!$H:$H, MATCH(L37, 'Processed Non-zero TRI Data'!$I:$I,0)), INDEX('Processed Non-zero DMR Data'!$G:$G, MATCH(M37,'Processed Non-zero DMR Data'!$I:$I, 0)))</f>
        <v>-85.369240000000005</v>
      </c>
      <c r="L37" s="9"/>
      <c r="M37" s="13">
        <v>110009938265</v>
      </c>
      <c r="N37" s="9">
        <f>IF(L37&lt;&gt;"",INDEX('Processed Non-zero TRI Data'!L:L,MATCH('Facility Summary_Water'!L37,'Processed Non-zero TRI Data'!I:I,0)),INDEX('Processed Non-zero DMR Data'!$L:$L,MATCH('Facility Summary_Water'!M37,'Processed Non-zero DMR Data'!$I:$I,0)))</f>
        <v>221320</v>
      </c>
      <c r="O37" s="10" t="str">
        <f>INDEX('2017 - 2022 NAICS'!D:D,MATCH('Facility Summary_Water'!N37,'2017 - 2022 NAICS'!C:C,0))</f>
        <v>Sewage Treatment Facilities</v>
      </c>
      <c r="P37" s="10" t="str">
        <f>IFERROR(VLOOKUP(L37, 'Processed Non-zero TRI Data'!I:Q, 8, 0), "Direct")</f>
        <v>Direct</v>
      </c>
      <c r="Q37" s="10" t="e">
        <f>VLOOKUP(R37,#REF!, 2, FALSE)</f>
        <v>#REF!</v>
      </c>
      <c r="R37" s="10" t="str">
        <f>INDEX('Facility Discharge Summary'!D:D, MATCH('Facility Summary_Water'!M37, 'Facility Discharge Summary'!J:J,0))</f>
        <v>Waste Handling, Disposal and Treatment (POTW)</v>
      </c>
      <c r="S37" s="10" t="str">
        <f>INDEX('Processed Non-zero DMR Data'!T:T, MATCH('Facility Summary_Water'!M37, 'Processed Non-zero DMR Data'!I:I,0))</f>
        <v>POTW indicator in DMR</v>
      </c>
      <c r="T37" s="10" t="s">
        <v>72</v>
      </c>
      <c r="U37" s="9">
        <f>INDEX('TRI and DMR OES Summary'!D:D, MATCH('Facility Summary_Water'!R37,'TRI and DMR OES Summary'!A:A,0))</f>
        <v>365</v>
      </c>
      <c r="V37" s="258">
        <f>INDEX('Facility Discharge Summary'!AR:AR,MATCH('Facility Summary_Water'!M37,'Facility Discharge Summary'!J:J,0))</f>
        <v>0</v>
      </c>
      <c r="W37" s="258">
        <f>INDEX('Facility Discharge Summary'!T:T,MATCH('Facility Summary_Water'!M37,'Facility Discharge Summary'!J:J,0))</f>
        <v>0.3134680225</v>
      </c>
    </row>
    <row r="38" spans="1:23" ht="30" x14ac:dyDescent="0.25">
      <c r="A38" s="9">
        <v>37</v>
      </c>
      <c r="B38" s="10" t="str">
        <f>IF(COUNTIF('Processed Non-zero TRI Data'!J:J,'Facility Summary_Water'!M38)&gt;0, "TRI Form " &amp; INDEX('Processed Non-zero TRI Data'!K:K,MATCH('Facility Summary_Water'!M38,'Processed Non-zero TRI Data'!J:J,0)), "" )</f>
        <v/>
      </c>
      <c r="C38" s="10" t="str">
        <f>IF(COUNTIF('Processed Non-zero DMR Data'!I:I, 'Facility Summary_Water'!M38)&gt;0, "DMR", "")</f>
        <v>DMR</v>
      </c>
      <c r="D38" s="10"/>
      <c r="E38" s="9" t="s">
        <v>201</v>
      </c>
      <c r="F38" s="9"/>
      <c r="G38" s="9" t="s">
        <v>202</v>
      </c>
      <c r="H38" s="9" t="s">
        <v>106</v>
      </c>
      <c r="I38" s="10"/>
      <c r="J38" s="9">
        <f>IF(L38&lt;&gt;"", INDEX('Processed Non-zero TRI Data'!$G:$G, MATCH(L38, 'Processed Non-zero TRI Data'!$I:$I,0)), INDEX('Processed Non-zero DMR Data'!$F:$F, MATCH(M38,'Processed Non-zero DMR Data'!$I:$I, 0)))</f>
        <v>30.221900000000002</v>
      </c>
      <c r="K38" s="9">
        <f>IF(L38&lt;&gt;"", INDEX('Processed Non-zero TRI Data'!$H:$H, MATCH(L38, 'Processed Non-zero TRI Data'!$I:$I,0)), INDEX('Processed Non-zero DMR Data'!$G:$G, MATCH(M38,'Processed Non-zero DMR Data'!$I:$I, 0)))</f>
        <v>-91.051500000000004</v>
      </c>
      <c r="L38" s="9"/>
      <c r="M38" s="13">
        <v>110033659878</v>
      </c>
      <c r="N38" s="9">
        <f>IF(L38&lt;&gt;"",INDEX('Processed Non-zero TRI Data'!L:L,MATCH('Facility Summary_Water'!L38,'Processed Non-zero TRI Data'!I:I,0)),INDEX('Processed Non-zero DMR Data'!$L:$L,MATCH('Facility Summary_Water'!M38,'Processed Non-zero DMR Data'!$I:$I,0)))</f>
        <v>325110</v>
      </c>
      <c r="O38" s="10" t="str">
        <f>INDEX('2017 - 2022 NAICS'!D:D,MATCH('Facility Summary_Water'!N38,'2017 - 2022 NAICS'!C:C,0))</f>
        <v>Petrochemical Manufacturing</v>
      </c>
      <c r="P38" s="10" t="str">
        <f>IFERROR(VLOOKUP(L38, 'Processed Non-zero TRI Data'!I:Q, 8, 0), "Direct")</f>
        <v>Direct</v>
      </c>
      <c r="Q38" s="10" t="e">
        <f>VLOOKUP(R38,#REF!, 2, FALSE)</f>
        <v>#REF!</v>
      </c>
      <c r="R38" s="10" t="str">
        <f>INDEX('Facility Discharge Summary'!D:D, MATCH('Facility Summary_Water'!M38, 'Facility Discharge Summary'!J:J,0))</f>
        <v>Processing as a reactant</v>
      </c>
      <c r="S38" s="10" t="str">
        <f>INDEX('Processed Non-zero DMR Data'!T:T, MATCH('Facility Summary_Water'!M38, 'Processed Non-zero DMR Data'!I:I,0))</f>
        <v>Assumed processing as a reactant based on SIC and NAICS; this also matches 1,1,-DCA mapping.</v>
      </c>
      <c r="T38" s="10" t="s">
        <v>72</v>
      </c>
      <c r="U38" s="9">
        <f>INDEX('TRI and DMR OES Summary'!D:D, MATCH('Facility Summary_Water'!R38,'TRI and DMR OES Summary'!A:A,0))</f>
        <v>350</v>
      </c>
      <c r="V38" s="258">
        <f>INDEX('Facility Discharge Summary'!AR:AR,MATCH('Facility Summary_Water'!M38,'Facility Discharge Summary'!J:J,0))</f>
        <v>0</v>
      </c>
      <c r="W38" s="258">
        <f>INDEX('Facility Discharge Summary'!T:T,MATCH('Facility Summary_Water'!M38,'Facility Discharge Summary'!J:J,0))</f>
        <v>3.9770400000000001</v>
      </c>
    </row>
    <row r="39" spans="1:23" ht="30" x14ac:dyDescent="0.25">
      <c r="A39" s="9">
        <v>38</v>
      </c>
      <c r="B39" s="10" t="str">
        <f>IF(COUNTIF('Processed Non-zero TRI Data'!J:J,'Facility Summary_Water'!M39)&gt;0, "TRI Form " &amp; INDEX('Processed Non-zero TRI Data'!K:K,MATCH('Facility Summary_Water'!M39,'Processed Non-zero TRI Data'!J:J,0)), "" )</f>
        <v/>
      </c>
      <c r="C39" s="10" t="str">
        <f>IF(COUNTIF('Processed Non-zero DMR Data'!I:I, 'Facility Summary_Water'!M39)&gt;0, "DMR", "")</f>
        <v>DMR</v>
      </c>
      <c r="D39" s="10"/>
      <c r="E39" s="9" t="s">
        <v>203</v>
      </c>
      <c r="F39" s="9"/>
      <c r="G39" s="9" t="s">
        <v>204</v>
      </c>
      <c r="H39" s="9" t="s">
        <v>205</v>
      </c>
      <c r="I39" s="10"/>
      <c r="J39" s="9">
        <f>IF(L39&lt;&gt;"", INDEX('Processed Non-zero TRI Data'!$G:$G, MATCH(L39, 'Processed Non-zero TRI Data'!$I:$I,0)), INDEX('Processed Non-zero DMR Data'!$F:$F, MATCH(M39,'Processed Non-zero DMR Data'!$I:$I, 0)))</f>
        <v>35.136057000000001</v>
      </c>
      <c r="K39" s="9">
        <f>IF(L39&lt;&gt;"", INDEX('Processed Non-zero TRI Data'!$H:$H, MATCH(L39, 'Processed Non-zero TRI Data'!$I:$I,0)), INDEX('Processed Non-zero DMR Data'!$G:$G, MATCH(M39,'Processed Non-zero DMR Data'!$I:$I, 0)))</f>
        <v>-90.096892999999994</v>
      </c>
      <c r="L39" s="9"/>
      <c r="M39" s="13">
        <v>110000452082</v>
      </c>
      <c r="N39" s="9">
        <f>IF(L39&lt;&gt;"",INDEX('Processed Non-zero TRI Data'!L:L,MATCH('Facility Summary_Water'!L39,'Processed Non-zero TRI Data'!I:I,0)),INDEX('Processed Non-zero DMR Data'!$L:$L,MATCH('Facility Summary_Water'!M39,'Processed Non-zero DMR Data'!$I:$I,0)))</f>
        <v>325110</v>
      </c>
      <c r="O39" s="10" t="str">
        <f>INDEX('2017 - 2022 NAICS'!D:D,MATCH('Facility Summary_Water'!N39,'2017 - 2022 NAICS'!C:C,0))</f>
        <v>Petrochemical Manufacturing</v>
      </c>
      <c r="P39" s="10" t="str">
        <f>IFERROR(VLOOKUP(L39, 'Processed Non-zero TRI Data'!I:Q, 8, 0), "Direct")</f>
        <v>Direct</v>
      </c>
      <c r="Q39" s="10" t="e">
        <f>VLOOKUP(R39,#REF!, 2, FALSE)</f>
        <v>#REF!</v>
      </c>
      <c r="R39" s="10" t="str">
        <f>INDEX('Facility Discharge Summary'!D:D, MATCH('Facility Summary_Water'!M39, 'Facility Discharge Summary'!J:J,0))</f>
        <v>Processing as a reactant</v>
      </c>
      <c r="S39" s="10" t="str">
        <f>INDEX('Processed Non-zero DMR Data'!T:T, MATCH('Facility Summary_Water'!M39, 'Processed Non-zero DMR Data'!I:I,0))</f>
        <v>Assumed processing as a reactant based on SIC and NAICS; this also matches 1,1,-DCA mapping.</v>
      </c>
      <c r="T39" s="10" t="s">
        <v>72</v>
      </c>
      <c r="U39" s="9">
        <f>INDEX('TRI and DMR OES Summary'!D:D, MATCH('Facility Summary_Water'!R39,'TRI and DMR OES Summary'!A:A,0))</f>
        <v>350</v>
      </c>
      <c r="V39" s="258">
        <f>INDEX('Facility Discharge Summary'!AR:AR,MATCH('Facility Summary_Water'!M39,'Facility Discharge Summary'!J:J,0))</f>
        <v>0</v>
      </c>
      <c r="W39" s="258">
        <f>INDEX('Facility Discharge Summary'!T:T,MATCH('Facility Summary_Water'!M39,'Facility Discharge Summary'!J:J,0))</f>
        <v>5.9301479999999997E-2</v>
      </c>
    </row>
    <row r="40" spans="1:23" x14ac:dyDescent="0.25">
      <c r="A40" s="9">
        <v>39</v>
      </c>
      <c r="B40" s="10" t="str">
        <f>IF(COUNTIF('Processed Non-zero TRI Data'!J:J,'Facility Summary_Water'!M40)&gt;0, "TRI Form " &amp; INDEX('Processed Non-zero TRI Data'!K:K,MATCH('Facility Summary_Water'!M40,'Processed Non-zero TRI Data'!J:J,0)), "" )</f>
        <v/>
      </c>
      <c r="C40" s="10" t="str">
        <f>IF(COUNTIF('Processed Non-zero DMR Data'!I:I, 'Facility Summary_Water'!M40)&gt;0, "DMR", "")</f>
        <v>DMR</v>
      </c>
      <c r="D40" s="10"/>
      <c r="E40" s="9" t="s">
        <v>206</v>
      </c>
      <c r="F40" s="9"/>
      <c r="G40" s="9" t="s">
        <v>207</v>
      </c>
      <c r="H40" s="9" t="s">
        <v>205</v>
      </c>
      <c r="I40" s="9"/>
      <c r="J40" s="9">
        <f>IF(L40&lt;&gt;"", INDEX('Processed Non-zero TRI Data'!$G:$G, MATCH(L40, 'Processed Non-zero TRI Data'!$I:$I,0)), INDEX('Processed Non-zero DMR Data'!$F:$F, MATCH(M40,'Processed Non-zero DMR Data'!$I:$I, 0)))</f>
        <v>35.722341999999998</v>
      </c>
      <c r="K40" s="9">
        <f>IF(L40&lt;&gt;"", INDEX('Processed Non-zero TRI Data'!$H:$H, MATCH(L40, 'Processed Non-zero TRI Data'!$I:$I,0)), INDEX('Processed Non-zero DMR Data'!$G:$G, MATCH(M40,'Processed Non-zero DMR Data'!$I:$I, 0)))</f>
        <v>-91.524983000000006</v>
      </c>
      <c r="L40" s="9"/>
      <c r="M40" s="13">
        <v>110017432937</v>
      </c>
      <c r="N40" s="9">
        <f>IF(L40&lt;&gt;"",INDEX('Processed Non-zero TRI Data'!L:L,MATCH('Facility Summary_Water'!L40,'Processed Non-zero TRI Data'!I:I,0)),INDEX('Processed Non-zero DMR Data'!$L:$L,MATCH('Facility Summary_Water'!M40,'Processed Non-zero DMR Data'!$I:$I,0)))</f>
        <v>325110</v>
      </c>
      <c r="O40" s="10" t="str">
        <f>INDEX('2017 - 2022 NAICS'!D:D,MATCH('Facility Summary_Water'!N40,'2017 - 2022 NAICS'!C:C,0))</f>
        <v>Petrochemical Manufacturing</v>
      </c>
      <c r="P40" s="10" t="str">
        <f>IFERROR(VLOOKUP(L40, 'Processed Non-zero TRI Data'!I:Q, 8, 0), "Direct")</f>
        <v>Direct</v>
      </c>
      <c r="Q40" s="10" t="e">
        <f>VLOOKUP(R40,#REF!, 2, FALSE)</f>
        <v>#REF!</v>
      </c>
      <c r="R40" s="10" t="str">
        <f>INDEX('Facility Discharge Summary'!D:D, MATCH('Facility Summary_Water'!M40, 'Facility Discharge Summary'!J:J,0))</f>
        <v>Processing as a reactant</v>
      </c>
      <c r="S40" s="10" t="str">
        <f>INDEX('Processed Non-zero DMR Data'!T:T, MATCH('Facility Summary_Water'!M40, 'Processed Non-zero DMR Data'!I:I,0))</f>
        <v>Specialty chemical and biodiesel manufacturer.</v>
      </c>
      <c r="T40" s="10" t="s">
        <v>72</v>
      </c>
      <c r="U40" s="9">
        <f>INDEX('TRI and DMR OES Summary'!D:D, MATCH('Facility Summary_Water'!R40,'TRI and DMR OES Summary'!A:A,0))</f>
        <v>350</v>
      </c>
      <c r="V40" s="258">
        <f>INDEX('Facility Discharge Summary'!AR:AR,MATCH('Facility Summary_Water'!M40,'Facility Discharge Summary'!J:J,0))</f>
        <v>0</v>
      </c>
      <c r="W40" s="258">
        <f>INDEX('Facility Discharge Summary'!T:T,MATCH('Facility Summary_Water'!M40,'Facility Discharge Summary'!J:J,0))</f>
        <v>5.8066599999999999</v>
      </c>
    </row>
    <row r="41" spans="1:23" x14ac:dyDescent="0.25">
      <c r="A41" s="9">
        <v>40</v>
      </c>
      <c r="B41" s="10" t="str">
        <f>IF(COUNTIF('Processed Non-zero TRI Data'!J:J,'Facility Summary_Water'!M41)&gt;0, "TRI Form " &amp; INDEX('Processed Non-zero TRI Data'!K:K,MATCH('Facility Summary_Water'!M41,'Processed Non-zero TRI Data'!J:J,0)), "" )</f>
        <v/>
      </c>
      <c r="C41" s="10" t="str">
        <f>IF(COUNTIF('Processed Non-zero DMR Data'!I:I, 'Facility Summary_Water'!M41)&gt;0, "DMR", "")</f>
        <v>DMR</v>
      </c>
      <c r="D41" s="10"/>
      <c r="E41" s="9" t="s">
        <v>208</v>
      </c>
      <c r="F41" s="9"/>
      <c r="G41" s="9" t="s">
        <v>209</v>
      </c>
      <c r="H41" s="9" t="s">
        <v>170</v>
      </c>
      <c r="I41" s="9"/>
      <c r="J41" s="9">
        <f>IF(L41&lt;&gt;"", INDEX('Processed Non-zero TRI Data'!$G:$G, MATCH(L41, 'Processed Non-zero TRI Data'!$I:$I,0)), INDEX('Processed Non-zero DMR Data'!$F:$F, MATCH(M41,'Processed Non-zero DMR Data'!$I:$I, 0)))</f>
        <v>39.248446999999999</v>
      </c>
      <c r="K41" s="9">
        <f>IF(L41&lt;&gt;"", INDEX('Processed Non-zero TRI Data'!$H:$H, MATCH(L41, 'Processed Non-zero TRI Data'!$I:$I,0)), INDEX('Processed Non-zero DMR Data'!$G:$G, MATCH(M41,'Processed Non-zero DMR Data'!$I:$I, 0)))</f>
        <v>-94.293233000000001</v>
      </c>
      <c r="L41" s="9"/>
      <c r="M41" s="13">
        <v>110000614746</v>
      </c>
      <c r="N41" s="9">
        <f>IF(L41&lt;&gt;"",INDEX('Processed Non-zero TRI Data'!L:L,MATCH('Facility Summary_Water'!L41,'Processed Non-zero TRI Data'!I:I,0)),INDEX('Processed Non-zero DMR Data'!$L:$L,MATCH('Facility Summary_Water'!M41,'Processed Non-zero DMR Data'!$I:$I,0)))</f>
        <v>562211</v>
      </c>
      <c r="O41" s="10" t="str">
        <f>INDEX('2017 - 2022 NAICS'!D:D,MATCH('Facility Summary_Water'!N41,'2017 - 2022 NAICS'!C:C,0))</f>
        <v>Hazardous Waste Treatment and Disposal</v>
      </c>
      <c r="P41" s="10" t="str">
        <f>IFERROR(VLOOKUP(L41, 'Processed Non-zero TRI Data'!I:Q, 8, 0), "Direct")</f>
        <v>Direct</v>
      </c>
      <c r="Q41" s="10" t="e">
        <f>VLOOKUP(R41,#REF!, 2, FALSE)</f>
        <v>#REF!</v>
      </c>
      <c r="R41" s="10" t="str">
        <f>INDEX('Facility Discharge Summary'!D:D, MATCH('Facility Summary_Water'!M41, 'Facility Discharge Summary'!J:J,0))</f>
        <v>Waste Handling, Disposal and Treatment (Landfill)</v>
      </c>
      <c r="S41" s="10" t="str">
        <f>INDEX('Processed Non-zero DMR Data'!T:T, MATCH('Facility Summary_Water'!M41, 'Processed Non-zero DMR Data'!I:I,0))</f>
        <v>Facility is a landfill per google search.</v>
      </c>
      <c r="T41" s="10" t="s">
        <v>72</v>
      </c>
      <c r="U41" s="9">
        <f>INDEX('TRI and DMR OES Summary'!D:D, MATCH('Facility Summary_Water'!R41,'TRI and DMR OES Summary'!A:A,0))</f>
        <v>250</v>
      </c>
      <c r="V41" s="258">
        <f>INDEX('Facility Discharge Summary'!AR:AR,MATCH('Facility Summary_Water'!M41,'Facility Discharge Summary'!J:J,0))</f>
        <v>0</v>
      </c>
      <c r="W41" s="258">
        <f>INDEX('Facility Discharge Summary'!T:T,MATCH('Facility Summary_Water'!M41,'Facility Discharge Summary'!J:J,0))</f>
        <v>4.831148326345E-2</v>
      </c>
    </row>
    <row r="42" spans="1:23" x14ac:dyDescent="0.25">
      <c r="A42" s="9">
        <v>41</v>
      </c>
      <c r="B42" s="10" t="str">
        <f>IF(COUNTIF('Processed Non-zero TRI Data'!J:J,'Facility Summary_Water'!M42)&gt;0, "TRI Form " &amp; INDEX('Processed Non-zero TRI Data'!K:K,MATCH('Facility Summary_Water'!M42,'Processed Non-zero TRI Data'!J:J,0)), "" )</f>
        <v/>
      </c>
      <c r="C42" s="10" t="str">
        <f>IF(COUNTIF('Processed Non-zero DMR Data'!I:I, 'Facility Summary_Water'!M42)&gt;0, "DMR", "")</f>
        <v>DMR</v>
      </c>
      <c r="D42" s="10"/>
      <c r="E42" s="9" t="s">
        <v>210</v>
      </c>
      <c r="F42" s="9"/>
      <c r="G42" s="9" t="s">
        <v>211</v>
      </c>
      <c r="H42" s="9" t="s">
        <v>146</v>
      </c>
      <c r="I42" s="9"/>
      <c r="J42" s="9">
        <f>IF(L42&lt;&gt;"", INDEX('Processed Non-zero TRI Data'!$G:$G, MATCH(L42, 'Processed Non-zero TRI Data'!$I:$I,0)), INDEX('Processed Non-zero DMR Data'!$F:$F, MATCH(M42,'Processed Non-zero DMR Data'!$I:$I, 0)))</f>
        <v>33.762349999999998</v>
      </c>
      <c r="K42" s="9">
        <f>IF(L42&lt;&gt;"", INDEX('Processed Non-zero TRI Data'!$H:$H, MATCH(L42, 'Processed Non-zero TRI Data'!$I:$I,0)), INDEX('Processed Non-zero DMR Data'!$G:$G, MATCH(M42,'Processed Non-zero DMR Data'!$I:$I, 0)))</f>
        <v>-118.241775</v>
      </c>
      <c r="L42" s="9"/>
      <c r="M42" s="13">
        <v>110017217545</v>
      </c>
      <c r="N42" s="9">
        <f>IF(L42&lt;&gt;"",INDEX('Processed Non-zero TRI Data'!L:L,MATCH('Facility Summary_Water'!L42,'Processed Non-zero TRI Data'!I:I,0)),INDEX('Processed Non-zero DMR Data'!$L:$L,MATCH('Facility Summary_Water'!M42,'Processed Non-zero DMR Data'!$I:$I,0)))</f>
        <v>424710</v>
      </c>
      <c r="O42" s="10" t="str">
        <f>INDEX('2017 - 2022 NAICS'!D:D,MATCH('Facility Summary_Water'!N42,'2017 - 2022 NAICS'!C:C,0))</f>
        <v>Petroleum Bulk Stations and Terminals</v>
      </c>
      <c r="P42" s="10" t="str">
        <f>IFERROR(VLOOKUP(L42, 'Processed Non-zero TRI Data'!I:Q, 8, 0), "Direct")</f>
        <v>Direct</v>
      </c>
      <c r="Q42" s="10" t="e">
        <f>VLOOKUP(R42,#REF!, 2, FALSE)</f>
        <v>#REF!</v>
      </c>
      <c r="R42" s="10" t="str">
        <f>INDEX('Facility Discharge Summary'!D:D, MATCH('Facility Summary_Water'!M42, 'Facility Discharge Summary'!J:J,0))</f>
        <v>Repackaging</v>
      </c>
      <c r="S42" s="10" t="str">
        <f>INDEX('Processed Non-zero DMR Data'!T:T, MATCH('Facility Summary_Water'!M42, 'Processed Non-zero DMR Data'!I:I,0))</f>
        <v>Vopak is a storage and distribution company</v>
      </c>
      <c r="T42" s="10" t="s">
        <v>72</v>
      </c>
      <c r="U42" s="9">
        <f>INDEX('TRI and DMR OES Summary'!D:D, MATCH('Facility Summary_Water'!R42,'TRI and DMR OES Summary'!A:A,0))</f>
        <v>250</v>
      </c>
      <c r="V42" s="258">
        <f>INDEX('Facility Discharge Summary'!AR:AR,MATCH('Facility Summary_Water'!M42,'Facility Discharge Summary'!J:J,0))</f>
        <v>0</v>
      </c>
      <c r="W42" s="258">
        <f>INDEX('Facility Discharge Summary'!T:T,MATCH('Facility Summary_Water'!M42,'Facility Discharge Summary'!J:J,0))</f>
        <v>8.5171016250000006E-3</v>
      </c>
    </row>
    <row r="43" spans="1:23" ht="30" x14ac:dyDescent="0.25">
      <c r="A43" s="9">
        <v>42</v>
      </c>
      <c r="B43" s="10" t="str">
        <f>IF(COUNTIF('Processed Non-zero TRI Data'!J:J,'Facility Summary_Water'!M43)&gt;0, "TRI Form " &amp; INDEX('Processed Non-zero TRI Data'!K:K,MATCH('Facility Summary_Water'!M43,'Processed Non-zero TRI Data'!J:J,0)), "" )</f>
        <v/>
      </c>
      <c r="C43" s="10" t="str">
        <f>IF(COUNTIF('Processed Non-zero DMR Data'!I:I, 'Facility Summary_Water'!M43)&gt;0, "DMR", "")</f>
        <v>DMR</v>
      </c>
      <c r="D43" s="10"/>
      <c r="E43" s="9" t="s">
        <v>212</v>
      </c>
      <c r="F43" s="9"/>
      <c r="G43" s="9" t="s">
        <v>213</v>
      </c>
      <c r="H43" s="9" t="s">
        <v>141</v>
      </c>
      <c r="I43" s="9"/>
      <c r="J43" s="9">
        <f>IF(L43&lt;&gt;"", INDEX('Processed Non-zero TRI Data'!$G:$G, MATCH(L43, 'Processed Non-zero TRI Data'!$I:$I,0)), INDEX('Processed Non-zero DMR Data'!$F:$F, MATCH(M43,'Processed Non-zero DMR Data'!$I:$I, 0)))</f>
        <v>41.692782000000001</v>
      </c>
      <c r="K43" s="9">
        <f>IF(L43&lt;&gt;"", INDEX('Processed Non-zero TRI Data'!$H:$H, MATCH(L43, 'Processed Non-zero TRI Data'!$I:$I,0)), INDEX('Processed Non-zero DMR Data'!$G:$G, MATCH(M43,'Processed Non-zero DMR Data'!$I:$I, 0)))</f>
        <v>-87.951100999999994</v>
      </c>
      <c r="L43" s="9"/>
      <c r="M43" s="13">
        <v>110018199377</v>
      </c>
      <c r="N43" s="9">
        <f>IF(L43&lt;&gt;"",INDEX('Processed Non-zero TRI Data'!L:L,MATCH('Facility Summary_Water'!L43,'Processed Non-zero TRI Data'!I:I,0)),INDEX('Processed Non-zero DMR Data'!$L:$L,MATCH('Facility Summary_Water'!M43,'Processed Non-zero DMR Data'!$I:$I,0)))</f>
        <v>493110</v>
      </c>
      <c r="O43" s="10" t="str">
        <f>INDEX('2017 - 2022 NAICS'!D:D,MATCH('Facility Summary_Water'!N43,'2017 - 2022 NAICS'!C:C,0))</f>
        <v>General Warehousing and Storage</v>
      </c>
      <c r="P43" s="10" t="str">
        <f>IFERROR(VLOOKUP(L43, 'Processed Non-zero TRI Data'!I:Q, 8, 0), "Direct")</f>
        <v>Direct</v>
      </c>
      <c r="Q43" s="10" t="e">
        <f>VLOOKUP(R43,#REF!, 2, FALSE)</f>
        <v>#REF!</v>
      </c>
      <c r="R43" s="10" t="str">
        <f>INDEX('Facility Discharge Summary'!D:D, MATCH('Facility Summary_Water'!M43, 'Facility Discharge Summary'!J:J,0))</f>
        <v>Repackaging</v>
      </c>
      <c r="S43" s="10" t="str">
        <f>INDEX('Processed Non-zero DMR Data'!T:T, MATCH('Facility Summary_Water'!M43, 'Processed Non-zero DMR Data'!I:I,0))</f>
        <v>Facility provides bulk liquid storage. Could be repackaging but also potentially "Distribution in Commerce".</v>
      </c>
      <c r="T43" s="10" t="s">
        <v>72</v>
      </c>
      <c r="U43" s="9">
        <f>INDEX('TRI and DMR OES Summary'!D:D, MATCH('Facility Summary_Water'!R43,'TRI and DMR OES Summary'!A:A,0))</f>
        <v>250</v>
      </c>
      <c r="V43" s="258">
        <f>INDEX('Facility Discharge Summary'!AR:AR,MATCH('Facility Summary_Water'!M43,'Facility Discharge Summary'!J:J,0))</f>
        <v>0</v>
      </c>
      <c r="W43" s="258">
        <f>INDEX('Facility Discharge Summary'!T:T,MATCH('Facility Summary_Water'!M43,'Facility Discharge Summary'!J:J,0))</f>
        <v>427.35197305000003</v>
      </c>
    </row>
    <row r="44" spans="1:23" x14ac:dyDescent="0.25">
      <c r="A44" s="9">
        <v>43</v>
      </c>
      <c r="B44" s="10" t="str">
        <f>IF(COUNTIF('Processed Non-zero TRI Data'!J:J,'Facility Summary_Water'!M44)&gt;0, "TRI Form " &amp; INDEX('Processed Non-zero TRI Data'!K:K,MATCH('Facility Summary_Water'!M44,'Processed Non-zero TRI Data'!J:J,0)), "" )</f>
        <v/>
      </c>
      <c r="C44" s="10" t="str">
        <f>IF(COUNTIF('Processed Non-zero DMR Data'!I:I, 'Facility Summary_Water'!M44)&gt;0, "DMR", "")</f>
        <v>DMR</v>
      </c>
      <c r="D44" s="10"/>
      <c r="E44" s="9" t="s">
        <v>214</v>
      </c>
      <c r="F44" s="9"/>
      <c r="G44" s="9" t="s">
        <v>215</v>
      </c>
      <c r="H44" s="9" t="s">
        <v>146</v>
      </c>
      <c r="I44" s="9"/>
      <c r="J44" s="9">
        <f>IF(L44&lt;&gt;"", INDEX('Processed Non-zero TRI Data'!$G:$G, MATCH(L44, 'Processed Non-zero TRI Data'!$I:$I,0)), INDEX('Processed Non-zero DMR Data'!$F:$F, MATCH(M44,'Processed Non-zero DMR Data'!$I:$I, 0)))</f>
        <v>32.664450000000002</v>
      </c>
      <c r="K44" s="9">
        <f>IF(L44&lt;&gt;"", INDEX('Processed Non-zero TRI Data'!$H:$H, MATCH(L44, 'Processed Non-zero TRI Data'!$I:$I,0)), INDEX('Processed Non-zero DMR Data'!$G:$G, MATCH(M44,'Processed Non-zero DMR Data'!$I:$I, 0)))</f>
        <v>-115.55970499999999</v>
      </c>
      <c r="L44" s="9"/>
      <c r="M44" s="13">
        <v>110000730825</v>
      </c>
      <c r="N44" s="9">
        <f>IF(L44&lt;&gt;"",INDEX('Processed Non-zero TRI Data'!L:L,MATCH('Facility Summary_Water'!L44,'Processed Non-zero TRI Data'!I:I,0)),INDEX('Processed Non-zero DMR Data'!$L:$L,MATCH('Facility Summary_Water'!M44,'Processed Non-zero DMR Data'!$I:$I,0)))</f>
        <v>221320</v>
      </c>
      <c r="O44" s="10" t="str">
        <f>INDEX('2017 - 2022 NAICS'!D:D,MATCH('Facility Summary_Water'!N44,'2017 - 2022 NAICS'!C:C,0))</f>
        <v>Sewage Treatment Facilities</v>
      </c>
      <c r="P44" s="10" t="str">
        <f>IFERROR(VLOOKUP(L44, 'Processed Non-zero TRI Data'!I:Q, 8, 0), "Direct")</f>
        <v>Direct</v>
      </c>
      <c r="Q44" s="10" t="e">
        <f>VLOOKUP(R44,#REF!, 2, FALSE)</f>
        <v>#REF!</v>
      </c>
      <c r="R44" s="10" t="str">
        <f>INDEX('Facility Discharge Summary'!D:D, MATCH('Facility Summary_Water'!M44, 'Facility Discharge Summary'!J:J,0))</f>
        <v>Waste Handling, Disposal and Treatment (POTW)</v>
      </c>
      <c r="S44" s="10" t="str">
        <f>INDEX('Processed Non-zero DMR Data'!T:T, MATCH('Facility Summary_Water'!M44, 'Processed Non-zero DMR Data'!I:I,0))</f>
        <v>POTW indicator in DMR</v>
      </c>
      <c r="T44" s="10" t="s">
        <v>72</v>
      </c>
      <c r="U44" s="9">
        <f>INDEX('TRI and DMR OES Summary'!D:D, MATCH('Facility Summary_Water'!R44,'TRI and DMR OES Summary'!A:A,0))</f>
        <v>365</v>
      </c>
      <c r="V44" s="258">
        <f>INDEX('Facility Discharge Summary'!AR:AR,MATCH('Facility Summary_Water'!M44,'Facility Discharge Summary'!J:J,0))</f>
        <v>0</v>
      </c>
      <c r="W44" s="258">
        <f>INDEX('Facility Discharge Summary'!T:T,MATCH('Facility Summary_Water'!M44,'Facility Discharge Summary'!J:J,0))</f>
        <v>0.2156560525</v>
      </c>
    </row>
    <row r="45" spans="1:23" x14ac:dyDescent="0.25">
      <c r="A45" s="9">
        <v>44</v>
      </c>
      <c r="B45" s="10" t="str">
        <f>IF(COUNTIF('Processed Non-zero TRI Data'!J:J,'Facility Summary_Water'!M45)&gt;0, "TRI Form " &amp; INDEX('Processed Non-zero TRI Data'!K:K,MATCH('Facility Summary_Water'!M45,'Processed Non-zero TRI Data'!J:J,0)), "" )</f>
        <v/>
      </c>
      <c r="C45" s="10" t="str">
        <f>IF(COUNTIF('Processed Non-zero DMR Data'!I:I, 'Facility Summary_Water'!M45)&gt;0, "DMR", "")</f>
        <v>DMR</v>
      </c>
      <c r="D45" s="10"/>
      <c r="E45" s="9" t="s">
        <v>216</v>
      </c>
      <c r="F45" s="9"/>
      <c r="G45" s="9" t="s">
        <v>217</v>
      </c>
      <c r="H45" s="9" t="s">
        <v>218</v>
      </c>
      <c r="I45" s="9"/>
      <c r="J45" s="9">
        <f>IF(L45&lt;&gt;"", INDEX('Processed Non-zero TRI Data'!$G:$G, MATCH(L45, 'Processed Non-zero TRI Data'!$I:$I,0)), INDEX('Processed Non-zero DMR Data'!$F:$F, MATCH(M45,'Processed Non-zero DMR Data'!$I:$I, 0)))</f>
        <v>40.393799999999999</v>
      </c>
      <c r="K45" s="9">
        <f>IF(L45&lt;&gt;"", INDEX('Processed Non-zero TRI Data'!$H:$H, MATCH(L45, 'Processed Non-zero TRI Data'!$I:$I,0)), INDEX('Processed Non-zero DMR Data'!$G:$G, MATCH(M45,'Processed Non-zero DMR Data'!$I:$I, 0)))</f>
        <v>-105.074</v>
      </c>
      <c r="L45" s="9"/>
      <c r="M45" s="13">
        <v>110070053140</v>
      </c>
      <c r="N45" s="9">
        <f>IF(L45&lt;&gt;"",INDEX('Processed Non-zero TRI Data'!L:L,MATCH('Facility Summary_Water'!L45,'Processed Non-zero TRI Data'!I:I,0)),INDEX('Processed Non-zero DMR Data'!$L:$L,MATCH('Facility Summary_Water'!M45,'Processed Non-zero DMR Data'!$I:$I,0)))</f>
        <v>812930</v>
      </c>
      <c r="O45" s="10" t="str">
        <f>INDEX('2017 - 2022 NAICS'!D:D,MATCH('Facility Summary_Water'!N45,'2017 - 2022 NAICS'!C:C,0))</f>
        <v>Parking Lots and Garages</v>
      </c>
      <c r="P45" s="10" t="str">
        <f>IFERROR(VLOOKUP(L45, 'Processed Non-zero TRI Data'!I:Q, 8, 0), "Direct")</f>
        <v>Direct</v>
      </c>
      <c r="Q45" s="10" t="e">
        <f>VLOOKUP(R45,#REF!, 2, FALSE)</f>
        <v>#REF!</v>
      </c>
      <c r="R45" s="10" t="str">
        <f>INDEX('Facility Discharge Summary'!D:D, MATCH('Facility Summary_Water'!M45, 'Facility Discharge Summary'!J:J,0))</f>
        <v>Unknown</v>
      </c>
      <c r="S45" s="10" t="str">
        <f>INDEX('Processed Non-zero DMR Data'!T:T, MATCH('Facility Summary_Water'!M45, 'Processed Non-zero DMR Data'!I:I,0))</f>
        <v>Parking lot - no OES to map to</v>
      </c>
      <c r="T45" s="10" t="s">
        <v>72</v>
      </c>
      <c r="U45" s="9">
        <f>INDEX('TRI and DMR OES Summary'!D:D, MATCH('Facility Summary_Water'!R45,'TRI and DMR OES Summary'!A:A,0))</f>
        <v>250</v>
      </c>
      <c r="V45" s="258">
        <f>INDEX('Facility Discharge Summary'!AR:AR,MATCH('Facility Summary_Water'!M45,'Facility Discharge Summary'!J:J,0))</f>
        <v>0</v>
      </c>
      <c r="W45" s="258">
        <f>INDEX('Facility Discharge Summary'!T:T,MATCH('Facility Summary_Water'!M45,'Facility Discharge Summary'!J:J,0))</f>
        <v>5.8727870750000001E-2</v>
      </c>
    </row>
    <row r="46" spans="1:23" x14ac:dyDescent="0.25">
      <c r="A46" s="9">
        <v>45</v>
      </c>
      <c r="B46" s="10" t="str">
        <f>IF(COUNTIF('Processed Non-zero TRI Data'!J:J,'Facility Summary_Water'!M46)&gt;0, "TRI Form " &amp; INDEX('Processed Non-zero TRI Data'!K:K,MATCH('Facility Summary_Water'!M46,'Processed Non-zero TRI Data'!J:J,0)), "" )</f>
        <v/>
      </c>
      <c r="C46" s="10" t="str">
        <f>IF(COUNTIF('Processed Non-zero DMR Data'!I:I, 'Facility Summary_Water'!M46)&gt;0, "DMR", "")</f>
        <v>DMR</v>
      </c>
      <c r="D46" s="10"/>
      <c r="E46" s="9" t="s">
        <v>219</v>
      </c>
      <c r="F46" s="9"/>
      <c r="G46" s="9" t="s">
        <v>220</v>
      </c>
      <c r="H46" s="9" t="s">
        <v>138</v>
      </c>
      <c r="I46" s="9"/>
      <c r="J46" s="9">
        <f>IF(L46&lt;&gt;"", INDEX('Processed Non-zero TRI Data'!$G:$G, MATCH(L46, 'Processed Non-zero TRI Data'!$I:$I,0)), INDEX('Processed Non-zero DMR Data'!$F:$F, MATCH(M46,'Processed Non-zero DMR Data'!$I:$I, 0)))</f>
        <v>37.776316000000001</v>
      </c>
      <c r="K46" s="9">
        <f>IF(L46&lt;&gt;"", INDEX('Processed Non-zero TRI Data'!$H:$H, MATCH(L46, 'Processed Non-zero TRI Data'!$I:$I,0)), INDEX('Processed Non-zero DMR Data'!$G:$G, MATCH(M46,'Processed Non-zero DMR Data'!$I:$I, 0)))</f>
        <v>-84.867384999999999</v>
      </c>
      <c r="L46" s="9"/>
      <c r="M46" s="13">
        <v>110000732324</v>
      </c>
      <c r="N46" s="9">
        <f>IF(L46&lt;&gt;"",INDEX('Processed Non-zero TRI Data'!L:L,MATCH('Facility Summary_Water'!L46,'Processed Non-zero TRI Data'!I:I,0)),INDEX('Processed Non-zero DMR Data'!$L:$L,MATCH('Facility Summary_Water'!M46,'Processed Non-zero DMR Data'!$I:$I,0)))</f>
        <v>221320</v>
      </c>
      <c r="O46" s="10" t="str">
        <f>INDEX('2017 - 2022 NAICS'!D:D,MATCH('Facility Summary_Water'!N46,'2017 - 2022 NAICS'!C:C,0))</f>
        <v>Sewage Treatment Facilities</v>
      </c>
      <c r="P46" s="10" t="str">
        <f>IFERROR(VLOOKUP(L46, 'Processed Non-zero TRI Data'!I:Q, 8, 0), "Direct")</f>
        <v>Direct</v>
      </c>
      <c r="Q46" s="10" t="e">
        <f>VLOOKUP(R46,#REF!, 2, FALSE)</f>
        <v>#REF!</v>
      </c>
      <c r="R46" s="10" t="str">
        <f>INDEX('Facility Discharge Summary'!D:D, MATCH('Facility Summary_Water'!M46, 'Facility Discharge Summary'!J:J,0))</f>
        <v>Waste Handling, Disposal and Treatment (POTW)</v>
      </c>
      <c r="S46" s="10" t="str">
        <f>INDEX('Processed Non-zero DMR Data'!T:T, MATCH('Facility Summary_Water'!M46, 'Processed Non-zero DMR Data'!I:I,0))</f>
        <v>POTW indicator in DMR</v>
      </c>
      <c r="T46" s="10" t="s">
        <v>72</v>
      </c>
      <c r="U46" s="9">
        <f>INDEX('TRI and DMR OES Summary'!D:D, MATCH('Facility Summary_Water'!R46,'TRI and DMR OES Summary'!A:A,0))</f>
        <v>365</v>
      </c>
      <c r="V46" s="258">
        <f>INDEX('Facility Discharge Summary'!AR:AR,MATCH('Facility Summary_Water'!M46,'Facility Discharge Summary'!J:J,0))</f>
        <v>0</v>
      </c>
      <c r="W46" s="258">
        <f>INDEX('Facility Discharge Summary'!T:T,MATCH('Facility Summary_Water'!M46,'Facility Discharge Summary'!J:J,0))</f>
        <v>1.8070347</v>
      </c>
    </row>
    <row r="47" spans="1:23" x14ac:dyDescent="0.25">
      <c r="A47" s="9">
        <v>46</v>
      </c>
      <c r="B47" s="10" t="str">
        <f>IF(COUNTIF('Processed Non-zero TRI Data'!J:J,'Facility Summary_Water'!M47)&gt;0, "TRI Form " &amp; INDEX('Processed Non-zero TRI Data'!K:K,MATCH('Facility Summary_Water'!M47,'Processed Non-zero TRI Data'!J:J,0)), "" )</f>
        <v/>
      </c>
      <c r="C47" s="10" t="str">
        <f>IF(COUNTIF('Processed Non-zero DMR Data'!I:I, 'Facility Summary_Water'!M47)&gt;0, "DMR", "")</f>
        <v>DMR</v>
      </c>
      <c r="D47" s="10"/>
      <c r="E47" s="10" t="s">
        <v>221</v>
      </c>
      <c r="F47" s="10"/>
      <c r="G47" s="10" t="s">
        <v>222</v>
      </c>
      <c r="H47" s="10" t="s">
        <v>158</v>
      </c>
      <c r="I47" s="10"/>
      <c r="J47" s="9">
        <f>IF(L47&lt;&gt;"", INDEX('Processed Non-zero TRI Data'!$G:$G, MATCH(L47, 'Processed Non-zero TRI Data'!$I:$I,0)), INDEX('Processed Non-zero DMR Data'!$F:$F, MATCH(M47,'Processed Non-zero DMR Data'!$I:$I, 0)))</f>
        <v>39.526260000000001</v>
      </c>
      <c r="K47" s="9">
        <f>IF(L47&lt;&gt;"", INDEX('Processed Non-zero TRI Data'!$H:$H, MATCH(L47, 'Processed Non-zero TRI Data'!$I:$I,0)), INDEX('Processed Non-zero DMR Data'!$G:$G, MATCH(M47,'Processed Non-zero DMR Data'!$I:$I, 0)))</f>
        <v>-119.81308</v>
      </c>
      <c r="L47" s="10"/>
      <c r="M47" s="259">
        <v>110009830273</v>
      </c>
      <c r="N47" s="9">
        <f>IF(L47&lt;&gt;"",INDEX('Processed Non-zero TRI Data'!L:L,MATCH('Facility Summary_Water'!L47,'Processed Non-zero TRI Data'!I:I,0)),INDEX('Processed Non-zero DMR Data'!$L:$L,MATCH('Facility Summary_Water'!M47,'Processed Non-zero DMR Data'!$I:$I,0)))</f>
        <v>721110</v>
      </c>
      <c r="O47" s="10" t="str">
        <f>INDEX('2017 - 2022 NAICS'!D:D,MATCH('Facility Summary_Water'!N47,'2017 - 2022 NAICS'!C:C,0))</f>
        <v>Hotels (except Casino Hotels) and Motels</v>
      </c>
      <c r="P47" s="10" t="str">
        <f>IFERROR(VLOOKUP(L47, 'Processed Non-zero TRI Data'!I:Q, 8, 0), "Direct")</f>
        <v>Direct</v>
      </c>
      <c r="Q47" s="10" t="e">
        <f>VLOOKUP(R47,#REF!, 2, FALSE)</f>
        <v>#REF!</v>
      </c>
      <c r="R47" s="10" t="str">
        <f>INDEX('Facility Discharge Summary'!D:D, MATCH('Facility Summary_Water'!M47, 'Facility Discharge Summary'!J:J,0))</f>
        <v>Unknown</v>
      </c>
      <c r="S47" s="10" t="str">
        <f>INDEX('Processed Non-zero DMR Data'!T:T, MATCH('Facility Summary_Water'!M47, 'Processed Non-zero DMR Data'!I:I,0))</f>
        <v>Facility is a casino; no OES to map to.</v>
      </c>
      <c r="T47" s="10" t="s">
        <v>72</v>
      </c>
      <c r="U47" s="9">
        <f>INDEX('TRI and DMR OES Summary'!D:D, MATCH('Facility Summary_Water'!R47,'TRI and DMR OES Summary'!A:A,0))</f>
        <v>250</v>
      </c>
      <c r="V47" s="258">
        <f>INDEX('Facility Discharge Summary'!AR:AR,MATCH('Facility Summary_Water'!M47,'Facility Discharge Summary'!J:J,0))</f>
        <v>0</v>
      </c>
      <c r="W47" s="258">
        <f>INDEX('Facility Discharge Summary'!T:T,MATCH('Facility Summary_Water'!M47,'Facility Discharge Summary'!J:J,0))</f>
        <v>0.481522525905</v>
      </c>
    </row>
    <row r="48" spans="1:23" ht="45" x14ac:dyDescent="0.25">
      <c r="A48" s="9">
        <v>47</v>
      </c>
      <c r="B48" s="10" t="str">
        <f>IF(COUNTIF('Processed Non-zero TRI Data'!J:J,'Facility Summary_Water'!M48)&gt;0, "TRI Form " &amp; INDEX('Processed Non-zero TRI Data'!K:K,MATCH('Facility Summary_Water'!M48,'Processed Non-zero TRI Data'!J:J,0)), "" )</f>
        <v/>
      </c>
      <c r="C48" s="10" t="str">
        <f>IF(COUNTIF('Processed Non-zero DMR Data'!I:I, 'Facility Summary_Water'!M48)&gt;0, "DMR", "")</f>
        <v>DMR</v>
      </c>
      <c r="D48" s="10"/>
      <c r="E48" s="10" t="s">
        <v>223</v>
      </c>
      <c r="F48" s="10"/>
      <c r="G48" s="10" t="s">
        <v>224</v>
      </c>
      <c r="H48" s="10" t="s">
        <v>141</v>
      </c>
      <c r="I48" s="10"/>
      <c r="J48" s="9">
        <f>IF(L48&lt;&gt;"", INDEX('Processed Non-zero TRI Data'!$G:$G, MATCH(L48, 'Processed Non-zero TRI Data'!$I:$I,0)), INDEX('Processed Non-zero DMR Data'!$F:$F, MATCH(M48,'Processed Non-zero DMR Data'!$I:$I, 0)))</f>
        <v>41.412897000000001</v>
      </c>
      <c r="K48" s="9">
        <f>IF(L48&lt;&gt;"", INDEX('Processed Non-zero TRI Data'!$H:$H, MATCH(L48, 'Processed Non-zero TRI Data'!$I:$I,0)), INDEX('Processed Non-zero DMR Data'!$G:$G, MATCH(M48,'Processed Non-zero DMR Data'!$I:$I, 0)))</f>
        <v>-88.329773000000003</v>
      </c>
      <c r="L48" s="10"/>
      <c r="M48" s="259">
        <v>110000433013</v>
      </c>
      <c r="N48" s="9">
        <f>IF(L48&lt;&gt;"",INDEX('Processed Non-zero TRI Data'!L:L,MATCH('Facility Summary_Water'!L48,'Processed Non-zero TRI Data'!I:I,0)),INDEX('Processed Non-zero DMR Data'!$L:$L,MATCH('Facility Summary_Water'!M48,'Processed Non-zero DMR Data'!$I:$I,0)))</f>
        <v>325211</v>
      </c>
      <c r="O48" s="10" t="str">
        <f>INDEX('2017 - 2022 NAICS'!D:D,MATCH('Facility Summary_Water'!N48,'2017 - 2022 NAICS'!C:C,0))</f>
        <v>Plastics Material and Resin Manufacturing</v>
      </c>
      <c r="P48" s="10" t="str">
        <f>IFERROR(VLOOKUP(L48, 'Processed Non-zero TRI Data'!I:Q, 8, 0), "Direct")</f>
        <v>Direct</v>
      </c>
      <c r="Q48" s="10" t="e">
        <f>VLOOKUP(R48,#REF!, 2, FALSE)</f>
        <v>#REF!</v>
      </c>
      <c r="R48" s="10" t="str">
        <f>INDEX('Facility Discharge Summary'!D:D, MATCH('Facility Summary_Water'!M48, 'Facility Discharge Summary'!J:J,0))</f>
        <v>Impurity in Plastics</v>
      </c>
      <c r="S48" s="10" t="str">
        <f>INDEX('Processed Non-zero DMR Data'!T:T, MATCH('Facility Summary_Water'!M48, 'Processed Non-zero DMR Data'!I:I,0))</f>
        <v>Plastics SIC/NAICS - EPA-HQ-OPPT-2018-0428-0011 indicates 1,2-dichloropropane can be a residual/byproduct in PVC plastics or a flame retardant plasticizer.</v>
      </c>
      <c r="T48" s="10" t="s">
        <v>72</v>
      </c>
      <c r="U48" s="9">
        <f>INDEX('TRI and DMR OES Summary'!D:D, MATCH('Facility Summary_Water'!R48,'TRI and DMR OES Summary'!A:A,0))</f>
        <v>350</v>
      </c>
      <c r="V48" s="258">
        <f>INDEX('Facility Discharge Summary'!AR:AR,MATCH('Facility Summary_Water'!M48,'Facility Discharge Summary'!J:J,0))</f>
        <v>0</v>
      </c>
      <c r="W48" s="258">
        <f>INDEX('Facility Discharge Summary'!T:T,MATCH('Facility Summary_Water'!M48,'Facility Discharge Summary'!J:J,0))</f>
        <v>2.09748</v>
      </c>
    </row>
    <row r="49" spans="1:23" x14ac:dyDescent="0.25">
      <c r="A49" s="9">
        <v>48</v>
      </c>
      <c r="B49" s="10" t="str">
        <f>IF(COUNTIF('Processed Non-zero TRI Data'!J:J,'Facility Summary_Water'!M49)&gt;0, "TRI Form " &amp; INDEX('Processed Non-zero TRI Data'!K:K,MATCH('Facility Summary_Water'!M49,'Processed Non-zero TRI Data'!J:J,0)), "" )</f>
        <v/>
      </c>
      <c r="C49" s="10" t="str">
        <f>IF(COUNTIF('Processed Non-zero DMR Data'!I:I, 'Facility Summary_Water'!M49)&gt;0, "DMR", "")</f>
        <v>DMR</v>
      </c>
      <c r="D49" s="10"/>
      <c r="E49" s="10" t="s">
        <v>225</v>
      </c>
      <c r="F49" s="10"/>
      <c r="G49" s="10" t="s">
        <v>226</v>
      </c>
      <c r="H49" s="10" t="s">
        <v>146</v>
      </c>
      <c r="I49" s="10"/>
      <c r="J49" s="9">
        <f>IF(L49&lt;&gt;"", INDEX('Processed Non-zero TRI Data'!$G:$G, MATCH(L49, 'Processed Non-zero TRI Data'!$I:$I,0)), INDEX('Processed Non-zero DMR Data'!$F:$F, MATCH(M49,'Processed Non-zero DMR Data'!$I:$I, 0)))</f>
        <v>34.661079999999998</v>
      </c>
      <c r="K49" s="9">
        <f>IF(L49&lt;&gt;"", INDEX('Processed Non-zero TRI Data'!$H:$H, MATCH(L49, 'Processed Non-zero TRI Data'!$I:$I,0)), INDEX('Processed Non-zero DMR Data'!$G:$G, MATCH(M49,'Processed Non-zero DMR Data'!$I:$I, 0)))</f>
        <v>-120.48135000000001</v>
      </c>
      <c r="L49" s="10"/>
      <c r="M49" s="259">
        <v>110009547222</v>
      </c>
      <c r="N49" s="9">
        <f>IF(L49&lt;&gt;"",INDEX('Processed Non-zero TRI Data'!L:L,MATCH('Facility Summary_Water'!L49,'Processed Non-zero TRI Data'!I:I,0)),INDEX('Processed Non-zero DMR Data'!$L:$L,MATCH('Facility Summary_Water'!M49,'Processed Non-zero DMR Data'!$I:$I,0)))</f>
        <v>221320</v>
      </c>
      <c r="O49" s="10" t="str">
        <f>INDEX('2017 - 2022 NAICS'!D:D,MATCH('Facility Summary_Water'!N49,'2017 - 2022 NAICS'!C:C,0))</f>
        <v>Sewage Treatment Facilities</v>
      </c>
      <c r="P49" s="10" t="str">
        <f>IFERROR(VLOOKUP(L49, 'Processed Non-zero TRI Data'!I:Q, 8, 0), "Direct")</f>
        <v>Direct</v>
      </c>
      <c r="Q49" s="10" t="e">
        <f>VLOOKUP(R49,#REF!, 2, FALSE)</f>
        <v>#REF!</v>
      </c>
      <c r="R49" s="10" t="str">
        <f>INDEX('Facility Discharge Summary'!D:D, MATCH('Facility Summary_Water'!M49, 'Facility Discharge Summary'!J:J,0))</f>
        <v>Waste Handling, Disposal and Treatment (POTW)</v>
      </c>
      <c r="S49" s="10" t="str">
        <f>INDEX('Processed Non-zero DMR Data'!T:T, MATCH('Facility Summary_Water'!M49, 'Processed Non-zero DMR Data'!I:I,0))</f>
        <v>POTW indicator in DMR</v>
      </c>
      <c r="T49" s="10" t="s">
        <v>72</v>
      </c>
      <c r="U49" s="9">
        <f>INDEX('TRI and DMR OES Summary'!D:D, MATCH('Facility Summary_Water'!R49,'TRI and DMR OES Summary'!A:A,0))</f>
        <v>365</v>
      </c>
      <c r="V49" s="258">
        <f>INDEX('Facility Discharge Summary'!AR:AR,MATCH('Facility Summary_Water'!M49,'Facility Discharge Summary'!J:J,0))</f>
        <v>0</v>
      </c>
      <c r="W49" s="258">
        <f>INDEX('Facility Discharge Summary'!T:T,MATCH('Facility Summary_Water'!M49,'Facility Discharge Summary'!J:J,0))</f>
        <v>1.0603204374999999</v>
      </c>
    </row>
    <row r="50" spans="1:23" x14ac:dyDescent="0.25">
      <c r="A50" s="9">
        <v>49</v>
      </c>
      <c r="B50" s="10" t="str">
        <f>IF(COUNTIF('Processed Non-zero TRI Data'!J:J,'Facility Summary_Water'!M50)&gt;0, "TRI Form " &amp; INDEX('Processed Non-zero TRI Data'!K:K,MATCH('Facility Summary_Water'!M50,'Processed Non-zero TRI Data'!J:J,0)), "" )</f>
        <v/>
      </c>
      <c r="C50" s="10" t="str">
        <f>IF(COUNTIF('Processed Non-zero DMR Data'!I:I, 'Facility Summary_Water'!M50)&gt;0, "DMR", "")</f>
        <v>DMR</v>
      </c>
      <c r="D50" s="10"/>
      <c r="E50" s="10" t="s">
        <v>227</v>
      </c>
      <c r="F50" s="10"/>
      <c r="G50" s="10" t="s">
        <v>228</v>
      </c>
      <c r="H50" s="10" t="s">
        <v>138</v>
      </c>
      <c r="I50" s="10"/>
      <c r="J50" s="9">
        <f>IF(L50&lt;&gt;"", INDEX('Processed Non-zero TRI Data'!$G:$G, MATCH(L50, 'Processed Non-zero TRI Data'!$I:$I,0)), INDEX('Processed Non-zero DMR Data'!$F:$F, MATCH(M50,'Processed Non-zero DMR Data'!$I:$I, 0)))</f>
        <v>36.644849999999998</v>
      </c>
      <c r="K50" s="9">
        <f>IF(L50&lt;&gt;"", INDEX('Processed Non-zero TRI Data'!$H:$H, MATCH(L50, 'Processed Non-zero TRI Data'!$I:$I,0)), INDEX('Processed Non-zero DMR Data'!$G:$G, MATCH(M50,'Processed Non-zero DMR Data'!$I:$I, 0)))</f>
        <v>-87.187950000000001</v>
      </c>
      <c r="L50" s="10"/>
      <c r="M50" s="259">
        <v>110009937499</v>
      </c>
      <c r="N50" s="9">
        <f>IF(L50&lt;&gt;"",INDEX('Processed Non-zero TRI Data'!L:L,MATCH('Facility Summary_Water'!L50,'Processed Non-zero TRI Data'!I:I,0)),INDEX('Processed Non-zero DMR Data'!$L:$L,MATCH('Facility Summary_Water'!M50,'Processed Non-zero DMR Data'!$I:$I,0)))</f>
        <v>221320</v>
      </c>
      <c r="O50" s="10" t="str">
        <f>INDEX('2017 - 2022 NAICS'!D:D,MATCH('Facility Summary_Water'!N50,'2017 - 2022 NAICS'!C:C,0))</f>
        <v>Sewage Treatment Facilities</v>
      </c>
      <c r="P50" s="10" t="str">
        <f>IFERROR(VLOOKUP(L50, 'Processed Non-zero TRI Data'!I:Q, 8, 0), "Direct")</f>
        <v>Direct</v>
      </c>
      <c r="Q50" s="10" t="e">
        <f>VLOOKUP(R50,#REF!, 2, FALSE)</f>
        <v>#REF!</v>
      </c>
      <c r="R50" s="10" t="str">
        <f>INDEX('Facility Discharge Summary'!D:D, MATCH('Facility Summary_Water'!M50, 'Facility Discharge Summary'!J:J,0))</f>
        <v>Waste Handling, Disposal and Treatment (POTW)</v>
      </c>
      <c r="S50" s="10" t="str">
        <f>INDEX('Processed Non-zero DMR Data'!T:T, MATCH('Facility Summary_Water'!M50, 'Processed Non-zero DMR Data'!I:I,0))</f>
        <v>POTW indicator in DMR</v>
      </c>
      <c r="T50" s="10" t="s">
        <v>72</v>
      </c>
      <c r="U50" s="9">
        <f>INDEX('TRI and DMR OES Summary'!D:D, MATCH('Facility Summary_Water'!R50,'TRI and DMR OES Summary'!A:A,0))</f>
        <v>365</v>
      </c>
      <c r="V50" s="258">
        <f>INDEX('Facility Discharge Summary'!AR:AR,MATCH('Facility Summary_Water'!M50,'Facility Discharge Summary'!J:J,0))</f>
        <v>0</v>
      </c>
      <c r="W50" s="258">
        <f>INDEX('Facility Discharge Summary'!T:T,MATCH('Facility Summary_Water'!M50,'Facility Discharge Summary'!J:J,0))</f>
        <v>1.0534128125</v>
      </c>
    </row>
    <row r="51" spans="1:23" x14ac:dyDescent="0.25">
      <c r="A51" s="9">
        <v>50</v>
      </c>
      <c r="B51" s="10" t="str">
        <f>IF(COUNTIF('Processed Non-zero TRI Data'!J:J,'Facility Summary_Water'!M51)&gt;0, "TRI Form " &amp; INDEX('Processed Non-zero TRI Data'!K:K,MATCH('Facility Summary_Water'!M51,'Processed Non-zero TRI Data'!J:J,0)), "" )</f>
        <v/>
      </c>
      <c r="C51" s="10" t="str">
        <f>IF(COUNTIF('Processed Non-zero DMR Data'!I:I, 'Facility Summary_Water'!M51)&gt;0, "DMR", "")</f>
        <v>DMR</v>
      </c>
      <c r="D51" s="10"/>
      <c r="E51" s="10" t="s">
        <v>229</v>
      </c>
      <c r="F51" s="10"/>
      <c r="G51" s="10" t="s">
        <v>230</v>
      </c>
      <c r="H51" s="10" t="s">
        <v>146</v>
      </c>
      <c r="I51" s="10"/>
      <c r="J51" s="9">
        <f>IF(L51&lt;&gt;"", INDEX('Processed Non-zero TRI Data'!$G:$G, MATCH(L51, 'Processed Non-zero TRI Data'!$I:$I,0)), INDEX('Processed Non-zero DMR Data'!$F:$F, MATCH(M51,'Processed Non-zero DMR Data'!$I:$I, 0)))</f>
        <v>36.963245999999998</v>
      </c>
      <c r="K51" s="9">
        <f>IF(L51&lt;&gt;"", INDEX('Processed Non-zero TRI Data'!$H:$H, MATCH(L51, 'Processed Non-zero TRI Data'!$I:$I,0)), INDEX('Processed Non-zero DMR Data'!$G:$G, MATCH(M51,'Processed Non-zero DMR Data'!$I:$I, 0)))</f>
        <v>-122.034009</v>
      </c>
      <c r="L51" s="10"/>
      <c r="M51" s="259">
        <v>110013848453</v>
      </c>
      <c r="N51" s="9">
        <f>IF(L51&lt;&gt;"",INDEX('Processed Non-zero TRI Data'!L:L,MATCH('Facility Summary_Water'!L51,'Processed Non-zero TRI Data'!I:I,0)),INDEX('Processed Non-zero DMR Data'!$L:$L,MATCH('Facility Summary_Water'!M51,'Processed Non-zero DMR Data'!$I:$I,0)))</f>
        <v>221320</v>
      </c>
      <c r="O51" s="10" t="str">
        <f>INDEX('2017 - 2022 NAICS'!D:D,MATCH('Facility Summary_Water'!N51,'2017 - 2022 NAICS'!C:C,0))</f>
        <v>Sewage Treatment Facilities</v>
      </c>
      <c r="P51" s="10" t="str">
        <f>IFERROR(VLOOKUP(L51, 'Processed Non-zero TRI Data'!I:Q, 8, 0), "Direct")</f>
        <v>Direct</v>
      </c>
      <c r="Q51" s="10" t="e">
        <f>VLOOKUP(R51,#REF!, 2, FALSE)</f>
        <v>#REF!</v>
      </c>
      <c r="R51" s="10" t="str">
        <f>INDEX('Facility Discharge Summary'!D:D, MATCH('Facility Summary_Water'!M51, 'Facility Discharge Summary'!J:J,0))</f>
        <v>Waste Handling, Disposal and Treatment (POTW)</v>
      </c>
      <c r="S51" s="10" t="str">
        <f>INDEX('Processed Non-zero DMR Data'!T:T, MATCH('Facility Summary_Water'!M51, 'Processed Non-zero DMR Data'!I:I,0))</f>
        <v>POTW indicator in DMR</v>
      </c>
      <c r="T51" s="10" t="s">
        <v>72</v>
      </c>
      <c r="U51" s="9">
        <f>INDEX('TRI and DMR OES Summary'!D:D, MATCH('Facility Summary_Water'!R51,'TRI and DMR OES Summary'!A:A,0))</f>
        <v>365</v>
      </c>
      <c r="V51" s="258">
        <f>INDEX('Facility Discharge Summary'!AR:AR,MATCH('Facility Summary_Water'!M51,'Facility Discharge Summary'!J:J,0))</f>
        <v>0</v>
      </c>
      <c r="W51" s="258">
        <f>INDEX('Facility Discharge Summary'!T:T,MATCH('Facility Summary_Water'!M51,'Facility Discharge Summary'!J:J,0))</f>
        <v>1.485631425</v>
      </c>
    </row>
    <row r="52" spans="1:23" x14ac:dyDescent="0.25">
      <c r="A52" s="9">
        <v>51</v>
      </c>
      <c r="B52" s="10" t="str">
        <f>IF(COUNTIF('Processed Non-zero TRI Data'!J:J,'Facility Summary_Water'!M52)&gt;0, "TRI Form " &amp; INDEX('Processed Non-zero TRI Data'!K:K,MATCH('Facility Summary_Water'!M52,'Processed Non-zero TRI Data'!J:J,0)), "" )</f>
        <v/>
      </c>
      <c r="C52" s="10" t="str">
        <f>IF(COUNTIF('Processed Non-zero DMR Data'!I:I, 'Facility Summary_Water'!M52)&gt;0, "DMR", "")</f>
        <v>DMR</v>
      </c>
      <c r="D52" s="10"/>
      <c r="E52" s="10" t="s">
        <v>231</v>
      </c>
      <c r="F52" s="10"/>
      <c r="G52" s="10" t="s">
        <v>232</v>
      </c>
      <c r="H52" s="10" t="s">
        <v>141</v>
      </c>
      <c r="I52" s="10"/>
      <c r="J52" s="9">
        <f>IF(L52&lt;&gt;"", INDEX('Processed Non-zero TRI Data'!$G:$G, MATCH(L52, 'Processed Non-zero TRI Data'!$I:$I,0)), INDEX('Processed Non-zero DMR Data'!$F:$F, MATCH(M52,'Processed Non-zero DMR Data'!$I:$I, 0)))</f>
        <v>38.2774</v>
      </c>
      <c r="K52" s="9">
        <f>IF(L52&lt;&gt;"", INDEX('Processed Non-zero TRI Data'!$H:$H, MATCH(L52, 'Processed Non-zero TRI Data'!$I:$I,0)), INDEX('Processed Non-zero DMR Data'!$G:$G, MATCH(M52,'Processed Non-zero DMR Data'!$I:$I, 0)))</f>
        <v>-89.666899999999998</v>
      </c>
      <c r="L52" s="10"/>
      <c r="M52" s="259">
        <v>110044852068</v>
      </c>
      <c r="N52" s="9">
        <f>IF(L52&lt;&gt;"",INDEX('Processed Non-zero TRI Data'!L:L,MATCH('Facility Summary_Water'!L52,'Processed Non-zero TRI Data'!I:I,0)),INDEX('Processed Non-zero DMR Data'!$L:$L,MATCH('Facility Summary_Water'!M52,'Processed Non-zero DMR Data'!$I:$I,0)))</f>
        <v>221111</v>
      </c>
      <c r="O52" s="10" t="str">
        <f>INDEX('2017 - 2022 NAICS'!D:D,MATCH('Facility Summary_Water'!N52,'2017 - 2022 NAICS'!C:C,0))</f>
        <v>Hydroelectric Power Generation</v>
      </c>
      <c r="P52" s="10" t="str">
        <f>IFERROR(VLOOKUP(L52, 'Processed Non-zero TRI Data'!I:Q, 8, 0), "Direct")</f>
        <v>Direct</v>
      </c>
      <c r="Q52" s="10" t="e">
        <f>VLOOKUP(R52,#REF!, 2, FALSE)</f>
        <v>#REF!</v>
      </c>
      <c r="R52" s="10" t="str">
        <f>INDEX('Facility Discharge Summary'!D:D, MATCH('Facility Summary_Water'!M52, 'Facility Discharge Summary'!J:J,0))</f>
        <v>Unknown</v>
      </c>
      <c r="S52" s="10" t="str">
        <f>INDEX('Processed Non-zero DMR Data'!T:T, MATCH('Facility Summary_Water'!M52, 'Processed Non-zero DMR Data'!I:I,0))</f>
        <v>Coal power plant; no OES to map to.</v>
      </c>
      <c r="T52" s="10" t="s">
        <v>72</v>
      </c>
      <c r="U52" s="9">
        <f>INDEX('TRI and DMR OES Summary'!D:D, MATCH('Facility Summary_Water'!R52,'TRI and DMR OES Summary'!A:A,0))</f>
        <v>250</v>
      </c>
      <c r="V52" s="258">
        <f>INDEX('Facility Discharge Summary'!AR:AR,MATCH('Facility Summary_Water'!M52,'Facility Discharge Summary'!J:J,0))</f>
        <v>0</v>
      </c>
      <c r="W52" s="258">
        <f>INDEX('Facility Discharge Summary'!T:T,MATCH('Facility Summary_Water'!M52,'Facility Discharge Summary'!J:J,0))</f>
        <v>2.4298261700000001</v>
      </c>
    </row>
    <row r="53" spans="1:23" x14ac:dyDescent="0.25">
      <c r="A53" s="9">
        <v>52</v>
      </c>
      <c r="B53" s="10" t="str">
        <f>IF(COUNTIF('Processed Non-zero TRI Data'!J:J,'Facility Summary_Water'!M53)&gt;0, "TRI Form " &amp; INDEX('Processed Non-zero TRI Data'!K:K,MATCH('Facility Summary_Water'!M53,'Processed Non-zero TRI Data'!J:J,0)), "" )</f>
        <v/>
      </c>
      <c r="C53" s="10" t="str">
        <f>IF(COUNTIF('Processed Non-zero DMR Data'!I:I, 'Facility Summary_Water'!M53)&gt;0, "DMR", "")</f>
        <v>DMR</v>
      </c>
      <c r="D53" s="10"/>
      <c r="E53" s="10" t="s">
        <v>233</v>
      </c>
      <c r="F53" s="10"/>
      <c r="G53" s="10" t="s">
        <v>157</v>
      </c>
      <c r="H53" s="10" t="s">
        <v>158</v>
      </c>
      <c r="I53" s="10"/>
      <c r="J53" s="9">
        <f>IF(L53&lt;&gt;"", INDEX('Processed Non-zero TRI Data'!$G:$G, MATCH(L53, 'Processed Non-zero TRI Data'!$I:$I,0)), INDEX('Processed Non-zero DMR Data'!$F:$F, MATCH(M53,'Processed Non-zero DMR Data'!$I:$I, 0)))</f>
        <v>36.075400000000002</v>
      </c>
      <c r="K53" s="9">
        <f>IF(L53&lt;&gt;"", INDEX('Processed Non-zero TRI Data'!$H:$H, MATCH(L53, 'Processed Non-zero TRI Data'!$I:$I,0)), INDEX('Processed Non-zero DMR Data'!$G:$G, MATCH(M53,'Processed Non-zero DMR Data'!$I:$I, 0)))</f>
        <v>-115.1669</v>
      </c>
      <c r="L53" s="10"/>
      <c r="M53" s="259">
        <v>110064134459</v>
      </c>
      <c r="N53" s="9">
        <f>IF(L53&lt;&gt;"",INDEX('Processed Non-zero TRI Data'!L:L,MATCH('Facility Summary_Water'!L53,'Processed Non-zero TRI Data'!I:I,0)),INDEX('Processed Non-zero DMR Data'!$L:$L,MATCH('Facility Summary_Water'!M53,'Processed Non-zero DMR Data'!$I:$I,0)))</f>
        <v>488111</v>
      </c>
      <c r="O53" s="10" t="str">
        <f>INDEX('2017 - 2022 NAICS'!D:D,MATCH('Facility Summary_Water'!N53,'2017 - 2022 NAICS'!C:C,0))</f>
        <v>Air Traffic Control</v>
      </c>
      <c r="P53" s="10" t="str">
        <f>IFERROR(VLOOKUP(L53, 'Processed Non-zero TRI Data'!I:Q, 8, 0), "Direct")</f>
        <v>Direct</v>
      </c>
      <c r="Q53" s="10" t="e">
        <f>VLOOKUP(R53,#REF!, 2, FALSE)</f>
        <v>#REF!</v>
      </c>
      <c r="R53" s="10" t="str">
        <f>INDEX('Facility Discharge Summary'!D:D, MATCH('Facility Summary_Water'!M53, 'Facility Discharge Summary'!J:J,0))</f>
        <v>Unknown</v>
      </c>
      <c r="S53" s="10" t="str">
        <f>INDEX('Processed Non-zero DMR Data'!T:T, MATCH('Facility Summary_Water'!M53, 'Processed Non-zero DMR Data'!I:I,0))</f>
        <v>Airport; no OES to map to.</v>
      </c>
      <c r="T53" s="10" t="s">
        <v>72</v>
      </c>
      <c r="U53" s="9">
        <f>INDEX('TRI and DMR OES Summary'!D:D, MATCH('Facility Summary_Water'!R53,'TRI and DMR OES Summary'!A:A,0))</f>
        <v>250</v>
      </c>
      <c r="V53" s="258">
        <f>INDEX('Facility Discharge Summary'!AR:AR,MATCH('Facility Summary_Water'!M53,'Facility Discharge Summary'!J:J,0))</f>
        <v>0</v>
      </c>
      <c r="W53" s="258">
        <f>INDEX('Facility Discharge Summary'!T:T,MATCH('Facility Summary_Water'!M53,'Facility Discharge Summary'!J:J,0))</f>
        <v>2.847020225E-2</v>
      </c>
    </row>
    <row r="54" spans="1:23" ht="30" x14ac:dyDescent="0.25">
      <c r="A54" s="9">
        <v>53</v>
      </c>
      <c r="B54" s="10" t="str">
        <f>IF(COUNTIF('Processed Non-zero TRI Data'!J:J,'Facility Summary_Water'!M54)&gt;0, "TRI Form " &amp; INDEX('Processed Non-zero TRI Data'!K:K,MATCH('Facility Summary_Water'!M54,'Processed Non-zero TRI Data'!J:J,0)), "" )</f>
        <v/>
      </c>
      <c r="C54" s="10" t="str">
        <f>IF(COUNTIF('Processed Non-zero DMR Data'!I:I, 'Facility Summary_Water'!M54)&gt;0, "DMR", "")</f>
        <v>DMR</v>
      </c>
      <c r="D54" s="10"/>
      <c r="E54" s="10" t="s">
        <v>234</v>
      </c>
      <c r="F54" s="10"/>
      <c r="G54" s="10" t="s">
        <v>235</v>
      </c>
      <c r="H54" s="10" t="s">
        <v>138</v>
      </c>
      <c r="I54" s="10"/>
      <c r="J54" s="9">
        <f>IF(L54&lt;&gt;"", INDEX('Processed Non-zero TRI Data'!$G:$G, MATCH(L54, 'Processed Non-zero TRI Data'!$I:$I,0)), INDEX('Processed Non-zero DMR Data'!$F:$F, MATCH(M54,'Processed Non-zero DMR Data'!$I:$I, 0)))</f>
        <v>38.195278000000002</v>
      </c>
      <c r="K54" s="9">
        <f>IF(L54&lt;&gt;"", INDEX('Processed Non-zero TRI Data'!$H:$H, MATCH(L54, 'Processed Non-zero TRI Data'!$I:$I,0)), INDEX('Processed Non-zero DMR Data'!$G:$G, MATCH(M54,'Processed Non-zero DMR Data'!$I:$I, 0)))</f>
        <v>-85.872221999999994</v>
      </c>
      <c r="L54" s="10"/>
      <c r="M54" s="259">
        <v>110000378467</v>
      </c>
      <c r="N54" s="9">
        <f>IF(L54&lt;&gt;"",INDEX('Processed Non-zero TRI Data'!L:L,MATCH('Facility Summary_Water'!L54,'Processed Non-zero TRI Data'!I:I,0)),INDEX('Processed Non-zero DMR Data'!$L:$L,MATCH('Facility Summary_Water'!M54,'Processed Non-zero DMR Data'!$I:$I,0)))</f>
        <v>325110</v>
      </c>
      <c r="O54" s="10" t="str">
        <f>INDEX('2017 - 2022 NAICS'!D:D,MATCH('Facility Summary_Water'!N54,'2017 - 2022 NAICS'!C:C,0))</f>
        <v>Petrochemical Manufacturing</v>
      </c>
      <c r="P54" s="10" t="str">
        <f>IFERROR(VLOOKUP(L54, 'Processed Non-zero TRI Data'!I:Q, 8, 0), "Direct")</f>
        <v>Direct</v>
      </c>
      <c r="Q54" s="10" t="e">
        <f>VLOOKUP(R54,#REF!, 2, FALSE)</f>
        <v>#REF!</v>
      </c>
      <c r="R54" s="10" t="str">
        <f>INDEX('Facility Discharge Summary'!D:D, MATCH('Facility Summary_Water'!M54, 'Facility Discharge Summary'!J:J,0))</f>
        <v>Processing as a reactant</v>
      </c>
      <c r="S54" s="10" t="str">
        <f>INDEX('Processed Non-zero DMR Data'!T:T, MATCH('Facility Summary_Water'!M54, 'Processed Non-zero DMR Data'!I:I,0))</f>
        <v>Assumed processing as a reactant based on SIC and NAICS; this also matches 1,1,-DCA mapping.</v>
      </c>
      <c r="T54" s="10" t="s">
        <v>72</v>
      </c>
      <c r="U54" s="9">
        <f>INDEX('TRI and DMR OES Summary'!D:D, MATCH('Facility Summary_Water'!R54,'TRI and DMR OES Summary'!A:A,0))</f>
        <v>350</v>
      </c>
      <c r="V54" s="258">
        <f>INDEX('Facility Discharge Summary'!AR:AR,MATCH('Facility Summary_Water'!M54,'Facility Discharge Summary'!J:J,0))</f>
        <v>0</v>
      </c>
      <c r="W54" s="258">
        <f>INDEX('Facility Discharge Summary'!T:T,MATCH('Facility Summary_Water'!M54,'Facility Discharge Summary'!J:J,0))</f>
        <v>0.91140500000000002</v>
      </c>
    </row>
    <row r="55" spans="1:23" x14ac:dyDescent="0.25">
      <c r="A55" s="9">
        <v>54</v>
      </c>
      <c r="B55" s="10" t="str">
        <f>IF(COUNTIF('Processed Non-zero TRI Data'!J:J,'Facility Summary_Water'!M55)&gt;0, "TRI Form " &amp; INDEX('Processed Non-zero TRI Data'!K:K,MATCH('Facility Summary_Water'!M55,'Processed Non-zero TRI Data'!J:J,0)), "" )</f>
        <v/>
      </c>
      <c r="C55" s="10" t="str">
        <f>IF(COUNTIF('Processed Non-zero DMR Data'!I:I, 'Facility Summary_Water'!M55)&gt;0, "DMR", "")</f>
        <v>DMR</v>
      </c>
      <c r="D55" s="10"/>
      <c r="E55" s="10" t="s">
        <v>236</v>
      </c>
      <c r="F55" s="10"/>
      <c r="G55" s="10" t="s">
        <v>237</v>
      </c>
      <c r="H55" s="10" t="s">
        <v>138</v>
      </c>
      <c r="I55" s="10"/>
      <c r="J55" s="9">
        <f>IF(L55&lt;&gt;"", INDEX('Processed Non-zero TRI Data'!$G:$G, MATCH(L55, 'Processed Non-zero TRI Data'!$I:$I,0)), INDEX('Processed Non-zero DMR Data'!$F:$F, MATCH(M55,'Processed Non-zero DMR Data'!$I:$I, 0)))</f>
        <v>36.983809999999998</v>
      </c>
      <c r="K55" s="9">
        <f>IF(L55&lt;&gt;"", INDEX('Processed Non-zero TRI Data'!$H:$H, MATCH(L55, 'Processed Non-zero TRI Data'!$I:$I,0)), INDEX('Processed Non-zero DMR Data'!$G:$G, MATCH(M55,'Processed Non-zero DMR Data'!$I:$I, 0)))</f>
        <v>-85.957089999999994</v>
      </c>
      <c r="L55" s="10"/>
      <c r="M55" s="259">
        <v>110001123276</v>
      </c>
      <c r="N55" s="9">
        <f>IF(L55&lt;&gt;"",INDEX('Processed Non-zero TRI Data'!L:L,MATCH('Facility Summary_Water'!L55,'Processed Non-zero TRI Data'!I:I,0)),INDEX('Processed Non-zero DMR Data'!$L:$L,MATCH('Facility Summary_Water'!M55,'Processed Non-zero DMR Data'!$I:$I,0)))</f>
        <v>221320</v>
      </c>
      <c r="O55" s="10" t="str">
        <f>INDEX('2017 - 2022 NAICS'!D:D,MATCH('Facility Summary_Water'!N55,'2017 - 2022 NAICS'!C:C,0))</f>
        <v>Sewage Treatment Facilities</v>
      </c>
      <c r="P55" s="10" t="str">
        <f>IFERROR(VLOOKUP(L55, 'Processed Non-zero TRI Data'!I:Q, 8, 0), "Direct")</f>
        <v>Direct</v>
      </c>
      <c r="Q55" s="10" t="e">
        <f>VLOOKUP(R55,#REF!, 2, FALSE)</f>
        <v>#REF!</v>
      </c>
      <c r="R55" s="10" t="str">
        <f>INDEX('Facility Discharge Summary'!D:D, MATCH('Facility Summary_Water'!M55, 'Facility Discharge Summary'!J:J,0))</f>
        <v>Waste Handling, Disposal and Treatment (POTW)</v>
      </c>
      <c r="S55" s="10" t="str">
        <f>INDEX('Processed Non-zero DMR Data'!T:T, MATCH('Facility Summary_Water'!M55, 'Processed Non-zero DMR Data'!I:I,0))</f>
        <v>POTW indicator in DMR</v>
      </c>
      <c r="T55" s="10" t="s">
        <v>72</v>
      </c>
      <c r="U55" s="9">
        <f>INDEX('TRI and DMR OES Summary'!D:D, MATCH('Facility Summary_Water'!R55,'TRI and DMR OES Summary'!A:A,0))</f>
        <v>365</v>
      </c>
      <c r="V55" s="258">
        <f>INDEX('Facility Discharge Summary'!AR:AR,MATCH('Facility Summary_Water'!M55,'Facility Discharge Summary'!J:J,0))</f>
        <v>0</v>
      </c>
      <c r="W55" s="258">
        <f>INDEX('Facility Discharge Summary'!T:T,MATCH('Facility Summary_Water'!M55,'Facility Discharge Summary'!J:J,0))</f>
        <v>5.2014416250000002</v>
      </c>
    </row>
    <row r="56" spans="1:23" x14ac:dyDescent="0.25">
      <c r="A56" s="9">
        <v>55</v>
      </c>
      <c r="B56" s="10" t="str">
        <f>IF(COUNTIF('Processed Non-zero TRI Data'!J:J,'Facility Summary_Water'!M56)&gt;0, "TRI Form " &amp; INDEX('Processed Non-zero TRI Data'!K:K,MATCH('Facility Summary_Water'!M56,'Processed Non-zero TRI Data'!J:J,0)), "" )</f>
        <v/>
      </c>
      <c r="C56" s="10" t="str">
        <f>IF(COUNTIF('Processed Non-zero DMR Data'!I:I, 'Facility Summary_Water'!M56)&gt;0, "DMR", "")</f>
        <v>DMR</v>
      </c>
      <c r="D56" s="10"/>
      <c r="E56" s="10" t="s">
        <v>238</v>
      </c>
      <c r="F56" s="10"/>
      <c r="G56" s="10" t="s">
        <v>239</v>
      </c>
      <c r="H56" s="10" t="s">
        <v>146</v>
      </c>
      <c r="I56" s="10"/>
      <c r="J56" s="9">
        <f>IF(L56&lt;&gt;"", INDEX('Processed Non-zero TRI Data'!$G:$G, MATCH(L56, 'Processed Non-zero TRI Data'!$I:$I,0)), INDEX('Processed Non-zero DMR Data'!$F:$F, MATCH(M56,'Processed Non-zero DMR Data'!$I:$I, 0)))</f>
        <v>33.227348999999997</v>
      </c>
      <c r="K56" s="9">
        <f>IF(L56&lt;&gt;"", INDEX('Processed Non-zero TRI Data'!$H:$H, MATCH(L56, 'Processed Non-zero TRI Data'!$I:$I,0)), INDEX('Processed Non-zero DMR Data'!$G:$G, MATCH(M56,'Processed Non-zero DMR Data'!$I:$I, 0)))</f>
        <v>-115.528569</v>
      </c>
      <c r="L56" s="10"/>
      <c r="M56" s="259">
        <v>110001177958</v>
      </c>
      <c r="N56" s="9">
        <f>IF(L56&lt;&gt;"",INDEX('Processed Non-zero TRI Data'!L:L,MATCH('Facility Summary_Water'!L56,'Processed Non-zero TRI Data'!I:I,0)),INDEX('Processed Non-zero DMR Data'!$L:$L,MATCH('Facility Summary_Water'!M56,'Processed Non-zero DMR Data'!$I:$I,0)))</f>
        <v>221320</v>
      </c>
      <c r="O56" s="10" t="str">
        <f>INDEX('2017 - 2022 NAICS'!D:D,MATCH('Facility Summary_Water'!N56,'2017 - 2022 NAICS'!C:C,0))</f>
        <v>Sewage Treatment Facilities</v>
      </c>
      <c r="P56" s="10" t="str">
        <f>IFERROR(VLOOKUP(L56, 'Processed Non-zero TRI Data'!I:Q, 8, 0), "Direct")</f>
        <v>Direct</v>
      </c>
      <c r="Q56" s="10" t="e">
        <f>VLOOKUP(R56,#REF!, 2, FALSE)</f>
        <v>#REF!</v>
      </c>
      <c r="R56" s="10" t="str">
        <f>INDEX('Facility Discharge Summary'!D:D, MATCH('Facility Summary_Water'!M56, 'Facility Discharge Summary'!J:J,0))</f>
        <v>Waste Handling, Disposal and Treatment (POTW)</v>
      </c>
      <c r="S56" s="10" t="str">
        <f>INDEX('Processed Non-zero DMR Data'!T:T, MATCH('Facility Summary_Water'!M56, 'Processed Non-zero DMR Data'!I:I,0))</f>
        <v>POTW indicator in DMR</v>
      </c>
      <c r="T56" s="10" t="s">
        <v>72</v>
      </c>
      <c r="U56" s="9">
        <f>INDEX('TRI and DMR OES Summary'!D:D, MATCH('Facility Summary_Water'!R56,'TRI and DMR OES Summary'!A:A,0))</f>
        <v>365</v>
      </c>
      <c r="V56" s="258">
        <f>INDEX('Facility Discharge Summary'!AR:AR,MATCH('Facility Summary_Water'!M56,'Facility Discharge Summary'!J:J,0))</f>
        <v>0</v>
      </c>
      <c r="W56" s="258">
        <f>INDEX('Facility Discharge Summary'!T:T,MATCH('Facility Summary_Water'!M56,'Facility Discharge Summary'!J:J,0))</f>
        <v>3.5919649999999997E-2</v>
      </c>
    </row>
    <row r="57" spans="1:23" x14ac:dyDescent="0.25">
      <c r="A57" s="9">
        <v>56</v>
      </c>
      <c r="B57" s="10" t="str">
        <f>IF(COUNTIF('Processed Non-zero TRI Data'!J:J,'Facility Summary_Water'!M57)&gt;0, "TRI Form " &amp; INDEX('Processed Non-zero TRI Data'!K:K,MATCH('Facility Summary_Water'!M57,'Processed Non-zero TRI Data'!J:J,0)), "" )</f>
        <v/>
      </c>
      <c r="C57" s="10" t="str">
        <f>IF(COUNTIF('Processed Non-zero DMR Data'!I:I, 'Facility Summary_Water'!M57)&gt;0, "DMR", "")</f>
        <v>DMR</v>
      </c>
      <c r="D57" s="10"/>
      <c r="E57" s="10" t="s">
        <v>240</v>
      </c>
      <c r="F57" s="10"/>
      <c r="G57" s="10" t="s">
        <v>241</v>
      </c>
      <c r="H57" s="10" t="s">
        <v>114</v>
      </c>
      <c r="I57" s="10"/>
      <c r="J57" s="9">
        <f>IF(L57&lt;&gt;"", INDEX('Processed Non-zero TRI Data'!$G:$G, MATCH(L57, 'Processed Non-zero TRI Data'!$I:$I,0)), INDEX('Processed Non-zero DMR Data'!$F:$F, MATCH(M57,'Processed Non-zero DMR Data'!$I:$I, 0)))</f>
        <v>29.378699999999998</v>
      </c>
      <c r="K57" s="9">
        <f>IF(L57&lt;&gt;"", INDEX('Processed Non-zero TRI Data'!$H:$H, MATCH(L57, 'Processed Non-zero TRI Data'!$I:$I,0)), INDEX('Processed Non-zero DMR Data'!$G:$G, MATCH(M57,'Processed Non-zero DMR Data'!$I:$I, 0)))</f>
        <v>-98.551670000000001</v>
      </c>
      <c r="L57" s="10"/>
      <c r="M57" s="259">
        <v>110042004915</v>
      </c>
      <c r="N57" s="9">
        <f>IF(L57&lt;&gt;"",INDEX('Processed Non-zero TRI Data'!L:L,MATCH('Facility Summary_Water'!L57,'Processed Non-zero TRI Data'!I:I,0)),INDEX('Processed Non-zero DMR Data'!$L:$L,MATCH('Facility Summary_Water'!M57,'Processed Non-zero DMR Data'!$I:$I,0)))</f>
        <v>928110</v>
      </c>
      <c r="O57" s="10" t="str">
        <f>INDEX('2017 - 2022 NAICS'!D:D,MATCH('Facility Summary_Water'!N57,'2017 - 2022 NAICS'!C:C,0))</f>
        <v>National Security</v>
      </c>
      <c r="P57" s="10" t="str">
        <f>IFERROR(VLOOKUP(L57, 'Processed Non-zero TRI Data'!I:Q, 8, 0), "Direct")</f>
        <v>Direct</v>
      </c>
      <c r="Q57" s="10" t="e">
        <f>VLOOKUP(R57,#REF!, 2, FALSE)</f>
        <v>#REF!</v>
      </c>
      <c r="R57" s="10" t="str">
        <f>INDEX('Facility Discharge Summary'!D:D, MATCH('Facility Summary_Water'!M57, 'Facility Discharge Summary'!J:J,0))</f>
        <v>Unknown</v>
      </c>
      <c r="S57" s="10" t="str">
        <f>INDEX('Processed Non-zero DMR Data'!T:T, MATCH('Facility Summary_Water'!M57, 'Processed Non-zero DMR Data'!I:I,0))</f>
        <v>US Airforce Base; no OES to map to.</v>
      </c>
      <c r="T57" s="10" t="s">
        <v>72</v>
      </c>
      <c r="U57" s="9">
        <f>INDEX('TRI and DMR OES Summary'!D:D, MATCH('Facility Summary_Water'!R57,'TRI and DMR OES Summary'!A:A,0))</f>
        <v>250</v>
      </c>
      <c r="V57" s="258">
        <f>INDEX('Facility Discharge Summary'!AR:AR,MATCH('Facility Summary_Water'!M57,'Facility Discharge Summary'!J:J,0))</f>
        <v>0</v>
      </c>
      <c r="W57" s="258">
        <f>INDEX('Facility Discharge Summary'!T:T,MATCH('Facility Summary_Water'!M57,'Facility Discharge Summary'!J:J,0))</f>
        <v>3.6077092752499998E-2</v>
      </c>
    </row>
    <row r="58" spans="1:23" x14ac:dyDescent="0.25">
      <c r="A58" s="9">
        <v>57</v>
      </c>
      <c r="B58" s="10" t="str">
        <f>IF(COUNTIF('Processed Non-zero TRI Data'!J:J,'Facility Summary_Water'!M58)&gt;0, "TRI Form " &amp; INDEX('Processed Non-zero TRI Data'!K:K,MATCH('Facility Summary_Water'!M58,'Processed Non-zero TRI Data'!J:J,0)), "" )</f>
        <v/>
      </c>
      <c r="C58" s="10" t="str">
        <f>IF(COUNTIF('Processed Non-zero DMR Data'!I:I, 'Facility Summary_Water'!M58)&gt;0, "DMR", "")</f>
        <v>DMR</v>
      </c>
      <c r="D58" s="10"/>
      <c r="E58" s="10" t="s">
        <v>242</v>
      </c>
      <c r="F58" s="10"/>
      <c r="G58" s="10" t="s">
        <v>243</v>
      </c>
      <c r="H58" s="10" t="s">
        <v>138</v>
      </c>
      <c r="I58" s="10"/>
      <c r="J58" s="9">
        <f>IF(L58&lt;&gt;"", INDEX('Processed Non-zero TRI Data'!$G:$G, MATCH(L58, 'Processed Non-zero TRI Data'!$I:$I,0)), INDEX('Processed Non-zero DMR Data'!$F:$F, MATCH(M58,'Processed Non-zero DMR Data'!$I:$I, 0)))</f>
        <v>36.856732000000001</v>
      </c>
      <c r="K58" s="9">
        <f>IF(L58&lt;&gt;"", INDEX('Processed Non-zero TRI Data'!$H:$H, MATCH(L58, 'Processed Non-zero TRI Data'!$I:$I,0)), INDEX('Processed Non-zero DMR Data'!$G:$G, MATCH(M58,'Processed Non-zero DMR Data'!$I:$I, 0)))</f>
        <v>-86.889048000000003</v>
      </c>
      <c r="L58" s="10"/>
      <c r="M58" s="259">
        <v>110000736730</v>
      </c>
      <c r="N58" s="9">
        <f>IF(L58&lt;&gt;"",INDEX('Processed Non-zero TRI Data'!L:L,MATCH('Facility Summary_Water'!L58,'Processed Non-zero TRI Data'!I:I,0)),INDEX('Processed Non-zero DMR Data'!$L:$L,MATCH('Facility Summary_Water'!M58,'Processed Non-zero DMR Data'!$I:$I,0)))</f>
        <v>221320</v>
      </c>
      <c r="O58" s="10" t="str">
        <f>INDEX('2017 - 2022 NAICS'!D:D,MATCH('Facility Summary_Water'!N58,'2017 - 2022 NAICS'!C:C,0))</f>
        <v>Sewage Treatment Facilities</v>
      </c>
      <c r="P58" s="10" t="str">
        <f>IFERROR(VLOOKUP(L58, 'Processed Non-zero TRI Data'!I:Q, 8, 0), "Direct")</f>
        <v>Direct</v>
      </c>
      <c r="Q58" s="10" t="e">
        <f>VLOOKUP(R58,#REF!, 2, FALSE)</f>
        <v>#REF!</v>
      </c>
      <c r="R58" s="10" t="str">
        <f>INDEX('Facility Discharge Summary'!D:D, MATCH('Facility Summary_Water'!M58, 'Facility Discharge Summary'!J:J,0))</f>
        <v>Waste Handling, Disposal and Treatment (POTW)</v>
      </c>
      <c r="S58" s="10" t="str">
        <f>INDEX('Processed Non-zero DMR Data'!T:T, MATCH('Facility Summary_Water'!M58, 'Processed Non-zero DMR Data'!I:I,0))</f>
        <v>POTW indicator in DMR</v>
      </c>
      <c r="T58" s="10" t="s">
        <v>72</v>
      </c>
      <c r="U58" s="9">
        <f>INDEX('TRI and DMR OES Summary'!D:D, MATCH('Facility Summary_Water'!R58,'TRI and DMR OES Summary'!A:A,0))</f>
        <v>365</v>
      </c>
      <c r="V58" s="258">
        <f>INDEX('Facility Discharge Summary'!AR:AR,MATCH('Facility Summary_Water'!M58,'Facility Discharge Summary'!J:J,0))</f>
        <v>0</v>
      </c>
      <c r="W58" s="258">
        <f>INDEX('Facility Discharge Summary'!T:T,MATCH('Facility Summary_Water'!M58,'Facility Discharge Summary'!J:J,0))</f>
        <v>1.4202077</v>
      </c>
    </row>
    <row r="59" spans="1:23" x14ac:dyDescent="0.25">
      <c r="A59" s="9">
        <v>58</v>
      </c>
      <c r="B59" s="10" t="str">
        <f>IF(COUNTIF('Processed Non-zero TRI Data'!J:J,'Facility Summary_Water'!M59)&gt;0, "TRI Form " &amp; INDEX('Processed Non-zero TRI Data'!K:K,MATCH('Facility Summary_Water'!M59,'Processed Non-zero TRI Data'!J:J,0)), "" )</f>
        <v/>
      </c>
      <c r="C59" s="10" t="str">
        <f>IF(COUNTIF('Processed Non-zero DMR Data'!I:I, 'Facility Summary_Water'!M59)&gt;0, "DMR", "")</f>
        <v>DMR</v>
      </c>
      <c r="D59" s="10"/>
      <c r="E59" s="10" t="s">
        <v>244</v>
      </c>
      <c r="F59" s="10"/>
      <c r="G59" s="10" t="s">
        <v>245</v>
      </c>
      <c r="H59" s="10" t="s">
        <v>138</v>
      </c>
      <c r="I59" s="10"/>
      <c r="J59" s="9">
        <f>IF(L59&lt;&gt;"", INDEX('Processed Non-zero TRI Data'!$G:$G, MATCH(L59, 'Processed Non-zero TRI Data'!$I:$I,0)), INDEX('Processed Non-zero DMR Data'!$F:$F, MATCH(M59,'Processed Non-zero DMR Data'!$I:$I, 0)))</f>
        <v>37.304611999999999</v>
      </c>
      <c r="K59" s="9">
        <f>IF(L59&lt;&gt;"", INDEX('Processed Non-zero TRI Data'!$H:$H, MATCH(L59, 'Processed Non-zero TRI Data'!$I:$I,0)), INDEX('Processed Non-zero DMR Data'!$G:$G, MATCH(M59,'Processed Non-zero DMR Data'!$I:$I, 0)))</f>
        <v>-87.145292999999995</v>
      </c>
      <c r="L59" s="10"/>
      <c r="M59" s="259">
        <v>110064265496</v>
      </c>
      <c r="N59" s="9">
        <f>IF(L59&lt;&gt;"",INDEX('Processed Non-zero TRI Data'!L:L,MATCH('Facility Summary_Water'!L59,'Processed Non-zero TRI Data'!I:I,0)),INDEX('Processed Non-zero DMR Data'!$L:$L,MATCH('Facility Summary_Water'!M59,'Processed Non-zero DMR Data'!$I:$I,0)))</f>
        <v>221320</v>
      </c>
      <c r="O59" s="10" t="str">
        <f>INDEX('2017 - 2022 NAICS'!D:D,MATCH('Facility Summary_Water'!N59,'2017 - 2022 NAICS'!C:C,0))</f>
        <v>Sewage Treatment Facilities</v>
      </c>
      <c r="P59" s="10" t="str">
        <f>IFERROR(VLOOKUP(L59, 'Processed Non-zero TRI Data'!I:Q, 8, 0), "Direct")</f>
        <v>Direct</v>
      </c>
      <c r="Q59" s="10" t="e">
        <f>VLOOKUP(R59,#REF!, 2, FALSE)</f>
        <v>#REF!</v>
      </c>
      <c r="R59" s="10" t="str">
        <f>INDEX('Facility Discharge Summary'!D:D, MATCH('Facility Summary_Water'!M59, 'Facility Discharge Summary'!J:J,0))</f>
        <v>Waste Handling, Disposal and Treatment (POTW)</v>
      </c>
      <c r="S59" s="10" t="str">
        <f>INDEX('Processed Non-zero DMR Data'!T:T, MATCH('Facility Summary_Water'!M59, 'Processed Non-zero DMR Data'!I:I,0))</f>
        <v>POTW indicator in DMR</v>
      </c>
      <c r="T59" s="10" t="s">
        <v>72</v>
      </c>
      <c r="U59" s="9">
        <f>INDEX('TRI and DMR OES Summary'!D:D, MATCH('Facility Summary_Water'!R59,'TRI and DMR OES Summary'!A:A,0))</f>
        <v>365</v>
      </c>
      <c r="V59" s="258">
        <f>INDEX('Facility Discharge Summary'!AR:AR,MATCH('Facility Summary_Water'!M59,'Facility Discharge Summary'!J:J,0))</f>
        <v>0</v>
      </c>
      <c r="W59" s="258">
        <f>INDEX('Facility Discharge Summary'!T:T,MATCH('Facility Summary_Water'!M59,'Facility Discharge Summary'!J:J,0))</f>
        <v>5.6711601250000001</v>
      </c>
    </row>
    <row r="60" spans="1:23" ht="30" x14ac:dyDescent="0.25">
      <c r="A60" s="9">
        <v>59</v>
      </c>
      <c r="B60" s="10" t="str">
        <f>IF(COUNTIF('Processed Non-zero TRI Data'!J:J,'Facility Summary_Water'!M60)&gt;0, "TRI Form " &amp; INDEX('Processed Non-zero TRI Data'!K:K,MATCH('Facility Summary_Water'!M60,'Processed Non-zero TRI Data'!J:J,0)), "" )</f>
        <v/>
      </c>
      <c r="C60" s="10" t="str">
        <f>IF(COUNTIF('Processed Non-zero DMR Data'!I:I, 'Facility Summary_Water'!M60)&gt;0, "DMR", "")</f>
        <v>DMR</v>
      </c>
      <c r="D60" s="10"/>
      <c r="E60" s="10" t="s">
        <v>246</v>
      </c>
      <c r="F60" s="10"/>
      <c r="G60" s="10" t="s">
        <v>194</v>
      </c>
      <c r="H60" s="10" t="s">
        <v>106</v>
      </c>
      <c r="I60" s="10"/>
      <c r="J60" s="9">
        <f>IF(L60&lt;&gt;"", INDEX('Processed Non-zero TRI Data'!$G:$G, MATCH(L60, 'Processed Non-zero TRI Data'!$I:$I,0)), INDEX('Processed Non-zero DMR Data'!$F:$F, MATCH(M60,'Processed Non-zero DMR Data'!$I:$I, 0)))</f>
        <v>30.241299999999999</v>
      </c>
      <c r="K60" s="9">
        <f>IF(L60&lt;&gt;"", INDEX('Processed Non-zero TRI Data'!$H:$H, MATCH(L60, 'Processed Non-zero TRI Data'!$I:$I,0)), INDEX('Processed Non-zero DMR Data'!$G:$G, MATCH(M60,'Processed Non-zero DMR Data'!$I:$I, 0)))</f>
        <v>-91.100899999999996</v>
      </c>
      <c r="L60" s="10"/>
      <c r="M60" s="259">
        <v>110000597426</v>
      </c>
      <c r="N60" s="9">
        <f>IF(L60&lt;&gt;"",INDEX('Processed Non-zero TRI Data'!L:L,MATCH('Facility Summary_Water'!L60,'Processed Non-zero TRI Data'!I:I,0)),INDEX('Processed Non-zero DMR Data'!$L:$L,MATCH('Facility Summary_Water'!M60,'Processed Non-zero DMR Data'!$I:$I,0)))</f>
        <v>211130</v>
      </c>
      <c r="O60" s="10" t="str">
        <f>INDEX('2017 - 2022 NAICS'!D:D,MATCH('Facility Summary_Water'!N60,'2017 - 2022 NAICS'!C:C,0))</f>
        <v>Natural Gas Extraction</v>
      </c>
      <c r="P60" s="10" t="str">
        <f>IFERROR(VLOOKUP(L60, 'Processed Non-zero TRI Data'!I:Q, 8, 0), "Direct")</f>
        <v>Direct</v>
      </c>
      <c r="Q60" s="10" t="e">
        <f>VLOOKUP(R60,#REF!, 2, FALSE)</f>
        <v>#REF!</v>
      </c>
      <c r="R60" s="10" t="str">
        <f>INDEX('Facility Discharge Summary'!D:D, MATCH('Facility Summary_Water'!M60, 'Facility Discharge Summary'!J:J,0))</f>
        <v>Processing as a reactant</v>
      </c>
      <c r="S60" s="10" t="str">
        <f>INDEX('Processed Non-zero DMR Data'!T:T, MATCH('Facility Summary_Water'!M60, 'Processed Non-zero DMR Data'!I:I,0))</f>
        <v>Agricultural chemical manufacturer; assumed processing as a reactant.</v>
      </c>
      <c r="T60" s="10" t="s">
        <v>72</v>
      </c>
      <c r="U60" s="9">
        <f>INDEX('TRI and DMR OES Summary'!D:D, MATCH('Facility Summary_Water'!R60,'TRI and DMR OES Summary'!A:A,0))</f>
        <v>350</v>
      </c>
      <c r="V60" s="258">
        <f>INDEX('Facility Discharge Summary'!AR:AR,MATCH('Facility Summary_Water'!M60,'Facility Discharge Summary'!J:J,0))</f>
        <v>0</v>
      </c>
      <c r="W60" s="258">
        <f>INDEX('Facility Discharge Summary'!T:T,MATCH('Facility Summary_Water'!M60,'Facility Discharge Summary'!J:J,0))</f>
        <v>0.82855000000000001</v>
      </c>
    </row>
    <row r="61" spans="1:23" x14ac:dyDescent="0.25">
      <c r="A61" s="9">
        <v>60</v>
      </c>
      <c r="B61" s="10" t="str">
        <f>IF(COUNTIF('Processed Non-zero TRI Data'!J:J,'Facility Summary_Water'!M61)&gt;0, "TRI Form " &amp; INDEX('Processed Non-zero TRI Data'!K:K,MATCH('Facility Summary_Water'!M61,'Processed Non-zero TRI Data'!J:J,0)), "" )</f>
        <v/>
      </c>
      <c r="C61" s="10" t="str">
        <f>IF(COUNTIF('Processed Non-zero DMR Data'!I:I, 'Facility Summary_Water'!M61)&gt;0, "DMR", "")</f>
        <v>DMR</v>
      </c>
      <c r="D61" s="10"/>
      <c r="E61" s="10" t="s">
        <v>247</v>
      </c>
      <c r="F61" s="10"/>
      <c r="G61" s="10" t="s">
        <v>235</v>
      </c>
      <c r="H61" s="10" t="s">
        <v>138</v>
      </c>
      <c r="I61" s="10"/>
      <c r="J61" s="9">
        <f>IF(L61&lt;&gt;"", INDEX('Processed Non-zero TRI Data'!$G:$G, MATCH(L61, 'Processed Non-zero TRI Data'!$I:$I,0)), INDEX('Processed Non-zero DMR Data'!$F:$F, MATCH(M61,'Processed Non-zero DMR Data'!$I:$I, 0)))</f>
        <v>38.122354000000001</v>
      </c>
      <c r="K61" s="9">
        <f>IF(L61&lt;&gt;"", INDEX('Processed Non-zero TRI Data'!$H:$H, MATCH(L61, 'Processed Non-zero TRI Data'!$I:$I,0)), INDEX('Processed Non-zero DMR Data'!$G:$G, MATCH(M61,'Processed Non-zero DMR Data'!$I:$I, 0)))</f>
        <v>-85.587648000000002</v>
      </c>
      <c r="L61" s="10"/>
      <c r="M61" s="259">
        <v>110043485421</v>
      </c>
      <c r="N61" s="9">
        <f>IF(L61&lt;&gt;"",INDEX('Processed Non-zero TRI Data'!L:L,MATCH('Facility Summary_Water'!L61,'Processed Non-zero TRI Data'!I:I,0)),INDEX('Processed Non-zero DMR Data'!$L:$L,MATCH('Facility Summary_Water'!M61,'Processed Non-zero DMR Data'!$I:$I,0)))</f>
        <v>221320</v>
      </c>
      <c r="O61" s="10" t="str">
        <f>INDEX('2017 - 2022 NAICS'!D:D,MATCH('Facility Summary_Water'!N61,'2017 - 2022 NAICS'!C:C,0))</f>
        <v>Sewage Treatment Facilities</v>
      </c>
      <c r="P61" s="10" t="str">
        <f>IFERROR(VLOOKUP(L61, 'Processed Non-zero TRI Data'!I:Q, 8, 0), "Direct")</f>
        <v>Direct</v>
      </c>
      <c r="Q61" s="10" t="e">
        <f>VLOOKUP(R61,#REF!, 2, FALSE)</f>
        <v>#REF!</v>
      </c>
      <c r="R61" s="10" t="str">
        <f>INDEX('Facility Discharge Summary'!D:D, MATCH('Facility Summary_Water'!M61, 'Facility Discharge Summary'!J:J,0))</f>
        <v>Waste Handling, Disposal and Treatment (POTW)</v>
      </c>
      <c r="S61" s="10" t="str">
        <f>INDEX('Processed Non-zero DMR Data'!T:T, MATCH('Facility Summary_Water'!M61, 'Processed Non-zero DMR Data'!I:I,0))</f>
        <v>POTW indicator in DMR</v>
      </c>
      <c r="T61" s="10" t="s">
        <v>72</v>
      </c>
      <c r="U61" s="9">
        <f>INDEX('TRI and DMR OES Summary'!D:D, MATCH('Facility Summary_Water'!R61,'TRI and DMR OES Summary'!A:A,0))</f>
        <v>365</v>
      </c>
      <c r="V61" s="258">
        <f>INDEX('Facility Discharge Summary'!AR:AR,MATCH('Facility Summary_Water'!M61,'Facility Discharge Summary'!J:J,0))</f>
        <v>0</v>
      </c>
      <c r="W61" s="258">
        <f>INDEX('Facility Discharge Summary'!T:T,MATCH('Facility Summary_Water'!M61,'Facility Discharge Summary'!J:J,0))</f>
        <v>27.7651986875</v>
      </c>
    </row>
    <row r="62" spans="1:23" ht="45" x14ac:dyDescent="0.25">
      <c r="A62" s="9">
        <v>61</v>
      </c>
      <c r="B62" s="10" t="str">
        <f>IF(COUNTIF('Processed Non-zero TRI Data'!J:J,'Facility Summary_Water'!M62)&gt;0, "TRI Form " &amp; INDEX('Processed Non-zero TRI Data'!K:K,MATCH('Facility Summary_Water'!M62,'Processed Non-zero TRI Data'!J:J,0)), "" )</f>
        <v/>
      </c>
      <c r="C62" s="10" t="str">
        <f>IF(COUNTIF('Processed Non-zero DMR Data'!I:I, 'Facility Summary_Water'!M62)&gt;0, "DMR", "")</f>
        <v>DMR</v>
      </c>
      <c r="D62" s="10"/>
      <c r="E62" s="10" t="s">
        <v>248</v>
      </c>
      <c r="F62" s="10"/>
      <c r="G62" s="10" t="s">
        <v>249</v>
      </c>
      <c r="H62" s="10" t="s">
        <v>250</v>
      </c>
      <c r="I62" s="10"/>
      <c r="J62" s="9">
        <f>IF(L62&lt;&gt;"", INDEX('Processed Non-zero TRI Data'!$G:$G, MATCH(L62, 'Processed Non-zero TRI Data'!$I:$I,0)), INDEX('Processed Non-zero DMR Data'!$F:$F, MATCH(M62,'Processed Non-zero DMR Data'!$I:$I, 0)))</f>
        <v>43.197788000000003</v>
      </c>
      <c r="K62" s="9">
        <f>IF(L62&lt;&gt;"", INDEX('Processed Non-zero TRI Data'!$H:$H, MATCH(L62, 'Processed Non-zero TRI Data'!$I:$I,0)), INDEX('Processed Non-zero DMR Data'!$G:$G, MATCH(M62,'Processed Non-zero DMR Data'!$I:$I, 0)))</f>
        <v>-77.629835999999997</v>
      </c>
      <c r="L62" s="10"/>
      <c r="M62" s="259">
        <v>110000492173</v>
      </c>
      <c r="N62" s="9">
        <f>IF(L62&lt;&gt;"",INDEX('Processed Non-zero TRI Data'!L:L,MATCH('Facility Summary_Water'!L62,'Processed Non-zero TRI Data'!I:I,0)),INDEX('Processed Non-zero DMR Data'!$L:$L,MATCH('Facility Summary_Water'!M62,'Processed Non-zero DMR Data'!$I:$I,0)))</f>
        <v>325992</v>
      </c>
      <c r="O62" s="10" t="str">
        <f>INDEX('2017 - 2022 NAICS'!D:D,MATCH('Facility Summary_Water'!N62,'2017 - 2022 NAICS'!C:C,0))</f>
        <v>Photographic Film, Paper, Plate, Chemical, and Copy Toner Manufacturing</v>
      </c>
      <c r="P62" s="10" t="str">
        <f>IFERROR(VLOOKUP(L62, 'Processed Non-zero TRI Data'!I:Q, 8, 0), "Direct")</f>
        <v>Direct</v>
      </c>
      <c r="Q62" s="10" t="e">
        <f>VLOOKUP(R62,#REF!, 2, FALSE)</f>
        <v>#REF!</v>
      </c>
      <c r="R62" s="10" t="str">
        <f>INDEX('Facility Discharge Summary'!D:D, MATCH('Facility Summary_Water'!M62, 'Facility Discharge Summary'!J:J,0))</f>
        <v>Processing Aid</v>
      </c>
      <c r="S62" s="10" t="str">
        <f>INDEX('Processed Non-zero DMR Data'!T:T, MATCH('Facility Summary_Water'!M62, 'Processed Non-zero DMR Data'!I:I,0))</f>
        <v>Kodak potentially uses 1,2-dichloropropane as a paper sizing agent similar to Solenis which would fall under processing aid.</v>
      </c>
      <c r="T62" s="10" t="s">
        <v>72</v>
      </c>
      <c r="U62" s="9">
        <f>INDEX('TRI and DMR OES Summary'!D:D, MATCH('Facility Summary_Water'!R62,'TRI and DMR OES Summary'!A:A,0))</f>
        <v>300</v>
      </c>
      <c r="V62" s="258">
        <f>INDEX('Facility Discharge Summary'!AR:AR,MATCH('Facility Summary_Water'!M62,'Facility Discharge Summary'!J:J,0))</f>
        <v>0</v>
      </c>
      <c r="W62" s="258">
        <f>INDEX('Facility Discharge Summary'!T:T,MATCH('Facility Summary_Water'!M62,'Facility Discharge Summary'!J:J,0))</f>
        <v>4.2712320000000004</v>
      </c>
    </row>
    <row r="63" spans="1:23" x14ac:dyDescent="0.25">
      <c r="A63" s="9">
        <v>62</v>
      </c>
      <c r="B63" s="10" t="str">
        <f>IF(COUNTIF('Processed Non-zero TRI Data'!J:J,'Facility Summary_Water'!M63)&gt;0, "TRI Form " &amp; INDEX('Processed Non-zero TRI Data'!K:K,MATCH('Facility Summary_Water'!M63,'Processed Non-zero TRI Data'!J:J,0)), "" )</f>
        <v/>
      </c>
      <c r="C63" s="10" t="str">
        <f>IF(COUNTIF('Processed Non-zero DMR Data'!I:I, 'Facility Summary_Water'!M63)&gt;0, "DMR", "")</f>
        <v>DMR</v>
      </c>
      <c r="D63" s="10"/>
      <c r="E63" s="10" t="s">
        <v>251</v>
      </c>
      <c r="F63" s="10"/>
      <c r="G63" s="10" t="s">
        <v>252</v>
      </c>
      <c r="H63" s="10" t="s">
        <v>138</v>
      </c>
      <c r="I63" s="10"/>
      <c r="J63" s="9">
        <f>IF(L63&lt;&gt;"", INDEX('Processed Non-zero TRI Data'!$G:$G, MATCH(L63, 'Processed Non-zero TRI Data'!$I:$I,0)), INDEX('Processed Non-zero DMR Data'!$F:$F, MATCH(M63,'Processed Non-zero DMR Data'!$I:$I, 0)))</f>
        <v>36.946111000000002</v>
      </c>
      <c r="K63" s="9">
        <f>IF(L63&lt;&gt;"", INDEX('Processed Non-zero TRI Data'!$H:$H, MATCH(L63, 'Processed Non-zero TRI Data'!$I:$I,0)), INDEX('Processed Non-zero DMR Data'!$G:$G, MATCH(M63,'Processed Non-zero DMR Data'!$I:$I, 0)))</f>
        <v>-85.020832999999996</v>
      </c>
      <c r="L63" s="10"/>
      <c r="M63" s="259">
        <v>110000719045</v>
      </c>
      <c r="N63" s="9">
        <f>IF(L63&lt;&gt;"",INDEX('Processed Non-zero TRI Data'!L:L,MATCH('Facility Summary_Water'!L63,'Processed Non-zero TRI Data'!I:I,0)),INDEX('Processed Non-zero DMR Data'!$L:$L,MATCH('Facility Summary_Water'!M63,'Processed Non-zero DMR Data'!$I:$I,0)))</f>
        <v>221320</v>
      </c>
      <c r="O63" s="10" t="str">
        <f>INDEX('2017 - 2022 NAICS'!D:D,MATCH('Facility Summary_Water'!N63,'2017 - 2022 NAICS'!C:C,0))</f>
        <v>Sewage Treatment Facilities</v>
      </c>
      <c r="P63" s="10" t="str">
        <f>IFERROR(VLOOKUP(L63, 'Processed Non-zero TRI Data'!I:Q, 8, 0), "Direct")</f>
        <v>Direct</v>
      </c>
      <c r="Q63" s="10" t="e">
        <f>VLOOKUP(R63,#REF!, 2, FALSE)</f>
        <v>#REF!</v>
      </c>
      <c r="R63" s="10" t="str">
        <f>INDEX('Facility Discharge Summary'!D:D, MATCH('Facility Summary_Water'!M63, 'Facility Discharge Summary'!J:J,0))</f>
        <v>Waste Handling, Disposal and Treatment (POTW)</v>
      </c>
      <c r="S63" s="10" t="str">
        <f>INDEX('Processed Non-zero DMR Data'!T:T, MATCH('Facility Summary_Water'!M63, 'Processed Non-zero DMR Data'!I:I,0))</f>
        <v>POTW indicator in DMR</v>
      </c>
      <c r="T63" s="10" t="s">
        <v>72</v>
      </c>
      <c r="U63" s="9">
        <f>INDEX('TRI and DMR OES Summary'!D:D, MATCH('Facility Summary_Water'!R63,'TRI and DMR OES Summary'!A:A,0))</f>
        <v>365</v>
      </c>
      <c r="V63" s="258">
        <f>INDEX('Facility Discharge Summary'!AR:AR,MATCH('Facility Summary_Water'!M63,'Facility Discharge Summary'!J:J,0))</f>
        <v>0</v>
      </c>
      <c r="W63" s="258">
        <f>INDEX('Facility Discharge Summary'!T:T,MATCH('Facility Summary_Water'!M63,'Facility Discharge Summary'!J:J,0))</f>
        <v>0.69628860000000004</v>
      </c>
    </row>
    <row r="64" spans="1:23" x14ac:dyDescent="0.25">
      <c r="A64" s="9">
        <v>63</v>
      </c>
      <c r="B64" s="10" t="str">
        <f>IF(COUNTIF('Processed Non-zero TRI Data'!J:J,'Facility Summary_Water'!M64)&gt;0, "TRI Form " &amp; INDEX('Processed Non-zero TRI Data'!K:K,MATCH('Facility Summary_Water'!M64,'Processed Non-zero TRI Data'!J:J,0)), "" )</f>
        <v/>
      </c>
      <c r="C64" s="10" t="str">
        <f>IF(COUNTIF('Processed Non-zero DMR Data'!I:I, 'Facility Summary_Water'!M64)&gt;0, "DMR", "")</f>
        <v>DMR</v>
      </c>
      <c r="D64" s="10"/>
      <c r="E64" s="10" t="s">
        <v>253</v>
      </c>
      <c r="F64" s="10"/>
      <c r="G64" s="10" t="s">
        <v>254</v>
      </c>
      <c r="H64" s="10" t="s">
        <v>138</v>
      </c>
      <c r="I64" s="10"/>
      <c r="J64" s="9">
        <f>IF(L64&lt;&gt;"", INDEX('Processed Non-zero TRI Data'!$G:$G, MATCH(L64, 'Processed Non-zero TRI Data'!$I:$I,0)), INDEX('Processed Non-zero DMR Data'!$F:$F, MATCH(M64,'Processed Non-zero DMR Data'!$I:$I, 0)))</f>
        <v>36.864350000000002</v>
      </c>
      <c r="K64" s="9">
        <f>IF(L64&lt;&gt;"", INDEX('Processed Non-zero TRI Data'!$H:$H, MATCH(L64, 'Processed Non-zero TRI Data'!$I:$I,0)), INDEX('Processed Non-zero DMR Data'!$G:$G, MATCH(M64,'Processed Non-zero DMR Data'!$I:$I, 0)))</f>
        <v>-86.705910000000003</v>
      </c>
      <c r="L64" s="10"/>
      <c r="M64" s="259">
        <v>110003250277</v>
      </c>
      <c r="N64" s="9">
        <f>IF(L64&lt;&gt;"",INDEX('Processed Non-zero TRI Data'!L:L,MATCH('Facility Summary_Water'!L64,'Processed Non-zero TRI Data'!I:I,0)),INDEX('Processed Non-zero DMR Data'!$L:$L,MATCH('Facility Summary_Water'!M64,'Processed Non-zero DMR Data'!$I:$I,0)))</f>
        <v>221320</v>
      </c>
      <c r="O64" s="10" t="str">
        <f>INDEX('2017 - 2022 NAICS'!D:D,MATCH('Facility Summary_Water'!N64,'2017 - 2022 NAICS'!C:C,0))</f>
        <v>Sewage Treatment Facilities</v>
      </c>
      <c r="P64" s="10" t="str">
        <f>IFERROR(VLOOKUP(L64, 'Processed Non-zero TRI Data'!I:Q, 8, 0), "Direct")</f>
        <v>Direct</v>
      </c>
      <c r="Q64" s="10" t="e">
        <f>VLOOKUP(R64,#REF!, 2, FALSE)</f>
        <v>#REF!</v>
      </c>
      <c r="R64" s="10" t="str">
        <f>INDEX('Facility Discharge Summary'!D:D, MATCH('Facility Summary_Water'!M64, 'Facility Discharge Summary'!J:J,0))</f>
        <v>Waste Handling, Disposal and Treatment (POTW)</v>
      </c>
      <c r="S64" s="10" t="str">
        <f>INDEX('Processed Non-zero DMR Data'!T:T, MATCH('Facility Summary_Water'!M64, 'Processed Non-zero DMR Data'!I:I,0))</f>
        <v>POTW indicator in DMR</v>
      </c>
      <c r="T64" s="10" t="s">
        <v>72</v>
      </c>
      <c r="U64" s="9">
        <f>INDEX('TRI and DMR OES Summary'!D:D, MATCH('Facility Summary_Water'!R64,'TRI and DMR OES Summary'!A:A,0))</f>
        <v>365</v>
      </c>
      <c r="V64" s="258">
        <f>INDEX('Facility Discharge Summary'!AR:AR,MATCH('Facility Summary_Water'!M64,'Facility Discharge Summary'!J:J,0))</f>
        <v>0</v>
      </c>
      <c r="W64" s="258">
        <f>INDEX('Facility Discharge Summary'!T:T,MATCH('Facility Summary_Water'!M64,'Facility Discharge Summary'!J:J,0))</f>
        <v>0.22104399999999999</v>
      </c>
    </row>
    <row r="65" spans="1:23" ht="30" x14ac:dyDescent="0.25">
      <c r="A65" s="9">
        <v>64</v>
      </c>
      <c r="B65" s="10" t="str">
        <f>IF(COUNTIF('Processed Non-zero TRI Data'!J:J,'Facility Summary_Water'!M65)&gt;0, "TRI Form " &amp; INDEX('Processed Non-zero TRI Data'!K:K,MATCH('Facility Summary_Water'!M65,'Processed Non-zero TRI Data'!J:J,0)), "" )</f>
        <v/>
      </c>
      <c r="C65" s="10" t="str">
        <f>IF(COUNTIF('Processed Non-zero DMR Data'!I:I, 'Facility Summary_Water'!M65)&gt;0, "DMR", "")</f>
        <v>DMR</v>
      </c>
      <c r="D65" s="10"/>
      <c r="E65" s="10" t="s">
        <v>255</v>
      </c>
      <c r="F65" s="10"/>
      <c r="G65" s="10" t="s">
        <v>256</v>
      </c>
      <c r="H65" s="10" t="s">
        <v>141</v>
      </c>
      <c r="I65" s="10"/>
      <c r="J65" s="9">
        <f>IF(L65&lt;&gt;"", INDEX('Processed Non-zero TRI Data'!$G:$G, MATCH(L65, 'Processed Non-zero TRI Data'!$I:$I,0)), INDEX('Processed Non-zero DMR Data'!$F:$F, MATCH(M65,'Processed Non-zero DMR Data'!$I:$I, 0)))</f>
        <v>39.795811999999998</v>
      </c>
      <c r="K65" s="9">
        <f>IF(L65&lt;&gt;"", INDEX('Processed Non-zero TRI Data'!$H:$H, MATCH(L65, 'Processed Non-zero TRI Data'!$I:$I,0)), INDEX('Processed Non-zero DMR Data'!$G:$G, MATCH(M65,'Processed Non-zero DMR Data'!$I:$I, 0)))</f>
        <v>-88.347945999999993</v>
      </c>
      <c r="L65" s="10"/>
      <c r="M65" s="259">
        <v>110000746211</v>
      </c>
      <c r="N65" s="9">
        <f>IF(L65&lt;&gt;"",INDEX('Processed Non-zero TRI Data'!L:L,MATCH('Facility Summary_Water'!L65,'Processed Non-zero TRI Data'!I:I,0)),INDEX('Processed Non-zero DMR Data'!$L:$L,MATCH('Facility Summary_Water'!M65,'Processed Non-zero DMR Data'!$I:$I,0)))</f>
        <v>325110</v>
      </c>
      <c r="O65" s="10" t="str">
        <f>INDEX('2017 - 2022 NAICS'!D:D,MATCH('Facility Summary_Water'!N65,'2017 - 2022 NAICS'!C:C,0))</f>
        <v>Petrochemical Manufacturing</v>
      </c>
      <c r="P65" s="10" t="str">
        <f>IFERROR(VLOOKUP(L65, 'Processed Non-zero TRI Data'!I:Q, 8, 0), "Direct")</f>
        <v>Direct</v>
      </c>
      <c r="Q65" s="10" t="e">
        <f>VLOOKUP(R65,#REF!, 2, FALSE)</f>
        <v>#REF!</v>
      </c>
      <c r="R65" s="10" t="str">
        <f>INDEX('Facility Discharge Summary'!D:D, MATCH('Facility Summary_Water'!M65, 'Facility Discharge Summary'!J:J,0))</f>
        <v>Processing as a reactant</v>
      </c>
      <c r="S65" s="10" t="str">
        <f>INDEX('Processed Non-zero DMR Data'!T:T, MATCH('Facility Summary_Water'!M65, 'Processed Non-zero DMR Data'!I:I,0))</f>
        <v>Assumed processing as a reactant based on SIC and NAICS; this also matches 1,1,-DCA mapping.</v>
      </c>
      <c r="T65" s="10" t="s">
        <v>72</v>
      </c>
      <c r="U65" s="9">
        <f>INDEX('TRI and DMR OES Summary'!D:D, MATCH('Facility Summary_Water'!R65,'TRI and DMR OES Summary'!A:A,0))</f>
        <v>350</v>
      </c>
      <c r="V65" s="258">
        <f>INDEX('Facility Discharge Summary'!AR:AR,MATCH('Facility Summary_Water'!M65,'Facility Discharge Summary'!J:J,0))</f>
        <v>0</v>
      </c>
      <c r="W65" s="258">
        <f>INDEX('Facility Discharge Summary'!T:T,MATCH('Facility Summary_Water'!M65,'Facility Discharge Summary'!J:J,0))</f>
        <v>7.0363015384615304</v>
      </c>
    </row>
    <row r="66" spans="1:23" ht="45" x14ac:dyDescent="0.25">
      <c r="A66" s="9">
        <v>65</v>
      </c>
      <c r="B66" s="10" t="str">
        <f>IF(COUNTIF('Processed Non-zero TRI Data'!J:J,'Facility Summary_Water'!M66)&gt;0, "TRI Form " &amp; INDEX('Processed Non-zero TRI Data'!K:K,MATCH('Facility Summary_Water'!M66,'Processed Non-zero TRI Data'!J:J,0)), "" )</f>
        <v/>
      </c>
      <c r="C66" s="10" t="str">
        <f>IF(COUNTIF('Processed Non-zero DMR Data'!I:I, 'Facility Summary_Water'!M66)&gt;0, "DMR", "")</f>
        <v>DMR</v>
      </c>
      <c r="D66" s="10"/>
      <c r="E66" s="10" t="s">
        <v>257</v>
      </c>
      <c r="F66" s="10"/>
      <c r="G66" s="10" t="s">
        <v>258</v>
      </c>
      <c r="H66" s="10" t="s">
        <v>170</v>
      </c>
      <c r="I66" s="10"/>
      <c r="J66" s="9">
        <f>IF(L66&lt;&gt;"", INDEX('Processed Non-zero TRI Data'!$G:$G, MATCH(L66, 'Processed Non-zero TRI Data'!$I:$I,0)), INDEX('Processed Non-zero DMR Data'!$F:$F, MATCH(M66,'Processed Non-zero DMR Data'!$I:$I, 0)))</f>
        <v>39.683477000000003</v>
      </c>
      <c r="K66" s="9">
        <f>IF(L66&lt;&gt;"", INDEX('Processed Non-zero TRI Data'!$H:$H, MATCH(L66, 'Processed Non-zero TRI Data'!$I:$I,0)), INDEX('Processed Non-zero DMR Data'!$G:$G, MATCH(M66,'Processed Non-zero DMR Data'!$I:$I, 0)))</f>
        <v>-91.334682999999998</v>
      </c>
      <c r="L66" s="10"/>
      <c r="M66" s="259">
        <v>110000595981</v>
      </c>
      <c r="N66" s="9">
        <f>IF(L66&lt;&gt;"",INDEX('Processed Non-zero TRI Data'!L:L,MATCH('Facility Summary_Water'!L66,'Processed Non-zero TRI Data'!I:I,0)),INDEX('Processed Non-zero DMR Data'!$L:$L,MATCH('Facility Summary_Water'!M66,'Processed Non-zero DMR Data'!$I:$I,0)))</f>
        <v>327310</v>
      </c>
      <c r="O66" s="10" t="str">
        <f>INDEX('2017 - 2022 NAICS'!D:D,MATCH('Facility Summary_Water'!N66,'2017 - 2022 NAICS'!C:C,0))</f>
        <v>Cement Manufacturing</v>
      </c>
      <c r="P66" s="10" t="str">
        <f>IFERROR(VLOOKUP(L66, 'Processed Non-zero TRI Data'!I:Q, 8, 0), "Direct")</f>
        <v>Direct</v>
      </c>
      <c r="Q66" s="10" t="e">
        <f>VLOOKUP(R66,#REF!, 2, FALSE)</f>
        <v>#REF!</v>
      </c>
      <c r="R66" s="10" t="str">
        <f>INDEX('Facility Discharge Summary'!D:D, MATCH('Facility Summary_Water'!M66, 'Facility Discharge Summary'!J:J,0))</f>
        <v>Waste Handling, Disposal and Treatment (Incinerator)</v>
      </c>
      <c r="S66" s="10" t="str">
        <f>INDEX('Processed Non-zero DMR Data'!T:T, MATCH('Facility Summary_Water'!M66, 'Processed Non-zero DMR Data'!I:I,0))</f>
        <v>Recycling facility which processes waste through waste to fuel co-processing in cement manufacturing. Assumed disposal to incineration.</v>
      </c>
      <c r="T66" s="10" t="s">
        <v>72</v>
      </c>
      <c r="U66" s="9">
        <f>INDEX('TRI and DMR OES Summary'!D:D, MATCH('Facility Summary_Water'!R66,'TRI and DMR OES Summary'!A:A,0))</f>
        <v>250</v>
      </c>
      <c r="V66" s="258">
        <f>INDEX('Facility Discharge Summary'!AR:AR,MATCH('Facility Summary_Water'!M66,'Facility Discharge Summary'!J:J,0))</f>
        <v>0</v>
      </c>
      <c r="W66" s="258">
        <f>INDEX('Facility Discharge Summary'!T:T,MATCH('Facility Summary_Water'!M66,'Facility Discharge Summary'!J:J,0))</f>
        <v>0.92907556250000001</v>
      </c>
    </row>
    <row r="67" spans="1:23" x14ac:dyDescent="0.25">
      <c r="A67" s="9">
        <v>66</v>
      </c>
      <c r="B67" s="10" t="str">
        <f>IF(COUNTIF('Processed Non-zero TRI Data'!J:J,'Facility Summary_Water'!M67)&gt;0, "TRI Form " &amp; INDEX('Processed Non-zero TRI Data'!K:K,MATCH('Facility Summary_Water'!M67,'Processed Non-zero TRI Data'!J:J,0)), "" )</f>
        <v/>
      </c>
      <c r="C67" s="10" t="str">
        <f>IF(COUNTIF('Processed Non-zero DMR Data'!I:I, 'Facility Summary_Water'!M67)&gt;0, "DMR", "")</f>
        <v>DMR</v>
      </c>
      <c r="D67" s="10"/>
      <c r="E67" s="10" t="s">
        <v>259</v>
      </c>
      <c r="F67" s="10"/>
      <c r="G67" s="10" t="s">
        <v>260</v>
      </c>
      <c r="H67" s="10" t="s">
        <v>138</v>
      </c>
      <c r="I67" s="10"/>
      <c r="J67" s="9">
        <f>IF(L67&lt;&gt;"", INDEX('Processed Non-zero TRI Data'!$G:$G, MATCH(L67, 'Processed Non-zero TRI Data'!$I:$I,0)), INDEX('Processed Non-zero DMR Data'!$F:$F, MATCH(M67,'Processed Non-zero DMR Data'!$I:$I, 0)))</f>
        <v>36.803610999999997</v>
      </c>
      <c r="K67" s="9">
        <f>IF(L67&lt;&gt;"", INDEX('Processed Non-zero TRI Data'!$H:$H, MATCH(L67, 'Processed Non-zero TRI Data'!$I:$I,0)), INDEX('Processed Non-zero DMR Data'!$G:$G, MATCH(M67,'Processed Non-zero DMR Data'!$I:$I, 0)))</f>
        <v>-87.516389000000004</v>
      </c>
      <c r="L67" s="10"/>
      <c r="M67" s="259">
        <v>110039994897</v>
      </c>
      <c r="N67" s="9">
        <f>IF(L67&lt;&gt;"",INDEX('Processed Non-zero TRI Data'!L:L,MATCH('Facility Summary_Water'!L67,'Processed Non-zero TRI Data'!I:I,0)),INDEX('Processed Non-zero DMR Data'!$L:$L,MATCH('Facility Summary_Water'!M67,'Processed Non-zero DMR Data'!$I:$I,0)))</f>
        <v>221320</v>
      </c>
      <c r="O67" s="10" t="str">
        <f>INDEX('2017 - 2022 NAICS'!D:D,MATCH('Facility Summary_Water'!N67,'2017 - 2022 NAICS'!C:C,0))</f>
        <v>Sewage Treatment Facilities</v>
      </c>
      <c r="P67" s="10" t="str">
        <f>IFERROR(VLOOKUP(L67, 'Processed Non-zero TRI Data'!I:Q, 8, 0), "Direct")</f>
        <v>Direct</v>
      </c>
      <c r="Q67" s="10" t="e">
        <f>VLOOKUP(R67,#REF!, 2, FALSE)</f>
        <v>#REF!</v>
      </c>
      <c r="R67" s="10" t="str">
        <f>INDEX('Facility Discharge Summary'!D:D, MATCH('Facility Summary_Water'!M67, 'Facility Discharge Summary'!J:J,0))</f>
        <v>Waste Handling, Disposal and Treatment (POTW)</v>
      </c>
      <c r="S67" s="10" t="str">
        <f>INDEX('Processed Non-zero DMR Data'!T:T, MATCH('Facility Summary_Water'!M67, 'Processed Non-zero DMR Data'!I:I,0))</f>
        <v>POTW indicator in DMR</v>
      </c>
      <c r="T67" s="10" t="s">
        <v>72</v>
      </c>
      <c r="U67" s="9">
        <f>INDEX('TRI and DMR OES Summary'!D:D, MATCH('Facility Summary_Water'!R67,'TRI and DMR OES Summary'!A:A,0))</f>
        <v>365</v>
      </c>
      <c r="V67" s="258">
        <f>INDEX('Facility Discharge Summary'!AR:AR,MATCH('Facility Summary_Water'!M67,'Facility Discharge Summary'!J:J,0))</f>
        <v>0</v>
      </c>
      <c r="W67" s="258">
        <f>INDEX('Facility Discharge Summary'!T:T,MATCH('Facility Summary_Water'!M67,'Facility Discharge Summary'!J:J,0))</f>
        <v>13.0519574375</v>
      </c>
    </row>
    <row r="68" spans="1:23" x14ac:dyDescent="0.25">
      <c r="A68" s="9">
        <v>67</v>
      </c>
      <c r="B68" s="10" t="str">
        <f>IF(COUNTIF('Processed Non-zero TRI Data'!J:J,'Facility Summary_Water'!M68)&gt;0, "TRI Form " &amp; INDEX('Processed Non-zero TRI Data'!K:K,MATCH('Facility Summary_Water'!M68,'Processed Non-zero TRI Data'!J:J,0)), "" )</f>
        <v/>
      </c>
      <c r="C68" s="10" t="str">
        <f>IF(COUNTIF('Processed Non-zero DMR Data'!I:I, 'Facility Summary_Water'!M68)&gt;0, "DMR", "")</f>
        <v>DMR</v>
      </c>
      <c r="D68" s="10"/>
      <c r="E68" s="10" t="s">
        <v>261</v>
      </c>
      <c r="F68" s="10"/>
      <c r="G68" s="10" t="s">
        <v>262</v>
      </c>
      <c r="H68" s="10" t="s">
        <v>138</v>
      </c>
      <c r="I68" s="10"/>
      <c r="J68" s="9">
        <f>IF(L68&lt;&gt;"", INDEX('Processed Non-zero TRI Data'!$G:$G, MATCH(L68, 'Processed Non-zero TRI Data'!$I:$I,0)), INDEX('Processed Non-zero DMR Data'!$F:$F, MATCH(M68,'Processed Non-zero DMR Data'!$I:$I, 0)))</f>
        <v>38.686529999999998</v>
      </c>
      <c r="K68" s="9">
        <f>IF(L68&lt;&gt;"", INDEX('Processed Non-zero TRI Data'!$H:$H, MATCH(L68, 'Processed Non-zero TRI Data'!$I:$I,0)), INDEX('Processed Non-zero DMR Data'!$G:$G, MATCH(M68,'Processed Non-zero DMR Data'!$I:$I, 0)))</f>
        <v>-83.788679999999999</v>
      </c>
      <c r="L68" s="10"/>
      <c r="M68" s="259">
        <v>110000761104</v>
      </c>
      <c r="N68" s="9">
        <f>IF(L68&lt;&gt;"",INDEX('Processed Non-zero TRI Data'!L:L,MATCH('Facility Summary_Water'!L68,'Processed Non-zero TRI Data'!I:I,0)),INDEX('Processed Non-zero DMR Data'!$L:$L,MATCH('Facility Summary_Water'!M68,'Processed Non-zero DMR Data'!$I:$I,0)))</f>
        <v>221320</v>
      </c>
      <c r="O68" s="10" t="str">
        <f>INDEX('2017 - 2022 NAICS'!D:D,MATCH('Facility Summary_Water'!N68,'2017 - 2022 NAICS'!C:C,0))</f>
        <v>Sewage Treatment Facilities</v>
      </c>
      <c r="P68" s="10" t="str">
        <f>IFERROR(VLOOKUP(L68, 'Processed Non-zero TRI Data'!I:Q, 8, 0), "Direct")</f>
        <v>Direct</v>
      </c>
      <c r="Q68" s="10" t="e">
        <f>VLOOKUP(R68,#REF!, 2, FALSE)</f>
        <v>#REF!</v>
      </c>
      <c r="R68" s="10" t="str">
        <f>INDEX('Facility Discharge Summary'!D:D, MATCH('Facility Summary_Water'!M68, 'Facility Discharge Summary'!J:J,0))</f>
        <v>Waste Handling, Disposal and Treatment (POTW)</v>
      </c>
      <c r="S68" s="10" t="str">
        <f>INDEX('Processed Non-zero DMR Data'!T:T, MATCH('Facility Summary_Water'!M68, 'Processed Non-zero DMR Data'!I:I,0))</f>
        <v>POTW indicator in DMR</v>
      </c>
      <c r="T68" s="10" t="s">
        <v>72</v>
      </c>
      <c r="U68" s="9">
        <f>INDEX('TRI and DMR OES Summary'!D:D, MATCH('Facility Summary_Water'!R68,'TRI and DMR OES Summary'!A:A,0))</f>
        <v>365</v>
      </c>
      <c r="V68" s="258">
        <f>INDEX('Facility Discharge Summary'!AR:AR,MATCH('Facility Summary_Water'!M68,'Facility Discharge Summary'!J:J,0))</f>
        <v>0</v>
      </c>
      <c r="W68" s="258">
        <f>INDEX('Facility Discharge Summary'!T:T,MATCH('Facility Summary_Water'!M68,'Facility Discharge Summary'!J:J,0))</f>
        <v>0.46971849999999998</v>
      </c>
    </row>
    <row r="69" spans="1:23" x14ac:dyDescent="0.25">
      <c r="A69" s="9">
        <v>68</v>
      </c>
      <c r="B69" s="10" t="str">
        <f>IF(COUNTIF('Processed Non-zero TRI Data'!J:J,'Facility Summary_Water'!M69)&gt;0, "TRI Form " &amp; INDEX('Processed Non-zero TRI Data'!K:K,MATCH('Facility Summary_Water'!M69,'Processed Non-zero TRI Data'!J:J,0)), "" )</f>
        <v/>
      </c>
      <c r="C69" s="10" t="str">
        <f>IF(COUNTIF('Processed Non-zero DMR Data'!I:I, 'Facility Summary_Water'!M69)&gt;0, "DMR", "")</f>
        <v>DMR</v>
      </c>
      <c r="D69" s="10"/>
      <c r="E69" s="10" t="s">
        <v>263</v>
      </c>
      <c r="F69" s="10"/>
      <c r="G69" s="10" t="s">
        <v>264</v>
      </c>
      <c r="H69" s="10" t="s">
        <v>118</v>
      </c>
      <c r="I69" s="10"/>
      <c r="J69" s="9">
        <f>IF(L69&lt;&gt;"", INDEX('Processed Non-zero TRI Data'!$G:$G, MATCH(L69, 'Processed Non-zero TRI Data'!$I:$I,0)), INDEX('Processed Non-zero DMR Data'!$F:$F, MATCH(M69,'Processed Non-zero DMR Data'!$I:$I, 0)))</f>
        <v>41.775967999999999</v>
      </c>
      <c r="K69" s="9">
        <f>IF(L69&lt;&gt;"", INDEX('Processed Non-zero TRI Data'!$H:$H, MATCH(L69, 'Processed Non-zero TRI Data'!$I:$I,0)), INDEX('Processed Non-zero DMR Data'!$G:$G, MATCH(M69,'Processed Non-zero DMR Data'!$I:$I, 0)))</f>
        <v>-86.654864000000003</v>
      </c>
      <c r="L69" s="10"/>
      <c r="M69" s="259">
        <v>110001847761</v>
      </c>
      <c r="N69" s="9">
        <f>IF(L69&lt;&gt;"",INDEX('Processed Non-zero TRI Data'!L:L,MATCH('Facility Summary_Water'!L69,'Processed Non-zero TRI Data'!I:I,0)),INDEX('Processed Non-zero DMR Data'!$L:$L,MATCH('Facility Summary_Water'!M69,'Processed Non-zero DMR Data'!$I:$I,0)))</f>
        <v>562211</v>
      </c>
      <c r="O69" s="10" t="str">
        <f>INDEX('2017 - 2022 NAICS'!D:D,MATCH('Facility Summary_Water'!N69,'2017 - 2022 NAICS'!C:C,0))</f>
        <v>Hazardous Waste Treatment and Disposal</v>
      </c>
      <c r="P69" s="10" t="str">
        <f>IFERROR(VLOOKUP(L69, 'Processed Non-zero TRI Data'!I:Q, 8, 0), "Direct")</f>
        <v>Direct</v>
      </c>
      <c r="Q69" s="10" t="e">
        <f>VLOOKUP(R69,#REF!, 2, FALSE)</f>
        <v>#REF!</v>
      </c>
      <c r="R69" s="10" t="str">
        <f>INDEX('Facility Discharge Summary'!D:D, MATCH('Facility Summary_Water'!M69, 'Facility Discharge Summary'!J:J,0))</f>
        <v>Waste Handling, Disposal and Treatment (Landfill)</v>
      </c>
      <c r="S69" s="10" t="str">
        <f>INDEX('Processed Non-zero DMR Data'!T:T, MATCH('Facility Summary_Water'!M69, 'Processed Non-zero DMR Data'!I:I,0))</f>
        <v>Facility is a landfill per the facility name.</v>
      </c>
      <c r="T69" s="10" t="s">
        <v>72</v>
      </c>
      <c r="U69" s="9">
        <f>INDEX('TRI and DMR OES Summary'!D:D, MATCH('Facility Summary_Water'!R69,'TRI and DMR OES Summary'!A:A,0))</f>
        <v>250</v>
      </c>
      <c r="V69" s="258">
        <f>INDEX('Facility Discharge Summary'!AR:AR,MATCH('Facility Summary_Water'!M69,'Facility Discharge Summary'!J:J,0))</f>
        <v>0</v>
      </c>
      <c r="W69" s="258">
        <f>INDEX('Facility Discharge Summary'!T:T,MATCH('Facility Summary_Water'!M69,'Facility Discharge Summary'!J:J,0))</f>
        <v>5.8307924999999997E-2</v>
      </c>
    </row>
    <row r="70" spans="1:23" ht="30" x14ac:dyDescent="0.25">
      <c r="A70" s="9">
        <v>69</v>
      </c>
      <c r="B70" s="10" t="str">
        <f>IF(COUNTIF('Processed Non-zero TRI Data'!J:J,'Facility Summary_Water'!M70)&gt;0, "TRI Form " &amp; INDEX('Processed Non-zero TRI Data'!K:K,MATCH('Facility Summary_Water'!M70,'Processed Non-zero TRI Data'!J:J,0)), "" )</f>
        <v/>
      </c>
      <c r="C70" s="10" t="str">
        <f>IF(COUNTIF('Processed Non-zero DMR Data'!I:I, 'Facility Summary_Water'!M70)&gt;0, "DMR", "")</f>
        <v>DMR</v>
      </c>
      <c r="D70" s="10"/>
      <c r="E70" s="10" t="s">
        <v>265</v>
      </c>
      <c r="F70" s="10"/>
      <c r="G70" s="10" t="s">
        <v>175</v>
      </c>
      <c r="H70" s="10" t="s">
        <v>106</v>
      </c>
      <c r="I70" s="10"/>
      <c r="J70" s="9">
        <f>IF(L70&lt;&gt;"", INDEX('Processed Non-zero TRI Data'!$G:$G, MATCH(L70, 'Processed Non-zero TRI Data'!$I:$I,0)), INDEX('Processed Non-zero DMR Data'!$F:$F, MATCH(M70,'Processed Non-zero DMR Data'!$I:$I, 0)))</f>
        <v>30.23771</v>
      </c>
      <c r="K70" s="9">
        <f>IF(L70&lt;&gt;"", INDEX('Processed Non-zero TRI Data'!$H:$H, MATCH(L70, 'Processed Non-zero TRI Data'!$I:$I,0)), INDEX('Processed Non-zero DMR Data'!$G:$G, MATCH(M70,'Processed Non-zero DMR Data'!$I:$I, 0)))</f>
        <v>-93.258650000000003</v>
      </c>
      <c r="L70" s="10"/>
      <c r="M70" s="259">
        <v>110064611969</v>
      </c>
      <c r="N70" s="9">
        <f>IF(L70&lt;&gt;"",INDEX('Processed Non-zero TRI Data'!L:L,MATCH('Facility Summary_Water'!L70,'Processed Non-zero TRI Data'!I:I,0)),INDEX('Processed Non-zero DMR Data'!$L:$L,MATCH('Facility Summary_Water'!M70,'Processed Non-zero DMR Data'!$I:$I,0)))</f>
        <v>211130</v>
      </c>
      <c r="O70" s="10" t="str">
        <f>INDEX('2017 - 2022 NAICS'!D:D,MATCH('Facility Summary_Water'!N70,'2017 - 2022 NAICS'!C:C,0))</f>
        <v>Natural Gas Extraction</v>
      </c>
      <c r="P70" s="10" t="str">
        <f>IFERROR(VLOOKUP(L70, 'Processed Non-zero TRI Data'!I:Q, 8, 0), "Direct")</f>
        <v>Direct</v>
      </c>
      <c r="Q70" s="10" t="e">
        <f>VLOOKUP(R70,#REF!, 2, FALSE)</f>
        <v>#REF!</v>
      </c>
      <c r="R70" s="10" t="str">
        <f>INDEX('Facility Discharge Summary'!D:D, MATCH('Facility Summary_Water'!M70, 'Facility Discharge Summary'!J:J,0))</f>
        <v>Processing as a reactant</v>
      </c>
      <c r="S70" s="10" t="str">
        <f>INDEX('Processed Non-zero DMR Data'!T:T, MATCH('Facility Summary_Water'!M70, 'Processed Non-zero DMR Data'!I:I,0))</f>
        <v>Facility produces swimming pool and spa water care products.</v>
      </c>
      <c r="T70" s="10" t="s">
        <v>72</v>
      </c>
      <c r="U70" s="9">
        <f>INDEX('TRI and DMR OES Summary'!D:D, MATCH('Facility Summary_Water'!R70,'TRI and DMR OES Summary'!A:A,0))</f>
        <v>350</v>
      </c>
      <c r="V70" s="258">
        <f>INDEX('Facility Discharge Summary'!AR:AR,MATCH('Facility Summary_Water'!M70,'Facility Discharge Summary'!J:J,0))</f>
        <v>0</v>
      </c>
      <c r="W70" s="258">
        <f>INDEX('Facility Discharge Summary'!T:T,MATCH('Facility Summary_Water'!M70,'Facility Discharge Summary'!J:J,0))</f>
        <v>5.10975</v>
      </c>
    </row>
    <row r="71" spans="1:23" x14ac:dyDescent="0.25">
      <c r="A71" s="9">
        <v>70</v>
      </c>
      <c r="B71" s="10" t="str">
        <f>IF(COUNTIF('Processed Non-zero TRI Data'!J:J,'Facility Summary_Water'!M71)&gt;0, "TRI Form " &amp; INDEX('Processed Non-zero TRI Data'!K:K,MATCH('Facility Summary_Water'!M71,'Processed Non-zero TRI Data'!J:J,0)), "" )</f>
        <v/>
      </c>
      <c r="C71" s="10" t="str">
        <f>IF(COUNTIF('Processed Non-zero DMR Data'!I:I, 'Facility Summary_Water'!M71)&gt;0, "DMR", "")</f>
        <v>DMR</v>
      </c>
      <c r="D71" s="10"/>
      <c r="E71" s="10" t="s">
        <v>266</v>
      </c>
      <c r="F71" s="10"/>
      <c r="G71" s="10" t="s">
        <v>267</v>
      </c>
      <c r="H71" s="10" t="s">
        <v>268</v>
      </c>
      <c r="I71" s="10"/>
      <c r="J71" s="9">
        <f>IF(L71&lt;&gt;"", INDEX('Processed Non-zero TRI Data'!$G:$G, MATCH(L71, 'Processed Non-zero TRI Data'!$I:$I,0)), INDEX('Processed Non-zero DMR Data'!$F:$F, MATCH(M71,'Processed Non-zero DMR Data'!$I:$I, 0)))</f>
        <v>41.452778000000002</v>
      </c>
      <c r="K71" s="9">
        <f>IF(L71&lt;&gt;"", INDEX('Processed Non-zero TRI Data'!$H:$H, MATCH(L71, 'Processed Non-zero TRI Data'!$I:$I,0)), INDEX('Processed Non-zero DMR Data'!$G:$G, MATCH(M71,'Processed Non-zero DMR Data'!$I:$I, 0)))</f>
        <v>-79.690278000000006</v>
      </c>
      <c r="L71" s="10"/>
      <c r="M71" s="259">
        <v>110008476327</v>
      </c>
      <c r="N71" s="9">
        <f>IF(L71&lt;&gt;"",INDEX('Processed Non-zero TRI Data'!L:L,MATCH('Facility Summary_Water'!L71,'Processed Non-zero TRI Data'!I:I,0)),INDEX('Processed Non-zero DMR Data'!$L:$L,MATCH('Facility Summary_Water'!M71,'Processed Non-zero DMR Data'!$I:$I,0)))</f>
        <v>325110</v>
      </c>
      <c r="O71" s="10" t="str">
        <f>INDEX('2017 - 2022 NAICS'!D:D,MATCH('Facility Summary_Water'!N71,'2017 - 2022 NAICS'!C:C,0))</f>
        <v>Petrochemical Manufacturing</v>
      </c>
      <c r="P71" s="10" t="str">
        <f>IFERROR(VLOOKUP(L71, 'Processed Non-zero TRI Data'!I:Q, 8, 0), "Direct")</f>
        <v>Direct</v>
      </c>
      <c r="Q71" s="10" t="e">
        <f>VLOOKUP(R71,#REF!, 2, FALSE)</f>
        <v>#REF!</v>
      </c>
      <c r="R71" s="10" t="str">
        <f>INDEX('Facility Discharge Summary'!D:D, MATCH('Facility Summary_Water'!M71, 'Facility Discharge Summary'!J:J,0))</f>
        <v>Processing as a reactant</v>
      </c>
      <c r="S71" s="10" t="str">
        <f>INDEX('Processed Non-zero DMR Data'!T:T, MATCH('Facility Summary_Water'!M71, 'Processed Non-zero DMR Data'!I:I,0))</f>
        <v>Chemical manufacturer; assumed processing as a reactant.</v>
      </c>
      <c r="T71" s="10" t="s">
        <v>72</v>
      </c>
      <c r="U71" s="9">
        <f>INDEX('TRI and DMR OES Summary'!D:D, MATCH('Facility Summary_Water'!R71,'TRI and DMR OES Summary'!A:A,0))</f>
        <v>350</v>
      </c>
      <c r="V71" s="258">
        <f>INDEX('Facility Discharge Summary'!AR:AR,MATCH('Facility Summary_Water'!M71,'Facility Discharge Summary'!J:J,0))</f>
        <v>0</v>
      </c>
      <c r="W71" s="258">
        <f>INDEX('Facility Discharge Summary'!T:T,MATCH('Facility Summary_Water'!M71,'Facility Discharge Summary'!J:J,0))</f>
        <v>1.077115E-2</v>
      </c>
    </row>
    <row r="72" spans="1:23" x14ac:dyDescent="0.25">
      <c r="A72" s="9">
        <v>71</v>
      </c>
      <c r="B72" s="10" t="str">
        <f>IF(COUNTIF('Processed Non-zero TRI Data'!J:J,'Facility Summary_Water'!M72)&gt;0, "TRI Form " &amp; INDEX('Processed Non-zero TRI Data'!K:K,MATCH('Facility Summary_Water'!M72,'Processed Non-zero TRI Data'!J:J,0)), "" )</f>
        <v/>
      </c>
      <c r="C72" s="10" t="str">
        <f>IF(COUNTIF('Processed Non-zero DMR Data'!I:I, 'Facility Summary_Water'!M72)&gt;0, "DMR", "")</f>
        <v>DMR</v>
      </c>
      <c r="D72" s="10"/>
      <c r="E72" s="10" t="s">
        <v>269</v>
      </c>
      <c r="F72" s="10"/>
      <c r="G72" s="10" t="s">
        <v>270</v>
      </c>
      <c r="H72" s="10" t="s">
        <v>146</v>
      </c>
      <c r="I72" s="10"/>
      <c r="J72" s="9">
        <f>IF(L72&lt;&gt;"", INDEX('Processed Non-zero TRI Data'!$G:$G, MATCH(L72, 'Processed Non-zero TRI Data'!$I:$I,0)), INDEX('Processed Non-zero DMR Data'!$F:$F, MATCH(M72,'Processed Non-zero DMR Data'!$I:$I, 0)))</f>
        <v>34.616678999999998</v>
      </c>
      <c r="K72" s="9">
        <f>IF(L72&lt;&gt;"", INDEX('Processed Non-zero TRI Data'!$H:$H, MATCH(L72, 'Processed Non-zero TRI Data'!$I:$I,0)), INDEX('Processed Non-zero DMR Data'!$G:$G, MATCH(M72,'Processed Non-zero DMR Data'!$I:$I, 0)))</f>
        <v>-117.355046</v>
      </c>
      <c r="L72" s="10"/>
      <c r="M72" s="259">
        <v>110000517637</v>
      </c>
      <c r="N72" s="9">
        <f>IF(L72&lt;&gt;"",INDEX('Processed Non-zero TRI Data'!L:L,MATCH('Facility Summary_Water'!L72,'Processed Non-zero TRI Data'!I:I,0)),INDEX('Processed Non-zero DMR Data'!$L:$L,MATCH('Facility Summary_Water'!M72,'Processed Non-zero DMR Data'!$I:$I,0)))</f>
        <v>221320</v>
      </c>
      <c r="O72" s="10" t="str">
        <f>INDEX('2017 - 2022 NAICS'!D:D,MATCH('Facility Summary_Water'!N72,'2017 - 2022 NAICS'!C:C,0))</f>
        <v>Sewage Treatment Facilities</v>
      </c>
      <c r="P72" s="10" t="str">
        <f>IFERROR(VLOOKUP(L72, 'Processed Non-zero TRI Data'!I:Q, 8, 0), "Direct")</f>
        <v>Direct</v>
      </c>
      <c r="Q72" s="10" t="e">
        <f>VLOOKUP(R72,#REF!, 2, FALSE)</f>
        <v>#REF!</v>
      </c>
      <c r="R72" s="10" t="str">
        <f>INDEX('Facility Discharge Summary'!D:D, MATCH('Facility Summary_Water'!M72, 'Facility Discharge Summary'!J:J,0))</f>
        <v>Waste Handling, Disposal and Treatment (POTW)</v>
      </c>
      <c r="S72" s="10" t="str">
        <f>INDEX('Processed Non-zero DMR Data'!T:T, MATCH('Facility Summary_Water'!M72, 'Processed Non-zero DMR Data'!I:I,0))</f>
        <v>POTW indicator in DMR</v>
      </c>
      <c r="T72" s="10" t="s">
        <v>72</v>
      </c>
      <c r="U72" s="9">
        <f>INDEX('TRI and DMR OES Summary'!D:D, MATCH('Facility Summary_Water'!R72,'TRI and DMR OES Summary'!A:A,0))</f>
        <v>365</v>
      </c>
      <c r="V72" s="258">
        <f>INDEX('Facility Discharge Summary'!AR:AR,MATCH('Facility Summary_Water'!M72,'Facility Discharge Summary'!J:J,0))</f>
        <v>0</v>
      </c>
      <c r="W72" s="258">
        <f>INDEX('Facility Discharge Summary'!T:T,MATCH('Facility Summary_Water'!M72,'Facility Discharge Summary'!J:J,0))</f>
        <v>0.49044137500000001</v>
      </c>
    </row>
    <row r="73" spans="1:23" x14ac:dyDescent="0.25">
      <c r="A73" s="9">
        <v>72</v>
      </c>
      <c r="B73" s="10" t="str">
        <f>IF(COUNTIF('Processed Non-zero TRI Data'!J:J,'Facility Summary_Water'!M73)&gt;0, "TRI Form " &amp; INDEX('Processed Non-zero TRI Data'!K:K,MATCH('Facility Summary_Water'!M73,'Processed Non-zero TRI Data'!J:J,0)), "" )</f>
        <v/>
      </c>
      <c r="C73" s="10" t="str">
        <f>IF(COUNTIF('Processed Non-zero DMR Data'!I:I, 'Facility Summary_Water'!M73)&gt;0, "DMR", "")</f>
        <v>DMR</v>
      </c>
      <c r="D73" s="10"/>
      <c r="E73" s="10" t="s">
        <v>271</v>
      </c>
      <c r="F73" s="10"/>
      <c r="G73" s="10" t="s">
        <v>272</v>
      </c>
      <c r="H73" s="10" t="s">
        <v>138</v>
      </c>
      <c r="I73" s="10"/>
      <c r="J73" s="9">
        <f>IF(L73&lt;&gt;"", INDEX('Processed Non-zero TRI Data'!$G:$G, MATCH(L73, 'Processed Non-zero TRI Data'!$I:$I,0)), INDEX('Processed Non-zero DMR Data'!$F:$F, MATCH(M73,'Processed Non-zero DMR Data'!$I:$I, 0)))</f>
        <v>38.474601999999997</v>
      </c>
      <c r="K73" s="9">
        <f>IF(L73&lt;&gt;"", INDEX('Processed Non-zero TRI Data'!$H:$H, MATCH(L73, 'Processed Non-zero TRI Data'!$I:$I,0)), INDEX('Processed Non-zero DMR Data'!$G:$G, MATCH(M73,'Processed Non-zero DMR Data'!$I:$I, 0)))</f>
        <v>-82.623778999999999</v>
      </c>
      <c r="L73" s="10"/>
      <c r="M73" s="259">
        <v>110000732244</v>
      </c>
      <c r="N73" s="9">
        <f>IF(L73&lt;&gt;"",INDEX('Processed Non-zero TRI Data'!L:L,MATCH('Facility Summary_Water'!L73,'Processed Non-zero TRI Data'!I:I,0)),INDEX('Processed Non-zero DMR Data'!$L:$L,MATCH('Facility Summary_Water'!M73,'Processed Non-zero DMR Data'!$I:$I,0)))</f>
        <v>221320</v>
      </c>
      <c r="O73" s="10" t="str">
        <f>INDEX('2017 - 2022 NAICS'!D:D,MATCH('Facility Summary_Water'!N73,'2017 - 2022 NAICS'!C:C,0))</f>
        <v>Sewage Treatment Facilities</v>
      </c>
      <c r="P73" s="10" t="str">
        <f>IFERROR(VLOOKUP(L73, 'Processed Non-zero TRI Data'!I:Q, 8, 0), "Direct")</f>
        <v>Direct</v>
      </c>
      <c r="Q73" s="10" t="e">
        <f>VLOOKUP(R73,#REF!, 2, FALSE)</f>
        <v>#REF!</v>
      </c>
      <c r="R73" s="10" t="str">
        <f>INDEX('Facility Discharge Summary'!D:D, MATCH('Facility Summary_Water'!M73, 'Facility Discharge Summary'!J:J,0))</f>
        <v>Waste Handling, Disposal and Treatment (POTW)</v>
      </c>
      <c r="S73" s="10" t="str">
        <f>INDEX('Processed Non-zero DMR Data'!T:T, MATCH('Facility Summary_Water'!M73, 'Processed Non-zero DMR Data'!I:I,0))</f>
        <v>POTW indicator in DMR</v>
      </c>
      <c r="T73" s="10" t="s">
        <v>72</v>
      </c>
      <c r="U73" s="9">
        <f>INDEX('TRI and DMR OES Summary'!D:D, MATCH('Facility Summary_Water'!R73,'TRI and DMR OES Summary'!A:A,0))</f>
        <v>365</v>
      </c>
      <c r="V73" s="258">
        <f>INDEX('Facility Discharge Summary'!AR:AR,MATCH('Facility Summary_Water'!M73,'Facility Discharge Summary'!J:J,0))</f>
        <v>0</v>
      </c>
      <c r="W73" s="258">
        <f>INDEX('Facility Discharge Summary'!T:T,MATCH('Facility Summary_Water'!M73,'Facility Discharge Summary'!J:J,0))</f>
        <v>24.038535</v>
      </c>
    </row>
    <row r="74" spans="1:23" ht="60" x14ac:dyDescent="0.25">
      <c r="A74" s="9">
        <v>73</v>
      </c>
      <c r="B74" s="10" t="str">
        <f>IF(COUNTIF('Processed Non-zero TRI Data'!J:J,'Facility Summary_Water'!M74)&gt;0, "TRI Form " &amp; INDEX('Processed Non-zero TRI Data'!K:K,MATCH('Facility Summary_Water'!M74,'Processed Non-zero TRI Data'!J:J,0)), "" )</f>
        <v/>
      </c>
      <c r="C74" s="10" t="str">
        <f>IF(COUNTIF('Processed Non-zero DMR Data'!I:I, 'Facility Summary_Water'!M74)&gt;0, "DMR", "")</f>
        <v>DMR</v>
      </c>
      <c r="D74" s="10"/>
      <c r="E74" s="10" t="s">
        <v>273</v>
      </c>
      <c r="F74" s="10"/>
      <c r="G74" s="10" t="s">
        <v>274</v>
      </c>
      <c r="H74" s="10" t="s">
        <v>268</v>
      </c>
      <c r="I74" s="10"/>
      <c r="J74" s="9">
        <f>IF(L74&lt;&gt;"", INDEX('Processed Non-zero TRI Data'!$G:$G, MATCH(L74, 'Processed Non-zero TRI Data'!$I:$I,0)), INDEX('Processed Non-zero DMR Data'!$F:$F, MATCH(M74,'Processed Non-zero DMR Data'!$I:$I, 0)))</f>
        <v>40.094276999999998</v>
      </c>
      <c r="K74" s="9">
        <f>IF(L74&lt;&gt;"", INDEX('Processed Non-zero TRI Data'!$H:$H, MATCH(L74, 'Processed Non-zero TRI Data'!$I:$I,0)), INDEX('Processed Non-zero DMR Data'!$G:$G, MATCH(M74,'Processed Non-zero DMR Data'!$I:$I, 0)))</f>
        <v>-74.865442000000002</v>
      </c>
      <c r="L74" s="10"/>
      <c r="M74" s="259">
        <v>110064634686</v>
      </c>
      <c r="N74" s="9">
        <f>IF(L74&lt;&gt;"",INDEX('Processed Non-zero TRI Data'!L:L,MATCH('Facility Summary_Water'!L74,'Processed Non-zero TRI Data'!I:I,0)),INDEX('Processed Non-zero DMR Data'!$L:$L,MATCH('Facility Summary_Water'!M74,'Processed Non-zero DMR Data'!$I:$I,0)))</f>
        <v>325211</v>
      </c>
      <c r="O74" s="10" t="str">
        <f>INDEX('2017 - 2022 NAICS'!D:D,MATCH('Facility Summary_Water'!N74,'2017 - 2022 NAICS'!C:C,0))</f>
        <v>Plastics Material and Resin Manufacturing</v>
      </c>
      <c r="P74" s="10" t="str">
        <f>IFERROR(VLOOKUP(L74, 'Processed Non-zero TRI Data'!I:Q, 8, 0), "Direct")</f>
        <v>Direct</v>
      </c>
      <c r="Q74" s="10" t="e">
        <f>VLOOKUP(R74,#REF!, 2, FALSE)</f>
        <v>#REF!</v>
      </c>
      <c r="R74" s="10" t="str">
        <f>INDEX('Facility Discharge Summary'!D:D, MATCH('Facility Summary_Water'!M74, 'Facility Discharge Summary'!J:J,0))</f>
        <v>Waste Handling, Disposal and Treatment (Remediation)</v>
      </c>
      <c r="S74" s="10" t="str">
        <f>INDEX('Processed Non-zero DMR Data'!T:T, MATCH('Facility Summary_Water'!M74, 'Processed Non-zero DMR Data'!I:I,0))</f>
        <v>Remediation site per EPA: https://19january2017snapshot.epa.gov/hwcorrectiveactionsites/hazardous-waste-cleanup-dow-chemical-formerly-rohm-and-haas-chemicals-llc_.html</v>
      </c>
      <c r="T74" s="10" t="s">
        <v>72</v>
      </c>
      <c r="U74" s="9">
        <f>INDEX('TRI and DMR OES Summary'!D:D, MATCH('Facility Summary_Water'!R74,'TRI and DMR OES Summary'!A:A,0))</f>
        <v>250</v>
      </c>
      <c r="V74" s="258">
        <f>INDEX('Facility Discharge Summary'!AR:AR,MATCH('Facility Summary_Water'!M74,'Facility Discharge Summary'!J:J,0))</f>
        <v>0</v>
      </c>
      <c r="W74" s="258">
        <f>INDEX('Facility Discharge Summary'!T:T,MATCH('Facility Summary_Water'!M74,'Facility Discharge Summary'!J:J,0))</f>
        <v>0.19637769999999999</v>
      </c>
    </row>
    <row r="75" spans="1:23" ht="30" x14ac:dyDescent="0.25">
      <c r="A75" s="9">
        <v>74</v>
      </c>
      <c r="B75" s="10" t="str">
        <f>IF(COUNTIF('Processed Non-zero TRI Data'!J:J,'Facility Summary_Water'!M75)&gt;0, "TRI Form " &amp; INDEX('Processed Non-zero TRI Data'!K:K,MATCH('Facility Summary_Water'!M75,'Processed Non-zero TRI Data'!J:J,0)), "" )</f>
        <v/>
      </c>
      <c r="C75" s="10" t="str">
        <f>IF(COUNTIF('Processed Non-zero DMR Data'!I:I, 'Facility Summary_Water'!M75)&gt;0, "DMR", "")</f>
        <v>DMR</v>
      </c>
      <c r="D75" s="10"/>
      <c r="E75" s="10" t="s">
        <v>275</v>
      </c>
      <c r="F75" s="10"/>
      <c r="G75" s="10" t="s">
        <v>276</v>
      </c>
      <c r="H75" s="10" t="s">
        <v>138</v>
      </c>
      <c r="I75" s="10"/>
      <c r="J75" s="9">
        <f>IF(L75&lt;&gt;"", INDEX('Processed Non-zero TRI Data'!$G:$G, MATCH(L75, 'Processed Non-zero TRI Data'!$I:$I,0)), INDEX('Processed Non-zero DMR Data'!$F:$F, MATCH(M75,'Processed Non-zero DMR Data'!$I:$I, 0)))</f>
        <v>37.047736999999998</v>
      </c>
      <c r="K75" s="9">
        <f>IF(L75&lt;&gt;"", INDEX('Processed Non-zero TRI Data'!$H:$H, MATCH(L75, 'Processed Non-zero TRI Data'!$I:$I,0)), INDEX('Processed Non-zero DMR Data'!$G:$G, MATCH(M75,'Processed Non-zero DMR Data'!$I:$I, 0)))</f>
        <v>-88.35866</v>
      </c>
      <c r="L75" s="10"/>
      <c r="M75" s="259">
        <v>110000741608</v>
      </c>
      <c r="N75" s="9">
        <f>IF(L75&lt;&gt;"",INDEX('Processed Non-zero TRI Data'!L:L,MATCH('Facility Summary_Water'!L75,'Processed Non-zero TRI Data'!I:I,0)),INDEX('Processed Non-zero DMR Data'!$L:$L,MATCH('Facility Summary_Water'!M75,'Processed Non-zero DMR Data'!$I:$I,0)))</f>
        <v>325110</v>
      </c>
      <c r="O75" s="10" t="str">
        <f>INDEX('2017 - 2022 NAICS'!D:D,MATCH('Facility Summary_Water'!N75,'2017 - 2022 NAICS'!C:C,0))</f>
        <v>Petrochemical Manufacturing</v>
      </c>
      <c r="P75" s="10" t="str">
        <f>IFERROR(VLOOKUP(L75, 'Processed Non-zero TRI Data'!I:Q, 8, 0), "Direct")</f>
        <v>Direct</v>
      </c>
      <c r="Q75" s="10" t="e">
        <f>VLOOKUP(R75,#REF!, 2, FALSE)</f>
        <v>#REF!</v>
      </c>
      <c r="R75" s="10" t="str">
        <f>INDEX('Facility Discharge Summary'!D:D, MATCH('Facility Summary_Water'!M75, 'Facility Discharge Summary'!J:J,0))</f>
        <v>Processing as a reactant</v>
      </c>
      <c r="S75" s="10" t="str">
        <f>INDEX('Processed Non-zero DMR Data'!T:T, MATCH('Facility Summary_Water'!M75, 'Processed Non-zero DMR Data'!I:I,0))</f>
        <v>Assumed processing as a reactant based on SIC and NAICS; this also matches 1,1,-DCA mapping.</v>
      </c>
      <c r="T75" s="10" t="s">
        <v>72</v>
      </c>
      <c r="U75" s="9">
        <f>INDEX('TRI and DMR OES Summary'!D:D, MATCH('Facility Summary_Water'!R75,'TRI and DMR OES Summary'!A:A,0))</f>
        <v>350</v>
      </c>
      <c r="V75" s="258">
        <f>INDEX('Facility Discharge Summary'!AR:AR,MATCH('Facility Summary_Water'!M75,'Facility Discharge Summary'!J:J,0))</f>
        <v>0</v>
      </c>
      <c r="W75" s="258">
        <f>INDEX('Facility Discharge Summary'!T:T,MATCH('Facility Summary_Water'!M75,'Facility Discharge Summary'!J:J,0))</f>
        <v>8.2026450000000004</v>
      </c>
    </row>
    <row r="76" spans="1:23" x14ac:dyDescent="0.25">
      <c r="A76" s="9">
        <v>75</v>
      </c>
      <c r="B76" s="10" t="str">
        <f>IF(COUNTIF('Processed Non-zero TRI Data'!J:J,'Facility Summary_Water'!M76)&gt;0, "TRI Form " &amp; INDEX('Processed Non-zero TRI Data'!K:K,MATCH('Facility Summary_Water'!M76,'Processed Non-zero TRI Data'!J:J,0)), "" )</f>
        <v/>
      </c>
      <c r="C76" s="10" t="str">
        <f>IF(COUNTIF('Processed Non-zero DMR Data'!I:I, 'Facility Summary_Water'!M76)&gt;0, "DMR", "")</f>
        <v>DMR</v>
      </c>
      <c r="D76" s="10"/>
      <c r="E76" s="10" t="s">
        <v>277</v>
      </c>
      <c r="F76" s="10"/>
      <c r="G76" s="10" t="s">
        <v>235</v>
      </c>
      <c r="H76" s="10" t="s">
        <v>138</v>
      </c>
      <c r="I76" s="10"/>
      <c r="J76" s="9">
        <f>IF(L76&lt;&gt;"", INDEX('Processed Non-zero TRI Data'!$G:$G, MATCH(L76, 'Processed Non-zero TRI Data'!$I:$I,0)), INDEX('Processed Non-zero DMR Data'!$F:$F, MATCH(M76,'Processed Non-zero DMR Data'!$I:$I, 0)))</f>
        <v>38.236699999999999</v>
      </c>
      <c r="K76" s="9">
        <f>IF(L76&lt;&gt;"", INDEX('Processed Non-zero TRI Data'!$H:$H, MATCH(L76, 'Processed Non-zero TRI Data'!$I:$I,0)), INDEX('Processed Non-zero DMR Data'!$G:$G, MATCH(M76,'Processed Non-zero DMR Data'!$I:$I, 0)))</f>
        <v>-85.466710000000006</v>
      </c>
      <c r="L76" s="10"/>
      <c r="M76" s="259">
        <v>110043486457</v>
      </c>
      <c r="N76" s="9">
        <f>IF(L76&lt;&gt;"",INDEX('Processed Non-zero TRI Data'!L:L,MATCH('Facility Summary_Water'!L76,'Processed Non-zero TRI Data'!I:I,0)),INDEX('Processed Non-zero DMR Data'!$L:$L,MATCH('Facility Summary_Water'!M76,'Processed Non-zero DMR Data'!$I:$I,0)))</f>
        <v>221320</v>
      </c>
      <c r="O76" s="10" t="str">
        <f>INDEX('2017 - 2022 NAICS'!D:D,MATCH('Facility Summary_Water'!N76,'2017 - 2022 NAICS'!C:C,0))</f>
        <v>Sewage Treatment Facilities</v>
      </c>
      <c r="P76" s="10" t="str">
        <f>IFERROR(VLOOKUP(L76, 'Processed Non-zero TRI Data'!I:Q, 8, 0), "Direct")</f>
        <v>Direct</v>
      </c>
      <c r="Q76" s="10" t="e">
        <f>VLOOKUP(R76,#REF!, 2, FALSE)</f>
        <v>#REF!</v>
      </c>
      <c r="R76" s="10" t="str">
        <f>INDEX('Facility Discharge Summary'!D:D, MATCH('Facility Summary_Water'!M76, 'Facility Discharge Summary'!J:J,0))</f>
        <v>Waste Handling, Disposal and Treatment (POTW)</v>
      </c>
      <c r="S76" s="10" t="str">
        <f>INDEX('Processed Non-zero DMR Data'!T:T, MATCH('Facility Summary_Water'!M76, 'Processed Non-zero DMR Data'!I:I,0))</f>
        <v>POTW indicator in DMR</v>
      </c>
      <c r="T76" s="10" t="s">
        <v>72</v>
      </c>
      <c r="U76" s="9">
        <f>INDEX('TRI and DMR OES Summary'!D:D, MATCH('Facility Summary_Water'!R76,'TRI and DMR OES Summary'!A:A,0))</f>
        <v>365</v>
      </c>
      <c r="V76" s="258">
        <f>INDEX('Facility Discharge Summary'!AR:AR,MATCH('Facility Summary_Water'!M76,'Facility Discharge Summary'!J:J,0))</f>
        <v>0</v>
      </c>
      <c r="W76" s="258">
        <f>INDEX('Facility Discharge Summary'!T:T,MATCH('Facility Summary_Water'!M76,'Facility Discharge Summary'!J:J,0))</f>
        <v>15.645770625000001</v>
      </c>
    </row>
    <row r="77" spans="1:23" ht="30" x14ac:dyDescent="0.25">
      <c r="A77" s="9">
        <v>76</v>
      </c>
      <c r="B77" s="10" t="str">
        <f>IF(COUNTIF('Processed Non-zero TRI Data'!J:J,'Facility Summary_Water'!M77)&gt;0, "TRI Form " &amp; INDEX('Processed Non-zero TRI Data'!K:K,MATCH('Facility Summary_Water'!M77,'Processed Non-zero TRI Data'!J:J,0)), "" )</f>
        <v/>
      </c>
      <c r="C77" s="10" t="str">
        <f>IF(COUNTIF('Processed Non-zero DMR Data'!I:I, 'Facility Summary_Water'!M77)&gt;0, "DMR", "")</f>
        <v>DMR</v>
      </c>
      <c r="D77" s="10"/>
      <c r="E77" s="10" t="s">
        <v>278</v>
      </c>
      <c r="F77" s="10"/>
      <c r="G77" s="10" t="s">
        <v>279</v>
      </c>
      <c r="H77" s="10" t="s">
        <v>138</v>
      </c>
      <c r="I77" s="10"/>
      <c r="J77" s="9">
        <f>IF(L77&lt;&gt;"", INDEX('Processed Non-zero TRI Data'!$G:$G, MATCH(L77, 'Processed Non-zero TRI Data'!$I:$I,0)), INDEX('Processed Non-zero DMR Data'!$F:$F, MATCH(M77,'Processed Non-zero DMR Data'!$I:$I, 0)))</f>
        <v>38.002597000000002</v>
      </c>
      <c r="K77" s="9">
        <f>IF(L77&lt;&gt;"", INDEX('Processed Non-zero TRI Data'!$H:$H, MATCH(L77, 'Processed Non-zero TRI Data'!$I:$I,0)), INDEX('Processed Non-zero DMR Data'!$G:$G, MATCH(M77,'Processed Non-zero DMR Data'!$I:$I, 0)))</f>
        <v>-86.117904999999993</v>
      </c>
      <c r="L77" s="10"/>
      <c r="M77" s="259">
        <v>110000377976</v>
      </c>
      <c r="N77" s="9">
        <f>IF(L77&lt;&gt;"",INDEX('Processed Non-zero TRI Data'!L:L,MATCH('Facility Summary_Water'!L77,'Processed Non-zero TRI Data'!I:I,0)),INDEX('Processed Non-zero DMR Data'!$L:$L,MATCH('Facility Summary_Water'!M77,'Processed Non-zero DMR Data'!$I:$I,0)))</f>
        <v>325110</v>
      </c>
      <c r="O77" s="10" t="str">
        <f>INDEX('2017 - 2022 NAICS'!D:D,MATCH('Facility Summary_Water'!N77,'2017 - 2022 NAICS'!C:C,0))</f>
        <v>Petrochemical Manufacturing</v>
      </c>
      <c r="P77" s="10" t="str">
        <f>IFERROR(VLOOKUP(L77, 'Processed Non-zero TRI Data'!I:Q, 8, 0), "Direct")</f>
        <v>Direct</v>
      </c>
      <c r="Q77" s="10" t="e">
        <f>VLOOKUP(R77,#REF!, 2, FALSE)</f>
        <v>#REF!</v>
      </c>
      <c r="R77" s="10" t="str">
        <f>INDEX('Facility Discharge Summary'!D:D, MATCH('Facility Summary_Water'!M77, 'Facility Discharge Summary'!J:J,0))</f>
        <v>Processing as a reactant</v>
      </c>
      <c r="S77" s="10" t="str">
        <f>INDEX('Processed Non-zero DMR Data'!T:T, MATCH('Facility Summary_Water'!M77, 'Processed Non-zero DMR Data'!I:I,0))</f>
        <v>Assumed processing as a reactant based on SIC and NAICS. Not known MFG site.</v>
      </c>
      <c r="T77" s="10" t="s">
        <v>72</v>
      </c>
      <c r="U77" s="9">
        <f>INDEX('TRI and DMR OES Summary'!D:D, MATCH('Facility Summary_Water'!R77,'TRI and DMR OES Summary'!A:A,0))</f>
        <v>350</v>
      </c>
      <c r="V77" s="258">
        <f>INDEX('Facility Discharge Summary'!AR:AR,MATCH('Facility Summary_Water'!M77,'Facility Discharge Summary'!J:J,0))</f>
        <v>0</v>
      </c>
      <c r="W77" s="258">
        <f>INDEX('Facility Discharge Summary'!T:T,MATCH('Facility Summary_Water'!M77,'Facility Discharge Summary'!J:J,0))</f>
        <v>0.78337699999999999</v>
      </c>
    </row>
    <row r="78" spans="1:23" x14ac:dyDescent="0.25">
      <c r="A78" s="9">
        <v>77</v>
      </c>
      <c r="B78" s="10" t="str">
        <f>IF(COUNTIF('Processed Non-zero TRI Data'!J:J,'Facility Summary_Water'!M78)&gt;0, "TRI Form " &amp; INDEX('Processed Non-zero TRI Data'!K:K,MATCH('Facility Summary_Water'!M78,'Processed Non-zero TRI Data'!J:J,0)), "" )</f>
        <v/>
      </c>
      <c r="C78" s="10" t="str">
        <f>IF(COUNTIF('Processed Non-zero DMR Data'!I:I, 'Facility Summary_Water'!M78)&gt;0, "DMR", "")</f>
        <v>DMR</v>
      </c>
      <c r="D78" s="10"/>
      <c r="E78" s="10" t="s">
        <v>280</v>
      </c>
      <c r="F78" s="10"/>
      <c r="G78" s="10" t="s">
        <v>281</v>
      </c>
      <c r="H78" s="10" t="s">
        <v>186</v>
      </c>
      <c r="I78" s="10"/>
      <c r="J78" s="9">
        <f>IF(L78&lt;&gt;"", INDEX('Processed Non-zero TRI Data'!$G:$G, MATCH(L78, 'Processed Non-zero TRI Data'!$I:$I,0)), INDEX('Processed Non-zero DMR Data'!$F:$F, MATCH(M78,'Processed Non-zero DMR Data'!$I:$I, 0)))</f>
        <v>21.329699999999999</v>
      </c>
      <c r="K78" s="9">
        <f>IF(L78&lt;&gt;"", INDEX('Processed Non-zero TRI Data'!$H:$H, MATCH(L78, 'Processed Non-zero TRI Data'!$I:$I,0)), INDEX('Processed Non-zero DMR Data'!$G:$G, MATCH(M78,'Processed Non-zero DMR Data'!$I:$I, 0)))</f>
        <v>-158.03559999999999</v>
      </c>
      <c r="L78" s="10"/>
      <c r="M78" s="259">
        <v>110020728943</v>
      </c>
      <c r="N78" s="9">
        <f>IF(L78&lt;&gt;"",INDEX('Processed Non-zero TRI Data'!L:L,MATCH('Facility Summary_Water'!L78,'Processed Non-zero TRI Data'!I:I,0)),INDEX('Processed Non-zero DMR Data'!$L:$L,MATCH('Facility Summary_Water'!M78,'Processed Non-zero DMR Data'!$I:$I,0)))</f>
        <v>221320</v>
      </c>
      <c r="O78" s="10" t="str">
        <f>INDEX('2017 - 2022 NAICS'!D:D,MATCH('Facility Summary_Water'!N78,'2017 - 2022 NAICS'!C:C,0))</f>
        <v>Sewage Treatment Facilities</v>
      </c>
      <c r="P78" s="10" t="str">
        <f>IFERROR(VLOOKUP(L78, 'Processed Non-zero TRI Data'!I:Q, 8, 0), "Direct")</f>
        <v>Direct</v>
      </c>
      <c r="Q78" s="10" t="e">
        <f>VLOOKUP(R78,#REF!, 2, FALSE)</f>
        <v>#REF!</v>
      </c>
      <c r="R78" s="10" t="str">
        <f>INDEX('Facility Discharge Summary'!D:D, MATCH('Facility Summary_Water'!M78, 'Facility Discharge Summary'!J:J,0))</f>
        <v>Waste Handling, Disposal and Treatment (POTW)</v>
      </c>
      <c r="S78" s="10" t="str">
        <f>INDEX('Processed Non-zero DMR Data'!T:T, MATCH('Facility Summary_Water'!M78, 'Processed Non-zero DMR Data'!I:I,0))</f>
        <v>POTW indicator in DMR</v>
      </c>
      <c r="T78" s="10" t="s">
        <v>72</v>
      </c>
      <c r="U78" s="9">
        <f>INDEX('TRI and DMR OES Summary'!D:D, MATCH('Facility Summary_Water'!R78,'TRI and DMR OES Summary'!A:A,0))</f>
        <v>365</v>
      </c>
      <c r="V78" s="258">
        <f>INDEX('Facility Discharge Summary'!AR:AR,MATCH('Facility Summary_Water'!M78,'Facility Discharge Summary'!J:J,0))</f>
        <v>0</v>
      </c>
      <c r="W78" s="258">
        <f>INDEX('Facility Discharge Summary'!T:T,MATCH('Facility Summary_Water'!M78,'Facility Discharge Summary'!J:J,0))</f>
        <v>0.35673467543999998</v>
      </c>
    </row>
    <row r="79" spans="1:23" ht="30" x14ac:dyDescent="0.25">
      <c r="A79" s="9">
        <v>78</v>
      </c>
      <c r="B79" s="10" t="str">
        <f>IF(COUNTIF('Processed Non-zero TRI Data'!J:J,'Facility Summary_Water'!M79)&gt;0, "TRI Form " &amp; INDEX('Processed Non-zero TRI Data'!K:K,MATCH('Facility Summary_Water'!M79,'Processed Non-zero TRI Data'!J:J,0)), "" )</f>
        <v/>
      </c>
      <c r="C79" s="10" t="str">
        <f>IF(COUNTIF('Processed Non-zero DMR Data'!I:I, 'Facility Summary_Water'!M79)&gt;0, "DMR", "")</f>
        <v>DMR</v>
      </c>
      <c r="D79" s="10"/>
      <c r="E79" s="10" t="s">
        <v>282</v>
      </c>
      <c r="F79" s="10"/>
      <c r="G79" s="10" t="s">
        <v>283</v>
      </c>
      <c r="H79" s="10" t="s">
        <v>153</v>
      </c>
      <c r="I79" s="10"/>
      <c r="J79" s="9">
        <f>IF(L79&lt;&gt;"", INDEX('Processed Non-zero TRI Data'!$G:$G, MATCH(L79, 'Processed Non-zero TRI Data'!$I:$I,0)), INDEX('Processed Non-zero DMR Data'!$F:$F, MATCH(M79,'Processed Non-zero DMR Data'!$I:$I, 0)))</f>
        <v>40.331944</v>
      </c>
      <c r="K79" s="9">
        <f>IF(L79&lt;&gt;"", INDEX('Processed Non-zero TRI Data'!$H:$H, MATCH(L79, 'Processed Non-zero TRI Data'!$I:$I,0)), INDEX('Processed Non-zero DMR Data'!$G:$G, MATCH(M79,'Processed Non-zero DMR Data'!$I:$I, 0)))</f>
        <v>-74.619721999999996</v>
      </c>
      <c r="L79" s="10"/>
      <c r="M79" s="259">
        <v>110000321651</v>
      </c>
      <c r="N79" s="9">
        <f>IF(L79&lt;&gt;"",INDEX('Processed Non-zero TRI Data'!L:L,MATCH('Facility Summary_Water'!L79,'Processed Non-zero TRI Data'!I:I,0)),INDEX('Processed Non-zero DMR Data'!$L:$L,MATCH('Facility Summary_Water'!M79,'Processed Non-zero DMR Data'!$I:$I,0)))</f>
        <v>325110</v>
      </c>
      <c r="O79" s="10" t="str">
        <f>INDEX('2017 - 2022 NAICS'!D:D,MATCH('Facility Summary_Water'!N79,'2017 - 2022 NAICS'!C:C,0))</f>
        <v>Petrochemical Manufacturing</v>
      </c>
      <c r="P79" s="10" t="str">
        <f>IFERROR(VLOOKUP(L79, 'Processed Non-zero TRI Data'!I:Q, 8, 0), "Direct")</f>
        <v>Direct</v>
      </c>
      <c r="Q79" s="10" t="e">
        <f>VLOOKUP(R79,#REF!, 2, FALSE)</f>
        <v>#REF!</v>
      </c>
      <c r="R79" s="10" t="str">
        <f>INDEX('Facility Discharge Summary'!D:D, MATCH('Facility Summary_Water'!M79, 'Facility Discharge Summary'!J:J,0))</f>
        <v>Processing as a reactant</v>
      </c>
      <c r="S79" s="10" t="str">
        <f>INDEX('Processed Non-zero DMR Data'!T:T, MATCH('Facility Summary_Water'!M79, 'Processed Non-zero DMR Data'!I:I,0))</f>
        <v>Assumed processing as a reactant based on SIC and NAICS; this also matches 1,1,-DCA mapping.</v>
      </c>
      <c r="T79" s="10" t="s">
        <v>72</v>
      </c>
      <c r="U79" s="9">
        <f>INDEX('TRI and DMR OES Summary'!D:D, MATCH('Facility Summary_Water'!R79,'TRI and DMR OES Summary'!A:A,0))</f>
        <v>350</v>
      </c>
      <c r="V79" s="258">
        <f>INDEX('Facility Discharge Summary'!AR:AR,MATCH('Facility Summary_Water'!M79,'Facility Discharge Summary'!J:J,0))</f>
        <v>0</v>
      </c>
      <c r="W79" s="258">
        <f>INDEX('Facility Discharge Summary'!T:T,MATCH('Facility Summary_Water'!M79,'Facility Discharge Summary'!J:J,0))</f>
        <v>3.0695E-2</v>
      </c>
    </row>
    <row r="80" spans="1:23" ht="30" x14ac:dyDescent="0.25">
      <c r="A80" s="9">
        <v>79</v>
      </c>
      <c r="B80" s="10" t="str">
        <f>IF(COUNTIF('Processed Non-zero TRI Data'!J:J,'Facility Summary_Water'!M80)&gt;0, "TRI Form " &amp; INDEX('Processed Non-zero TRI Data'!K:K,MATCH('Facility Summary_Water'!M80,'Processed Non-zero TRI Data'!J:J,0)), "" )</f>
        <v/>
      </c>
      <c r="C80" s="10" t="str">
        <f>IF(COUNTIF('Processed Non-zero DMR Data'!I:I, 'Facility Summary_Water'!M80)&gt;0, "DMR", "")</f>
        <v>DMR</v>
      </c>
      <c r="D80" s="10"/>
      <c r="E80" s="10" t="s">
        <v>284</v>
      </c>
      <c r="F80" s="10"/>
      <c r="G80" s="10" t="s">
        <v>285</v>
      </c>
      <c r="H80" s="10" t="s">
        <v>146</v>
      </c>
      <c r="I80" s="10"/>
      <c r="J80" s="9">
        <f>IF(L80&lt;&gt;"", INDEX('Processed Non-zero TRI Data'!$G:$G, MATCH(L80, 'Processed Non-zero TRI Data'!$I:$I,0)), INDEX('Processed Non-zero DMR Data'!$F:$F, MATCH(M80,'Processed Non-zero DMR Data'!$I:$I, 0)))</f>
        <v>37.636249999999997</v>
      </c>
      <c r="K80" s="9">
        <f>IF(L80&lt;&gt;"", INDEX('Processed Non-zero TRI Data'!$H:$H, MATCH(L80, 'Processed Non-zero TRI Data'!$I:$I,0)), INDEX('Processed Non-zero DMR Data'!$G:$G, MATCH(M80,'Processed Non-zero DMR Data'!$I:$I, 0)))</f>
        <v>-122.38583</v>
      </c>
      <c r="L80" s="10"/>
      <c r="M80" s="259">
        <v>110064622519</v>
      </c>
      <c r="N80" s="9">
        <f>IF(L80&lt;&gt;"",INDEX('Processed Non-zero TRI Data'!L:L,MATCH('Facility Summary_Water'!L80,'Processed Non-zero TRI Data'!I:I,0)),INDEX('Processed Non-zero DMR Data'!$L:$L,MATCH('Facility Summary_Water'!M80,'Processed Non-zero DMR Data'!$I:$I,0)))</f>
        <v>221320</v>
      </c>
      <c r="O80" s="10" t="str">
        <f>INDEX('2017 - 2022 NAICS'!D:D,MATCH('Facility Summary_Water'!N80,'2017 - 2022 NAICS'!C:C,0))</f>
        <v>Sewage Treatment Facilities</v>
      </c>
      <c r="P80" s="10" t="str">
        <f>IFERROR(VLOOKUP(L80, 'Processed Non-zero TRI Data'!I:Q, 8, 0), "Direct")</f>
        <v>Direct</v>
      </c>
      <c r="Q80" s="10" t="e">
        <f>VLOOKUP(R80,#REF!, 2, FALSE)</f>
        <v>#REF!</v>
      </c>
      <c r="R80" s="10" t="str">
        <f>INDEX('Facility Discharge Summary'!D:D, MATCH('Facility Summary_Water'!M80, 'Facility Discharge Summary'!J:J,0))</f>
        <v>Waste Handling, Disposal and Treatment (POTW)</v>
      </c>
      <c r="S80" s="10" t="str">
        <f>INDEX('Processed Non-zero DMR Data'!T:T, MATCH('Facility Summary_Water'!M80, 'Processed Non-zero DMR Data'!I:I,0))</f>
        <v>POTW indicator in DMR</v>
      </c>
      <c r="T80" s="10" t="s">
        <v>72</v>
      </c>
      <c r="U80" s="9">
        <f>INDEX('TRI and DMR OES Summary'!D:D, MATCH('Facility Summary_Water'!R80,'TRI and DMR OES Summary'!A:A,0))</f>
        <v>365</v>
      </c>
      <c r="V80" s="258">
        <f>INDEX('Facility Discharge Summary'!AR:AR,MATCH('Facility Summary_Water'!M80,'Facility Discharge Summary'!J:J,0))</f>
        <v>0</v>
      </c>
      <c r="W80" s="258">
        <f>INDEX('Facility Discharge Summary'!T:T,MATCH('Facility Summary_Water'!M80,'Facility Discharge Summary'!J:J,0))</f>
        <v>6.4240912499999997E-2</v>
      </c>
    </row>
    <row r="81" spans="1:23" x14ac:dyDescent="0.25">
      <c r="A81" s="9">
        <v>80</v>
      </c>
      <c r="B81" s="10" t="str">
        <f>IF(COUNTIF('Processed Non-zero TRI Data'!J:J,'Facility Summary_Water'!M81)&gt;0, "TRI Form " &amp; INDEX('Processed Non-zero TRI Data'!K:K,MATCH('Facility Summary_Water'!M81,'Processed Non-zero TRI Data'!J:J,0)), "" )</f>
        <v/>
      </c>
      <c r="C81" s="10" t="str">
        <f>IF(COUNTIF('Processed Non-zero DMR Data'!I:I, 'Facility Summary_Water'!M81)&gt;0, "DMR", "")</f>
        <v>DMR</v>
      </c>
      <c r="D81" s="10"/>
      <c r="E81" s="10" t="s">
        <v>286</v>
      </c>
      <c r="F81" s="10"/>
      <c r="G81" s="10" t="s">
        <v>150</v>
      </c>
      <c r="H81" s="10" t="s">
        <v>138</v>
      </c>
      <c r="I81" s="10"/>
      <c r="J81" s="9">
        <f>IF(L81&lt;&gt;"", INDEX('Processed Non-zero TRI Data'!$G:$G, MATCH(L81, 'Processed Non-zero TRI Data'!$I:$I,0)), INDEX('Processed Non-zero DMR Data'!$F:$F, MATCH(M81,'Processed Non-zero DMR Data'!$I:$I, 0)))</f>
        <v>37.770769999999999</v>
      </c>
      <c r="K81" s="9">
        <f>IF(L81&lt;&gt;"", INDEX('Processed Non-zero TRI Data'!$H:$H, MATCH(L81, 'Processed Non-zero TRI Data'!$I:$I,0)), INDEX('Processed Non-zero DMR Data'!$G:$G, MATCH(M81,'Processed Non-zero DMR Data'!$I:$I, 0)))</f>
        <v>-87.065669999999997</v>
      </c>
      <c r="L81" s="10"/>
      <c r="M81" s="259">
        <v>110043734983</v>
      </c>
      <c r="N81" s="9">
        <f>IF(L81&lt;&gt;"",INDEX('Processed Non-zero TRI Data'!L:L,MATCH('Facility Summary_Water'!L81,'Processed Non-zero TRI Data'!I:I,0)),INDEX('Processed Non-zero DMR Data'!$L:$L,MATCH('Facility Summary_Water'!M81,'Processed Non-zero DMR Data'!$I:$I,0)))</f>
        <v>221320</v>
      </c>
      <c r="O81" s="10" t="str">
        <f>INDEX('2017 - 2022 NAICS'!D:D,MATCH('Facility Summary_Water'!N81,'2017 - 2022 NAICS'!C:C,0))</f>
        <v>Sewage Treatment Facilities</v>
      </c>
      <c r="P81" s="10" t="str">
        <f>IFERROR(VLOOKUP(L81, 'Processed Non-zero TRI Data'!I:Q, 8, 0), "Direct")</f>
        <v>Direct</v>
      </c>
      <c r="Q81" s="10" t="e">
        <f>VLOOKUP(R81,#REF!, 2, FALSE)</f>
        <v>#REF!</v>
      </c>
      <c r="R81" s="10" t="str">
        <f>INDEX('Facility Discharge Summary'!D:D, MATCH('Facility Summary_Water'!M81, 'Facility Discharge Summary'!J:J,0))</f>
        <v>Waste Handling, Disposal and Treatment (POTW)</v>
      </c>
      <c r="S81" s="10" t="str">
        <f>INDEX('Processed Non-zero DMR Data'!T:T, MATCH('Facility Summary_Water'!M81, 'Processed Non-zero DMR Data'!I:I,0))</f>
        <v>POTW indicator in DMR</v>
      </c>
      <c r="T81" s="10" t="s">
        <v>72</v>
      </c>
      <c r="U81" s="9">
        <f>INDEX('TRI and DMR OES Summary'!D:D, MATCH('Facility Summary_Water'!R81,'TRI and DMR OES Summary'!A:A,0))</f>
        <v>365</v>
      </c>
      <c r="V81" s="258">
        <f>INDEX('Facility Discharge Summary'!AR:AR,MATCH('Facility Summary_Water'!M81,'Facility Discharge Summary'!J:J,0))</f>
        <v>0</v>
      </c>
      <c r="W81" s="258">
        <f>INDEX('Facility Discharge Summary'!T:T,MATCH('Facility Summary_Water'!M81,'Facility Discharge Summary'!J:J,0))</f>
        <v>29.9790925</v>
      </c>
    </row>
    <row r="82" spans="1:23" ht="45" x14ac:dyDescent="0.25">
      <c r="A82" s="9">
        <v>81</v>
      </c>
      <c r="B82" s="10" t="str">
        <f>IF(COUNTIF('Processed Non-zero TRI Data'!J:J,'Facility Summary_Water'!M82)&gt;0, "TRI Form " &amp; INDEX('Processed Non-zero TRI Data'!K:K,MATCH('Facility Summary_Water'!M82,'Processed Non-zero TRI Data'!J:J,0)), "" )</f>
        <v/>
      </c>
      <c r="C82" s="10" t="str">
        <f>IF(COUNTIF('Processed Non-zero DMR Data'!I:I, 'Facility Summary_Water'!M82)&gt;0, "DMR", "")</f>
        <v>DMR</v>
      </c>
      <c r="D82" s="10"/>
      <c r="E82" s="10" t="s">
        <v>287</v>
      </c>
      <c r="F82" s="10"/>
      <c r="G82" s="10" t="s">
        <v>288</v>
      </c>
      <c r="H82" s="10" t="s">
        <v>289</v>
      </c>
      <c r="I82" s="10"/>
      <c r="J82" s="9">
        <f>IF(L82&lt;&gt;"", INDEX('Processed Non-zero TRI Data'!$G:$G, MATCH(L82, 'Processed Non-zero TRI Data'!$I:$I,0)), INDEX('Processed Non-zero DMR Data'!$F:$F, MATCH(M82,'Processed Non-zero DMR Data'!$I:$I, 0)))</f>
        <v>34.632592000000002</v>
      </c>
      <c r="K82" s="9">
        <f>IF(L82&lt;&gt;"", INDEX('Processed Non-zero TRI Data'!$H:$H, MATCH(L82, 'Processed Non-zero TRI Data'!$I:$I,0)), INDEX('Processed Non-zero DMR Data'!$G:$G, MATCH(M82,'Processed Non-zero DMR Data'!$I:$I, 0)))</f>
        <v>-84.927667999999997</v>
      </c>
      <c r="L82" s="10"/>
      <c r="M82" s="259">
        <v>110000611703</v>
      </c>
      <c r="N82" s="9">
        <f>IF(L82&lt;&gt;"",INDEX('Processed Non-zero TRI Data'!L:L,MATCH('Facility Summary_Water'!L82,'Processed Non-zero TRI Data'!I:I,0)),INDEX('Processed Non-zero DMR Data'!$L:$L,MATCH('Facility Summary_Water'!M82,'Processed Non-zero DMR Data'!$I:$I,0)))</f>
        <v>325211</v>
      </c>
      <c r="O82" s="10" t="str">
        <f>INDEX('2017 - 2022 NAICS'!D:D,MATCH('Facility Summary_Water'!N82,'2017 - 2022 NAICS'!C:C,0))</f>
        <v>Plastics Material and Resin Manufacturing</v>
      </c>
      <c r="P82" s="10" t="str">
        <f>IFERROR(VLOOKUP(L82, 'Processed Non-zero TRI Data'!I:Q, 8, 0), "Direct")</f>
        <v>Direct</v>
      </c>
      <c r="Q82" s="10" t="e">
        <f>VLOOKUP(R82,#REF!, 2, FALSE)</f>
        <v>#REF!</v>
      </c>
      <c r="R82" s="10" t="str">
        <f>INDEX('Facility Discharge Summary'!D:D, MATCH('Facility Summary_Water'!M82, 'Facility Discharge Summary'!J:J,0))</f>
        <v>Impurity in Plastics</v>
      </c>
      <c r="S82" s="10" t="str">
        <f>INDEX('Processed Non-zero DMR Data'!T:T, MATCH('Facility Summary_Water'!M82, 'Processed Non-zero DMR Data'!I:I,0))</f>
        <v>Plastics SIC/NAICS - EPA-HQ-OPPT-2018-0428-0011 indicates 1,2-dichloropropane can be a residual/byproduct in PVC plastics or a flame retardant plasticizer.</v>
      </c>
      <c r="T82" s="10" t="s">
        <v>72</v>
      </c>
      <c r="U82" s="9">
        <f>INDEX('TRI and DMR OES Summary'!D:D, MATCH('Facility Summary_Water'!R82,'TRI and DMR OES Summary'!A:A,0))</f>
        <v>350</v>
      </c>
      <c r="V82" s="258">
        <f>INDEX('Facility Discharge Summary'!AR:AR,MATCH('Facility Summary_Water'!M82,'Facility Discharge Summary'!J:J,0))</f>
        <v>0</v>
      </c>
      <c r="W82" s="258">
        <f>INDEX('Facility Discharge Summary'!T:T,MATCH('Facility Summary_Water'!M82,'Facility Discharge Summary'!J:J,0))</f>
        <v>2.8147999999999999E-2</v>
      </c>
    </row>
    <row r="83" spans="1:23" ht="45" x14ac:dyDescent="0.25">
      <c r="A83" s="9">
        <v>82</v>
      </c>
      <c r="B83" s="10" t="str">
        <f>IF(COUNTIF('Processed Non-zero TRI Data'!J:J,'Facility Summary_Water'!M83)&gt;0, "TRI Form " &amp; INDEX('Processed Non-zero TRI Data'!K:K,MATCH('Facility Summary_Water'!M83,'Processed Non-zero TRI Data'!J:J,0)), "" )</f>
        <v/>
      </c>
      <c r="C83" s="10" t="str">
        <f>IF(COUNTIF('Processed Non-zero DMR Data'!I:I, 'Facility Summary_Water'!M83)&gt;0, "DMR", "")</f>
        <v>DMR</v>
      </c>
      <c r="D83" s="10"/>
      <c r="E83" s="10" t="s">
        <v>290</v>
      </c>
      <c r="F83" s="10"/>
      <c r="G83" s="10" t="s">
        <v>291</v>
      </c>
      <c r="H83" s="10" t="s">
        <v>292</v>
      </c>
      <c r="I83" s="10"/>
      <c r="J83" s="9">
        <f>IF(L83&lt;&gt;"", INDEX('Processed Non-zero TRI Data'!$G:$G, MATCH(L83, 'Processed Non-zero TRI Data'!$I:$I,0)), INDEX('Processed Non-zero DMR Data'!$F:$F, MATCH(M83,'Processed Non-zero DMR Data'!$I:$I, 0)))</f>
        <v>37.907200000000003</v>
      </c>
      <c r="K83" s="9">
        <f>IF(L83&lt;&gt;"", INDEX('Processed Non-zero TRI Data'!$H:$H, MATCH(L83, 'Processed Non-zero TRI Data'!$I:$I,0)), INDEX('Processed Non-zero DMR Data'!$G:$G, MATCH(M83,'Processed Non-zero DMR Data'!$I:$I, 0)))</f>
        <v>-87.927099999999996</v>
      </c>
      <c r="L83" s="10"/>
      <c r="M83" s="259">
        <v>110000403670</v>
      </c>
      <c r="N83" s="9">
        <f>IF(L83&lt;&gt;"",INDEX('Processed Non-zero TRI Data'!L:L,MATCH('Facility Summary_Water'!L83,'Processed Non-zero TRI Data'!I:I,0)),INDEX('Processed Non-zero DMR Data'!$L:$L,MATCH('Facility Summary_Water'!M83,'Processed Non-zero DMR Data'!$I:$I,0)))</f>
        <v>325211</v>
      </c>
      <c r="O83" s="10" t="str">
        <f>INDEX('2017 - 2022 NAICS'!D:D,MATCH('Facility Summary_Water'!N83,'2017 - 2022 NAICS'!C:C,0))</f>
        <v>Plastics Material and Resin Manufacturing</v>
      </c>
      <c r="P83" s="10" t="str">
        <f>IFERROR(VLOOKUP(L83, 'Processed Non-zero TRI Data'!I:Q, 8, 0), "Direct")</f>
        <v>Direct</v>
      </c>
      <c r="Q83" s="10" t="e">
        <f>VLOOKUP(R83,#REF!, 2, FALSE)</f>
        <v>#REF!</v>
      </c>
      <c r="R83" s="10" t="str">
        <f>INDEX('Facility Discharge Summary'!D:D, MATCH('Facility Summary_Water'!M83, 'Facility Discharge Summary'!J:J,0))</f>
        <v>Impurity in Plastics</v>
      </c>
      <c r="S83" s="10" t="str">
        <f>INDEX('Processed Non-zero DMR Data'!T:T, MATCH('Facility Summary_Water'!M83, 'Processed Non-zero DMR Data'!I:I,0))</f>
        <v>Plastics SIC/NAICS - EPA-HQ-OPPT-2018-0428-0011 indicates 1,2-dichloropropane can be a residual/byproduct in PVC plastics or a flame retardant plasticizer.</v>
      </c>
      <c r="T83" s="10" t="s">
        <v>72</v>
      </c>
      <c r="U83" s="9">
        <f>INDEX('TRI and DMR OES Summary'!D:D, MATCH('Facility Summary_Water'!R83,'TRI and DMR OES Summary'!A:A,0))</f>
        <v>350</v>
      </c>
      <c r="V83" s="258">
        <f>INDEX('Facility Discharge Summary'!AR:AR,MATCH('Facility Summary_Water'!M83,'Facility Discharge Summary'!J:J,0))</f>
        <v>0</v>
      </c>
      <c r="W83" s="258">
        <f>INDEX('Facility Discharge Summary'!T:T,MATCH('Facility Summary_Water'!M83,'Facility Discharge Summary'!J:J,0))</f>
        <v>10.859680000000001</v>
      </c>
    </row>
    <row r="84" spans="1:23" x14ac:dyDescent="0.25">
      <c r="A84" s="9">
        <v>83</v>
      </c>
      <c r="B84" s="10" t="str">
        <f>IF(COUNTIF('Processed Non-zero TRI Data'!J:J,'Facility Summary_Water'!M84)&gt;0, "TRI Form " &amp; INDEX('Processed Non-zero TRI Data'!K:K,MATCH('Facility Summary_Water'!M84,'Processed Non-zero TRI Data'!J:J,0)), "" )</f>
        <v/>
      </c>
      <c r="C84" s="10" t="str">
        <f>IF(COUNTIF('Processed Non-zero DMR Data'!I:I, 'Facility Summary_Water'!M84)&gt;0, "DMR", "")</f>
        <v>DMR</v>
      </c>
      <c r="D84" s="10"/>
      <c r="E84" s="10" t="s">
        <v>293</v>
      </c>
      <c r="F84" s="10"/>
      <c r="G84" s="10" t="s">
        <v>294</v>
      </c>
      <c r="H84" s="10" t="s">
        <v>138</v>
      </c>
      <c r="I84" s="10"/>
      <c r="J84" s="9">
        <f>IF(L84&lt;&gt;"", INDEX('Processed Non-zero TRI Data'!$G:$G, MATCH(L84, 'Processed Non-zero TRI Data'!$I:$I,0)), INDEX('Processed Non-zero DMR Data'!$F:$F, MATCH(M84,'Processed Non-zero DMR Data'!$I:$I, 0)))</f>
        <v>38.151904999999999</v>
      </c>
      <c r="K84" s="9">
        <f>IF(L84&lt;&gt;"", INDEX('Processed Non-zero TRI Data'!$H:$H, MATCH(L84, 'Processed Non-zero TRI Data'!$I:$I,0)), INDEX('Processed Non-zero DMR Data'!$G:$G, MATCH(M84,'Processed Non-zero DMR Data'!$I:$I, 0)))</f>
        <v>-83.513848999999993</v>
      </c>
      <c r="L84" s="10"/>
      <c r="M84" s="259">
        <v>110045085457</v>
      </c>
      <c r="N84" s="9">
        <f>IF(L84&lt;&gt;"",INDEX('Processed Non-zero TRI Data'!L:L,MATCH('Facility Summary_Water'!L84,'Processed Non-zero TRI Data'!I:I,0)),INDEX('Processed Non-zero DMR Data'!$L:$L,MATCH('Facility Summary_Water'!M84,'Processed Non-zero DMR Data'!$I:$I,0)))</f>
        <v>221320</v>
      </c>
      <c r="O84" s="10" t="str">
        <f>INDEX('2017 - 2022 NAICS'!D:D,MATCH('Facility Summary_Water'!N84,'2017 - 2022 NAICS'!C:C,0))</f>
        <v>Sewage Treatment Facilities</v>
      </c>
      <c r="P84" s="10" t="str">
        <f>IFERROR(VLOOKUP(L84, 'Processed Non-zero TRI Data'!I:Q, 8, 0), "Direct")</f>
        <v>Direct</v>
      </c>
      <c r="Q84" s="10" t="e">
        <f>VLOOKUP(R84,#REF!, 2, FALSE)</f>
        <v>#REF!</v>
      </c>
      <c r="R84" s="10" t="str">
        <f>INDEX('Facility Discharge Summary'!D:D, MATCH('Facility Summary_Water'!M84, 'Facility Discharge Summary'!J:J,0))</f>
        <v>Waste Handling, Disposal and Treatment (POTW)</v>
      </c>
      <c r="S84" s="10" t="str">
        <f>INDEX('Processed Non-zero DMR Data'!T:T, MATCH('Facility Summary_Water'!M84, 'Processed Non-zero DMR Data'!I:I,0))</f>
        <v>POTW indicator in DMR</v>
      </c>
      <c r="T84" s="10" t="s">
        <v>72</v>
      </c>
      <c r="U84" s="9">
        <f>INDEX('TRI and DMR OES Summary'!D:D, MATCH('Facility Summary_Water'!R84,'TRI and DMR OES Summary'!A:A,0))</f>
        <v>365</v>
      </c>
      <c r="V84" s="258">
        <f>INDEX('Facility Discharge Summary'!AR:AR,MATCH('Facility Summary_Water'!M84,'Facility Discharge Summary'!J:J,0))</f>
        <v>0</v>
      </c>
      <c r="W84" s="258">
        <f>INDEX('Facility Discharge Summary'!T:T,MATCH('Facility Summary_Water'!M84,'Facility Discharge Summary'!J:J,0))</f>
        <v>2.6352589375000002</v>
      </c>
    </row>
    <row r="85" spans="1:23" x14ac:dyDescent="0.25">
      <c r="A85" s="9">
        <v>84</v>
      </c>
      <c r="B85" s="10" t="str">
        <f>IF(COUNTIF('Processed Non-zero TRI Data'!J:J,'Facility Summary_Water'!M85)&gt;0, "TRI Form " &amp; INDEX('Processed Non-zero TRI Data'!K:K,MATCH('Facility Summary_Water'!M85,'Processed Non-zero TRI Data'!J:J,0)), "" )</f>
        <v/>
      </c>
      <c r="C85" s="10" t="str">
        <f>IF(COUNTIF('Processed Non-zero DMR Data'!I:I, 'Facility Summary_Water'!M85)&gt;0, "DMR", "")</f>
        <v>DMR</v>
      </c>
      <c r="D85" s="10"/>
      <c r="E85" s="10" t="s">
        <v>295</v>
      </c>
      <c r="F85" s="10"/>
      <c r="G85" s="10" t="s">
        <v>235</v>
      </c>
      <c r="H85" s="10" t="s">
        <v>138</v>
      </c>
      <c r="I85" s="10"/>
      <c r="J85" s="9">
        <f>IF(L85&lt;&gt;"", INDEX('Processed Non-zero TRI Data'!$G:$G, MATCH(L85, 'Processed Non-zero TRI Data'!$I:$I,0)), INDEX('Processed Non-zero DMR Data'!$F:$F, MATCH(M85,'Processed Non-zero DMR Data'!$I:$I, 0)))</f>
        <v>38.08614</v>
      </c>
      <c r="K85" s="9">
        <f>IF(L85&lt;&gt;"", INDEX('Processed Non-zero TRI Data'!$H:$H, MATCH(L85, 'Processed Non-zero TRI Data'!$I:$I,0)), INDEX('Processed Non-zero DMR Data'!$G:$G, MATCH(M85,'Processed Non-zero DMR Data'!$I:$I, 0)))</f>
        <v>-85.898780000000002</v>
      </c>
      <c r="L85" s="10"/>
      <c r="M85" s="259">
        <v>110000732379</v>
      </c>
      <c r="N85" s="9">
        <f>IF(L85&lt;&gt;"",INDEX('Processed Non-zero TRI Data'!L:L,MATCH('Facility Summary_Water'!L85,'Processed Non-zero TRI Data'!I:I,0)),INDEX('Processed Non-zero DMR Data'!$L:$L,MATCH('Facility Summary_Water'!M85,'Processed Non-zero DMR Data'!$I:$I,0)))</f>
        <v>221320</v>
      </c>
      <c r="O85" s="10" t="str">
        <f>INDEX('2017 - 2022 NAICS'!D:D,MATCH('Facility Summary_Water'!N85,'2017 - 2022 NAICS'!C:C,0))</f>
        <v>Sewage Treatment Facilities</v>
      </c>
      <c r="P85" s="10" t="str">
        <f>IFERROR(VLOOKUP(L85, 'Processed Non-zero TRI Data'!I:Q, 8, 0), "Direct")</f>
        <v>Direct</v>
      </c>
      <c r="Q85" s="10" t="e">
        <f>VLOOKUP(R85,#REF!, 2, FALSE)</f>
        <v>#REF!</v>
      </c>
      <c r="R85" s="10" t="str">
        <f>INDEX('Facility Discharge Summary'!D:D, MATCH('Facility Summary_Water'!M85, 'Facility Discharge Summary'!J:J,0))</f>
        <v>Waste Handling, Disposal and Treatment (POTW)</v>
      </c>
      <c r="S85" s="10" t="str">
        <f>INDEX('Processed Non-zero DMR Data'!T:T, MATCH('Facility Summary_Water'!M85, 'Processed Non-zero DMR Data'!I:I,0))</f>
        <v>POTW indicator in DMR</v>
      </c>
      <c r="T85" s="10" t="s">
        <v>72</v>
      </c>
      <c r="U85" s="9">
        <f>INDEX('TRI and DMR OES Summary'!D:D, MATCH('Facility Summary_Water'!R85,'TRI and DMR OES Summary'!A:A,0))</f>
        <v>365</v>
      </c>
      <c r="V85" s="258">
        <f>INDEX('Facility Discharge Summary'!AR:AR,MATCH('Facility Summary_Water'!M85,'Facility Discharge Summary'!J:J,0))</f>
        <v>0</v>
      </c>
      <c r="W85" s="258">
        <f>INDEX('Facility Discharge Summary'!T:T,MATCH('Facility Summary_Water'!M85,'Facility Discharge Summary'!J:J,0))</f>
        <v>212.68922756250001</v>
      </c>
    </row>
    <row r="86" spans="1:23" ht="45" x14ac:dyDescent="0.25">
      <c r="A86" s="9">
        <v>85</v>
      </c>
      <c r="B86" s="10" t="str">
        <f>IF(COUNTIF('Processed Non-zero TRI Data'!J:J,'Facility Summary_Water'!M86)&gt;0, "TRI Form " &amp; INDEX('Processed Non-zero TRI Data'!K:K,MATCH('Facility Summary_Water'!M86,'Processed Non-zero TRI Data'!J:J,0)), "" )</f>
        <v/>
      </c>
      <c r="C86" s="10" t="str">
        <f>IF(COUNTIF('Processed Non-zero DMR Data'!I:I, 'Facility Summary_Water'!M86)&gt;0, "DMR", "")</f>
        <v>DMR</v>
      </c>
      <c r="D86" s="10"/>
      <c r="E86" s="10" t="s">
        <v>296</v>
      </c>
      <c r="F86" s="10"/>
      <c r="G86" s="10" t="s">
        <v>224</v>
      </c>
      <c r="H86" s="10" t="s">
        <v>141</v>
      </c>
      <c r="I86" s="10"/>
      <c r="J86" s="9">
        <f>IF(L86&lt;&gt;"", INDEX('Processed Non-zero TRI Data'!$G:$G, MATCH(L86, 'Processed Non-zero TRI Data'!$I:$I,0)), INDEX('Processed Non-zero DMR Data'!$F:$F, MATCH(M86,'Processed Non-zero DMR Data'!$I:$I, 0)))</f>
        <v>41.305320000000002</v>
      </c>
      <c r="K86" s="9">
        <f>IF(L86&lt;&gt;"", INDEX('Processed Non-zero TRI Data'!$H:$H, MATCH(L86, 'Processed Non-zero TRI Data'!$I:$I,0)), INDEX('Processed Non-zero DMR Data'!$G:$G, MATCH(M86,'Processed Non-zero DMR Data'!$I:$I, 0)))</f>
        <v>-88.561769999999996</v>
      </c>
      <c r="L86" s="10"/>
      <c r="M86" s="259">
        <v>110000433022</v>
      </c>
      <c r="N86" s="9">
        <f>IF(L86&lt;&gt;"",INDEX('Processed Non-zero TRI Data'!L:L,MATCH('Facility Summary_Water'!L86,'Processed Non-zero TRI Data'!I:I,0)),INDEX('Processed Non-zero DMR Data'!$L:$L,MATCH('Facility Summary_Water'!M86,'Processed Non-zero DMR Data'!$I:$I,0)))</f>
        <v>325211</v>
      </c>
      <c r="O86" s="10" t="str">
        <f>INDEX('2017 - 2022 NAICS'!D:D,MATCH('Facility Summary_Water'!N86,'2017 - 2022 NAICS'!C:C,0))</f>
        <v>Plastics Material and Resin Manufacturing</v>
      </c>
      <c r="P86" s="10" t="str">
        <f>IFERROR(VLOOKUP(L86, 'Processed Non-zero TRI Data'!I:Q, 8, 0), "Direct")</f>
        <v>Direct</v>
      </c>
      <c r="Q86" s="10" t="e">
        <f>VLOOKUP(R86,#REF!, 2, FALSE)</f>
        <v>#REF!</v>
      </c>
      <c r="R86" s="10" t="str">
        <f>INDEX('Facility Discharge Summary'!D:D, MATCH('Facility Summary_Water'!M86, 'Facility Discharge Summary'!J:J,0))</f>
        <v>Impurity in Plastics</v>
      </c>
      <c r="S86" s="10" t="str">
        <f>INDEX('Processed Non-zero DMR Data'!T:T, MATCH('Facility Summary_Water'!M86, 'Processed Non-zero DMR Data'!I:I,0))</f>
        <v>Plastics SIC/NAICS - EPA-HQ-OPPT-2018-0428-0011 indicates 1,2-dichloropropane can be a residual/byproduct in PVC plastics or a flame retardant plasticizer.</v>
      </c>
      <c r="T86" s="10" t="s">
        <v>72</v>
      </c>
      <c r="U86" s="9">
        <f>INDEX('TRI and DMR OES Summary'!D:D, MATCH('Facility Summary_Water'!R86,'TRI and DMR OES Summary'!A:A,0))</f>
        <v>350</v>
      </c>
      <c r="V86" s="258">
        <f>INDEX('Facility Discharge Summary'!AR:AR,MATCH('Facility Summary_Water'!M86,'Facility Discharge Summary'!J:J,0))</f>
        <v>0</v>
      </c>
      <c r="W86" s="258">
        <f>INDEX('Facility Discharge Summary'!T:T,MATCH('Facility Summary_Water'!M86,'Facility Discharge Summary'!J:J,0))</f>
        <v>0.20465185</v>
      </c>
    </row>
    <row r="87" spans="1:23" x14ac:dyDescent="0.25">
      <c r="A87" s="9">
        <v>86</v>
      </c>
      <c r="B87" s="10" t="str">
        <f>IF(COUNTIF('Processed Non-zero TRI Data'!J:J,'Facility Summary_Water'!M87)&gt;0, "TRI Form " &amp; INDEX('Processed Non-zero TRI Data'!K:K,MATCH('Facility Summary_Water'!M87,'Processed Non-zero TRI Data'!J:J,0)), "" )</f>
        <v/>
      </c>
      <c r="C87" s="10" t="str">
        <f>IF(COUNTIF('Processed Non-zero DMR Data'!I:I, 'Facility Summary_Water'!M87)&gt;0, "DMR", "")</f>
        <v>DMR</v>
      </c>
      <c r="D87" s="10"/>
      <c r="E87" s="10" t="s">
        <v>297</v>
      </c>
      <c r="F87" s="10"/>
      <c r="G87" s="10" t="s">
        <v>298</v>
      </c>
      <c r="H87" s="10" t="s">
        <v>138</v>
      </c>
      <c r="I87" s="10"/>
      <c r="J87" s="9">
        <f>IF(L87&lt;&gt;"", INDEX('Processed Non-zero TRI Data'!$G:$G, MATCH(L87, 'Processed Non-zero TRI Data'!$I:$I,0)), INDEX('Processed Non-zero DMR Data'!$F:$F, MATCH(M87,'Processed Non-zero DMR Data'!$I:$I, 0)))</f>
        <v>37.640973000000002</v>
      </c>
      <c r="K87" s="9">
        <f>IF(L87&lt;&gt;"", INDEX('Processed Non-zero TRI Data'!$H:$H, MATCH(L87, 'Processed Non-zero TRI Data'!$I:$I,0)), INDEX('Processed Non-zero DMR Data'!$G:$G, MATCH(M87,'Processed Non-zero DMR Data'!$I:$I, 0)))</f>
        <v>-84.312661000000006</v>
      </c>
      <c r="L87" s="10"/>
      <c r="M87" s="259">
        <v>110009933484</v>
      </c>
      <c r="N87" s="9">
        <f>IF(L87&lt;&gt;"",INDEX('Processed Non-zero TRI Data'!L:L,MATCH('Facility Summary_Water'!L87,'Processed Non-zero TRI Data'!I:I,0)),INDEX('Processed Non-zero DMR Data'!$L:$L,MATCH('Facility Summary_Water'!M87,'Processed Non-zero DMR Data'!$I:$I,0)))</f>
        <v>221320</v>
      </c>
      <c r="O87" s="10" t="str">
        <f>INDEX('2017 - 2022 NAICS'!D:D,MATCH('Facility Summary_Water'!N87,'2017 - 2022 NAICS'!C:C,0))</f>
        <v>Sewage Treatment Facilities</v>
      </c>
      <c r="P87" s="10" t="str">
        <f>IFERROR(VLOOKUP(L87, 'Processed Non-zero TRI Data'!I:Q, 8, 0), "Direct")</f>
        <v>Direct</v>
      </c>
      <c r="Q87" s="10" t="e">
        <f>VLOOKUP(R87,#REF!, 2, FALSE)</f>
        <v>#REF!</v>
      </c>
      <c r="R87" s="10" t="str">
        <f>INDEX('Facility Discharge Summary'!D:D, MATCH('Facility Summary_Water'!M87, 'Facility Discharge Summary'!J:J,0))</f>
        <v>Waste Handling, Disposal and Treatment (POTW)</v>
      </c>
      <c r="S87" s="10" t="str">
        <f>INDEX('Processed Non-zero DMR Data'!T:T, MATCH('Facility Summary_Water'!M87, 'Processed Non-zero DMR Data'!I:I,0))</f>
        <v>POTW indicator in DMR</v>
      </c>
      <c r="T87" s="10" t="s">
        <v>72</v>
      </c>
      <c r="U87" s="9">
        <f>INDEX('TRI and DMR OES Summary'!D:D, MATCH('Facility Summary_Water'!R87,'TRI and DMR OES Summary'!A:A,0))</f>
        <v>365</v>
      </c>
      <c r="V87" s="258">
        <f>INDEX('Facility Discharge Summary'!AR:AR,MATCH('Facility Summary_Water'!M87,'Facility Discharge Summary'!J:J,0))</f>
        <v>0</v>
      </c>
      <c r="W87" s="258">
        <f>INDEX('Facility Discharge Summary'!T:T,MATCH('Facility Summary_Water'!M87,'Facility Discharge Summary'!J:J,0))</f>
        <v>3.2327685000000002</v>
      </c>
    </row>
    <row r="88" spans="1:23" ht="30" x14ac:dyDescent="0.25">
      <c r="A88" s="9">
        <v>87</v>
      </c>
      <c r="B88" s="10" t="str">
        <f>IF(COUNTIF('Processed Non-zero TRI Data'!J:J,'Facility Summary_Water'!M88)&gt;0, "TRI Form " &amp; INDEX('Processed Non-zero TRI Data'!K:K,MATCH('Facility Summary_Water'!M88,'Processed Non-zero TRI Data'!J:J,0)), "" )</f>
        <v/>
      </c>
      <c r="C88" s="10" t="str">
        <f>IF(COUNTIF('Processed Non-zero DMR Data'!I:I, 'Facility Summary_Water'!M88)&gt;0, "DMR", "")</f>
        <v>DMR</v>
      </c>
      <c r="D88" s="10"/>
      <c r="E88" s="10" t="s">
        <v>299</v>
      </c>
      <c r="F88" s="10"/>
      <c r="G88" s="10" t="s">
        <v>300</v>
      </c>
      <c r="H88" s="10" t="s">
        <v>268</v>
      </c>
      <c r="I88" s="10"/>
      <c r="J88" s="9">
        <f>IF(L88&lt;&gt;"", INDEX('Processed Non-zero TRI Data'!$G:$G, MATCH(L88, 'Processed Non-zero TRI Data'!$I:$I,0)), INDEX('Processed Non-zero DMR Data'!$F:$F, MATCH(M88,'Processed Non-zero DMR Data'!$I:$I, 0)))</f>
        <v>40.700989999999997</v>
      </c>
      <c r="K88" s="9">
        <f>IF(L88&lt;&gt;"", INDEX('Processed Non-zero TRI Data'!$H:$H, MATCH(L88, 'Processed Non-zero TRI Data'!$I:$I,0)), INDEX('Processed Non-zero DMR Data'!$G:$G, MATCH(M88,'Processed Non-zero DMR Data'!$I:$I, 0)))</f>
        <v>-75.214780000000005</v>
      </c>
      <c r="L88" s="10"/>
      <c r="M88" s="259">
        <v>110001075345</v>
      </c>
      <c r="N88" s="9">
        <f>IF(L88&lt;&gt;"",INDEX('Processed Non-zero TRI Data'!L:L,MATCH('Facility Summary_Water'!L88,'Processed Non-zero TRI Data'!I:I,0)),INDEX('Processed Non-zero DMR Data'!$L:$L,MATCH('Facility Summary_Water'!M88,'Processed Non-zero DMR Data'!$I:$I,0)))</f>
        <v>562211</v>
      </c>
      <c r="O88" s="10" t="str">
        <f>INDEX('2017 - 2022 NAICS'!D:D,MATCH('Facility Summary_Water'!N88,'2017 - 2022 NAICS'!C:C,0))</f>
        <v>Hazardous Waste Treatment and Disposal</v>
      </c>
      <c r="P88" s="10" t="str">
        <f>IFERROR(VLOOKUP(L88, 'Processed Non-zero TRI Data'!I:Q, 8, 0), "Direct")</f>
        <v>Direct</v>
      </c>
      <c r="Q88" s="10" t="e">
        <f>VLOOKUP(R88,#REF!, 2, FALSE)</f>
        <v>#REF!</v>
      </c>
      <c r="R88" s="10" t="str">
        <f>INDEX('Facility Discharge Summary'!D:D, MATCH('Facility Summary_Water'!M88, 'Facility Discharge Summary'!J:J,0))</f>
        <v>Waste Handling, Disposal and Treatment (Landfill)</v>
      </c>
      <c r="S88" s="10" t="str">
        <f>INDEX('Processed Non-zero DMR Data'!T:T, MATCH('Facility Summary_Water'!M88, 'Processed Non-zero DMR Data'!I:I,0))</f>
        <v>Facility provides waste management services via Chrin Brothers Sanitary Landfill.</v>
      </c>
      <c r="T88" s="10" t="s">
        <v>72</v>
      </c>
      <c r="U88" s="9">
        <f>INDEX('TRI and DMR OES Summary'!D:D, MATCH('Facility Summary_Water'!R88,'TRI and DMR OES Summary'!A:A,0))</f>
        <v>250</v>
      </c>
      <c r="V88" s="258">
        <f>INDEX('Facility Discharge Summary'!AR:AR,MATCH('Facility Summary_Water'!M88,'Facility Discharge Summary'!J:J,0))</f>
        <v>0</v>
      </c>
      <c r="W88" s="258">
        <f>INDEX('Facility Discharge Summary'!T:T,MATCH('Facility Summary_Water'!M88,'Facility Discharge Summary'!J:J,0))</f>
        <v>6.8386622999999994E-2</v>
      </c>
    </row>
    <row r="89" spans="1:23" x14ac:dyDescent="0.25">
      <c r="A89" s="9">
        <v>88</v>
      </c>
      <c r="B89" s="10" t="str">
        <f>IF(COUNTIF('Processed Non-zero TRI Data'!J:J,'Facility Summary_Water'!M89)&gt;0, "TRI Form " &amp; INDEX('Processed Non-zero TRI Data'!K:K,MATCH('Facility Summary_Water'!M89,'Processed Non-zero TRI Data'!J:J,0)), "" )</f>
        <v/>
      </c>
      <c r="C89" s="10" t="str">
        <f>IF(COUNTIF('Processed Non-zero DMR Data'!I:I, 'Facility Summary_Water'!M89)&gt;0, "DMR", "")</f>
        <v>DMR</v>
      </c>
      <c r="D89" s="10"/>
      <c r="E89" s="10" t="s">
        <v>301</v>
      </c>
      <c r="F89" s="10"/>
      <c r="G89" s="10" t="s">
        <v>157</v>
      </c>
      <c r="H89" s="10" t="s">
        <v>158</v>
      </c>
      <c r="I89" s="10"/>
      <c r="J89" s="9">
        <f>IF(L89&lt;&gt;"", INDEX('Processed Non-zero TRI Data'!$G:$G, MATCH(L89, 'Processed Non-zero TRI Data'!$I:$I,0)), INDEX('Processed Non-zero DMR Data'!$F:$F, MATCH(M89,'Processed Non-zero DMR Data'!$I:$I, 0)))</f>
        <v>36.176639999999999</v>
      </c>
      <c r="K89" s="9">
        <f>IF(L89&lt;&gt;"", INDEX('Processed Non-zero TRI Data'!$H:$H, MATCH(L89, 'Processed Non-zero TRI Data'!$I:$I,0)), INDEX('Processed Non-zero DMR Data'!$G:$G, MATCH(M89,'Processed Non-zero DMR Data'!$I:$I, 0)))</f>
        <v>-115.12891999999999</v>
      </c>
      <c r="L89" s="10"/>
      <c r="M89" s="259">
        <v>110008995490</v>
      </c>
      <c r="N89" s="9">
        <f>IF(L89&lt;&gt;"",INDEX('Processed Non-zero TRI Data'!L:L,MATCH('Facility Summary_Water'!L89,'Processed Non-zero TRI Data'!I:I,0)),INDEX('Processed Non-zero DMR Data'!$L:$L,MATCH('Facility Summary_Water'!M89,'Processed Non-zero DMR Data'!$I:$I,0)))</f>
        <v>531110</v>
      </c>
      <c r="O89" s="10" t="str">
        <f>INDEX('2017 - 2022 NAICS'!D:D,MATCH('Facility Summary_Water'!N89,'2017 - 2022 NAICS'!C:C,0))</f>
        <v>Lessors of Residential Buildings and Dwellings</v>
      </c>
      <c r="P89" s="10" t="str">
        <f>IFERROR(VLOOKUP(L89, 'Processed Non-zero TRI Data'!I:Q, 8, 0), "Direct")</f>
        <v>Direct</v>
      </c>
      <c r="Q89" s="10" t="e">
        <f>VLOOKUP(R89,#REF!, 2, FALSE)</f>
        <v>#REF!</v>
      </c>
      <c r="R89" s="10" t="str">
        <f>INDEX('Facility Discharge Summary'!D:D, MATCH('Facility Summary_Water'!M89, 'Facility Discharge Summary'!J:J,0))</f>
        <v>Unknown</v>
      </c>
      <c r="S89" s="10" t="str">
        <f>INDEX('Processed Non-zero DMR Data'!T:T, MATCH('Facility Summary_Water'!M89, 'Processed Non-zero DMR Data'!I:I,0))</f>
        <v>Apartment complex; no OES to map to.</v>
      </c>
      <c r="T89" s="10" t="s">
        <v>72</v>
      </c>
      <c r="U89" s="9">
        <f>INDEX('TRI and DMR OES Summary'!D:D, MATCH('Facility Summary_Water'!R89,'TRI and DMR OES Summary'!A:A,0))</f>
        <v>250</v>
      </c>
      <c r="V89" s="258">
        <f>INDEX('Facility Discharge Summary'!AR:AR,MATCH('Facility Summary_Water'!M89,'Facility Discharge Summary'!J:J,0))</f>
        <v>0</v>
      </c>
      <c r="W89" s="258">
        <f>INDEX('Facility Discharge Summary'!T:T,MATCH('Facility Summary_Water'!M89,'Facility Discharge Summary'!J:J,0))</f>
        <v>0.25150662624999998</v>
      </c>
    </row>
    <row r="90" spans="1:23" ht="30" x14ac:dyDescent="0.25">
      <c r="A90" s="9">
        <v>89</v>
      </c>
      <c r="B90" s="10" t="str">
        <f>IF(COUNTIF('Processed Non-zero TRI Data'!J:J,'Facility Summary_Water'!M90)&gt;0, "TRI Form " &amp; INDEX('Processed Non-zero TRI Data'!K:K,MATCH('Facility Summary_Water'!M90,'Processed Non-zero TRI Data'!J:J,0)), "" )</f>
        <v/>
      </c>
      <c r="C90" s="10" t="str">
        <f>IF(COUNTIF('Processed Non-zero DMR Data'!I:I, 'Facility Summary_Water'!M90)&gt;0, "DMR", "")</f>
        <v>DMR</v>
      </c>
      <c r="D90" s="10"/>
      <c r="E90" s="10" t="s">
        <v>302</v>
      </c>
      <c r="F90" s="10"/>
      <c r="G90" s="10" t="s">
        <v>303</v>
      </c>
      <c r="H90" s="10" t="s">
        <v>114</v>
      </c>
      <c r="I90" s="10"/>
      <c r="J90" s="9">
        <f>IF(L90&lt;&gt;"", INDEX('Processed Non-zero TRI Data'!$G:$G, MATCH(L90, 'Processed Non-zero TRI Data'!$I:$I,0)), INDEX('Processed Non-zero DMR Data'!$F:$F, MATCH(M90,'Processed Non-zero DMR Data'!$I:$I, 0)))</f>
        <v>29.741954</v>
      </c>
      <c r="K90" s="9">
        <f>IF(L90&lt;&gt;"", INDEX('Processed Non-zero TRI Data'!$H:$H, MATCH(L90, 'Processed Non-zero TRI Data'!$I:$I,0)), INDEX('Processed Non-zero DMR Data'!$G:$G, MATCH(M90,'Processed Non-zero DMR Data'!$I:$I, 0)))</f>
        <v>-95.165228999999997</v>
      </c>
      <c r="L90" s="10"/>
      <c r="M90" s="259">
        <v>110060340162</v>
      </c>
      <c r="N90" s="9">
        <f>IF(L90&lt;&gt;"",INDEX('Processed Non-zero TRI Data'!L:L,MATCH('Facility Summary_Water'!L90,'Processed Non-zero TRI Data'!I:I,0)),INDEX('Processed Non-zero DMR Data'!$L:$L,MATCH('Facility Summary_Water'!M90,'Processed Non-zero DMR Data'!$I:$I,0)))</f>
        <v>325110</v>
      </c>
      <c r="O90" s="10" t="str">
        <f>INDEX('2017 - 2022 NAICS'!D:D,MATCH('Facility Summary_Water'!N90,'2017 - 2022 NAICS'!C:C,0))</f>
        <v>Petrochemical Manufacturing</v>
      </c>
      <c r="P90" s="10" t="str">
        <f>IFERROR(VLOOKUP(L90, 'Processed Non-zero TRI Data'!I:Q, 8, 0), "Direct")</f>
        <v>Direct</v>
      </c>
      <c r="Q90" s="10" t="e">
        <f>VLOOKUP(R90,#REF!, 2, FALSE)</f>
        <v>#REF!</v>
      </c>
      <c r="R90" s="10" t="str">
        <f>INDEX('Facility Discharge Summary'!D:D, MATCH('Facility Summary_Water'!M90, 'Facility Discharge Summary'!J:J,0))</f>
        <v>Processing as a reactant</v>
      </c>
      <c r="S90" s="10" t="str">
        <f>INDEX('Processed Non-zero DMR Data'!T:T, MATCH('Facility Summary_Water'!M90, 'Processed Non-zero DMR Data'!I:I,0))</f>
        <v>Assumed processing as a reactant based on SIC and NAICS; this also matches 1,1,-DCA mapping.</v>
      </c>
      <c r="T90" s="10" t="s">
        <v>72</v>
      </c>
      <c r="U90" s="9">
        <f>INDEX('TRI and DMR OES Summary'!D:D, MATCH('Facility Summary_Water'!R90,'TRI and DMR OES Summary'!A:A,0))</f>
        <v>350</v>
      </c>
      <c r="V90" s="258">
        <f>INDEX('Facility Discharge Summary'!AR:AR,MATCH('Facility Summary_Water'!M90,'Facility Discharge Summary'!J:J,0))</f>
        <v>0</v>
      </c>
      <c r="W90" s="258">
        <f>INDEX('Facility Discharge Summary'!T:T,MATCH('Facility Summary_Water'!M90,'Facility Discharge Summary'!J:J,0))</f>
        <v>0.82891499999999996</v>
      </c>
    </row>
    <row r="91" spans="1:23" x14ac:dyDescent="0.25">
      <c r="A91" s="9">
        <v>90</v>
      </c>
      <c r="B91" s="10" t="str">
        <f>IF(COUNTIF('Processed Non-zero TRI Data'!J:J,'Facility Summary_Water'!M91)&gt;0, "TRI Form " &amp; INDEX('Processed Non-zero TRI Data'!K:K,MATCH('Facility Summary_Water'!M91,'Processed Non-zero TRI Data'!J:J,0)), "" )</f>
        <v/>
      </c>
      <c r="C91" s="10" t="str">
        <f>IF(COUNTIF('Processed Non-zero DMR Data'!I:I, 'Facility Summary_Water'!M91)&gt;0, "DMR", "")</f>
        <v>DMR</v>
      </c>
      <c r="D91" s="10"/>
      <c r="E91" s="10" t="s">
        <v>304</v>
      </c>
      <c r="F91" s="10"/>
      <c r="G91" s="10" t="s">
        <v>305</v>
      </c>
      <c r="H91" s="10" t="s">
        <v>138</v>
      </c>
      <c r="I91" s="10"/>
      <c r="J91" s="9">
        <f>IF(L91&lt;&gt;"", INDEX('Processed Non-zero TRI Data'!$G:$G, MATCH(L91, 'Processed Non-zero TRI Data'!$I:$I,0)), INDEX('Processed Non-zero DMR Data'!$F:$F, MATCH(M91,'Processed Non-zero DMR Data'!$I:$I, 0)))</f>
        <v>37.075277999999997</v>
      </c>
      <c r="K91" s="9">
        <f>IF(L91&lt;&gt;"", INDEX('Processed Non-zero TRI Data'!$H:$H, MATCH(L91, 'Processed Non-zero TRI Data'!$I:$I,0)), INDEX('Processed Non-zero DMR Data'!$G:$G, MATCH(M91,'Processed Non-zero DMR Data'!$I:$I, 0)))</f>
        <v>-88.09</v>
      </c>
      <c r="L91" s="10"/>
      <c r="M91" s="259">
        <v>110009938719</v>
      </c>
      <c r="N91" s="9">
        <f>IF(L91&lt;&gt;"",INDEX('Processed Non-zero TRI Data'!L:L,MATCH('Facility Summary_Water'!L91,'Processed Non-zero TRI Data'!I:I,0)),INDEX('Processed Non-zero DMR Data'!$L:$L,MATCH('Facility Summary_Water'!M91,'Processed Non-zero DMR Data'!$I:$I,0)))</f>
        <v>221320</v>
      </c>
      <c r="O91" s="10" t="str">
        <f>INDEX('2017 - 2022 NAICS'!D:D,MATCH('Facility Summary_Water'!N91,'2017 - 2022 NAICS'!C:C,0))</f>
        <v>Sewage Treatment Facilities</v>
      </c>
      <c r="P91" s="10" t="str">
        <f>IFERROR(VLOOKUP(L91, 'Processed Non-zero TRI Data'!I:Q, 8, 0), "Direct")</f>
        <v>Direct</v>
      </c>
      <c r="Q91" s="10" t="e">
        <f>VLOOKUP(R91,#REF!, 2, FALSE)</f>
        <v>#REF!</v>
      </c>
      <c r="R91" s="10" t="str">
        <f>INDEX('Facility Discharge Summary'!D:D, MATCH('Facility Summary_Water'!M91, 'Facility Discharge Summary'!J:J,0))</f>
        <v>Waste Handling, Disposal and Treatment (POTW)</v>
      </c>
      <c r="S91" s="10" t="str">
        <f>INDEX('Processed Non-zero DMR Data'!T:T, MATCH('Facility Summary_Water'!M91, 'Processed Non-zero DMR Data'!I:I,0))</f>
        <v>POTW indicator in DMR</v>
      </c>
      <c r="T91" s="10" t="s">
        <v>72</v>
      </c>
      <c r="U91" s="9">
        <f>INDEX('TRI and DMR OES Summary'!D:D, MATCH('Facility Summary_Water'!R91,'TRI and DMR OES Summary'!A:A,0))</f>
        <v>365</v>
      </c>
      <c r="V91" s="258">
        <f>INDEX('Facility Discharge Summary'!AR:AR,MATCH('Facility Summary_Water'!M91,'Facility Discharge Summary'!J:J,0))</f>
        <v>0</v>
      </c>
      <c r="W91" s="258">
        <f>INDEX('Facility Discharge Summary'!T:T,MATCH('Facility Summary_Water'!M91,'Facility Discharge Summary'!J:J,0))</f>
        <v>1.8616049374999999</v>
      </c>
    </row>
    <row r="92" spans="1:23" x14ac:dyDescent="0.25">
      <c r="A92" s="9">
        <v>91</v>
      </c>
      <c r="B92" s="10" t="str">
        <f>IF(COUNTIF('Processed Non-zero TRI Data'!J:J,'Facility Summary_Water'!M92)&gt;0, "TRI Form " &amp; INDEX('Processed Non-zero TRI Data'!K:K,MATCH('Facility Summary_Water'!M92,'Processed Non-zero TRI Data'!J:J,0)), "" )</f>
        <v/>
      </c>
      <c r="C92" s="10" t="str">
        <f>IF(COUNTIF('Processed Non-zero DMR Data'!I:I, 'Facility Summary_Water'!M92)&gt;0, "DMR", "")</f>
        <v>DMR</v>
      </c>
      <c r="D92" s="10"/>
      <c r="E92" s="10" t="s">
        <v>306</v>
      </c>
      <c r="F92" s="10"/>
      <c r="G92" s="10" t="s">
        <v>183</v>
      </c>
      <c r="H92" s="10" t="s">
        <v>146</v>
      </c>
      <c r="I92" s="10"/>
      <c r="J92" s="9">
        <f>IF(L92&lt;&gt;"", INDEX('Processed Non-zero TRI Data'!$G:$G, MATCH(L92, 'Processed Non-zero TRI Data'!$I:$I,0)), INDEX('Processed Non-zero DMR Data'!$F:$F, MATCH(M92,'Processed Non-zero DMR Data'!$I:$I, 0)))</f>
        <v>37.977150000000002</v>
      </c>
      <c r="K92" s="9">
        <f>IF(L92&lt;&gt;"", INDEX('Processed Non-zero TRI Data'!$H:$H, MATCH(L92, 'Processed Non-zero TRI Data'!$I:$I,0)), INDEX('Processed Non-zero DMR Data'!$G:$G, MATCH(M92,'Processed Non-zero DMR Data'!$I:$I, 0)))</f>
        <v>-122.33269</v>
      </c>
      <c r="L92" s="10"/>
      <c r="M92" s="259">
        <v>110064252419</v>
      </c>
      <c r="N92" s="9">
        <f>IF(L92&lt;&gt;"",INDEX('Processed Non-zero TRI Data'!L:L,MATCH('Facility Summary_Water'!L92,'Processed Non-zero TRI Data'!I:I,0)),INDEX('Processed Non-zero DMR Data'!$L:$L,MATCH('Facility Summary_Water'!M92,'Processed Non-zero DMR Data'!$I:$I,0)))</f>
        <v>221320</v>
      </c>
      <c r="O92" s="10" t="str">
        <f>INDEX('2017 - 2022 NAICS'!D:D,MATCH('Facility Summary_Water'!N92,'2017 - 2022 NAICS'!C:C,0))</f>
        <v>Sewage Treatment Facilities</v>
      </c>
      <c r="P92" s="10" t="str">
        <f>IFERROR(VLOOKUP(L92, 'Processed Non-zero TRI Data'!I:Q, 8, 0), "Direct")</f>
        <v>Direct</v>
      </c>
      <c r="Q92" s="10" t="e">
        <f>VLOOKUP(R92,#REF!, 2, FALSE)</f>
        <v>#REF!</v>
      </c>
      <c r="R92" s="10" t="str">
        <f>INDEX('Facility Discharge Summary'!D:D, MATCH('Facility Summary_Water'!M92, 'Facility Discharge Summary'!J:J,0))</f>
        <v>Waste Handling, Disposal and Treatment (POTW)</v>
      </c>
      <c r="S92" s="10" t="str">
        <f>INDEX('Processed Non-zero DMR Data'!T:T, MATCH('Facility Summary_Water'!M92, 'Processed Non-zero DMR Data'!I:I,0))</f>
        <v>POTW indicator in DMR</v>
      </c>
      <c r="T92" s="10" t="s">
        <v>72</v>
      </c>
      <c r="U92" s="9">
        <f>INDEX('TRI and DMR OES Summary'!D:D, MATCH('Facility Summary_Water'!R92,'TRI and DMR OES Summary'!A:A,0))</f>
        <v>365</v>
      </c>
      <c r="V92" s="258">
        <f>INDEX('Facility Discharge Summary'!AR:AR,MATCH('Facility Summary_Water'!M92,'Facility Discharge Summary'!J:J,0))</f>
        <v>0</v>
      </c>
      <c r="W92" s="258">
        <f>INDEX('Facility Discharge Summary'!T:T,MATCH('Facility Summary_Water'!M92,'Facility Discharge Summary'!J:J,0))</f>
        <v>3.7646556250000001</v>
      </c>
    </row>
    <row r="93" spans="1:23" ht="30" x14ac:dyDescent="0.25">
      <c r="A93" s="9">
        <v>92</v>
      </c>
      <c r="B93" s="10" t="str">
        <f>IF(COUNTIF('Processed Non-zero TRI Data'!J:J,'Facility Summary_Water'!M93)&gt;0, "TRI Form " &amp; INDEX('Processed Non-zero TRI Data'!K:K,MATCH('Facility Summary_Water'!M93,'Processed Non-zero TRI Data'!J:J,0)), "" )</f>
        <v/>
      </c>
      <c r="C93" s="10" t="str">
        <f>IF(COUNTIF('Processed Non-zero DMR Data'!I:I, 'Facility Summary_Water'!M93)&gt;0, "DMR", "")</f>
        <v>DMR</v>
      </c>
      <c r="D93" s="10"/>
      <c r="E93" s="10" t="s">
        <v>307</v>
      </c>
      <c r="F93" s="10"/>
      <c r="G93" s="10" t="s">
        <v>308</v>
      </c>
      <c r="H93" s="10" t="s">
        <v>309</v>
      </c>
      <c r="I93" s="10"/>
      <c r="J93" s="9">
        <f>IF(L93&lt;&gt;"", INDEX('Processed Non-zero TRI Data'!$G:$G, MATCH(L93, 'Processed Non-zero TRI Data'!$I:$I,0)), INDEX('Processed Non-zero DMR Data'!$F:$F, MATCH(M93,'Processed Non-zero DMR Data'!$I:$I, 0)))</f>
        <v>36.527054999999997</v>
      </c>
      <c r="K93" s="9">
        <f>IF(L93&lt;&gt;"", INDEX('Processed Non-zero TRI Data'!$H:$H, MATCH(L93, 'Processed Non-zero TRI Data'!$I:$I,0)), INDEX('Processed Non-zero DMR Data'!$G:$G, MATCH(M93,'Processed Non-zero DMR Data'!$I:$I, 0)))</f>
        <v>-82.538579999999996</v>
      </c>
      <c r="L93" s="10"/>
      <c r="M93" s="259">
        <v>110000574423</v>
      </c>
      <c r="N93" s="9">
        <f>IF(L93&lt;&gt;"",INDEX('Processed Non-zero TRI Data'!L:L,MATCH('Facility Summary_Water'!L93,'Processed Non-zero TRI Data'!I:I,0)),INDEX('Processed Non-zero DMR Data'!$L:$L,MATCH('Facility Summary_Water'!M93,'Processed Non-zero DMR Data'!$I:$I,0)))</f>
        <v>325110</v>
      </c>
      <c r="O93" s="10" t="str">
        <f>INDEX('2017 - 2022 NAICS'!D:D,MATCH('Facility Summary_Water'!N93,'2017 - 2022 NAICS'!C:C,0))</f>
        <v>Petrochemical Manufacturing</v>
      </c>
      <c r="P93" s="10" t="str">
        <f>IFERROR(VLOOKUP(L93, 'Processed Non-zero TRI Data'!I:Q, 8, 0), "Direct")</f>
        <v>Direct</v>
      </c>
      <c r="Q93" s="10" t="e">
        <f>VLOOKUP(R93,#REF!, 2, FALSE)</f>
        <v>#REF!</v>
      </c>
      <c r="R93" s="10" t="str">
        <f>INDEX('Facility Discharge Summary'!D:D, MATCH('Facility Summary_Water'!M93, 'Facility Discharge Summary'!J:J,0))</f>
        <v>Processing as a reactant</v>
      </c>
      <c r="S93" s="10" t="str">
        <f>INDEX('Processed Non-zero DMR Data'!T:T, MATCH('Facility Summary_Water'!M93, 'Processed Non-zero DMR Data'!I:I,0))</f>
        <v>Assumed processing as a reactant based on SIC and NAICS; this also matches 1,1,-DCA mapping.</v>
      </c>
      <c r="T93" s="10" t="s">
        <v>72</v>
      </c>
      <c r="U93" s="9">
        <f>INDEX('TRI and DMR OES Summary'!D:D, MATCH('Facility Summary_Water'!R93,'TRI and DMR OES Summary'!A:A,0))</f>
        <v>350</v>
      </c>
      <c r="V93" s="258">
        <f>INDEX('Facility Discharge Summary'!AR:AR,MATCH('Facility Summary_Water'!M93,'Facility Discharge Summary'!J:J,0))</f>
        <v>0</v>
      </c>
      <c r="W93" s="258">
        <f>INDEX('Facility Discharge Summary'!T:T,MATCH('Facility Summary_Water'!M93,'Facility Discharge Summary'!J:J,0))</f>
        <v>8.6997750000000007</v>
      </c>
    </row>
    <row r="94" spans="1:23" x14ac:dyDescent="0.25">
      <c r="A94" s="9">
        <v>93</v>
      </c>
      <c r="B94" s="10" t="str">
        <f>IF(COUNTIF('Processed Non-zero TRI Data'!J:J,'Facility Summary_Water'!M94)&gt;0, "TRI Form " &amp; INDEX('Processed Non-zero TRI Data'!K:K,MATCH('Facility Summary_Water'!M94,'Processed Non-zero TRI Data'!J:J,0)), "" )</f>
        <v/>
      </c>
      <c r="C94" s="10" t="str">
        <f>IF(COUNTIF('Processed Non-zero DMR Data'!I:I, 'Facility Summary_Water'!M94)&gt;0, "DMR", "")</f>
        <v>DMR</v>
      </c>
      <c r="D94" s="10"/>
      <c r="E94" s="10" t="s">
        <v>310</v>
      </c>
      <c r="F94" s="10"/>
      <c r="G94" s="10" t="s">
        <v>311</v>
      </c>
      <c r="H94" s="10" t="s">
        <v>153</v>
      </c>
      <c r="I94" s="10"/>
      <c r="J94" s="9">
        <f>IF(L94&lt;&gt;"", INDEX('Processed Non-zero TRI Data'!$G:$G, MATCH(L94, 'Processed Non-zero TRI Data'!$I:$I,0)), INDEX('Processed Non-zero DMR Data'!$F:$F, MATCH(M94,'Processed Non-zero DMR Data'!$I:$I, 0)))</f>
        <v>40.640135000000001</v>
      </c>
      <c r="K94" s="9">
        <f>IF(L94&lt;&gt;"", INDEX('Processed Non-zero TRI Data'!$H:$H, MATCH(L94, 'Processed Non-zero TRI Data'!$I:$I,0)), INDEX('Processed Non-zero DMR Data'!$G:$G, MATCH(M94,'Processed Non-zero DMR Data'!$I:$I, 0)))</f>
        <v>-74.218879999999999</v>
      </c>
      <c r="L94" s="10"/>
      <c r="M94" s="259">
        <v>110041133163</v>
      </c>
      <c r="N94" s="9">
        <f>IF(L94&lt;&gt;"",INDEX('Processed Non-zero TRI Data'!L:L,MATCH('Facility Summary_Water'!L94,'Processed Non-zero TRI Data'!I:I,0)),INDEX('Processed Non-zero DMR Data'!$L:$L,MATCH('Facility Summary_Water'!M94,'Processed Non-zero DMR Data'!$I:$I,0)))</f>
        <v>324110</v>
      </c>
      <c r="O94" s="10" t="str">
        <f>INDEX('2017 - 2022 NAICS'!D:D,MATCH('Facility Summary_Water'!N94,'2017 - 2022 NAICS'!C:C,0))</f>
        <v>Petroleum Refineries</v>
      </c>
      <c r="P94" s="10" t="str">
        <f>IFERROR(VLOOKUP(L94, 'Processed Non-zero TRI Data'!I:Q, 8, 0), "Direct")</f>
        <v>Direct</v>
      </c>
      <c r="Q94" s="10" t="e">
        <f>VLOOKUP(R94,#REF!, 2, FALSE)</f>
        <v>#REF!</v>
      </c>
      <c r="R94" s="10" t="str">
        <f>INDEX('Facility Discharge Summary'!D:D, MATCH('Facility Summary_Water'!M94, 'Facility Discharge Summary'!J:J,0))</f>
        <v>Processing as a reactant</v>
      </c>
      <c r="S94" s="10" t="str">
        <f>INDEX('Processed Non-zero DMR Data'!T:T, MATCH('Facility Summary_Water'!M94, 'Processed Non-zero DMR Data'!I:I,0))</f>
        <v>Petroleum refinery; assumed processing as a reactant.</v>
      </c>
      <c r="T94" s="10" t="s">
        <v>72</v>
      </c>
      <c r="U94" s="9">
        <f>INDEX('TRI and DMR OES Summary'!D:D, MATCH('Facility Summary_Water'!R94,'TRI and DMR OES Summary'!A:A,0))</f>
        <v>350</v>
      </c>
      <c r="V94" s="258">
        <f>INDEX('Facility Discharge Summary'!AR:AR,MATCH('Facility Summary_Water'!M94,'Facility Discharge Summary'!J:J,0))</f>
        <v>0</v>
      </c>
      <c r="W94" s="258">
        <f>INDEX('Facility Discharge Summary'!T:T,MATCH('Facility Summary_Water'!M94,'Facility Discharge Summary'!J:J,0))</f>
        <v>2.3050000000000002</v>
      </c>
    </row>
    <row r="95" spans="1:23" x14ac:dyDescent="0.25">
      <c r="A95" s="9">
        <v>94</v>
      </c>
      <c r="B95" s="10" t="str">
        <f>IF(COUNTIF('Processed Non-zero TRI Data'!J:J,'Facility Summary_Water'!M95)&gt;0, "TRI Form " &amp; INDEX('Processed Non-zero TRI Data'!K:K,MATCH('Facility Summary_Water'!M95,'Processed Non-zero TRI Data'!J:J,0)), "" )</f>
        <v/>
      </c>
      <c r="C95" s="10" t="str">
        <f>IF(COUNTIF('Processed Non-zero DMR Data'!I:I, 'Facility Summary_Water'!M95)&gt;0, "DMR", "")</f>
        <v>DMR</v>
      </c>
      <c r="D95" s="10"/>
      <c r="E95" s="10" t="s">
        <v>312</v>
      </c>
      <c r="F95" s="10"/>
      <c r="G95" s="10" t="s">
        <v>313</v>
      </c>
      <c r="H95" s="10" t="s">
        <v>114</v>
      </c>
      <c r="I95" s="10"/>
      <c r="J95" s="9">
        <f>IF(L95&lt;&gt;"", INDEX('Processed Non-zero TRI Data'!$G:$G, MATCH(L95, 'Processed Non-zero TRI Data'!$I:$I,0)), INDEX('Processed Non-zero DMR Data'!$F:$F, MATCH(M95,'Processed Non-zero DMR Data'!$I:$I, 0)))</f>
        <v>29.718139000000001</v>
      </c>
      <c r="K95" s="9">
        <f>IF(L95&lt;&gt;"", INDEX('Processed Non-zero TRI Data'!$H:$H, MATCH(L95, 'Processed Non-zero TRI Data'!$I:$I,0)), INDEX('Processed Non-zero DMR Data'!$G:$G, MATCH(M95,'Processed Non-zero DMR Data'!$I:$I, 0)))</f>
        <v>-95.268749999999997</v>
      </c>
      <c r="L95" s="10"/>
      <c r="M95" s="259">
        <v>110000460901</v>
      </c>
      <c r="N95" s="9">
        <f>IF(L95&lt;&gt;"",INDEX('Processed Non-zero TRI Data'!L:L,MATCH('Facility Summary_Water'!L95,'Processed Non-zero TRI Data'!I:I,0)),INDEX('Processed Non-zero DMR Data'!$L:$L,MATCH('Facility Summary_Water'!M95,'Processed Non-zero DMR Data'!$I:$I,0)))</f>
        <v>211130</v>
      </c>
      <c r="O95" s="10" t="str">
        <f>INDEX('2017 - 2022 NAICS'!D:D,MATCH('Facility Summary_Water'!N95,'2017 - 2022 NAICS'!C:C,0))</f>
        <v>Natural Gas Extraction</v>
      </c>
      <c r="P95" s="10" t="str">
        <f>IFERROR(VLOOKUP(L95, 'Processed Non-zero TRI Data'!I:Q, 8, 0), "Direct")</f>
        <v>Direct</v>
      </c>
      <c r="Q95" s="10" t="e">
        <f>VLOOKUP(R95,#REF!, 2, FALSE)</f>
        <v>#REF!</v>
      </c>
      <c r="R95" s="10" t="str">
        <f>INDEX('Facility Discharge Summary'!D:D, MATCH('Facility Summary_Water'!M95, 'Facility Discharge Summary'!J:J,0))</f>
        <v>Processing as a reactant</v>
      </c>
      <c r="S95" s="10" t="str">
        <f>INDEX('Processed Non-zero DMR Data'!T:T, MATCH('Facility Summary_Water'!M95, 'Processed Non-zero DMR Data'!I:I,0))</f>
        <v>Facility is a chemical manufacturer.</v>
      </c>
      <c r="T95" s="10" t="s">
        <v>72</v>
      </c>
      <c r="U95" s="9">
        <f>INDEX('TRI and DMR OES Summary'!D:D, MATCH('Facility Summary_Water'!R95,'TRI and DMR OES Summary'!A:A,0))</f>
        <v>350</v>
      </c>
      <c r="V95" s="258">
        <f>INDEX('Facility Discharge Summary'!AR:AR,MATCH('Facility Summary_Water'!M95,'Facility Discharge Summary'!J:J,0))</f>
        <v>0</v>
      </c>
      <c r="W95" s="258">
        <f>INDEX('Facility Discharge Summary'!T:T,MATCH('Facility Summary_Water'!M95,'Facility Discharge Summary'!J:J,0))</f>
        <v>14.064920000000001</v>
      </c>
    </row>
    <row r="96" spans="1:23" x14ac:dyDescent="0.25">
      <c r="A96" s="9">
        <v>95</v>
      </c>
      <c r="B96" s="10" t="str">
        <f>IF(COUNTIF('Processed Non-zero TRI Data'!J:J,'Facility Summary_Water'!M96)&gt;0, "TRI Form " &amp; INDEX('Processed Non-zero TRI Data'!K:K,MATCH('Facility Summary_Water'!M96,'Processed Non-zero TRI Data'!J:J,0)), "" )</f>
        <v/>
      </c>
      <c r="C96" s="10" t="str">
        <f>IF(COUNTIF('Processed Non-zero DMR Data'!I:I, 'Facility Summary_Water'!M96)&gt;0, "DMR", "")</f>
        <v>DMR</v>
      </c>
      <c r="D96" s="10"/>
      <c r="E96" s="10" t="s">
        <v>314</v>
      </c>
      <c r="F96" s="10"/>
      <c r="G96" s="10" t="s">
        <v>315</v>
      </c>
      <c r="H96" s="10" t="s">
        <v>138</v>
      </c>
      <c r="I96" s="10"/>
      <c r="J96" s="9">
        <f>IF(L96&lt;&gt;"", INDEX('Processed Non-zero TRI Data'!$G:$G, MATCH(L96, 'Processed Non-zero TRI Data'!$I:$I,0)), INDEX('Processed Non-zero DMR Data'!$F:$F, MATCH(M96,'Processed Non-zero DMR Data'!$I:$I, 0)))</f>
        <v>37.915556000000002</v>
      </c>
      <c r="K96" s="9">
        <f>IF(L96&lt;&gt;"", INDEX('Processed Non-zero TRI Data'!$H:$H, MATCH(L96, 'Processed Non-zero TRI Data'!$I:$I,0)), INDEX('Processed Non-zero DMR Data'!$G:$G, MATCH(M96,'Processed Non-zero DMR Data'!$I:$I, 0)))</f>
        <v>-84.268332999999998</v>
      </c>
      <c r="L96" s="10"/>
      <c r="M96" s="259">
        <v>110064596361</v>
      </c>
      <c r="N96" s="9">
        <f>IF(L96&lt;&gt;"",INDEX('Processed Non-zero TRI Data'!L:L,MATCH('Facility Summary_Water'!L96,'Processed Non-zero TRI Data'!I:I,0)),INDEX('Processed Non-zero DMR Data'!$L:$L,MATCH('Facility Summary_Water'!M96,'Processed Non-zero DMR Data'!$I:$I,0)))</f>
        <v>221320</v>
      </c>
      <c r="O96" s="10" t="str">
        <f>INDEX('2017 - 2022 NAICS'!D:D,MATCH('Facility Summary_Water'!N96,'2017 - 2022 NAICS'!C:C,0))</f>
        <v>Sewage Treatment Facilities</v>
      </c>
      <c r="P96" s="10" t="str">
        <f>IFERROR(VLOOKUP(L96, 'Processed Non-zero TRI Data'!I:Q, 8, 0), "Direct")</f>
        <v>Direct</v>
      </c>
      <c r="Q96" s="10" t="e">
        <f>VLOOKUP(R96,#REF!, 2, FALSE)</f>
        <v>#REF!</v>
      </c>
      <c r="R96" s="10" t="str">
        <f>INDEX('Facility Discharge Summary'!D:D, MATCH('Facility Summary_Water'!M96, 'Facility Discharge Summary'!J:J,0))</f>
        <v>Waste Handling, Disposal and Treatment (POTW)</v>
      </c>
      <c r="S96" s="10" t="str">
        <f>INDEX('Processed Non-zero DMR Data'!T:T, MATCH('Facility Summary_Water'!M96, 'Processed Non-zero DMR Data'!I:I,0))</f>
        <v>POTW indicator in DMR</v>
      </c>
      <c r="T96" s="10" t="s">
        <v>72</v>
      </c>
      <c r="U96" s="9">
        <f>INDEX('TRI and DMR OES Summary'!D:D, MATCH('Facility Summary_Water'!R96,'TRI and DMR OES Summary'!A:A,0))</f>
        <v>365</v>
      </c>
      <c r="V96" s="258">
        <f>INDEX('Facility Discharge Summary'!AR:AR,MATCH('Facility Summary_Water'!M96,'Facility Discharge Summary'!J:J,0))</f>
        <v>0</v>
      </c>
      <c r="W96" s="258">
        <f>INDEX('Facility Discharge Summary'!T:T,MATCH('Facility Summary_Water'!M96,'Facility Discharge Summary'!J:J,0))</f>
        <v>9.3943700000000003</v>
      </c>
    </row>
    <row r="97" spans="1:23" x14ac:dyDescent="0.25">
      <c r="A97" s="9">
        <v>96</v>
      </c>
      <c r="B97" s="10" t="str">
        <f>IF(COUNTIF('Processed Non-zero TRI Data'!J:J,'Facility Summary_Water'!M97)&gt;0, "TRI Form " &amp; INDEX('Processed Non-zero TRI Data'!K:K,MATCH('Facility Summary_Water'!M97,'Processed Non-zero TRI Data'!J:J,0)), "" )</f>
        <v/>
      </c>
      <c r="C97" s="10" t="str">
        <f>IF(COUNTIF('Processed Non-zero DMR Data'!I:I, 'Facility Summary_Water'!M97)&gt;0, "DMR", "")</f>
        <v>DMR</v>
      </c>
      <c r="D97" s="10"/>
      <c r="E97" s="10" t="s">
        <v>316</v>
      </c>
      <c r="F97" s="10"/>
      <c r="G97" s="10" t="s">
        <v>150</v>
      </c>
      <c r="H97" s="10" t="s">
        <v>138</v>
      </c>
      <c r="I97" s="10"/>
      <c r="J97" s="9">
        <f>IF(L97&lt;&gt;"", INDEX('Processed Non-zero TRI Data'!$G:$G, MATCH(L97, 'Processed Non-zero TRI Data'!$I:$I,0)), INDEX('Processed Non-zero DMR Data'!$F:$F, MATCH(M97,'Processed Non-zero DMR Data'!$I:$I, 0)))</f>
        <v>37.790278000000001</v>
      </c>
      <c r="K97" s="9">
        <f>IF(L97&lt;&gt;"", INDEX('Processed Non-zero TRI Data'!$H:$H, MATCH(L97, 'Processed Non-zero TRI Data'!$I:$I,0)), INDEX('Processed Non-zero DMR Data'!$G:$G, MATCH(M97,'Processed Non-zero DMR Data'!$I:$I, 0)))</f>
        <v>-87.140277999999995</v>
      </c>
      <c r="L97" s="10"/>
      <c r="M97" s="259">
        <v>110039998214</v>
      </c>
      <c r="N97" s="9">
        <f>IF(L97&lt;&gt;"",INDEX('Processed Non-zero TRI Data'!L:L,MATCH('Facility Summary_Water'!L97,'Processed Non-zero TRI Data'!I:I,0)),INDEX('Processed Non-zero DMR Data'!$L:$L,MATCH('Facility Summary_Water'!M97,'Processed Non-zero DMR Data'!$I:$I,0)))</f>
        <v>221320</v>
      </c>
      <c r="O97" s="10" t="str">
        <f>INDEX('2017 - 2022 NAICS'!D:D,MATCH('Facility Summary_Water'!N97,'2017 - 2022 NAICS'!C:C,0))</f>
        <v>Sewage Treatment Facilities</v>
      </c>
      <c r="P97" s="10" t="str">
        <f>IFERROR(VLOOKUP(L97, 'Processed Non-zero TRI Data'!I:Q, 8, 0), "Direct")</f>
        <v>Direct</v>
      </c>
      <c r="Q97" s="10" t="e">
        <f>VLOOKUP(R97,#REF!, 2, FALSE)</f>
        <v>#REF!</v>
      </c>
      <c r="R97" s="10" t="str">
        <f>INDEX('Facility Discharge Summary'!D:D, MATCH('Facility Summary_Water'!M97, 'Facility Discharge Summary'!J:J,0))</f>
        <v>Waste Handling, Disposal and Treatment (POTW)</v>
      </c>
      <c r="S97" s="10" t="str">
        <f>INDEX('Processed Non-zero DMR Data'!T:T, MATCH('Facility Summary_Water'!M97, 'Processed Non-zero DMR Data'!I:I,0))</f>
        <v>POTW indicator in DMR</v>
      </c>
      <c r="T97" s="10" t="s">
        <v>72</v>
      </c>
      <c r="U97" s="9">
        <f>INDEX('TRI and DMR OES Summary'!D:D, MATCH('Facility Summary_Water'!R97,'TRI and DMR OES Summary'!A:A,0))</f>
        <v>365</v>
      </c>
      <c r="V97" s="258">
        <f>INDEX('Facility Discharge Summary'!AR:AR,MATCH('Facility Summary_Water'!M97,'Facility Discharge Summary'!J:J,0))</f>
        <v>0</v>
      </c>
      <c r="W97" s="258">
        <f>INDEX('Facility Discharge Summary'!T:T,MATCH('Facility Summary_Water'!M97,'Facility Discharge Summary'!J:J,0))</f>
        <v>49.955944000000002</v>
      </c>
    </row>
    <row r="98" spans="1:23" x14ac:dyDescent="0.25">
      <c r="A98" s="9">
        <v>97</v>
      </c>
      <c r="B98" s="10" t="str">
        <f>IF(COUNTIF('Processed Non-zero TRI Data'!J:J,'Facility Summary_Water'!M98)&gt;0, "TRI Form " &amp; INDEX('Processed Non-zero TRI Data'!K:K,MATCH('Facility Summary_Water'!M98,'Processed Non-zero TRI Data'!J:J,0)), "" )</f>
        <v/>
      </c>
      <c r="C98" s="10" t="str">
        <f>IF(COUNTIF('Processed Non-zero DMR Data'!I:I, 'Facility Summary_Water'!M98)&gt;0, "DMR", "")</f>
        <v>DMR</v>
      </c>
      <c r="D98" s="10"/>
      <c r="E98" s="10" t="s">
        <v>317</v>
      </c>
      <c r="F98" s="10"/>
      <c r="G98" s="10" t="s">
        <v>318</v>
      </c>
      <c r="H98" s="10" t="s">
        <v>138</v>
      </c>
      <c r="I98" s="10"/>
      <c r="J98" s="9">
        <f>IF(L98&lt;&gt;"", INDEX('Processed Non-zero TRI Data'!$G:$G, MATCH(L98, 'Processed Non-zero TRI Data'!$I:$I,0)), INDEX('Processed Non-zero DMR Data'!$F:$F, MATCH(M98,'Processed Non-zero DMR Data'!$I:$I, 0)))</f>
        <v>36.747222000000001</v>
      </c>
      <c r="K98" s="9">
        <f>IF(L98&lt;&gt;"", INDEX('Processed Non-zero TRI Data'!$H:$H, MATCH(L98, 'Processed Non-zero TRI Data'!$I:$I,0)), INDEX('Processed Non-zero DMR Data'!$G:$G, MATCH(M98,'Processed Non-zero DMR Data'!$I:$I, 0)))</f>
        <v>-84.171943999999996</v>
      </c>
      <c r="L98" s="10"/>
      <c r="M98" s="259">
        <v>110006751737</v>
      </c>
      <c r="N98" s="9">
        <f>IF(L98&lt;&gt;"",INDEX('Processed Non-zero TRI Data'!L:L,MATCH('Facility Summary_Water'!L98,'Processed Non-zero TRI Data'!I:I,0)),INDEX('Processed Non-zero DMR Data'!$L:$L,MATCH('Facility Summary_Water'!M98,'Processed Non-zero DMR Data'!$I:$I,0)))</f>
        <v>221320</v>
      </c>
      <c r="O98" s="10" t="str">
        <f>INDEX('2017 - 2022 NAICS'!D:D,MATCH('Facility Summary_Water'!N98,'2017 - 2022 NAICS'!C:C,0))</f>
        <v>Sewage Treatment Facilities</v>
      </c>
      <c r="P98" s="10" t="str">
        <f>IFERROR(VLOOKUP(L98, 'Processed Non-zero TRI Data'!I:Q, 8, 0), "Direct")</f>
        <v>Direct</v>
      </c>
      <c r="Q98" s="10" t="e">
        <f>VLOOKUP(R98,#REF!, 2, FALSE)</f>
        <v>#REF!</v>
      </c>
      <c r="R98" s="10" t="str">
        <f>INDEX('Facility Discharge Summary'!D:D, MATCH('Facility Summary_Water'!M98, 'Facility Discharge Summary'!J:J,0))</f>
        <v>Waste Handling, Disposal and Treatment (POTW)</v>
      </c>
      <c r="S98" s="10" t="str">
        <f>INDEX('Processed Non-zero DMR Data'!T:T, MATCH('Facility Summary_Water'!M98, 'Processed Non-zero DMR Data'!I:I,0))</f>
        <v>POTW indicator in DMR</v>
      </c>
      <c r="T98" s="10" t="s">
        <v>72</v>
      </c>
      <c r="U98" s="9">
        <f>INDEX('TRI and DMR OES Summary'!D:D, MATCH('Facility Summary_Water'!R98,'TRI and DMR OES Summary'!A:A,0))</f>
        <v>365</v>
      </c>
      <c r="V98" s="258">
        <f>INDEX('Facility Discharge Summary'!AR:AR,MATCH('Facility Summary_Water'!M98,'Facility Discharge Summary'!J:J,0))</f>
        <v>0</v>
      </c>
      <c r="W98" s="258">
        <f>INDEX('Facility Discharge Summary'!T:T,MATCH('Facility Summary_Water'!M98,'Facility Discharge Summary'!J:J,0))</f>
        <v>5.4673851874999997</v>
      </c>
    </row>
    <row r="99" spans="1:23" x14ac:dyDescent="0.25">
      <c r="A99" s="9">
        <v>98</v>
      </c>
      <c r="B99" s="10" t="str">
        <f>IF(COUNTIF('Processed Non-zero TRI Data'!J:J,'Facility Summary_Water'!M99)&gt;0, "TRI Form " &amp; INDEX('Processed Non-zero TRI Data'!K:K,MATCH('Facility Summary_Water'!M99,'Processed Non-zero TRI Data'!J:J,0)), "" )</f>
        <v/>
      </c>
      <c r="C99" s="10" t="str">
        <f>IF(COUNTIF('Processed Non-zero DMR Data'!I:I, 'Facility Summary_Water'!M99)&gt;0, "DMR", "")</f>
        <v>DMR</v>
      </c>
      <c r="D99" s="10"/>
      <c r="E99" s="10" t="s">
        <v>319</v>
      </c>
      <c r="F99" s="10"/>
      <c r="G99" s="10" t="s">
        <v>320</v>
      </c>
      <c r="H99" s="10" t="s">
        <v>146</v>
      </c>
      <c r="I99" s="10"/>
      <c r="J99" s="9">
        <f>IF(L99&lt;&gt;"", INDEX('Processed Non-zero TRI Data'!$G:$G, MATCH(L99, 'Processed Non-zero TRI Data'!$I:$I,0)), INDEX('Processed Non-zero DMR Data'!$F:$F, MATCH(M99,'Processed Non-zero DMR Data'!$I:$I, 0)))</f>
        <v>39.805480000000003</v>
      </c>
      <c r="K99" s="9">
        <f>IF(L99&lt;&gt;"", INDEX('Processed Non-zero TRI Data'!$H:$H, MATCH(L99, 'Processed Non-zero TRI Data'!$I:$I,0)), INDEX('Processed Non-zero DMR Data'!$G:$G, MATCH(M99,'Processed Non-zero DMR Data'!$I:$I, 0)))</f>
        <v>-120.47149</v>
      </c>
      <c r="L99" s="10"/>
      <c r="M99" s="259">
        <v>110010058757</v>
      </c>
      <c r="N99" s="9">
        <f>IF(L99&lt;&gt;"",INDEX('Processed Non-zero TRI Data'!L:L,MATCH('Facility Summary_Water'!L99,'Processed Non-zero TRI Data'!I:I,0)),INDEX('Processed Non-zero DMR Data'!$L:$L,MATCH('Facility Summary_Water'!M99,'Processed Non-zero DMR Data'!$I:$I,0)))</f>
        <v>221320</v>
      </c>
      <c r="O99" s="10" t="str">
        <f>INDEX('2017 - 2022 NAICS'!D:D,MATCH('Facility Summary_Water'!N99,'2017 - 2022 NAICS'!C:C,0))</f>
        <v>Sewage Treatment Facilities</v>
      </c>
      <c r="P99" s="10" t="str">
        <f>IFERROR(VLOOKUP(L99, 'Processed Non-zero TRI Data'!I:Q, 8, 0), "Direct")</f>
        <v>Direct</v>
      </c>
      <c r="Q99" s="10" t="e">
        <f>VLOOKUP(R99,#REF!, 2, FALSE)</f>
        <v>#REF!</v>
      </c>
      <c r="R99" s="10" t="str">
        <f>INDEX('Facility Discharge Summary'!D:D, MATCH('Facility Summary_Water'!M99, 'Facility Discharge Summary'!J:J,0))</f>
        <v>Waste Handling, Disposal and Treatment (POTW)</v>
      </c>
      <c r="S99" s="10" t="str">
        <f>INDEX('Processed Non-zero DMR Data'!T:T, MATCH('Facility Summary_Water'!M99, 'Processed Non-zero DMR Data'!I:I,0))</f>
        <v>POTW indicator in DMR</v>
      </c>
      <c r="T99" s="10" t="s">
        <v>72</v>
      </c>
      <c r="U99" s="9">
        <f>INDEX('TRI and DMR OES Summary'!D:D, MATCH('Facility Summary_Water'!R99,'TRI and DMR OES Summary'!A:A,0))</f>
        <v>365</v>
      </c>
      <c r="V99" s="258">
        <f>INDEX('Facility Discharge Summary'!AR:AR,MATCH('Facility Summary_Water'!M99,'Facility Discharge Summary'!J:J,0))</f>
        <v>0</v>
      </c>
      <c r="W99" s="258">
        <f>INDEX('Facility Discharge Summary'!T:T,MATCH('Facility Summary_Water'!M99,'Facility Discharge Summary'!J:J,0))</f>
        <v>8.0819212500000005E-3</v>
      </c>
    </row>
    <row r="100" spans="1:23" ht="30" x14ac:dyDescent="0.25">
      <c r="A100" s="9">
        <v>99</v>
      </c>
      <c r="B100" s="10" t="str">
        <f>IF(COUNTIF('Processed Non-zero TRI Data'!J:J,'Facility Summary_Water'!M100)&gt;0, "TRI Form " &amp; INDEX('Processed Non-zero TRI Data'!K:K,MATCH('Facility Summary_Water'!M100,'Processed Non-zero TRI Data'!J:J,0)), "" )</f>
        <v/>
      </c>
      <c r="C100" s="10" t="str">
        <f>IF(COUNTIF('Processed Non-zero DMR Data'!I:I, 'Facility Summary_Water'!M100)&gt;0, "DMR", "")</f>
        <v>DMR</v>
      </c>
      <c r="D100" s="10"/>
      <c r="E100" s="10" t="s">
        <v>321</v>
      </c>
      <c r="F100" s="10"/>
      <c r="G100" s="10" t="s">
        <v>322</v>
      </c>
      <c r="H100" s="10" t="s">
        <v>138</v>
      </c>
      <c r="I100" s="10"/>
      <c r="J100" s="9">
        <f>IF(L100&lt;&gt;"", INDEX('Processed Non-zero TRI Data'!$G:$G, MATCH(L100, 'Processed Non-zero TRI Data'!$I:$I,0)), INDEX('Processed Non-zero DMR Data'!$F:$F, MATCH(M100,'Processed Non-zero DMR Data'!$I:$I, 0)))</f>
        <v>38.542222000000002</v>
      </c>
      <c r="K100" s="9">
        <f>IF(L100&lt;&gt;"", INDEX('Processed Non-zero TRI Data'!$H:$H, MATCH(L100, 'Processed Non-zero TRI Data'!$I:$I,0)), INDEX('Processed Non-zero DMR Data'!$G:$G, MATCH(M100,'Processed Non-zero DMR Data'!$I:$I, 0)))</f>
        <v>-84.831943999999993</v>
      </c>
      <c r="L100" s="10"/>
      <c r="M100" s="259">
        <v>110009938737</v>
      </c>
      <c r="N100" s="9">
        <f>IF(L100&lt;&gt;"",INDEX('Processed Non-zero TRI Data'!L:L,MATCH('Facility Summary_Water'!L100,'Processed Non-zero TRI Data'!I:I,0)),INDEX('Processed Non-zero DMR Data'!$L:$L,MATCH('Facility Summary_Water'!M100,'Processed Non-zero DMR Data'!$I:$I,0)))</f>
        <v>221320</v>
      </c>
      <c r="O100" s="10" t="str">
        <f>INDEX('2017 - 2022 NAICS'!D:D,MATCH('Facility Summary_Water'!N100,'2017 - 2022 NAICS'!C:C,0))</f>
        <v>Sewage Treatment Facilities</v>
      </c>
      <c r="P100" s="10" t="str">
        <f>IFERROR(VLOOKUP(L100, 'Processed Non-zero TRI Data'!I:Q, 8, 0), "Direct")</f>
        <v>Direct</v>
      </c>
      <c r="Q100" s="10" t="e">
        <f>VLOOKUP(R100,#REF!, 2, FALSE)</f>
        <v>#REF!</v>
      </c>
      <c r="R100" s="10" t="str">
        <f>INDEX('Facility Discharge Summary'!D:D, MATCH('Facility Summary_Water'!M100, 'Facility Discharge Summary'!J:J,0))</f>
        <v>Waste Handling, Disposal and Treatment (non-POTW WWT)</v>
      </c>
      <c r="S100" s="10" t="str">
        <f>INDEX('Processed Non-zero DMR Data'!T:T, MATCH('Facility Summary_Water'!M100, 'Processed Non-zero DMR Data'!I:I,0))</f>
        <v>WWT (consistent with 1,1-DCA); per facility type flag, this is a non-POTW so classified as non-POTW WWT.</v>
      </c>
      <c r="T100" s="10" t="s">
        <v>72</v>
      </c>
      <c r="U100" s="9">
        <f>INDEX('TRI and DMR OES Summary'!D:D, MATCH('Facility Summary_Water'!R100,'TRI and DMR OES Summary'!A:A,0))</f>
        <v>250</v>
      </c>
      <c r="V100" s="258">
        <f>INDEX('Facility Discharge Summary'!AR:AR,MATCH('Facility Summary_Water'!M100,'Facility Discharge Summary'!J:J,0))</f>
        <v>0</v>
      </c>
      <c r="W100" s="258">
        <f>INDEX('Facility Discharge Summary'!T:T,MATCH('Facility Summary_Water'!M100,'Facility Discharge Summary'!J:J,0))</f>
        <v>0.65795128125000002</v>
      </c>
    </row>
    <row r="101" spans="1:23" x14ac:dyDescent="0.25">
      <c r="A101" s="9">
        <v>100</v>
      </c>
      <c r="B101" s="10" t="str">
        <f>IF(COUNTIF('Processed Non-zero TRI Data'!J:J,'Facility Summary_Water'!M101)&gt;0, "TRI Form " &amp; INDEX('Processed Non-zero TRI Data'!K:K,MATCH('Facility Summary_Water'!M101,'Processed Non-zero TRI Data'!J:J,0)), "" )</f>
        <v/>
      </c>
      <c r="C101" s="10" t="str">
        <f>IF(COUNTIF('Processed Non-zero DMR Data'!I:I, 'Facility Summary_Water'!M101)&gt;0, "DMR", "")</f>
        <v>DMR</v>
      </c>
      <c r="D101" s="10"/>
      <c r="E101" s="10" t="s">
        <v>323</v>
      </c>
      <c r="F101" s="10"/>
      <c r="G101" s="10" t="s">
        <v>324</v>
      </c>
      <c r="H101" s="10" t="s">
        <v>138</v>
      </c>
      <c r="I101" s="10"/>
      <c r="J101" s="9">
        <f>IF(L101&lt;&gt;"", INDEX('Processed Non-zero TRI Data'!$G:$G, MATCH(L101, 'Processed Non-zero TRI Data'!$I:$I,0)), INDEX('Processed Non-zero DMR Data'!$F:$F, MATCH(M101,'Processed Non-zero DMR Data'!$I:$I, 0)))</f>
        <v>37.108094000000001</v>
      </c>
      <c r="K101" s="9">
        <f>IF(L101&lt;&gt;"", INDEX('Processed Non-zero TRI Data'!$H:$H, MATCH(L101, 'Processed Non-zero TRI Data'!$I:$I,0)), INDEX('Processed Non-zero DMR Data'!$G:$G, MATCH(M101,'Processed Non-zero DMR Data'!$I:$I, 0)))</f>
        <v>-85.303033999999997</v>
      </c>
      <c r="L101" s="10"/>
      <c r="M101" s="259">
        <v>110009696356</v>
      </c>
      <c r="N101" s="9">
        <f>IF(L101&lt;&gt;"",INDEX('Processed Non-zero TRI Data'!L:L,MATCH('Facility Summary_Water'!L101,'Processed Non-zero TRI Data'!I:I,0)),INDEX('Processed Non-zero DMR Data'!$L:$L,MATCH('Facility Summary_Water'!M101,'Processed Non-zero DMR Data'!$I:$I,0)))</f>
        <v>221320</v>
      </c>
      <c r="O101" s="10" t="str">
        <f>INDEX('2017 - 2022 NAICS'!D:D,MATCH('Facility Summary_Water'!N101,'2017 - 2022 NAICS'!C:C,0))</f>
        <v>Sewage Treatment Facilities</v>
      </c>
      <c r="P101" s="10" t="str">
        <f>IFERROR(VLOOKUP(L101, 'Processed Non-zero TRI Data'!I:Q, 8, 0), "Direct")</f>
        <v>Direct</v>
      </c>
      <c r="Q101" s="10" t="e">
        <f>VLOOKUP(R101,#REF!, 2, FALSE)</f>
        <v>#REF!</v>
      </c>
      <c r="R101" s="10" t="str">
        <f>INDEX('Facility Discharge Summary'!D:D, MATCH('Facility Summary_Water'!M101, 'Facility Discharge Summary'!J:J,0))</f>
        <v>Waste Handling, Disposal and Treatment (POTW)</v>
      </c>
      <c r="S101" s="10" t="str">
        <f>INDEX('Processed Non-zero DMR Data'!T:T, MATCH('Facility Summary_Water'!M101, 'Processed Non-zero DMR Data'!I:I,0))</f>
        <v>POTW indicator in DMR</v>
      </c>
      <c r="T101" s="10" t="s">
        <v>72</v>
      </c>
      <c r="U101" s="9">
        <f>INDEX('TRI and DMR OES Summary'!D:D, MATCH('Facility Summary_Water'!R101,'TRI and DMR OES Summary'!A:A,0))</f>
        <v>365</v>
      </c>
      <c r="V101" s="258">
        <f>INDEX('Facility Discharge Summary'!AR:AR,MATCH('Facility Summary_Water'!M101,'Facility Discharge Summary'!J:J,0))</f>
        <v>0</v>
      </c>
      <c r="W101" s="258">
        <f>INDEX('Facility Discharge Summary'!T:T,MATCH('Facility Summary_Water'!M101,'Facility Discharge Summary'!J:J,0))</f>
        <v>4.6419240000000004</v>
      </c>
    </row>
    <row r="102" spans="1:23" x14ac:dyDescent="0.25">
      <c r="A102" s="9">
        <v>101</v>
      </c>
      <c r="B102" s="10" t="str">
        <f>IF(COUNTIF('Processed Non-zero TRI Data'!J:J,'Facility Summary_Water'!M102)&gt;0, "TRI Form " &amp; INDEX('Processed Non-zero TRI Data'!K:K,MATCH('Facility Summary_Water'!M102,'Processed Non-zero TRI Data'!J:J,0)), "" )</f>
        <v/>
      </c>
      <c r="C102" s="10" t="str">
        <f>IF(COUNTIF('Processed Non-zero DMR Data'!I:I, 'Facility Summary_Water'!M102)&gt;0, "DMR", "")</f>
        <v>DMR</v>
      </c>
      <c r="D102" s="10"/>
      <c r="E102" s="10" t="s">
        <v>325</v>
      </c>
      <c r="F102" s="10"/>
      <c r="G102" s="10" t="s">
        <v>326</v>
      </c>
      <c r="H102" s="10" t="s">
        <v>146</v>
      </c>
      <c r="I102" s="10"/>
      <c r="J102" s="9">
        <f>IF(L102&lt;&gt;"", INDEX('Processed Non-zero TRI Data'!$G:$G, MATCH(L102, 'Processed Non-zero TRI Data'!$I:$I,0)), INDEX('Processed Non-zero DMR Data'!$F:$F, MATCH(M102,'Processed Non-zero DMR Data'!$I:$I, 0)))</f>
        <v>37.591898999999998</v>
      </c>
      <c r="K102" s="9">
        <f>IF(L102&lt;&gt;"", INDEX('Processed Non-zero TRI Data'!$H:$H, MATCH(L102, 'Processed Non-zero TRI Data'!$I:$I,0)), INDEX('Processed Non-zero DMR Data'!$G:$G, MATCH(M102,'Processed Non-zero DMR Data'!$I:$I, 0)))</f>
        <v>-122.358101</v>
      </c>
      <c r="L102" s="10"/>
      <c r="M102" s="259">
        <v>110055988016</v>
      </c>
      <c r="N102" s="9">
        <f>IF(L102&lt;&gt;"",INDEX('Processed Non-zero TRI Data'!L:L,MATCH('Facility Summary_Water'!L102,'Processed Non-zero TRI Data'!I:I,0)),INDEX('Processed Non-zero DMR Data'!$L:$L,MATCH('Facility Summary_Water'!M102,'Processed Non-zero DMR Data'!$I:$I,0)))</f>
        <v>221320</v>
      </c>
      <c r="O102" s="10" t="str">
        <f>INDEX('2017 - 2022 NAICS'!D:D,MATCH('Facility Summary_Water'!N102,'2017 - 2022 NAICS'!C:C,0))</f>
        <v>Sewage Treatment Facilities</v>
      </c>
      <c r="P102" s="10" t="str">
        <f>IFERROR(VLOOKUP(L102, 'Processed Non-zero TRI Data'!I:Q, 8, 0), "Direct")</f>
        <v>Direct</v>
      </c>
      <c r="Q102" s="10" t="e">
        <f>VLOOKUP(R102,#REF!, 2, FALSE)</f>
        <v>#REF!</v>
      </c>
      <c r="R102" s="10" t="str">
        <f>INDEX('Facility Discharge Summary'!D:D, MATCH('Facility Summary_Water'!M102, 'Facility Discharge Summary'!J:J,0))</f>
        <v>Waste Handling, Disposal and Treatment (POTW)</v>
      </c>
      <c r="S102" s="10" t="str">
        <f>INDEX('Processed Non-zero DMR Data'!T:T, MATCH('Facility Summary_Water'!M102, 'Processed Non-zero DMR Data'!I:I,0))</f>
        <v>POTW indicator in DMR</v>
      </c>
      <c r="T102" s="10" t="s">
        <v>72</v>
      </c>
      <c r="U102" s="9">
        <f>INDEX('TRI and DMR OES Summary'!D:D, MATCH('Facility Summary_Water'!R102,'TRI and DMR OES Summary'!A:A,0))</f>
        <v>365</v>
      </c>
      <c r="V102" s="258">
        <f>INDEX('Facility Discharge Summary'!AR:AR,MATCH('Facility Summary_Water'!M102,'Facility Discharge Summary'!J:J,0))</f>
        <v>0</v>
      </c>
      <c r="W102" s="258">
        <f>INDEX('Facility Discharge Summary'!T:T,MATCH('Facility Summary_Water'!M102,'Facility Discharge Summary'!J:J,0))</f>
        <v>1.0326899375</v>
      </c>
    </row>
    <row r="103" spans="1:23" x14ac:dyDescent="0.25">
      <c r="A103" s="9">
        <v>102</v>
      </c>
      <c r="B103" s="10" t="str">
        <f>IF(COUNTIF('Processed Non-zero TRI Data'!J:J,'Facility Summary_Water'!M103)&gt;0, "TRI Form " &amp; INDEX('Processed Non-zero TRI Data'!K:K,MATCH('Facility Summary_Water'!M103,'Processed Non-zero TRI Data'!J:J,0)), "" )</f>
        <v/>
      </c>
      <c r="C103" s="10" t="str">
        <f>IF(COUNTIF('Processed Non-zero DMR Data'!I:I, 'Facility Summary_Water'!M103)&gt;0, "DMR", "")</f>
        <v>DMR</v>
      </c>
      <c r="D103" s="10"/>
      <c r="E103" s="10" t="s">
        <v>327</v>
      </c>
      <c r="F103" s="10"/>
      <c r="G103" s="10" t="s">
        <v>235</v>
      </c>
      <c r="H103" s="10" t="s">
        <v>138</v>
      </c>
      <c r="I103" s="10"/>
      <c r="J103" s="9">
        <f>IF(L103&lt;&gt;"", INDEX('Processed Non-zero TRI Data'!$G:$G, MATCH(L103, 'Processed Non-zero TRI Data'!$I:$I,0)), INDEX('Processed Non-zero DMR Data'!$F:$F, MATCH(M103,'Processed Non-zero DMR Data'!$I:$I, 0)))</f>
        <v>38.322221999999996</v>
      </c>
      <c r="K103" s="9">
        <f>IF(L103&lt;&gt;"", INDEX('Processed Non-zero TRI Data'!$H:$H, MATCH(L103, 'Processed Non-zero TRI Data'!$I:$I,0)), INDEX('Processed Non-zero DMR Data'!$G:$G, MATCH(M103,'Processed Non-zero DMR Data'!$I:$I, 0)))</f>
        <v>-85.555000000000007</v>
      </c>
      <c r="L103" s="10"/>
      <c r="M103" s="259">
        <v>110000732271</v>
      </c>
      <c r="N103" s="9">
        <f>IF(L103&lt;&gt;"",INDEX('Processed Non-zero TRI Data'!L:L,MATCH('Facility Summary_Water'!L103,'Processed Non-zero TRI Data'!I:I,0)),INDEX('Processed Non-zero DMR Data'!$L:$L,MATCH('Facility Summary_Water'!M103,'Processed Non-zero DMR Data'!$I:$I,0)))</f>
        <v>221320</v>
      </c>
      <c r="O103" s="10" t="str">
        <f>INDEX('2017 - 2022 NAICS'!D:D,MATCH('Facility Summary_Water'!N103,'2017 - 2022 NAICS'!C:C,0))</f>
        <v>Sewage Treatment Facilities</v>
      </c>
      <c r="P103" s="10" t="str">
        <f>IFERROR(VLOOKUP(L103, 'Processed Non-zero TRI Data'!I:Q, 8, 0), "Direct")</f>
        <v>Direct</v>
      </c>
      <c r="Q103" s="10" t="e">
        <f>VLOOKUP(R103,#REF!, 2, FALSE)</f>
        <v>#REF!</v>
      </c>
      <c r="R103" s="10" t="str">
        <f>INDEX('Facility Discharge Summary'!D:D, MATCH('Facility Summary_Water'!M103, 'Facility Discharge Summary'!J:J,0))</f>
        <v>Waste Handling, Disposal and Treatment (POTW)</v>
      </c>
      <c r="S103" s="10" t="str">
        <f>INDEX('Processed Non-zero DMR Data'!T:T, MATCH('Facility Summary_Water'!M103, 'Processed Non-zero DMR Data'!I:I,0))</f>
        <v>POTW indicator in DMR</v>
      </c>
      <c r="T103" s="10" t="s">
        <v>72</v>
      </c>
      <c r="U103" s="9">
        <f>INDEX('TRI and DMR OES Summary'!D:D, MATCH('Facility Summary_Water'!R103,'TRI and DMR OES Summary'!A:A,0))</f>
        <v>365</v>
      </c>
      <c r="V103" s="258">
        <f>INDEX('Facility Discharge Summary'!AR:AR,MATCH('Facility Summary_Water'!M103,'Facility Discharge Summary'!J:J,0))</f>
        <v>0</v>
      </c>
      <c r="W103" s="258">
        <f>INDEX('Facility Discharge Summary'!T:T,MATCH('Facility Summary_Water'!M103,'Facility Discharge Summary'!J:J,0))</f>
        <v>14.702879812500001</v>
      </c>
    </row>
    <row r="104" spans="1:23" ht="30" x14ac:dyDescent="0.25">
      <c r="A104" s="9">
        <v>103</v>
      </c>
      <c r="B104" s="10" t="str">
        <f>IF(COUNTIF('Processed Non-zero TRI Data'!J:J,'Facility Summary_Water'!M104)&gt;0, "TRI Form " &amp; INDEX('Processed Non-zero TRI Data'!K:K,MATCH('Facility Summary_Water'!M104,'Processed Non-zero TRI Data'!J:J,0)), "" )</f>
        <v/>
      </c>
      <c r="C104" s="10" t="str">
        <f>IF(COUNTIF('Processed Non-zero DMR Data'!I:I, 'Facility Summary_Water'!M104)&gt;0, "DMR", "")</f>
        <v>DMR</v>
      </c>
      <c r="D104" s="10"/>
      <c r="E104" s="10" t="s">
        <v>328</v>
      </c>
      <c r="F104" s="10"/>
      <c r="G104" s="10" t="s">
        <v>308</v>
      </c>
      <c r="H104" s="10" t="s">
        <v>309</v>
      </c>
      <c r="I104" s="10"/>
      <c r="J104" s="9">
        <f>IF(L104&lt;&gt;"", INDEX('Processed Non-zero TRI Data'!$G:$G, MATCH(L104, 'Processed Non-zero TRI Data'!$I:$I,0)), INDEX('Processed Non-zero DMR Data'!$F:$F, MATCH(M104,'Processed Non-zero DMR Data'!$I:$I, 0)))</f>
        <v>36.550454999999999</v>
      </c>
      <c r="K104" s="9">
        <f>IF(L104&lt;&gt;"", INDEX('Processed Non-zero TRI Data'!$H:$H, MATCH(L104, 'Processed Non-zero TRI Data'!$I:$I,0)), INDEX('Processed Non-zero DMR Data'!$G:$G, MATCH(M104,'Processed Non-zero DMR Data'!$I:$I, 0)))</f>
        <v>-82.634793999999999</v>
      </c>
      <c r="L104" s="10"/>
      <c r="M104" s="259">
        <v>110070828339</v>
      </c>
      <c r="N104" s="9">
        <f>IF(L104&lt;&gt;"",INDEX('Processed Non-zero TRI Data'!L:L,MATCH('Facility Summary_Water'!L104,'Processed Non-zero TRI Data'!I:I,0)),INDEX('Processed Non-zero DMR Data'!$L:$L,MATCH('Facility Summary_Water'!M104,'Processed Non-zero DMR Data'!$I:$I,0)))</f>
        <v>325920</v>
      </c>
      <c r="O104" s="10" t="str">
        <f>INDEX('2017 - 2022 NAICS'!D:D,MATCH('Facility Summary_Water'!N104,'2017 - 2022 NAICS'!C:C,0))</f>
        <v>Explosives Manufacturing</v>
      </c>
      <c r="P104" s="10" t="str">
        <f>IFERROR(VLOOKUP(L104, 'Processed Non-zero TRI Data'!I:Q, 8, 0), "Direct")</f>
        <v>Direct</v>
      </c>
      <c r="Q104" s="10" t="e">
        <f>VLOOKUP(R104,#REF!, 2, FALSE)</f>
        <v>#REF!</v>
      </c>
      <c r="R104" s="10" t="str">
        <f>INDEX('Facility Discharge Summary'!D:D, MATCH('Facility Summary_Water'!M104, 'Facility Discharge Summary'!J:J,0))</f>
        <v>Processing as a reactant</v>
      </c>
      <c r="S104" s="10" t="str">
        <f>INDEX('Processed Non-zero DMR Data'!T:T, MATCH('Facility Summary_Water'!M104, 'Processed Non-zero DMR Data'!I:I,0))</f>
        <v>Assumed processing as a reactant based on 1,1,-DCA mapping.</v>
      </c>
      <c r="T104" s="10" t="s">
        <v>72</v>
      </c>
      <c r="U104" s="9">
        <f>INDEX('TRI and DMR OES Summary'!D:D, MATCH('Facility Summary_Water'!R104,'TRI and DMR OES Summary'!A:A,0))</f>
        <v>350</v>
      </c>
      <c r="V104" s="258">
        <f>INDEX('Facility Discharge Summary'!AR:AR,MATCH('Facility Summary_Water'!M104,'Facility Discharge Summary'!J:J,0))</f>
        <v>0</v>
      </c>
      <c r="W104" s="258">
        <f>INDEX('Facility Discharge Summary'!T:T,MATCH('Facility Summary_Water'!M104,'Facility Discharge Summary'!J:J,0))</f>
        <v>4.5570250000000003</v>
      </c>
    </row>
    <row r="105" spans="1:23" ht="30" x14ac:dyDescent="0.25">
      <c r="A105" s="9">
        <v>104</v>
      </c>
      <c r="B105" s="10" t="str">
        <f>IF(COUNTIF('Processed Non-zero TRI Data'!J:J,'Facility Summary_Water'!M105)&gt;0, "TRI Form " &amp; INDEX('Processed Non-zero TRI Data'!K:K,MATCH('Facility Summary_Water'!M105,'Processed Non-zero TRI Data'!J:J,0)), "" )</f>
        <v/>
      </c>
      <c r="C105" s="10" t="str">
        <f>IF(COUNTIF('Processed Non-zero DMR Data'!I:I, 'Facility Summary_Water'!M105)&gt;0, "DMR", "")</f>
        <v>DMR</v>
      </c>
      <c r="D105" s="10"/>
      <c r="E105" s="10" t="s">
        <v>329</v>
      </c>
      <c r="F105" s="10"/>
      <c r="G105" s="10" t="s">
        <v>224</v>
      </c>
      <c r="H105" s="10" t="s">
        <v>141</v>
      </c>
      <c r="I105" s="10"/>
      <c r="J105" s="9">
        <f>IF(L105&lt;&gt;"", INDEX('Processed Non-zero TRI Data'!$G:$G, MATCH(L105, 'Processed Non-zero TRI Data'!$I:$I,0)), INDEX('Processed Non-zero DMR Data'!$F:$F, MATCH(M105,'Processed Non-zero DMR Data'!$I:$I, 0)))</f>
        <v>41.405655000000003</v>
      </c>
      <c r="K105" s="9">
        <f>IF(L105&lt;&gt;"", INDEX('Processed Non-zero TRI Data'!$H:$H, MATCH(L105, 'Processed Non-zero TRI Data'!$I:$I,0)), INDEX('Processed Non-zero DMR Data'!$G:$G, MATCH(M105,'Processed Non-zero DMR Data'!$I:$I, 0)))</f>
        <v>-88.335212999999996</v>
      </c>
      <c r="L105" s="10"/>
      <c r="M105" s="259">
        <v>110000547196</v>
      </c>
      <c r="N105" s="9">
        <f>IF(L105&lt;&gt;"",INDEX('Processed Non-zero TRI Data'!L:L,MATCH('Facility Summary_Water'!L105,'Processed Non-zero TRI Data'!I:I,0)),INDEX('Processed Non-zero DMR Data'!$L:$L,MATCH('Facility Summary_Water'!M105,'Processed Non-zero DMR Data'!$I:$I,0)))</f>
        <v>325110</v>
      </c>
      <c r="O105" s="10" t="str">
        <f>INDEX('2017 - 2022 NAICS'!D:D,MATCH('Facility Summary_Water'!N105,'2017 - 2022 NAICS'!C:C,0))</f>
        <v>Petrochemical Manufacturing</v>
      </c>
      <c r="P105" s="10" t="str">
        <f>IFERROR(VLOOKUP(L105, 'Processed Non-zero TRI Data'!I:Q, 8, 0), "Direct")</f>
        <v>Direct</v>
      </c>
      <c r="Q105" s="10" t="e">
        <f>VLOOKUP(R105,#REF!, 2, FALSE)</f>
        <v>#REF!</v>
      </c>
      <c r="R105" s="10" t="str">
        <f>INDEX('Facility Discharge Summary'!D:D, MATCH('Facility Summary_Water'!M105, 'Facility Discharge Summary'!J:J,0))</f>
        <v>Processing as a reactant</v>
      </c>
      <c r="S105" s="10" t="str">
        <f>INDEX('Processed Non-zero DMR Data'!T:T, MATCH('Facility Summary_Water'!M105, 'Processed Non-zero DMR Data'!I:I,0))</f>
        <v>Assumed processing as a reactant based on SIC and NAICS; this also matches 1,1,-DCA mapping.</v>
      </c>
      <c r="T105" s="10" t="s">
        <v>72</v>
      </c>
      <c r="U105" s="9">
        <f>INDEX('TRI and DMR OES Summary'!D:D, MATCH('Facility Summary_Water'!R105,'TRI and DMR OES Summary'!A:A,0))</f>
        <v>350</v>
      </c>
      <c r="V105" s="258">
        <f>INDEX('Facility Discharge Summary'!AR:AR,MATCH('Facility Summary_Water'!M105,'Facility Discharge Summary'!J:J,0))</f>
        <v>0</v>
      </c>
      <c r="W105" s="258">
        <f>INDEX('Facility Discharge Summary'!T:T,MATCH('Facility Summary_Water'!M105,'Facility Discharge Summary'!J:J,0))</f>
        <v>9.4559119999999997E-2</v>
      </c>
    </row>
    <row r="106" spans="1:23" ht="30" x14ac:dyDescent="0.25">
      <c r="A106" s="9">
        <v>105</v>
      </c>
      <c r="B106" s="10" t="str">
        <f>IF(COUNTIF('Processed Non-zero TRI Data'!J:J,'Facility Summary_Water'!M106)&gt;0, "TRI Form " &amp; INDEX('Processed Non-zero TRI Data'!K:K,MATCH('Facility Summary_Water'!M106,'Processed Non-zero TRI Data'!J:J,0)), "" )</f>
        <v/>
      </c>
      <c r="C106" s="10" t="str">
        <f>IF(COUNTIF('Processed Non-zero DMR Data'!I:I, 'Facility Summary_Water'!M106)&gt;0, "DMR", "")</f>
        <v>DMR</v>
      </c>
      <c r="D106" s="10"/>
      <c r="E106" s="10" t="s">
        <v>330</v>
      </c>
      <c r="F106" s="10"/>
      <c r="G106" s="10" t="s">
        <v>331</v>
      </c>
      <c r="H106" s="10" t="s">
        <v>250</v>
      </c>
      <c r="I106" s="10"/>
      <c r="J106" s="9">
        <f>IF(L106&lt;&gt;"", INDEX('Processed Non-zero TRI Data'!$G:$G, MATCH(L106, 'Processed Non-zero TRI Data'!$I:$I,0)), INDEX('Processed Non-zero DMR Data'!$F:$F, MATCH(M106,'Processed Non-zero DMR Data'!$I:$I, 0)))</f>
        <v>44.700833000000003</v>
      </c>
      <c r="K106" s="9">
        <f>IF(L106&lt;&gt;"", INDEX('Processed Non-zero TRI Data'!$H:$H, MATCH(L106, 'Processed Non-zero TRI Data'!$I:$I,0)), INDEX('Processed Non-zero DMR Data'!$G:$G, MATCH(M106,'Processed Non-zero DMR Data'!$I:$I, 0)))</f>
        <v>-73.591667000000001</v>
      </c>
      <c r="L106" s="10"/>
      <c r="M106" s="259">
        <v>110064786085</v>
      </c>
      <c r="N106" s="9">
        <f>IF(L106&lt;&gt;"",INDEX('Processed Non-zero TRI Data'!L:L,MATCH('Facility Summary_Water'!L106,'Processed Non-zero TRI Data'!I:I,0)),INDEX('Processed Non-zero DMR Data'!$L:$L,MATCH('Facility Summary_Water'!M106,'Processed Non-zero DMR Data'!$I:$I,0)))</f>
        <v>924110</v>
      </c>
      <c r="O106" s="10" t="str">
        <f>INDEX('2017 - 2022 NAICS'!D:D,MATCH('Facility Summary_Water'!N106,'2017 - 2022 NAICS'!C:C,0))</f>
        <v>Administration of Air and Water Resource and Solid Waste Management Programs</v>
      </c>
      <c r="P106" s="10" t="str">
        <f>IFERROR(VLOOKUP(L106, 'Processed Non-zero TRI Data'!I:Q, 8, 0), "Direct")</f>
        <v>Direct</v>
      </c>
      <c r="Q106" s="10" t="e">
        <f>VLOOKUP(R106,#REF!, 2, FALSE)</f>
        <v>#REF!</v>
      </c>
      <c r="R106" s="10" t="str">
        <f>INDEX('Facility Discharge Summary'!D:D, MATCH('Facility Summary_Water'!M106, 'Facility Discharge Summary'!J:J,0))</f>
        <v>Waste Handling, Disposal and Treatment (Landfill)</v>
      </c>
      <c r="S106" s="10" t="str">
        <f>INDEX('Processed Non-zero DMR Data'!T:T, MATCH('Facility Summary_Water'!M106, 'Processed Non-zero DMR Data'!I:I,0))</f>
        <v>Landfill based on site name</v>
      </c>
      <c r="T106" s="10" t="s">
        <v>72</v>
      </c>
      <c r="U106" s="9">
        <f>INDEX('TRI and DMR OES Summary'!D:D, MATCH('Facility Summary_Water'!R106,'TRI and DMR OES Summary'!A:A,0))</f>
        <v>250</v>
      </c>
      <c r="V106" s="258">
        <f>INDEX('Facility Discharge Summary'!AR:AR,MATCH('Facility Summary_Water'!M106,'Facility Discharge Summary'!J:J,0))</f>
        <v>0</v>
      </c>
      <c r="W106" s="258">
        <f>INDEX('Facility Discharge Summary'!T:T,MATCH('Facility Summary_Water'!M106,'Facility Discharge Summary'!J:J,0))</f>
        <v>0.21013461751250001</v>
      </c>
    </row>
    <row r="107" spans="1:23" ht="45" x14ac:dyDescent="0.25">
      <c r="A107" s="9">
        <v>106</v>
      </c>
      <c r="B107" s="10" t="str">
        <f>IF(COUNTIF('Processed Non-zero TRI Data'!J:J,'Facility Summary_Water'!M107)&gt;0, "TRI Form " &amp; INDEX('Processed Non-zero TRI Data'!K:K,MATCH('Facility Summary_Water'!M107,'Processed Non-zero TRI Data'!J:J,0)), "" )</f>
        <v/>
      </c>
      <c r="C107" s="10" t="str">
        <f>IF(COUNTIF('Processed Non-zero DMR Data'!I:I, 'Facility Summary_Water'!M107)&gt;0, "DMR", "")</f>
        <v>DMR</v>
      </c>
      <c r="D107" s="10"/>
      <c r="E107" s="10" t="s">
        <v>332</v>
      </c>
      <c r="F107" s="10"/>
      <c r="G107" s="10" t="s">
        <v>333</v>
      </c>
      <c r="H107" s="10" t="s">
        <v>268</v>
      </c>
      <c r="I107" s="10"/>
      <c r="J107" s="9">
        <f>IF(L107&lt;&gt;"", INDEX('Processed Non-zero TRI Data'!$G:$G, MATCH(L107, 'Processed Non-zero TRI Data'!$I:$I,0)), INDEX('Processed Non-zero DMR Data'!$F:$F, MATCH(M107,'Processed Non-zero DMR Data'!$I:$I, 0)))</f>
        <v>40.655278000000003</v>
      </c>
      <c r="K107" s="9">
        <f>IF(L107&lt;&gt;"", INDEX('Processed Non-zero TRI Data'!$H:$H, MATCH(L107, 'Processed Non-zero TRI Data'!$I:$I,0)), INDEX('Processed Non-zero DMR Data'!$G:$G, MATCH(M107,'Processed Non-zero DMR Data'!$I:$I, 0)))</f>
        <v>-80.356388999999993</v>
      </c>
      <c r="L107" s="10"/>
      <c r="M107" s="259">
        <v>110059344473</v>
      </c>
      <c r="N107" s="9">
        <f>IF(L107&lt;&gt;"",INDEX('Processed Non-zero TRI Data'!L:L,MATCH('Facility Summary_Water'!L107,'Processed Non-zero TRI Data'!I:I,0)),INDEX('Processed Non-zero DMR Data'!$L:$L,MATCH('Facility Summary_Water'!M107,'Processed Non-zero DMR Data'!$I:$I,0)))</f>
        <v>325211</v>
      </c>
      <c r="O107" s="10" t="str">
        <f>INDEX('2017 - 2022 NAICS'!D:D,MATCH('Facility Summary_Water'!N107,'2017 - 2022 NAICS'!C:C,0))</f>
        <v>Plastics Material and Resin Manufacturing</v>
      </c>
      <c r="P107" s="10" t="str">
        <f>IFERROR(VLOOKUP(L107, 'Processed Non-zero TRI Data'!I:Q, 8, 0), "Direct")</f>
        <v>Direct</v>
      </c>
      <c r="Q107" s="10" t="e">
        <f>VLOOKUP(R107,#REF!, 2, FALSE)</f>
        <v>#REF!</v>
      </c>
      <c r="R107" s="10" t="str">
        <f>INDEX('Facility Discharge Summary'!D:D, MATCH('Facility Summary_Water'!M107, 'Facility Discharge Summary'!J:J,0))</f>
        <v>Impurity in Plastics</v>
      </c>
      <c r="S107" s="10" t="str">
        <f>INDEX('Processed Non-zero DMR Data'!T:T, MATCH('Facility Summary_Water'!M107, 'Processed Non-zero DMR Data'!I:I,0))</f>
        <v>Plastics SIC/NAICS - EPA-HQ-OPPT-2018-0428-0011 indicates 1,2-dichloropropane can be a residual/byproduct in PVC plastics or a flame retardant plasticizer.</v>
      </c>
      <c r="T107" s="10" t="s">
        <v>72</v>
      </c>
      <c r="U107" s="9">
        <f>INDEX('TRI and DMR OES Summary'!D:D, MATCH('Facility Summary_Water'!R107,'TRI and DMR OES Summary'!A:A,0))</f>
        <v>350</v>
      </c>
      <c r="V107" s="258">
        <f>INDEX('Facility Discharge Summary'!AR:AR,MATCH('Facility Summary_Water'!M107,'Facility Discharge Summary'!J:J,0))</f>
        <v>0</v>
      </c>
      <c r="W107" s="258">
        <f>INDEX('Facility Discharge Summary'!T:T,MATCH('Facility Summary_Water'!M107,'Facility Discharge Summary'!J:J,0))</f>
        <v>0.66283999999999998</v>
      </c>
    </row>
    <row r="108" spans="1:23" ht="30" x14ac:dyDescent="0.25">
      <c r="A108" s="9">
        <v>107</v>
      </c>
      <c r="B108" s="10" t="str">
        <f>IF(COUNTIF('Processed Non-zero TRI Data'!J:J,'Facility Summary_Water'!M108)&gt;0, "TRI Form " &amp; INDEX('Processed Non-zero TRI Data'!K:K,MATCH('Facility Summary_Water'!M108,'Processed Non-zero TRI Data'!J:J,0)), "" )</f>
        <v/>
      </c>
      <c r="C108" s="10" t="str">
        <f>IF(COUNTIF('Processed Non-zero DMR Data'!I:I, 'Facility Summary_Water'!M108)&gt;0, "DMR", "")</f>
        <v>DMR</v>
      </c>
      <c r="D108" s="10"/>
      <c r="E108" s="10" t="s">
        <v>334</v>
      </c>
      <c r="F108" s="10"/>
      <c r="G108" s="10" t="s">
        <v>335</v>
      </c>
      <c r="H108" s="10" t="s">
        <v>336</v>
      </c>
      <c r="I108" s="10"/>
      <c r="J108" s="9">
        <f>IF(L108&lt;&gt;"", INDEX('Processed Non-zero TRI Data'!$G:$G, MATCH(L108, 'Processed Non-zero TRI Data'!$I:$I,0)), INDEX('Processed Non-zero DMR Data'!$F:$F, MATCH(M108,'Processed Non-zero DMR Data'!$I:$I, 0)))</f>
        <v>41.424084999999998</v>
      </c>
      <c r="K108" s="9">
        <f>IF(L108&lt;&gt;"", INDEX('Processed Non-zero TRI Data'!$H:$H, MATCH(L108, 'Processed Non-zero TRI Data'!$I:$I,0)), INDEX('Processed Non-zero DMR Data'!$G:$G, MATCH(M108,'Processed Non-zero DMR Data'!$I:$I, 0)))</f>
        <v>-97.286036999999993</v>
      </c>
      <c r="L108" s="10"/>
      <c r="M108" s="259">
        <v>110070246981</v>
      </c>
      <c r="N108" s="9">
        <f>IF(L108&lt;&gt;"",INDEX('Processed Non-zero TRI Data'!L:L,MATCH('Facility Summary_Water'!L108,'Processed Non-zero TRI Data'!I:I,0)),INDEX('Processed Non-zero DMR Data'!$L:$L,MATCH('Facility Summary_Water'!M108,'Processed Non-zero DMR Data'!$I:$I,0)))</f>
        <v>311942</v>
      </c>
      <c r="O108" s="10" t="str">
        <f>INDEX('2017 - 2022 NAICS'!D:D,MATCH('Facility Summary_Water'!N108,'2017 - 2022 NAICS'!C:C,0))</f>
        <v>Spice and Extract Manufacturing</v>
      </c>
      <c r="P108" s="10" t="str">
        <f>IFERROR(VLOOKUP(L108, 'Processed Non-zero TRI Data'!I:Q, 8, 0), "Direct")</f>
        <v>Direct</v>
      </c>
      <c r="Q108" s="10" t="e">
        <f>VLOOKUP(R108,#REF!, 2, FALSE)</f>
        <v>#REF!</v>
      </c>
      <c r="R108" s="10" t="str">
        <f>INDEX('Facility Discharge Summary'!D:D, MATCH('Facility Summary_Water'!M108, 'Facility Discharge Summary'!J:J,0))</f>
        <v>Processing as a reactant</v>
      </c>
      <c r="S108" s="10" t="str">
        <f>INDEX('Processed Non-zero DMR Data'!T:T, MATCH('Facility Summary_Water'!M108, 'Processed Non-zero DMR Data'!I:I,0))</f>
        <v>Ethyl acetate manufacturer; assumed processing as a reactant.</v>
      </c>
      <c r="T108" s="10" t="s">
        <v>72</v>
      </c>
      <c r="U108" s="9">
        <f>INDEX('TRI and DMR OES Summary'!D:D, MATCH('Facility Summary_Water'!R108,'TRI and DMR OES Summary'!A:A,0))</f>
        <v>350</v>
      </c>
      <c r="V108" s="258">
        <f>INDEX('Facility Discharge Summary'!AR:AR,MATCH('Facility Summary_Water'!M108,'Facility Discharge Summary'!J:J,0))</f>
        <v>0</v>
      </c>
      <c r="W108" s="258">
        <f>INDEX('Facility Discharge Summary'!T:T,MATCH('Facility Summary_Water'!M108,'Facility Discharge Summary'!J:J,0))</f>
        <v>0.27600000000000002</v>
      </c>
    </row>
    <row r="109" spans="1:23" x14ac:dyDescent="0.25">
      <c r="A109" s="9">
        <v>108</v>
      </c>
      <c r="B109" s="10" t="str">
        <f>IF(COUNTIF('Processed Non-zero TRI Data'!J:J,'Facility Summary_Water'!M109)&gt;0, "TRI Form " &amp; INDEX('Processed Non-zero TRI Data'!K:K,MATCH('Facility Summary_Water'!M109,'Processed Non-zero TRI Data'!J:J,0)), "" )</f>
        <v/>
      </c>
      <c r="C109" s="10" t="str">
        <f>IF(COUNTIF('Processed Non-zero DMR Data'!I:I, 'Facility Summary_Water'!M109)&gt;0, "DMR", "")</f>
        <v>DMR</v>
      </c>
      <c r="D109" s="10"/>
      <c r="E109" s="10" t="s">
        <v>337</v>
      </c>
      <c r="F109" s="10"/>
      <c r="G109" s="10" t="s">
        <v>338</v>
      </c>
      <c r="H109" s="10" t="s">
        <v>146</v>
      </c>
      <c r="I109" s="10"/>
      <c r="J109" s="9">
        <f>IF(L109&lt;&gt;"", INDEX('Processed Non-zero TRI Data'!$G:$G, MATCH(L109, 'Processed Non-zero TRI Data'!$I:$I,0)), INDEX('Processed Non-zero DMR Data'!$F:$F, MATCH(M109,'Processed Non-zero DMR Data'!$I:$I, 0)))</f>
        <v>38.273180000000004</v>
      </c>
      <c r="K109" s="9">
        <f>IF(L109&lt;&gt;"", INDEX('Processed Non-zero TRI Data'!$H:$H, MATCH(L109, 'Processed Non-zero TRI Data'!$I:$I,0)), INDEX('Processed Non-zero DMR Data'!$G:$G, MATCH(M109,'Processed Non-zero DMR Data'!$I:$I, 0)))</f>
        <v>-120.91082</v>
      </c>
      <c r="L109" s="10"/>
      <c r="M109" s="259">
        <v>110064616296</v>
      </c>
      <c r="N109" s="9">
        <f>IF(L109&lt;&gt;"",INDEX('Processed Non-zero TRI Data'!L:L,MATCH('Facility Summary_Water'!L109,'Processed Non-zero TRI Data'!I:I,0)),INDEX('Processed Non-zero DMR Data'!$L:$L,MATCH('Facility Summary_Water'!M109,'Processed Non-zero DMR Data'!$I:$I,0)))</f>
        <v>221320</v>
      </c>
      <c r="O109" s="10" t="str">
        <f>INDEX('2017 - 2022 NAICS'!D:D,MATCH('Facility Summary_Water'!N109,'2017 - 2022 NAICS'!C:C,0))</f>
        <v>Sewage Treatment Facilities</v>
      </c>
      <c r="P109" s="10" t="str">
        <f>IFERROR(VLOOKUP(L109, 'Processed Non-zero TRI Data'!I:Q, 8, 0), "Direct")</f>
        <v>Direct</v>
      </c>
      <c r="Q109" s="10" t="e">
        <f>VLOOKUP(R109,#REF!, 2, FALSE)</f>
        <v>#REF!</v>
      </c>
      <c r="R109" s="10" t="str">
        <f>INDEX('Facility Discharge Summary'!D:D, MATCH('Facility Summary_Water'!M109, 'Facility Discharge Summary'!J:J,0))</f>
        <v>Waste Handling, Disposal and Treatment (POTW)</v>
      </c>
      <c r="S109" s="10" t="str">
        <f>INDEX('Processed Non-zero DMR Data'!T:T, MATCH('Facility Summary_Water'!M109, 'Processed Non-zero DMR Data'!I:I,0))</f>
        <v>POTW indicator in DMR</v>
      </c>
      <c r="T109" s="10" t="s">
        <v>72</v>
      </c>
      <c r="U109" s="9">
        <f>INDEX('TRI and DMR OES Summary'!D:D, MATCH('Facility Summary_Water'!R109,'TRI and DMR OES Summary'!A:A,0))</f>
        <v>365</v>
      </c>
      <c r="V109" s="258">
        <f>INDEX('Facility Discharge Summary'!AR:AR,MATCH('Facility Summary_Water'!M109,'Facility Discharge Summary'!J:J,0))</f>
        <v>0</v>
      </c>
      <c r="W109" s="258">
        <f>INDEX('Facility Discharge Summary'!T:T,MATCH('Facility Summary_Water'!M109,'Facility Discharge Summary'!J:J,0))</f>
        <v>8.6345312500000007E-3</v>
      </c>
    </row>
    <row r="110" spans="1:23" ht="30" x14ac:dyDescent="0.25">
      <c r="A110" s="9">
        <v>109</v>
      </c>
      <c r="B110" s="10" t="str">
        <f>IF(COUNTIF('Processed Non-zero TRI Data'!J:J,'Facility Summary_Water'!M110)&gt;0, "TRI Form " &amp; INDEX('Processed Non-zero TRI Data'!K:K,MATCH('Facility Summary_Water'!M110,'Processed Non-zero TRI Data'!J:J,0)), "" )</f>
        <v/>
      </c>
      <c r="C110" s="10" t="str">
        <f>IF(COUNTIF('Processed Non-zero DMR Data'!I:I, 'Facility Summary_Water'!M110)&gt;0, "DMR", "")</f>
        <v>DMR</v>
      </c>
      <c r="D110" s="10"/>
      <c r="E110" s="10" t="s">
        <v>339</v>
      </c>
      <c r="F110" s="10"/>
      <c r="G110" s="10" t="s">
        <v>202</v>
      </c>
      <c r="H110" s="10" t="s">
        <v>106</v>
      </c>
      <c r="I110" s="10"/>
      <c r="J110" s="9">
        <f>IF(L110&lt;&gt;"", INDEX('Processed Non-zero TRI Data'!$G:$G, MATCH(L110, 'Processed Non-zero TRI Data'!$I:$I,0)), INDEX('Processed Non-zero DMR Data'!$F:$F, MATCH(M110,'Processed Non-zero DMR Data'!$I:$I, 0)))</f>
        <v>30.233011999999999</v>
      </c>
      <c r="K110" s="9">
        <f>IF(L110&lt;&gt;"", INDEX('Processed Non-zero TRI Data'!$H:$H, MATCH(L110, 'Processed Non-zero TRI Data'!$I:$I,0)), INDEX('Processed Non-zero DMR Data'!$G:$G, MATCH(M110,'Processed Non-zero DMR Data'!$I:$I, 0)))</f>
        <v>-91.022057000000004</v>
      </c>
      <c r="L110" s="10"/>
      <c r="M110" s="259">
        <v>110000911309</v>
      </c>
      <c r="N110" s="9">
        <f>IF(L110&lt;&gt;"",INDEX('Processed Non-zero TRI Data'!L:L,MATCH('Facility Summary_Water'!L110,'Processed Non-zero TRI Data'!I:I,0)),INDEX('Processed Non-zero DMR Data'!$L:$L,MATCH('Facility Summary_Water'!M110,'Processed Non-zero DMR Data'!$I:$I,0)))</f>
        <v>487110</v>
      </c>
      <c r="O110" s="10" t="str">
        <f>INDEX('2017 - 2022 NAICS'!D:D,MATCH('Facility Summary_Water'!N110,'2017 - 2022 NAICS'!C:C,0))</f>
        <v>Scenic and Sightseeing Transportation, Land</v>
      </c>
      <c r="P110" s="10" t="str">
        <f>IFERROR(VLOOKUP(L110, 'Processed Non-zero TRI Data'!I:Q, 8, 0), "Direct")</f>
        <v>Direct</v>
      </c>
      <c r="Q110" s="10" t="e">
        <f>VLOOKUP(R110,#REF!, 2, FALSE)</f>
        <v>#REF!</v>
      </c>
      <c r="R110" s="10" t="str">
        <f>INDEX('Facility Discharge Summary'!D:D, MATCH('Facility Summary_Water'!M110, 'Facility Discharge Summary'!J:J,0))</f>
        <v>Unknown</v>
      </c>
      <c r="S110" s="10" t="str">
        <f>INDEX('Processed Non-zero DMR Data'!T:T, MATCH('Facility Summary_Water'!M110, 'Processed Non-zero DMR Data'!I:I,0))</f>
        <v>Unknown; per "terminal 260" in facility name, this may be "Distribution in Commerce".</v>
      </c>
      <c r="T110" s="10" t="s">
        <v>72</v>
      </c>
      <c r="U110" s="9">
        <f>INDEX('TRI and DMR OES Summary'!D:D, MATCH('Facility Summary_Water'!R110,'TRI and DMR OES Summary'!A:A,0))</f>
        <v>250</v>
      </c>
      <c r="V110" s="258">
        <f>INDEX('Facility Discharge Summary'!AR:AR,MATCH('Facility Summary_Water'!M110,'Facility Discharge Summary'!J:J,0))</f>
        <v>0</v>
      </c>
      <c r="W110" s="258">
        <f>INDEX('Facility Discharge Summary'!T:T,MATCH('Facility Summary_Water'!M110,'Facility Discharge Summary'!J:J,0))</f>
        <v>2.3930662500000002E-2</v>
      </c>
    </row>
    <row r="111" spans="1:23" ht="30" x14ac:dyDescent="0.25">
      <c r="A111" s="9">
        <v>110</v>
      </c>
      <c r="B111" s="10" t="str">
        <f>IF(COUNTIF('Processed Non-zero TRI Data'!J:J,'Facility Summary_Water'!M111)&gt;0, "TRI Form " &amp; INDEX('Processed Non-zero TRI Data'!K:K,MATCH('Facility Summary_Water'!M111,'Processed Non-zero TRI Data'!J:J,0)), "" )</f>
        <v/>
      </c>
      <c r="C111" s="10" t="str">
        <f>IF(COUNTIF('Processed Non-zero DMR Data'!I:I, 'Facility Summary_Water'!M111)&gt;0, "DMR", "")</f>
        <v>DMR</v>
      </c>
      <c r="D111" s="10"/>
      <c r="E111" s="10" t="s">
        <v>340</v>
      </c>
      <c r="F111" s="10"/>
      <c r="G111" s="10" t="s">
        <v>341</v>
      </c>
      <c r="H111" s="10" t="s">
        <v>170</v>
      </c>
      <c r="I111" s="10"/>
      <c r="J111" s="9">
        <f>IF(L111&lt;&gt;"", INDEX('Processed Non-zero TRI Data'!$G:$G, MATCH(L111, 'Processed Non-zero TRI Data'!$I:$I,0)), INDEX('Processed Non-zero DMR Data'!$F:$F, MATCH(M111,'Processed Non-zero DMR Data'!$I:$I, 0)))</f>
        <v>39.423425000000002</v>
      </c>
      <c r="K111" s="9">
        <f>IF(L111&lt;&gt;"", INDEX('Processed Non-zero TRI Data'!$H:$H, MATCH(L111, 'Processed Non-zero TRI Data'!$I:$I,0)), INDEX('Processed Non-zero DMR Data'!$G:$G, MATCH(M111,'Processed Non-zero DMR Data'!$I:$I, 0)))</f>
        <v>-91.025666000000001</v>
      </c>
      <c r="L111" s="10"/>
      <c r="M111" s="259">
        <v>110054612558</v>
      </c>
      <c r="N111" s="9">
        <f>IF(L111&lt;&gt;"",INDEX('Processed Non-zero TRI Data'!L:L,MATCH('Facility Summary_Water'!L111,'Processed Non-zero TRI Data'!I:I,0)),INDEX('Processed Non-zero DMR Data'!$L:$L,MATCH('Facility Summary_Water'!M111,'Processed Non-zero DMR Data'!$I:$I,0)))</f>
        <v>325110</v>
      </c>
      <c r="O111" s="10" t="str">
        <f>INDEX('2017 - 2022 NAICS'!D:D,MATCH('Facility Summary_Water'!N111,'2017 - 2022 NAICS'!C:C,0))</f>
        <v>Petrochemical Manufacturing</v>
      </c>
      <c r="P111" s="10" t="str">
        <f>IFERROR(VLOOKUP(L111, 'Processed Non-zero TRI Data'!I:Q, 8, 0), "Direct")</f>
        <v>Direct</v>
      </c>
      <c r="Q111" s="10" t="e">
        <f>VLOOKUP(R111,#REF!, 2, FALSE)</f>
        <v>#REF!</v>
      </c>
      <c r="R111" s="10" t="str">
        <f>INDEX('Facility Discharge Summary'!D:D, MATCH('Facility Summary_Water'!M111, 'Facility Discharge Summary'!J:J,0))</f>
        <v>Processing as a reactant</v>
      </c>
      <c r="S111" s="10" t="str">
        <f>INDEX('Processed Non-zero DMR Data'!T:T, MATCH('Facility Summary_Water'!M111, 'Processed Non-zero DMR Data'!I:I,0))</f>
        <v>Assumed processing as a reactant based on SIC and NAICS; this also matches 1,1,-DCA mapping.</v>
      </c>
      <c r="T111" s="10" t="s">
        <v>72</v>
      </c>
      <c r="U111" s="9">
        <f>INDEX('TRI and DMR OES Summary'!D:D, MATCH('Facility Summary_Water'!R111,'TRI and DMR OES Summary'!A:A,0))</f>
        <v>350</v>
      </c>
      <c r="V111" s="258">
        <f>INDEX('Facility Discharge Summary'!AR:AR,MATCH('Facility Summary_Water'!M111,'Facility Discharge Summary'!J:J,0))</f>
        <v>0</v>
      </c>
      <c r="W111" s="258">
        <f>INDEX('Facility Discharge Summary'!T:T,MATCH('Facility Summary_Water'!M111,'Facility Discharge Summary'!J:J,0))</f>
        <v>5.7203999999999998E-2</v>
      </c>
    </row>
    <row r="112" spans="1:23" ht="45" x14ac:dyDescent="0.25">
      <c r="A112" s="9">
        <v>111</v>
      </c>
      <c r="B112" s="10" t="str">
        <f>IF(COUNTIF('Processed Non-zero TRI Data'!J:J,'Facility Summary_Water'!M112)&gt;0, "TRI Form " &amp; INDEX('Processed Non-zero TRI Data'!K:K,MATCH('Facility Summary_Water'!M112,'Processed Non-zero TRI Data'!J:J,0)), "" )</f>
        <v/>
      </c>
      <c r="C112" s="10" t="str">
        <f>IF(COUNTIF('Processed Non-zero DMR Data'!I:I, 'Facility Summary_Water'!M112)&gt;0, "DMR", "")</f>
        <v>DMR</v>
      </c>
      <c r="D112" s="10"/>
      <c r="E112" s="10" t="s">
        <v>342</v>
      </c>
      <c r="F112" s="10"/>
      <c r="G112" s="10" t="s">
        <v>343</v>
      </c>
      <c r="H112" s="10" t="s">
        <v>344</v>
      </c>
      <c r="I112" s="10"/>
      <c r="J112" s="9">
        <f>IF(L112&lt;&gt;"", INDEX('Processed Non-zero TRI Data'!$G:$G, MATCH(L112, 'Processed Non-zero TRI Data'!$I:$I,0)), INDEX('Processed Non-zero DMR Data'!$F:$F, MATCH(M112,'Processed Non-zero DMR Data'!$I:$I, 0)))</f>
        <v>39.585099999999997</v>
      </c>
      <c r="K112" s="9">
        <f>IF(L112&lt;&gt;"", INDEX('Processed Non-zero TRI Data'!$H:$H, MATCH(L112, 'Processed Non-zero TRI Data'!$I:$I,0)), INDEX('Processed Non-zero DMR Data'!$G:$G, MATCH(M112,'Processed Non-zero DMR Data'!$I:$I, 0)))</f>
        <v>-75.649199999999993</v>
      </c>
      <c r="L112" s="10"/>
      <c r="M112" s="259">
        <v>110000338536</v>
      </c>
      <c r="N112" s="9">
        <f>IF(L112&lt;&gt;"",INDEX('Processed Non-zero TRI Data'!L:L,MATCH('Facility Summary_Water'!L112,'Processed Non-zero TRI Data'!I:I,0)),INDEX('Processed Non-zero DMR Data'!$L:$L,MATCH('Facility Summary_Water'!M112,'Processed Non-zero DMR Data'!$I:$I,0)))</f>
        <v>325211</v>
      </c>
      <c r="O112" s="10" t="str">
        <f>INDEX('2017 - 2022 NAICS'!D:D,MATCH('Facility Summary_Water'!N112,'2017 - 2022 NAICS'!C:C,0))</f>
        <v>Plastics Material and Resin Manufacturing</v>
      </c>
      <c r="P112" s="10" t="str">
        <f>IFERROR(VLOOKUP(L112, 'Processed Non-zero TRI Data'!I:Q, 8, 0), "Direct")</f>
        <v>Direct</v>
      </c>
      <c r="Q112" s="10" t="e">
        <f>VLOOKUP(R112,#REF!, 2, FALSE)</f>
        <v>#REF!</v>
      </c>
      <c r="R112" s="10" t="str">
        <f>INDEX('Facility Discharge Summary'!D:D, MATCH('Facility Summary_Water'!M112, 'Facility Discharge Summary'!J:J,0))</f>
        <v>Impurity in Plastics</v>
      </c>
      <c r="S112" s="10" t="str">
        <f>INDEX('Processed Non-zero DMR Data'!T:T, MATCH('Facility Summary_Water'!M112, 'Processed Non-zero DMR Data'!I:I,0))</f>
        <v>Plastics SIC/NAICS - EPA-HQ-OPPT-2018-0428-0011 indicates 1,2-dichloropropane can be a residual/byproduct in PVC plastics or a flame retardant plasticizer.</v>
      </c>
      <c r="T112" s="10" t="s">
        <v>72</v>
      </c>
      <c r="U112" s="9">
        <f>INDEX('TRI and DMR OES Summary'!D:D, MATCH('Facility Summary_Water'!R112,'TRI and DMR OES Summary'!A:A,0))</f>
        <v>350</v>
      </c>
      <c r="V112" s="258">
        <f>INDEX('Facility Discharge Summary'!AR:AR,MATCH('Facility Summary_Water'!M112,'Facility Discharge Summary'!J:J,0))</f>
        <v>0</v>
      </c>
      <c r="W112" s="258">
        <f>INDEX('Facility Discharge Summary'!T:T,MATCH('Facility Summary_Water'!M112,'Facility Discharge Summary'!J:J,0))</f>
        <v>5.4479999999999997E-3</v>
      </c>
    </row>
    <row r="113" spans="1:23" x14ac:dyDescent="0.25">
      <c r="A113" s="9">
        <v>112</v>
      </c>
      <c r="B113" s="10" t="str">
        <f>IF(COUNTIF('Processed Non-zero TRI Data'!J:J,'Facility Summary_Water'!M113)&gt;0, "TRI Form " &amp; INDEX('Processed Non-zero TRI Data'!K:K,MATCH('Facility Summary_Water'!M113,'Processed Non-zero TRI Data'!J:J,0)), "" )</f>
        <v/>
      </c>
      <c r="C113" s="10" t="str">
        <f>IF(COUNTIF('Processed Non-zero DMR Data'!I:I, 'Facility Summary_Water'!M113)&gt;0, "DMR", "")</f>
        <v>DMR</v>
      </c>
      <c r="D113" s="10"/>
      <c r="E113" s="10" t="s">
        <v>345</v>
      </c>
      <c r="F113" s="10"/>
      <c r="G113" s="10" t="s">
        <v>346</v>
      </c>
      <c r="H113" s="10" t="s">
        <v>138</v>
      </c>
      <c r="I113" s="10"/>
      <c r="J113" s="9">
        <f>IF(L113&lt;&gt;"", INDEX('Processed Non-zero TRI Data'!$G:$G, MATCH(L113, 'Processed Non-zero TRI Data'!$I:$I,0)), INDEX('Processed Non-zero DMR Data'!$F:$F, MATCH(M113,'Processed Non-zero DMR Data'!$I:$I, 0)))</f>
        <v>38.223610999999998</v>
      </c>
      <c r="K113" s="9">
        <f>IF(L113&lt;&gt;"", INDEX('Processed Non-zero TRI Data'!$H:$H, MATCH(L113, 'Processed Non-zero TRI Data'!$I:$I,0)), INDEX('Processed Non-zero DMR Data'!$G:$G, MATCH(M113,'Processed Non-zero DMR Data'!$I:$I, 0)))</f>
        <v>-84.252778000000006</v>
      </c>
      <c r="L113" s="10"/>
      <c r="M113" s="259">
        <v>110000551082</v>
      </c>
      <c r="N113" s="9">
        <f>IF(L113&lt;&gt;"",INDEX('Processed Non-zero TRI Data'!L:L,MATCH('Facility Summary_Water'!L113,'Processed Non-zero TRI Data'!I:I,0)),INDEX('Processed Non-zero DMR Data'!$L:$L,MATCH('Facility Summary_Water'!M113,'Processed Non-zero DMR Data'!$I:$I,0)))</f>
        <v>221320</v>
      </c>
      <c r="O113" s="10" t="str">
        <f>INDEX('2017 - 2022 NAICS'!D:D,MATCH('Facility Summary_Water'!N113,'2017 - 2022 NAICS'!C:C,0))</f>
        <v>Sewage Treatment Facilities</v>
      </c>
      <c r="P113" s="10" t="str">
        <f>IFERROR(VLOOKUP(L113, 'Processed Non-zero TRI Data'!I:Q, 8, 0), "Direct")</f>
        <v>Direct</v>
      </c>
      <c r="Q113" s="10" t="e">
        <f>VLOOKUP(R113,#REF!, 2, FALSE)</f>
        <v>#REF!</v>
      </c>
      <c r="R113" s="10" t="str">
        <f>INDEX('Facility Discharge Summary'!D:D, MATCH('Facility Summary_Water'!M113, 'Facility Discharge Summary'!J:J,0))</f>
        <v>Waste Handling, Disposal and Treatment (POTW)</v>
      </c>
      <c r="S113" s="10" t="str">
        <f>INDEX('Processed Non-zero DMR Data'!T:T, MATCH('Facility Summary_Water'!M113, 'Processed Non-zero DMR Data'!I:I,0))</f>
        <v>POTW indicator in DMR</v>
      </c>
      <c r="T113" s="10" t="s">
        <v>72</v>
      </c>
      <c r="U113" s="9">
        <f>INDEX('TRI and DMR OES Summary'!D:D, MATCH('Facility Summary_Water'!R113,'TRI and DMR OES Summary'!A:A,0))</f>
        <v>365</v>
      </c>
      <c r="V113" s="258">
        <f>INDEX('Facility Discharge Summary'!AR:AR,MATCH('Facility Summary_Water'!M113,'Facility Discharge Summary'!J:J,0))</f>
        <v>0</v>
      </c>
      <c r="W113" s="258">
        <f>INDEX('Facility Discharge Summary'!T:T,MATCH('Facility Summary_Water'!M113,'Facility Discharge Summary'!J:J,0))</f>
        <v>8.2787885625000008</v>
      </c>
    </row>
    <row r="114" spans="1:23" x14ac:dyDescent="0.25">
      <c r="A114" s="9">
        <v>113</v>
      </c>
      <c r="B114" s="10" t="str">
        <f>IF(COUNTIF('Processed Non-zero TRI Data'!J:J,'Facility Summary_Water'!M114)&gt;0, "TRI Form " &amp; INDEX('Processed Non-zero TRI Data'!K:K,MATCH('Facility Summary_Water'!M114,'Processed Non-zero TRI Data'!J:J,0)), "" )</f>
        <v/>
      </c>
      <c r="C114" s="10" t="str">
        <f>IF(COUNTIF('Processed Non-zero DMR Data'!I:I, 'Facility Summary_Water'!M114)&gt;0, "DMR", "")</f>
        <v>DMR</v>
      </c>
      <c r="D114" s="10"/>
      <c r="E114" s="10" t="s">
        <v>347</v>
      </c>
      <c r="F114" s="10"/>
      <c r="G114" s="10" t="s">
        <v>348</v>
      </c>
      <c r="H114" s="10" t="s">
        <v>146</v>
      </c>
      <c r="I114" s="10"/>
      <c r="J114" s="9">
        <f>IF(L114&lt;&gt;"", INDEX('Processed Non-zero TRI Data'!$G:$G, MATCH(L114, 'Processed Non-zero TRI Data'!$I:$I,0)), INDEX('Processed Non-zero DMR Data'!$F:$F, MATCH(M114,'Processed Non-zero DMR Data'!$I:$I, 0)))</f>
        <v>39.191054000000001</v>
      </c>
      <c r="K114" s="9">
        <f>IF(L114&lt;&gt;"", INDEX('Processed Non-zero TRI Data'!$H:$H, MATCH(L114, 'Processed Non-zero TRI Data'!$I:$I,0)), INDEX('Processed Non-zero DMR Data'!$G:$G, MATCH(M114,'Processed Non-zero DMR Data'!$I:$I, 0)))</f>
        <v>-122.023129</v>
      </c>
      <c r="L114" s="10"/>
      <c r="M114" s="259">
        <v>110055984957</v>
      </c>
      <c r="N114" s="9">
        <f>IF(L114&lt;&gt;"",INDEX('Processed Non-zero TRI Data'!L:L,MATCH('Facility Summary_Water'!L114,'Processed Non-zero TRI Data'!I:I,0)),INDEX('Processed Non-zero DMR Data'!$L:$L,MATCH('Facility Summary_Water'!M114,'Processed Non-zero DMR Data'!$I:$I,0)))</f>
        <v>221320</v>
      </c>
      <c r="O114" s="10" t="str">
        <f>INDEX('2017 - 2022 NAICS'!D:D,MATCH('Facility Summary_Water'!N114,'2017 - 2022 NAICS'!C:C,0))</f>
        <v>Sewage Treatment Facilities</v>
      </c>
      <c r="P114" s="10" t="str">
        <f>IFERROR(VLOOKUP(L114, 'Processed Non-zero TRI Data'!I:Q, 8, 0), "Direct")</f>
        <v>Direct</v>
      </c>
      <c r="Q114" s="10" t="e">
        <f>VLOOKUP(R114,#REF!, 2, FALSE)</f>
        <v>#REF!</v>
      </c>
      <c r="R114" s="10" t="str">
        <f>INDEX('Facility Discharge Summary'!D:D, MATCH('Facility Summary_Water'!M114, 'Facility Discharge Summary'!J:J,0))</f>
        <v>Waste Handling, Disposal and Treatment (POTW)</v>
      </c>
      <c r="S114" s="10" t="str">
        <f>INDEX('Processed Non-zero DMR Data'!T:T, MATCH('Facility Summary_Water'!M114, 'Processed Non-zero DMR Data'!I:I,0))</f>
        <v>POTW indicator in DMR</v>
      </c>
      <c r="T114" s="10" t="s">
        <v>72</v>
      </c>
      <c r="U114" s="9">
        <f>INDEX('TRI and DMR OES Summary'!D:D, MATCH('Facility Summary_Water'!R114,'TRI and DMR OES Summary'!A:A,0))</f>
        <v>365</v>
      </c>
      <c r="V114" s="258">
        <f>INDEX('Facility Discharge Summary'!AR:AR,MATCH('Facility Summary_Water'!M114,'Facility Discharge Summary'!J:J,0))</f>
        <v>0</v>
      </c>
      <c r="W114" s="258">
        <f>INDEX('Facility Discharge Summary'!T:T,MATCH('Facility Summary_Water'!M114,'Facility Discharge Summary'!J:J,0))</f>
        <v>6.3041849733333294E-2</v>
      </c>
    </row>
    <row r="115" spans="1:23" x14ac:dyDescent="0.25">
      <c r="A115" s="9">
        <v>114</v>
      </c>
      <c r="B115" s="10" t="str">
        <f>IF(COUNTIF('Processed Non-zero TRI Data'!J:J,'Facility Summary_Water'!M115)&gt;0, "TRI Form " &amp; INDEX('Processed Non-zero TRI Data'!K:K,MATCH('Facility Summary_Water'!M115,'Processed Non-zero TRI Data'!J:J,0)), "" )</f>
        <v/>
      </c>
      <c r="C115" s="10" t="str">
        <f>IF(COUNTIF('Processed Non-zero DMR Data'!I:I, 'Facility Summary_Water'!M115)&gt;0, "DMR", "")</f>
        <v>DMR</v>
      </c>
      <c r="D115" s="10"/>
      <c r="E115" s="10" t="s">
        <v>349</v>
      </c>
      <c r="F115" s="10"/>
      <c r="G115" s="10" t="s">
        <v>350</v>
      </c>
      <c r="H115" s="10" t="s">
        <v>138</v>
      </c>
      <c r="I115" s="10"/>
      <c r="J115" s="9">
        <f>IF(L115&lt;&gt;"", INDEX('Processed Non-zero TRI Data'!$G:$G, MATCH(L115, 'Processed Non-zero TRI Data'!$I:$I,0)), INDEX('Processed Non-zero DMR Data'!$F:$F, MATCH(M115,'Processed Non-zero DMR Data'!$I:$I, 0)))</f>
        <v>37.491857000000003</v>
      </c>
      <c r="K115" s="9">
        <f>IF(L115&lt;&gt;"", INDEX('Processed Non-zero TRI Data'!$H:$H, MATCH(L115, 'Processed Non-zero TRI Data'!$I:$I,0)), INDEX('Processed Non-zero DMR Data'!$G:$G, MATCH(M115,'Processed Non-zero DMR Data'!$I:$I, 0)))</f>
        <v>-82.539703000000003</v>
      </c>
      <c r="L115" s="10"/>
      <c r="M115" s="259">
        <v>110006644872</v>
      </c>
      <c r="N115" s="9">
        <f>IF(L115&lt;&gt;"",INDEX('Processed Non-zero TRI Data'!L:L,MATCH('Facility Summary_Water'!L115,'Processed Non-zero TRI Data'!I:I,0)),INDEX('Processed Non-zero DMR Data'!$L:$L,MATCH('Facility Summary_Water'!M115,'Processed Non-zero DMR Data'!$I:$I,0)))</f>
        <v>221320</v>
      </c>
      <c r="O115" s="10" t="str">
        <f>INDEX('2017 - 2022 NAICS'!D:D,MATCH('Facility Summary_Water'!N115,'2017 - 2022 NAICS'!C:C,0))</f>
        <v>Sewage Treatment Facilities</v>
      </c>
      <c r="P115" s="10" t="str">
        <f>IFERROR(VLOOKUP(L115, 'Processed Non-zero TRI Data'!I:Q, 8, 0), "Direct")</f>
        <v>Direct</v>
      </c>
      <c r="Q115" s="10" t="e">
        <f>VLOOKUP(R115,#REF!, 2, FALSE)</f>
        <v>#REF!</v>
      </c>
      <c r="R115" s="10" t="str">
        <f>INDEX('Facility Discharge Summary'!D:D, MATCH('Facility Summary_Water'!M115, 'Facility Discharge Summary'!J:J,0))</f>
        <v>Waste Handling, Disposal and Treatment (POTW)</v>
      </c>
      <c r="S115" s="10" t="str">
        <f>INDEX('Processed Non-zero DMR Data'!T:T, MATCH('Facility Summary_Water'!M115, 'Processed Non-zero DMR Data'!I:I,0))</f>
        <v>POTW indicator in DMR</v>
      </c>
      <c r="T115" s="10" t="s">
        <v>72</v>
      </c>
      <c r="U115" s="9">
        <f>INDEX('TRI and DMR OES Summary'!D:D, MATCH('Facility Summary_Water'!R115,'TRI and DMR OES Summary'!A:A,0))</f>
        <v>365</v>
      </c>
      <c r="V115" s="258">
        <f>INDEX('Facility Discharge Summary'!AR:AR,MATCH('Facility Summary_Water'!M115,'Facility Discharge Summary'!J:J,0))</f>
        <v>0</v>
      </c>
      <c r="W115" s="258">
        <f>INDEX('Facility Discharge Summary'!T:T,MATCH('Facility Summary_Water'!M115,'Facility Discharge Summary'!J:J,0))</f>
        <v>7.6501946875</v>
      </c>
    </row>
    <row r="116" spans="1:23" ht="30" x14ac:dyDescent="0.25">
      <c r="A116" s="9">
        <v>115</v>
      </c>
      <c r="B116" s="10" t="str">
        <f>IF(COUNTIF('Processed Non-zero TRI Data'!J:J,'Facility Summary_Water'!M116)&gt;0, "TRI Form " &amp; INDEX('Processed Non-zero TRI Data'!K:K,MATCH('Facility Summary_Water'!M116,'Processed Non-zero TRI Data'!J:J,0)), "" )</f>
        <v/>
      </c>
      <c r="C116" s="10" t="str">
        <f>IF(COUNTIF('Processed Non-zero DMR Data'!I:I, 'Facility Summary_Water'!M116)&gt;0, "DMR", "")</f>
        <v>DMR</v>
      </c>
      <c r="D116" s="10"/>
      <c r="E116" s="10" t="s">
        <v>351</v>
      </c>
      <c r="F116" s="10"/>
      <c r="G116" s="10" t="s">
        <v>352</v>
      </c>
      <c r="H116" s="10" t="s">
        <v>106</v>
      </c>
      <c r="I116" s="10"/>
      <c r="J116" s="9">
        <f>IF(L116&lt;&gt;"", INDEX('Processed Non-zero TRI Data'!$G:$G, MATCH(L116, 'Processed Non-zero TRI Data'!$I:$I,0)), INDEX('Processed Non-zero DMR Data'!$F:$F, MATCH(M116,'Processed Non-zero DMR Data'!$I:$I, 0)))</f>
        <v>30.048590999999998</v>
      </c>
      <c r="K116" s="9">
        <f>IF(L116&lt;&gt;"", INDEX('Processed Non-zero TRI Data'!$H:$H, MATCH(L116, 'Processed Non-zero TRI Data'!$I:$I,0)), INDEX('Processed Non-zero DMR Data'!$G:$G, MATCH(M116,'Processed Non-zero DMR Data'!$I:$I, 0)))</f>
        <v>-90.630941000000007</v>
      </c>
      <c r="L116" s="10"/>
      <c r="M116" s="259">
        <v>110007015871</v>
      </c>
      <c r="N116" s="9">
        <f>IF(L116&lt;&gt;"",INDEX('Processed Non-zero TRI Data'!L:L,MATCH('Facility Summary_Water'!L116,'Processed Non-zero TRI Data'!I:I,0)),INDEX('Processed Non-zero DMR Data'!$L:$L,MATCH('Facility Summary_Water'!M116,'Processed Non-zero DMR Data'!$I:$I,0)))</f>
        <v>325110</v>
      </c>
      <c r="O116" s="10" t="str">
        <f>INDEX('2017 - 2022 NAICS'!D:D,MATCH('Facility Summary_Water'!N116,'2017 - 2022 NAICS'!C:C,0))</f>
        <v>Petrochemical Manufacturing</v>
      </c>
      <c r="P116" s="10" t="str">
        <f>IFERROR(VLOOKUP(L116, 'Processed Non-zero TRI Data'!I:Q, 8, 0), "Direct")</f>
        <v>Direct</v>
      </c>
      <c r="Q116" s="10" t="e">
        <f>VLOOKUP(R116,#REF!, 2, FALSE)</f>
        <v>#REF!</v>
      </c>
      <c r="R116" s="10" t="str">
        <f>INDEX('Facility Discharge Summary'!D:D, MATCH('Facility Summary_Water'!M116, 'Facility Discharge Summary'!J:J,0))</f>
        <v>Processing as a reactant</v>
      </c>
      <c r="S116" s="10" t="str">
        <f>INDEX('Processed Non-zero DMR Data'!T:T, MATCH('Facility Summary_Water'!M116, 'Processed Non-zero DMR Data'!I:I,0))</f>
        <v>Assumed processing as a reactant based on SIC and NAICS; this also matches 1,1,-DCA mapping.</v>
      </c>
      <c r="T116" s="10" t="s">
        <v>72</v>
      </c>
      <c r="U116" s="9">
        <f>INDEX('TRI and DMR OES Summary'!D:D, MATCH('Facility Summary_Water'!R116,'TRI and DMR OES Summary'!A:A,0))</f>
        <v>350</v>
      </c>
      <c r="V116" s="258">
        <f>INDEX('Facility Discharge Summary'!AR:AR,MATCH('Facility Summary_Water'!M116,'Facility Discharge Summary'!J:J,0))</f>
        <v>0</v>
      </c>
      <c r="W116" s="258">
        <f>INDEX('Facility Discharge Summary'!T:T,MATCH('Facility Summary_Water'!M116,'Facility Discharge Summary'!J:J,0))</f>
        <v>0.16571</v>
      </c>
    </row>
    <row r="117" spans="1:23" x14ac:dyDescent="0.25">
      <c r="A117" s="9">
        <v>116</v>
      </c>
      <c r="B117" s="10" t="str">
        <f>IF(COUNTIF('Processed Non-zero TRI Data'!J:J,'Facility Summary_Water'!M117)&gt;0, "TRI Form " &amp; INDEX('Processed Non-zero TRI Data'!K:K,MATCH('Facility Summary_Water'!M117,'Processed Non-zero TRI Data'!J:J,0)), "" )</f>
        <v/>
      </c>
      <c r="C117" s="10" t="str">
        <f>IF(COUNTIF('Processed Non-zero DMR Data'!I:I, 'Facility Summary_Water'!M117)&gt;0, "DMR", "")</f>
        <v>DMR</v>
      </c>
      <c r="D117" s="10"/>
      <c r="E117" s="10" t="s">
        <v>353</v>
      </c>
      <c r="F117" s="10"/>
      <c r="G117" s="10" t="s">
        <v>354</v>
      </c>
      <c r="H117" s="10" t="s">
        <v>146</v>
      </c>
      <c r="I117" s="10"/>
      <c r="J117" s="9">
        <f>IF(L117&lt;&gt;"", INDEX('Processed Non-zero TRI Data'!$G:$G, MATCH(L117, 'Processed Non-zero TRI Data'!$I:$I,0)), INDEX('Processed Non-zero DMR Data'!$F:$F, MATCH(M117,'Processed Non-zero DMR Data'!$I:$I, 0)))</f>
        <v>33.017359999999996</v>
      </c>
      <c r="K117" s="9">
        <f>IF(L117&lt;&gt;"", INDEX('Processed Non-zero TRI Data'!$H:$H, MATCH(L117, 'Processed Non-zero TRI Data'!$I:$I,0)), INDEX('Processed Non-zero DMR Data'!$G:$G, MATCH(M117,'Processed Non-zero DMR Data'!$I:$I, 0)))</f>
        <v>-115.50923</v>
      </c>
      <c r="L117" s="10"/>
      <c r="M117" s="259">
        <v>110030476465</v>
      </c>
      <c r="N117" s="9">
        <f>IF(L117&lt;&gt;"",INDEX('Processed Non-zero TRI Data'!L:L,MATCH('Facility Summary_Water'!L117,'Processed Non-zero TRI Data'!I:I,0)),INDEX('Processed Non-zero DMR Data'!$L:$L,MATCH('Facility Summary_Water'!M117,'Processed Non-zero DMR Data'!$I:$I,0)))</f>
        <v>221320</v>
      </c>
      <c r="O117" s="10" t="str">
        <f>INDEX('2017 - 2022 NAICS'!D:D,MATCH('Facility Summary_Water'!N117,'2017 - 2022 NAICS'!C:C,0))</f>
        <v>Sewage Treatment Facilities</v>
      </c>
      <c r="P117" s="10" t="str">
        <f>IFERROR(VLOOKUP(L117, 'Processed Non-zero TRI Data'!I:Q, 8, 0), "Direct")</f>
        <v>Direct</v>
      </c>
      <c r="Q117" s="10" t="e">
        <f>VLOOKUP(R117,#REF!, 2, FALSE)</f>
        <v>#REF!</v>
      </c>
      <c r="R117" s="10" t="str">
        <f>INDEX('Facility Discharge Summary'!D:D, MATCH('Facility Summary_Water'!M117, 'Facility Discharge Summary'!J:J,0))</f>
        <v>Waste Handling, Disposal and Treatment (POTW)</v>
      </c>
      <c r="S117" s="10" t="str">
        <f>INDEX('Processed Non-zero DMR Data'!T:T, MATCH('Facility Summary_Water'!M117, 'Processed Non-zero DMR Data'!I:I,0))</f>
        <v>POTW indicator in DMR</v>
      </c>
      <c r="T117" s="10" t="s">
        <v>72</v>
      </c>
      <c r="U117" s="9">
        <f>INDEX('TRI and DMR OES Summary'!D:D, MATCH('Facility Summary_Water'!R117,'TRI and DMR OES Summary'!A:A,0))</f>
        <v>365</v>
      </c>
      <c r="V117" s="258">
        <f>INDEX('Facility Discharge Summary'!AR:AR,MATCH('Facility Summary_Water'!M117,'Facility Discharge Summary'!J:J,0))</f>
        <v>0</v>
      </c>
      <c r="W117" s="258">
        <f>INDEX('Facility Discharge Summary'!T:T,MATCH('Facility Summary_Water'!M117,'Facility Discharge Summary'!J:J,0))</f>
        <v>4.1860207500000003E-2</v>
      </c>
    </row>
    <row r="118" spans="1:23" ht="30" x14ac:dyDescent="0.25">
      <c r="A118" s="9">
        <v>117</v>
      </c>
      <c r="B118" s="10" t="str">
        <f>IF(COUNTIF('Processed Non-zero TRI Data'!J:J,'Facility Summary_Water'!M118)&gt;0, "TRI Form " &amp; INDEX('Processed Non-zero TRI Data'!K:K,MATCH('Facility Summary_Water'!M118,'Processed Non-zero TRI Data'!J:J,0)), "" )</f>
        <v/>
      </c>
      <c r="C118" s="10" t="str">
        <f>IF(COUNTIF('Processed Non-zero DMR Data'!I:I, 'Facility Summary_Water'!M118)&gt;0, "DMR", "")</f>
        <v>DMR</v>
      </c>
      <c r="D118" s="10"/>
      <c r="E118" s="10" t="s">
        <v>355</v>
      </c>
      <c r="F118" s="10"/>
      <c r="G118" s="10" t="s">
        <v>356</v>
      </c>
      <c r="H118" s="10" t="s">
        <v>153</v>
      </c>
      <c r="I118" s="10"/>
      <c r="J118" s="9">
        <f>IF(L118&lt;&gt;"", INDEX('Processed Non-zero TRI Data'!$G:$G, MATCH(L118, 'Processed Non-zero TRI Data'!$I:$I,0)), INDEX('Processed Non-zero DMR Data'!$F:$F, MATCH(M118,'Processed Non-zero DMR Data'!$I:$I, 0)))</f>
        <v>39.698279999999997</v>
      </c>
      <c r="K118" s="9">
        <f>IF(L118&lt;&gt;"", INDEX('Processed Non-zero TRI Data'!$H:$H, MATCH(L118, 'Processed Non-zero TRI Data'!$I:$I,0)), INDEX('Processed Non-zero DMR Data'!$G:$G, MATCH(M118,'Processed Non-zero DMR Data'!$I:$I, 0)))</f>
        <v>-75.503974999999997</v>
      </c>
      <c r="L118" s="10"/>
      <c r="M118" s="259">
        <v>110007970142</v>
      </c>
      <c r="N118" s="9">
        <f>IF(L118&lt;&gt;"",INDEX('Processed Non-zero TRI Data'!L:L,MATCH('Facility Summary_Water'!L118,'Processed Non-zero TRI Data'!I:I,0)),INDEX('Processed Non-zero DMR Data'!$L:$L,MATCH('Facility Summary_Water'!M118,'Processed Non-zero DMR Data'!$I:$I,0)))</f>
        <v>325110</v>
      </c>
      <c r="O118" s="10" t="str">
        <f>INDEX('2017 - 2022 NAICS'!D:D,MATCH('Facility Summary_Water'!N118,'2017 - 2022 NAICS'!C:C,0))</f>
        <v>Petrochemical Manufacturing</v>
      </c>
      <c r="P118" s="10" t="str">
        <f>IFERROR(VLOOKUP(L118, 'Processed Non-zero TRI Data'!I:Q, 8, 0), "Direct")</f>
        <v>Direct</v>
      </c>
      <c r="Q118" s="10" t="e">
        <f>VLOOKUP(R118,#REF!, 2, FALSE)</f>
        <v>#REF!</v>
      </c>
      <c r="R118" s="10" t="str">
        <f>INDEX('Facility Discharge Summary'!D:D, MATCH('Facility Summary_Water'!M118, 'Facility Discharge Summary'!J:J,0))</f>
        <v>Processing as a reactant</v>
      </c>
      <c r="S118" s="10" t="str">
        <f>INDEX('Processed Non-zero DMR Data'!T:T, MATCH('Facility Summary_Water'!M118, 'Processed Non-zero DMR Data'!I:I,0))</f>
        <v>Assumed processing as a reactant based on SIC and NAICS; this also matches 1,1,-DCA mapping.</v>
      </c>
      <c r="T118" s="10" t="s">
        <v>72</v>
      </c>
      <c r="U118" s="9">
        <f>INDEX('TRI and DMR OES Summary'!D:D, MATCH('Facility Summary_Water'!R118,'TRI and DMR OES Summary'!A:A,0))</f>
        <v>350</v>
      </c>
      <c r="V118" s="258">
        <f>INDEX('Facility Discharge Summary'!AR:AR,MATCH('Facility Summary_Water'!M118,'Facility Discharge Summary'!J:J,0))</f>
        <v>0</v>
      </c>
      <c r="W118" s="258">
        <f>INDEX('Facility Discharge Summary'!T:T,MATCH('Facility Summary_Water'!M118,'Facility Discharge Summary'!J:J,0))</f>
        <v>1.77</v>
      </c>
    </row>
    <row r="119" spans="1:23" x14ac:dyDescent="0.25">
      <c r="A119" s="9">
        <v>118</v>
      </c>
      <c r="B119" s="10" t="str">
        <f>IF(COUNTIF('Processed Non-zero TRI Data'!J:J,'Facility Summary_Water'!M119)&gt;0, "TRI Form " &amp; INDEX('Processed Non-zero TRI Data'!K:K,MATCH('Facility Summary_Water'!M119,'Processed Non-zero TRI Data'!J:J,0)), "" )</f>
        <v/>
      </c>
      <c r="C119" s="10" t="str">
        <f>IF(COUNTIF('Processed Non-zero DMR Data'!I:I, 'Facility Summary_Water'!M119)&gt;0, "DMR", "")</f>
        <v>DMR</v>
      </c>
      <c r="D119" s="10"/>
      <c r="E119" s="10" t="s">
        <v>357</v>
      </c>
      <c r="F119" s="10"/>
      <c r="G119" s="10" t="s">
        <v>185</v>
      </c>
      <c r="H119" s="10" t="s">
        <v>186</v>
      </c>
      <c r="I119" s="10"/>
      <c r="J119" s="9">
        <f>IF(L119&lt;&gt;"", INDEX('Processed Non-zero TRI Data'!$G:$G, MATCH(L119, 'Processed Non-zero TRI Data'!$I:$I,0)), INDEX('Processed Non-zero DMR Data'!$F:$F, MATCH(M119,'Processed Non-zero DMR Data'!$I:$I, 0)))</f>
        <v>21.304500000000001</v>
      </c>
      <c r="K119" s="9">
        <f>IF(L119&lt;&gt;"", INDEX('Processed Non-zero TRI Data'!$H:$H, MATCH(L119, 'Processed Non-zero TRI Data'!$I:$I,0)), INDEX('Processed Non-zero DMR Data'!$G:$G, MATCH(M119,'Processed Non-zero DMR Data'!$I:$I, 0)))</f>
        <v>-157.88205600000001</v>
      </c>
      <c r="L119" s="10"/>
      <c r="M119" s="259">
        <v>110005726802</v>
      </c>
      <c r="N119" s="9">
        <f>IF(L119&lt;&gt;"",INDEX('Processed Non-zero TRI Data'!L:L,MATCH('Facility Summary_Water'!L119,'Processed Non-zero TRI Data'!I:I,0)),INDEX('Processed Non-zero DMR Data'!$L:$L,MATCH('Facility Summary_Water'!M119,'Processed Non-zero DMR Data'!$I:$I,0)))</f>
        <v>221320</v>
      </c>
      <c r="O119" s="10" t="str">
        <f>INDEX('2017 - 2022 NAICS'!D:D,MATCH('Facility Summary_Water'!N119,'2017 - 2022 NAICS'!C:C,0))</f>
        <v>Sewage Treatment Facilities</v>
      </c>
      <c r="P119" s="10" t="str">
        <f>IFERROR(VLOOKUP(L119, 'Processed Non-zero TRI Data'!I:Q, 8, 0), "Direct")</f>
        <v>Direct</v>
      </c>
      <c r="Q119" s="10" t="e">
        <f>VLOOKUP(R119,#REF!, 2, FALSE)</f>
        <v>#REF!</v>
      </c>
      <c r="R119" s="10" t="str">
        <f>INDEX('Facility Discharge Summary'!D:D, MATCH('Facility Summary_Water'!M119, 'Facility Discharge Summary'!J:J,0))</f>
        <v>Waste Handling, Disposal and Treatment (POTW)</v>
      </c>
      <c r="S119" s="10" t="str">
        <f>INDEX('Processed Non-zero DMR Data'!T:T, MATCH('Facility Summary_Water'!M119, 'Processed Non-zero DMR Data'!I:I,0))</f>
        <v>POTW indicator in DMR</v>
      </c>
      <c r="T119" s="10" t="s">
        <v>72</v>
      </c>
      <c r="U119" s="9">
        <f>INDEX('TRI and DMR OES Summary'!D:D, MATCH('Facility Summary_Water'!R119,'TRI and DMR OES Summary'!A:A,0))</f>
        <v>365</v>
      </c>
      <c r="V119" s="258">
        <f>INDEX('Facility Discharge Summary'!AR:AR,MATCH('Facility Summary_Water'!M119,'Facility Discharge Summary'!J:J,0))</f>
        <v>0</v>
      </c>
      <c r="W119" s="258">
        <f>INDEX('Facility Discharge Summary'!T:T,MATCH('Facility Summary_Water'!M119,'Facility Discharge Summary'!J:J,0))</f>
        <v>10.63046016</v>
      </c>
    </row>
    <row r="120" spans="1:23" x14ac:dyDescent="0.25">
      <c r="A120" s="9">
        <v>119</v>
      </c>
      <c r="B120" s="10" t="str">
        <f>IF(COUNTIF('Processed Non-zero TRI Data'!J:J,'Facility Summary_Water'!M120)&gt;0, "TRI Form " &amp; INDEX('Processed Non-zero TRI Data'!K:K,MATCH('Facility Summary_Water'!M120,'Processed Non-zero TRI Data'!J:J,0)), "" )</f>
        <v/>
      </c>
      <c r="C120" s="10" t="str">
        <f>IF(COUNTIF('Processed Non-zero DMR Data'!I:I, 'Facility Summary_Water'!M120)&gt;0, "DMR", "")</f>
        <v>DMR</v>
      </c>
      <c r="D120" s="10"/>
      <c r="E120" s="10" t="s">
        <v>358</v>
      </c>
      <c r="F120" s="10"/>
      <c r="G120" s="10" t="s">
        <v>359</v>
      </c>
      <c r="H120" s="10" t="s">
        <v>138</v>
      </c>
      <c r="I120" s="10"/>
      <c r="J120" s="9">
        <f>IF(L120&lt;&gt;"", INDEX('Processed Non-zero TRI Data'!$G:$G, MATCH(L120, 'Processed Non-zero TRI Data'!$I:$I,0)), INDEX('Processed Non-zero DMR Data'!$F:$F, MATCH(M120,'Processed Non-zero DMR Data'!$I:$I, 0)))</f>
        <v>37.177222</v>
      </c>
      <c r="K120" s="9">
        <f>IF(L120&lt;&gt;"", INDEX('Processed Non-zero TRI Data'!$H:$H, MATCH(L120, 'Processed Non-zero TRI Data'!$I:$I,0)), INDEX('Processed Non-zero DMR Data'!$G:$G, MATCH(M120,'Processed Non-zero DMR Data'!$I:$I, 0)))</f>
        <v>-83.761388999999994</v>
      </c>
      <c r="L120" s="10"/>
      <c r="M120" s="259">
        <v>110009938808</v>
      </c>
      <c r="N120" s="9">
        <f>IF(L120&lt;&gt;"",INDEX('Processed Non-zero TRI Data'!L:L,MATCH('Facility Summary_Water'!L120,'Processed Non-zero TRI Data'!I:I,0)),INDEX('Processed Non-zero DMR Data'!$L:$L,MATCH('Facility Summary_Water'!M120,'Processed Non-zero DMR Data'!$I:$I,0)))</f>
        <v>221320</v>
      </c>
      <c r="O120" s="10" t="str">
        <f>INDEX('2017 - 2022 NAICS'!D:D,MATCH('Facility Summary_Water'!N120,'2017 - 2022 NAICS'!C:C,0))</f>
        <v>Sewage Treatment Facilities</v>
      </c>
      <c r="P120" s="10" t="str">
        <f>IFERROR(VLOOKUP(L120, 'Processed Non-zero TRI Data'!I:Q, 8, 0), "Direct")</f>
        <v>Direct</v>
      </c>
      <c r="Q120" s="10" t="e">
        <f>VLOOKUP(R120,#REF!, 2, FALSE)</f>
        <v>#REF!</v>
      </c>
      <c r="R120" s="10" t="str">
        <f>INDEX('Facility Discharge Summary'!D:D, MATCH('Facility Summary_Water'!M120, 'Facility Discharge Summary'!J:J,0))</f>
        <v>Waste Handling, Disposal and Treatment (POTW)</v>
      </c>
      <c r="S120" s="10" t="str">
        <f>INDEX('Processed Non-zero DMR Data'!T:T, MATCH('Facility Summary_Water'!M120, 'Processed Non-zero DMR Data'!I:I,0))</f>
        <v>POTW indicator in DMR</v>
      </c>
      <c r="T120" s="10" t="s">
        <v>72</v>
      </c>
      <c r="U120" s="9">
        <f>INDEX('TRI and DMR OES Summary'!D:D, MATCH('Facility Summary_Water'!R120,'TRI and DMR OES Summary'!A:A,0))</f>
        <v>365</v>
      </c>
      <c r="V120" s="258">
        <f>INDEX('Facility Discharge Summary'!AR:AR,MATCH('Facility Summary_Water'!M120,'Facility Discharge Summary'!J:J,0))</f>
        <v>0</v>
      </c>
      <c r="W120" s="258">
        <f>INDEX('Facility Discharge Summary'!T:T,MATCH('Facility Summary_Water'!M120,'Facility Discharge Summary'!J:J,0))</f>
        <v>3.446904875</v>
      </c>
    </row>
    <row r="121" spans="1:23" x14ac:dyDescent="0.25">
      <c r="A121" s="9">
        <v>120</v>
      </c>
      <c r="B121" s="10" t="str">
        <f>IF(COUNTIF('Processed Non-zero TRI Data'!J:J,'Facility Summary_Water'!M121)&gt;0, "TRI Form " &amp; INDEX('Processed Non-zero TRI Data'!K:K,MATCH('Facility Summary_Water'!M121,'Processed Non-zero TRI Data'!J:J,0)), "" )</f>
        <v/>
      </c>
      <c r="C121" s="10" t="str">
        <f>IF(COUNTIF('Processed Non-zero DMR Data'!I:I, 'Facility Summary_Water'!M121)&gt;0, "DMR", "")</f>
        <v>DMR</v>
      </c>
      <c r="D121" s="10"/>
      <c r="E121" s="10" t="s">
        <v>360</v>
      </c>
      <c r="F121" s="10"/>
      <c r="G121" s="10" t="s">
        <v>361</v>
      </c>
      <c r="H121" s="10" t="s">
        <v>146</v>
      </c>
      <c r="I121" s="10"/>
      <c r="J121" s="9">
        <f>IF(L121&lt;&gt;"", INDEX('Processed Non-zero TRI Data'!$G:$G, MATCH(L121, 'Processed Non-zero TRI Data'!$I:$I,0)), INDEX('Processed Non-zero DMR Data'!$F:$F, MATCH(M121,'Processed Non-zero DMR Data'!$I:$I, 0)))</f>
        <v>33.791108999999999</v>
      </c>
      <c r="K121" s="9">
        <f>IF(L121&lt;&gt;"", INDEX('Processed Non-zero TRI Data'!$H:$H, MATCH(L121, 'Processed Non-zero TRI Data'!$I:$I,0)), INDEX('Processed Non-zero DMR Data'!$G:$G, MATCH(M121,'Processed Non-zero DMR Data'!$I:$I, 0)))</f>
        <v>-118.244609</v>
      </c>
      <c r="L121" s="10"/>
      <c r="M121" s="259">
        <v>110028243791</v>
      </c>
      <c r="N121" s="9">
        <f>IF(L121&lt;&gt;"",INDEX('Processed Non-zero TRI Data'!L:L,MATCH('Facility Summary_Water'!L121,'Processed Non-zero TRI Data'!I:I,0)),INDEX('Processed Non-zero DMR Data'!$L:$L,MATCH('Facility Summary_Water'!M121,'Processed Non-zero DMR Data'!$I:$I,0)))</f>
        <v>424710</v>
      </c>
      <c r="O121" s="10" t="str">
        <f>INDEX('2017 - 2022 NAICS'!D:D,MATCH('Facility Summary_Water'!N121,'2017 - 2022 NAICS'!C:C,0))</f>
        <v>Petroleum Bulk Stations and Terminals</v>
      </c>
      <c r="P121" s="10" t="str">
        <f>IFERROR(VLOOKUP(L121, 'Processed Non-zero TRI Data'!I:Q, 8, 0), "Direct")</f>
        <v>Direct</v>
      </c>
      <c r="Q121" s="10" t="e">
        <f>VLOOKUP(R121,#REF!, 2, FALSE)</f>
        <v>#REF!</v>
      </c>
      <c r="R121" s="10" t="str">
        <f>INDEX('Facility Discharge Summary'!D:D, MATCH('Facility Summary_Water'!M121, 'Facility Discharge Summary'!J:J,0))</f>
        <v>Repackaging</v>
      </c>
      <c r="S121" s="10" t="str">
        <f>INDEX('Processed Non-zero DMR Data'!T:T, MATCH('Facility Summary_Water'!M121, 'Processed Non-zero DMR Data'!I:I,0))</f>
        <v>Vopak is a storage and distribution company</v>
      </c>
      <c r="T121" s="10" t="s">
        <v>72</v>
      </c>
      <c r="U121" s="9">
        <f>INDEX('TRI and DMR OES Summary'!D:D, MATCH('Facility Summary_Water'!R121,'TRI and DMR OES Summary'!A:A,0))</f>
        <v>250</v>
      </c>
      <c r="V121" s="258">
        <f>INDEX('Facility Discharge Summary'!AR:AR,MATCH('Facility Summary_Water'!M121,'Facility Discharge Summary'!J:J,0))</f>
        <v>0</v>
      </c>
      <c r="W121" s="258">
        <f>INDEX('Facility Discharge Summary'!T:T,MATCH('Facility Summary_Water'!M121,'Facility Discharge Summary'!J:J,0))</f>
        <v>2.02980560625E-2</v>
      </c>
    </row>
    <row r="122" spans="1:23" ht="30" x14ac:dyDescent="0.25">
      <c r="A122" s="9">
        <v>121</v>
      </c>
      <c r="B122" s="10" t="str">
        <f>IF(COUNTIF('Processed Non-zero TRI Data'!J:J,'Facility Summary_Water'!M122)&gt;0, "TRI Form " &amp; INDEX('Processed Non-zero TRI Data'!K:K,MATCH('Facility Summary_Water'!M122,'Processed Non-zero TRI Data'!J:J,0)), "" )</f>
        <v/>
      </c>
      <c r="C122" s="10" t="str">
        <f>IF(COUNTIF('Processed Non-zero DMR Data'!I:I, 'Facility Summary_Water'!M122)&gt;0, "DMR", "")</f>
        <v>DMR</v>
      </c>
      <c r="D122" s="10"/>
      <c r="E122" s="10" t="s">
        <v>362</v>
      </c>
      <c r="F122" s="10"/>
      <c r="G122" s="10" t="s">
        <v>363</v>
      </c>
      <c r="H122" s="10" t="s">
        <v>364</v>
      </c>
      <c r="I122" s="10"/>
      <c r="J122" s="9">
        <f>IF(L122&lt;&gt;"", INDEX('Processed Non-zero TRI Data'!$G:$G, MATCH(L122, 'Processed Non-zero TRI Data'!$I:$I,0)), INDEX('Processed Non-zero DMR Data'!$F:$F, MATCH(M122,'Processed Non-zero DMR Data'!$I:$I, 0)))</f>
        <v>38.987340000000003</v>
      </c>
      <c r="K122" s="9">
        <f>IF(L122&lt;&gt;"", INDEX('Processed Non-zero TRI Data'!$H:$H, MATCH(L122, 'Processed Non-zero TRI Data'!$I:$I,0)), INDEX('Processed Non-zero DMR Data'!$G:$G, MATCH(M122,'Processed Non-zero DMR Data'!$I:$I, 0)))</f>
        <v>-77.026660000000007</v>
      </c>
      <c r="L122" s="10"/>
      <c r="M122" s="259">
        <v>110037096674</v>
      </c>
      <c r="N122" s="9">
        <f>IF(L122&lt;&gt;"",INDEX('Processed Non-zero TRI Data'!L:L,MATCH('Facility Summary_Water'!L122,'Processed Non-zero TRI Data'!I:I,0)),INDEX('Processed Non-zero DMR Data'!$L:$L,MATCH('Facility Summary_Water'!M122,'Processed Non-zero DMR Data'!$I:$I,0)))</f>
        <v>236116</v>
      </c>
      <c r="O122" s="10" t="str">
        <f>INDEX('2017 - 2022 NAICS'!D:D,MATCH('Facility Summary_Water'!N122,'2017 - 2022 NAICS'!C:C,0))</f>
        <v>New Multifamily Housing Construction (except For-Sale Builders)</v>
      </c>
      <c r="P122" s="10" t="str">
        <f>IFERROR(VLOOKUP(L122, 'Processed Non-zero TRI Data'!I:Q, 8, 0), "Direct")</f>
        <v>Direct</v>
      </c>
      <c r="Q122" s="10" t="e">
        <f>VLOOKUP(R122,#REF!, 2, FALSE)</f>
        <v>#REF!</v>
      </c>
      <c r="R122" s="10" t="str">
        <f>INDEX('Facility Discharge Summary'!D:D, MATCH('Facility Summary_Water'!M122, 'Facility Discharge Summary'!J:J,0))</f>
        <v>Unknown</v>
      </c>
      <c r="S122" s="10" t="str">
        <f>INDEX('Processed Non-zero DMR Data'!T:T, MATCH('Facility Summary_Water'!M122, 'Processed Non-zero DMR Data'!I:I,0))</f>
        <v>Apartment complex; no OES to map to.</v>
      </c>
      <c r="T122" s="10" t="s">
        <v>72</v>
      </c>
      <c r="U122" s="9">
        <f>INDEX('TRI and DMR OES Summary'!D:D, MATCH('Facility Summary_Water'!R122,'TRI and DMR OES Summary'!A:A,0))</f>
        <v>250</v>
      </c>
      <c r="V122" s="258">
        <f>INDEX('Facility Discharge Summary'!AR:AR,MATCH('Facility Summary_Water'!M122,'Facility Discharge Summary'!J:J,0))</f>
        <v>0</v>
      </c>
      <c r="W122" s="258">
        <f>INDEX('Facility Discharge Summary'!T:T,MATCH('Facility Summary_Water'!M122,'Facility Discharge Summary'!J:J,0))</f>
        <v>6.9468385462500004E-2</v>
      </c>
    </row>
    <row r="123" spans="1:23" x14ac:dyDescent="0.25">
      <c r="A123" s="9">
        <v>122</v>
      </c>
      <c r="B123" s="10" t="str">
        <f>IF(COUNTIF('Processed Non-zero TRI Data'!J:J,'Facility Summary_Water'!M123)&gt;0, "TRI Form " &amp; INDEX('Processed Non-zero TRI Data'!K:K,MATCH('Facility Summary_Water'!M123,'Processed Non-zero TRI Data'!J:J,0)), "" )</f>
        <v/>
      </c>
      <c r="C123" s="10" t="str">
        <f>IF(COUNTIF('Processed Non-zero DMR Data'!I:I, 'Facility Summary_Water'!M123)&gt;0, "DMR", "")</f>
        <v>DMR</v>
      </c>
      <c r="D123" s="10"/>
      <c r="E123" s="10" t="s">
        <v>365</v>
      </c>
      <c r="F123" s="10"/>
      <c r="G123" s="10" t="s">
        <v>366</v>
      </c>
      <c r="H123" s="10" t="s">
        <v>367</v>
      </c>
      <c r="I123" s="10"/>
      <c r="J123" s="9">
        <f>IF(L123&lt;&gt;"", INDEX('Processed Non-zero TRI Data'!$G:$G, MATCH(L123, 'Processed Non-zero TRI Data'!$I:$I,0)), INDEX('Processed Non-zero DMR Data'!$F:$F, MATCH(M123,'Processed Non-zero DMR Data'!$I:$I, 0)))</f>
        <v>32.802</v>
      </c>
      <c r="K123" s="9">
        <f>IF(L123&lt;&gt;"", INDEX('Processed Non-zero TRI Data'!$H:$H, MATCH(L123, 'Processed Non-zero TRI Data'!$I:$I,0)), INDEX('Processed Non-zero DMR Data'!$G:$G, MATCH(M123,'Processed Non-zero DMR Data'!$I:$I, 0)))</f>
        <v>-109.711</v>
      </c>
      <c r="L123" s="10"/>
      <c r="M123" s="259">
        <v>110012330520</v>
      </c>
      <c r="N123" s="9" t="e">
        <f>IF(L123&lt;&gt;"",INDEX('Processed Non-zero TRI Data'!L:L,MATCH('Facility Summary_Water'!L123,'Processed Non-zero TRI Data'!I:I,0)),INDEX('Processed Non-zero DMR Data'!$L:$L,MATCH('Facility Summary_Water'!M123,'Processed Non-zero DMR Data'!$I:$I,0)))</f>
        <v>#N/A</v>
      </c>
      <c r="O123" s="10" t="e">
        <f>INDEX('2017 - 2022 NAICS'!D:D,MATCH('Facility Summary_Water'!N123,'2017 - 2022 NAICS'!C:C,0))</f>
        <v>#N/A</v>
      </c>
      <c r="P123" s="10" t="str">
        <f>IFERROR(VLOOKUP(L123, 'Processed Non-zero TRI Data'!I:Q, 8, 0), "Direct")</f>
        <v>Direct</v>
      </c>
      <c r="Q123" s="10" t="e">
        <f>VLOOKUP(R123,#REF!, 2, FALSE)</f>
        <v>#REF!</v>
      </c>
      <c r="R123" s="10" t="str">
        <f>INDEX('Facility Discharge Summary'!D:D, MATCH('Facility Summary_Water'!M123, 'Facility Discharge Summary'!J:J,0))</f>
        <v>Waste Handling, Disposal and Treatment (POTW)</v>
      </c>
      <c r="S123" s="10" t="str">
        <f>INDEX('Processed Non-zero DMR Data'!T:T, MATCH('Facility Summary_Water'!M123, 'Processed Non-zero DMR Data'!I:I,0))</f>
        <v>POTW indicator in DMR</v>
      </c>
      <c r="T123" s="10" t="s">
        <v>72</v>
      </c>
      <c r="U123" s="9">
        <f>INDEX('TRI and DMR OES Summary'!D:D, MATCH('Facility Summary_Water'!R123,'TRI and DMR OES Summary'!A:A,0))</f>
        <v>365</v>
      </c>
      <c r="V123" s="258">
        <f>INDEX('Facility Discharge Summary'!AR:AR,MATCH('Facility Summary_Water'!M123,'Facility Discharge Summary'!J:J,0))</f>
        <v>0</v>
      </c>
      <c r="W123" s="258">
        <f>INDEX('Facility Discharge Summary'!T:T,MATCH('Facility Summary_Water'!M123,'Facility Discharge Summary'!J:J,0))</f>
        <v>0.283212625</v>
      </c>
    </row>
    <row r="124" spans="1:23" ht="30" x14ac:dyDescent="0.25">
      <c r="A124" s="9">
        <v>123</v>
      </c>
      <c r="B124" s="10" t="str">
        <f>IF(COUNTIF('Processed Non-zero TRI Data'!J:J,'Facility Summary_Water'!M124)&gt;0, "TRI Form " &amp; INDEX('Processed Non-zero TRI Data'!K:K,MATCH('Facility Summary_Water'!M124,'Processed Non-zero TRI Data'!J:J,0)), "" )</f>
        <v/>
      </c>
      <c r="C124" s="10" t="str">
        <f>IF(COUNTIF('Processed Non-zero DMR Data'!I:I, 'Facility Summary_Water'!M124)&gt;0, "DMR", "")</f>
        <v>DMR</v>
      </c>
      <c r="D124" s="10"/>
      <c r="E124" s="10" t="s">
        <v>368</v>
      </c>
      <c r="F124" s="10"/>
      <c r="G124" s="10" t="s">
        <v>369</v>
      </c>
      <c r="H124" s="10" t="s">
        <v>114</v>
      </c>
      <c r="I124" s="10"/>
      <c r="J124" s="9">
        <f>IF(L124&lt;&gt;"", INDEX('Processed Non-zero TRI Data'!$G:$G, MATCH(L124, 'Processed Non-zero TRI Data'!$I:$I,0)), INDEX('Processed Non-zero DMR Data'!$F:$F, MATCH(M124,'Processed Non-zero DMR Data'!$I:$I, 0)))</f>
        <v>30.311361000000002</v>
      </c>
      <c r="K124" s="9">
        <f>IF(L124&lt;&gt;"", INDEX('Processed Non-zero TRI Data'!$H:$H, MATCH(L124, 'Processed Non-zero TRI Data'!$I:$I,0)), INDEX('Processed Non-zero DMR Data'!$G:$G, MATCH(M124,'Processed Non-zero DMR Data'!$I:$I, 0)))</f>
        <v>-95.387083000000004</v>
      </c>
      <c r="L124" s="10"/>
      <c r="M124" s="259">
        <v>110000748095</v>
      </c>
      <c r="N124" s="9">
        <f>IF(L124&lt;&gt;"",INDEX('Processed Non-zero TRI Data'!L:L,MATCH('Facility Summary_Water'!L124,'Processed Non-zero TRI Data'!I:I,0)),INDEX('Processed Non-zero DMR Data'!$L:$L,MATCH('Facility Summary_Water'!M124,'Processed Non-zero DMR Data'!$I:$I,0)))</f>
        <v>325110</v>
      </c>
      <c r="O124" s="10" t="str">
        <f>INDEX('2017 - 2022 NAICS'!D:D,MATCH('Facility Summary_Water'!N124,'2017 - 2022 NAICS'!C:C,0))</f>
        <v>Petrochemical Manufacturing</v>
      </c>
      <c r="P124" s="10" t="str">
        <f>IFERROR(VLOOKUP(L124, 'Processed Non-zero TRI Data'!I:Q, 8, 0), "Direct")</f>
        <v>Direct</v>
      </c>
      <c r="Q124" s="10" t="e">
        <f>VLOOKUP(R124,#REF!, 2, FALSE)</f>
        <v>#REF!</v>
      </c>
      <c r="R124" s="10" t="str">
        <f>INDEX('Facility Discharge Summary'!D:D, MATCH('Facility Summary_Water'!M124, 'Facility Discharge Summary'!J:J,0))</f>
        <v>Processing as a reactant</v>
      </c>
      <c r="S124" s="10" t="str">
        <f>INDEX('Processed Non-zero DMR Data'!T:T, MATCH('Facility Summary_Water'!M124, 'Processed Non-zero DMR Data'!I:I,0))</f>
        <v>Assumed processing as a reactant based on SIC and NAICS; this also matches 1,1,-DCA mapping.</v>
      </c>
      <c r="T124" s="10" t="s">
        <v>72</v>
      </c>
      <c r="U124" s="9">
        <f>INDEX('TRI and DMR OES Summary'!D:D, MATCH('Facility Summary_Water'!R124,'TRI and DMR OES Summary'!A:A,0))</f>
        <v>350</v>
      </c>
      <c r="V124" s="258">
        <f>INDEX('Facility Discharge Summary'!AR:AR,MATCH('Facility Summary_Water'!M124,'Facility Discharge Summary'!J:J,0))</f>
        <v>0</v>
      </c>
      <c r="W124" s="258">
        <f>INDEX('Facility Discharge Summary'!T:T,MATCH('Facility Summary_Water'!M124,'Facility Discharge Summary'!J:J,0))</f>
        <v>4.0184674999999999</v>
      </c>
    </row>
    <row r="125" spans="1:23" ht="60" x14ac:dyDescent="0.25">
      <c r="A125" s="9">
        <v>124</v>
      </c>
      <c r="B125" s="10" t="str">
        <f>IF(COUNTIF('Processed Non-zero TRI Data'!J:J,'Facility Summary_Water'!M125)&gt;0, "TRI Form " &amp; INDEX('Processed Non-zero TRI Data'!K:K,MATCH('Facility Summary_Water'!M125,'Processed Non-zero TRI Data'!J:J,0)), "" )</f>
        <v/>
      </c>
      <c r="C125" s="10" t="str">
        <f>IF(COUNTIF('Processed Non-zero DMR Data'!I:I, 'Facility Summary_Water'!M125)&gt;0, "DMR", "")</f>
        <v>DMR</v>
      </c>
      <c r="D125" s="10"/>
      <c r="E125" s="10" t="s">
        <v>370</v>
      </c>
      <c r="F125" s="10"/>
      <c r="G125" s="10" t="s">
        <v>175</v>
      </c>
      <c r="H125" s="10" t="s">
        <v>106</v>
      </c>
      <c r="I125" s="10"/>
      <c r="J125" s="9">
        <f>IF(L125&lt;&gt;"", INDEX('Processed Non-zero TRI Data'!$G:$G, MATCH(L125, 'Processed Non-zero TRI Data'!$I:$I,0)), INDEX('Processed Non-zero DMR Data'!$F:$F, MATCH(M125,'Processed Non-zero DMR Data'!$I:$I, 0)))</f>
        <v>30.321895000000001</v>
      </c>
      <c r="K125" s="9">
        <f>IF(L125&lt;&gt;"", INDEX('Processed Non-zero TRI Data'!$H:$H, MATCH(L125, 'Processed Non-zero TRI Data'!$I:$I,0)), INDEX('Processed Non-zero DMR Data'!$G:$G, MATCH(M125,'Processed Non-zero DMR Data'!$I:$I, 0)))</f>
        <v>-93.300735000000003</v>
      </c>
      <c r="L125" s="10"/>
      <c r="M125" s="259">
        <v>110000613685</v>
      </c>
      <c r="N125" s="9">
        <f>IF(L125&lt;&gt;"",INDEX('Processed Non-zero TRI Data'!L:L,MATCH('Facility Summary_Water'!L125,'Processed Non-zero TRI Data'!I:I,0)),INDEX('Processed Non-zero DMR Data'!$L:$L,MATCH('Facility Summary_Water'!M125,'Processed Non-zero DMR Data'!$I:$I,0)))</f>
        <v>562211</v>
      </c>
      <c r="O125" s="10" t="str">
        <f>INDEX('2017 - 2022 NAICS'!D:D,MATCH('Facility Summary_Water'!N125,'2017 - 2022 NAICS'!C:C,0))</f>
        <v>Hazardous Waste Treatment and Disposal</v>
      </c>
      <c r="P125" s="10" t="str">
        <f>IFERROR(VLOOKUP(L125, 'Processed Non-zero TRI Data'!I:Q, 8, 0), "Direct")</f>
        <v>Direct</v>
      </c>
      <c r="Q125" s="10" t="e">
        <f>VLOOKUP(R125,#REF!, 2, FALSE)</f>
        <v>#REF!</v>
      </c>
      <c r="R125" s="10" t="str">
        <f>INDEX('Facility Discharge Summary'!D:D, MATCH('Facility Summary_Water'!M125, 'Facility Discharge Summary'!J:J,0))</f>
        <v>Waste Handling, Disposal and Treatment (non-POTW WWT)</v>
      </c>
      <c r="S125" s="10" t="str">
        <f>INDEX('Processed Non-zero DMR Data'!T:T, MATCH('Facility Summary_Water'!M125, 'Processed Non-zero DMR Data'!I:I,0))</f>
        <v>Facility provides waste management services(https://www.epa.gov/hwcorrectiveactioncleanups/hazardous-waste-cleanup-cecos-international-incorporated-niagara-falls).</v>
      </c>
      <c r="T125" s="10" t="s">
        <v>72</v>
      </c>
      <c r="U125" s="9">
        <f>INDEX('TRI and DMR OES Summary'!D:D, MATCH('Facility Summary_Water'!R125,'TRI and DMR OES Summary'!A:A,0))</f>
        <v>250</v>
      </c>
      <c r="V125" s="258">
        <f>INDEX('Facility Discharge Summary'!AR:AR,MATCH('Facility Summary_Water'!M125,'Facility Discharge Summary'!J:J,0))</f>
        <v>0</v>
      </c>
      <c r="W125" s="258">
        <f>INDEX('Facility Discharge Summary'!T:T,MATCH('Facility Summary_Water'!M125,'Facility Discharge Summary'!J:J,0))</f>
        <v>0.52152568749999995</v>
      </c>
    </row>
    <row r="126" spans="1:23" ht="45" x14ac:dyDescent="0.25">
      <c r="A126" s="9">
        <v>125</v>
      </c>
      <c r="B126" s="10" t="str">
        <f>IF(COUNTIF('Processed Non-zero TRI Data'!J:J,'Facility Summary_Water'!M126)&gt;0, "TRI Form " &amp; INDEX('Processed Non-zero TRI Data'!K:K,MATCH('Facility Summary_Water'!M126,'Processed Non-zero TRI Data'!J:J,0)), "" )</f>
        <v/>
      </c>
      <c r="C126" s="10" t="str">
        <f>IF(COUNTIF('Processed Non-zero DMR Data'!I:I, 'Facility Summary_Water'!M126)&gt;0, "DMR", "")</f>
        <v>DMR</v>
      </c>
      <c r="D126" s="10"/>
      <c r="E126" s="10" t="s">
        <v>371</v>
      </c>
      <c r="F126" s="10"/>
      <c r="G126" s="10" t="s">
        <v>372</v>
      </c>
      <c r="H126" s="10" t="s">
        <v>114</v>
      </c>
      <c r="I126" s="10"/>
      <c r="J126" s="9">
        <f>IF(L126&lt;&gt;"", INDEX('Processed Non-zero TRI Data'!$G:$G, MATCH(L126, 'Processed Non-zero TRI Data'!$I:$I,0)), INDEX('Processed Non-zero DMR Data'!$F:$F, MATCH(M126,'Processed Non-zero DMR Data'!$I:$I, 0)))</f>
        <v>29.726493000000001</v>
      </c>
      <c r="K126" s="9">
        <f>IF(L126&lt;&gt;"", INDEX('Processed Non-zero TRI Data'!$H:$H, MATCH(L126, 'Processed Non-zero TRI Data'!$I:$I,0)), INDEX('Processed Non-zero DMR Data'!$G:$G, MATCH(M126,'Processed Non-zero DMR Data'!$I:$I, 0)))</f>
        <v>-95.089771999999996</v>
      </c>
      <c r="L126" s="10"/>
      <c r="M126" s="259">
        <v>110045651344</v>
      </c>
      <c r="N126" s="9">
        <f>IF(L126&lt;&gt;"",INDEX('Processed Non-zero TRI Data'!L:L,MATCH('Facility Summary_Water'!L126,'Processed Non-zero TRI Data'!I:I,0)),INDEX('Processed Non-zero DMR Data'!$L:$L,MATCH('Facility Summary_Water'!M126,'Processed Non-zero DMR Data'!$I:$I,0)))</f>
        <v>325211</v>
      </c>
      <c r="O126" s="10" t="str">
        <f>INDEX('2017 - 2022 NAICS'!D:D,MATCH('Facility Summary_Water'!N126,'2017 - 2022 NAICS'!C:C,0))</f>
        <v>Plastics Material and Resin Manufacturing</v>
      </c>
      <c r="P126" s="10" t="str">
        <f>IFERROR(VLOOKUP(L126, 'Processed Non-zero TRI Data'!I:Q, 8, 0), "Direct")</f>
        <v>Direct</v>
      </c>
      <c r="Q126" s="10" t="e">
        <f>VLOOKUP(R126,#REF!, 2, FALSE)</f>
        <v>#REF!</v>
      </c>
      <c r="R126" s="10" t="str">
        <f>INDEX('Facility Discharge Summary'!D:D, MATCH('Facility Summary_Water'!M126, 'Facility Discharge Summary'!J:J,0))</f>
        <v>Impurity in Plastics</v>
      </c>
      <c r="S126" s="10" t="str">
        <f>INDEX('Processed Non-zero DMR Data'!T:T, MATCH('Facility Summary_Water'!M126, 'Processed Non-zero DMR Data'!I:I,0))</f>
        <v>Plastics SIC/NAICS - EPA-HQ-OPPT-2018-0428-0011 indicates 1,2-dichloropropane can be a residual/byproduct in PVC plastics or a flame retardant plasticizer.</v>
      </c>
      <c r="T126" s="10" t="s">
        <v>72</v>
      </c>
      <c r="U126" s="9">
        <f>INDEX('TRI and DMR OES Summary'!D:D, MATCH('Facility Summary_Water'!R126,'TRI and DMR OES Summary'!A:A,0))</f>
        <v>350</v>
      </c>
      <c r="V126" s="258">
        <f>INDEX('Facility Discharge Summary'!AR:AR,MATCH('Facility Summary_Water'!M126,'Facility Discharge Summary'!J:J,0))</f>
        <v>0</v>
      </c>
      <c r="W126" s="258">
        <f>INDEX('Facility Discharge Summary'!T:T,MATCH('Facility Summary_Water'!M126,'Facility Discharge Summary'!J:J,0))</f>
        <v>0.16571</v>
      </c>
    </row>
    <row r="127" spans="1:23" x14ac:dyDescent="0.25">
      <c r="A127" s="9">
        <v>126</v>
      </c>
      <c r="B127" s="10" t="str">
        <f>IF(COUNTIF('Processed Non-zero TRI Data'!J:J,'Facility Summary_Water'!M127)&gt;0, "TRI Form " &amp; INDEX('Processed Non-zero TRI Data'!K:K,MATCH('Facility Summary_Water'!M127,'Processed Non-zero TRI Data'!J:J,0)), "" )</f>
        <v/>
      </c>
      <c r="C127" s="10" t="str">
        <f>IF(COUNTIF('Processed Non-zero DMR Data'!I:I, 'Facility Summary_Water'!M127)&gt;0, "DMR", "")</f>
        <v>DMR</v>
      </c>
      <c r="D127" s="10"/>
      <c r="E127" s="10" t="s">
        <v>373</v>
      </c>
      <c r="F127" s="10"/>
      <c r="G127" s="10" t="s">
        <v>374</v>
      </c>
      <c r="H127" s="10" t="s">
        <v>138</v>
      </c>
      <c r="I127" s="10"/>
      <c r="J127" s="9">
        <f>IF(L127&lt;&gt;"", INDEX('Processed Non-zero TRI Data'!$G:$G, MATCH(L127, 'Processed Non-zero TRI Data'!$I:$I,0)), INDEX('Processed Non-zero DMR Data'!$F:$F, MATCH(M127,'Processed Non-zero DMR Data'!$I:$I, 0)))</f>
        <v>37.700833000000003</v>
      </c>
      <c r="K127" s="9">
        <f>IF(L127&lt;&gt;"", INDEX('Processed Non-zero TRI Data'!$H:$H, MATCH(L127, 'Processed Non-zero TRI Data'!$I:$I,0)), INDEX('Processed Non-zero DMR Data'!$G:$G, MATCH(M127,'Processed Non-zero DMR Data'!$I:$I, 0)))</f>
        <v>-83.984443999999996</v>
      </c>
      <c r="L127" s="10"/>
      <c r="M127" s="259">
        <v>110006749162</v>
      </c>
      <c r="N127" s="9">
        <f>IF(L127&lt;&gt;"",INDEX('Processed Non-zero TRI Data'!L:L,MATCH('Facility Summary_Water'!L127,'Processed Non-zero TRI Data'!I:I,0)),INDEX('Processed Non-zero DMR Data'!$L:$L,MATCH('Facility Summary_Water'!M127,'Processed Non-zero DMR Data'!$I:$I,0)))</f>
        <v>541330</v>
      </c>
      <c r="O127" s="10" t="str">
        <f>INDEX('2017 - 2022 NAICS'!D:D,MATCH('Facility Summary_Water'!N127,'2017 - 2022 NAICS'!C:C,0))</f>
        <v>Engineering Services</v>
      </c>
      <c r="P127" s="10" t="str">
        <f>IFERROR(VLOOKUP(L127, 'Processed Non-zero TRI Data'!I:Q, 8, 0), "Direct")</f>
        <v>Direct</v>
      </c>
      <c r="Q127" s="10" t="e">
        <f>VLOOKUP(R127,#REF!, 2, FALSE)</f>
        <v>#REF!</v>
      </c>
      <c r="R127" s="10" t="str">
        <f>INDEX('Facility Discharge Summary'!D:D, MATCH('Facility Summary_Water'!M127, 'Facility Discharge Summary'!J:J,0))</f>
        <v>Waste Handling, Disposal and Treatment (POTW)</v>
      </c>
      <c r="S127" s="10" t="str">
        <f>INDEX('Processed Non-zero DMR Data'!T:T, MATCH('Facility Summary_Water'!M127, 'Processed Non-zero DMR Data'!I:I,0))</f>
        <v>POTW indicator in DMR</v>
      </c>
      <c r="T127" s="10" t="s">
        <v>72</v>
      </c>
      <c r="U127" s="9">
        <f>INDEX('TRI and DMR OES Summary'!D:D, MATCH('Facility Summary_Water'!R127,'TRI and DMR OES Summary'!A:A,0))</f>
        <v>365</v>
      </c>
      <c r="V127" s="258">
        <f>INDEX('Facility Discharge Summary'!AR:AR,MATCH('Facility Summary_Water'!M127,'Facility Discharge Summary'!J:J,0))</f>
        <v>0</v>
      </c>
      <c r="W127" s="258">
        <f>INDEX('Facility Discharge Summary'!T:T,MATCH('Facility Summary_Water'!M127,'Facility Discharge Summary'!J:J,0))</f>
        <v>0.63481073750000006</v>
      </c>
    </row>
    <row r="128" spans="1:23" x14ac:dyDescent="0.25">
      <c r="A128" s="9">
        <v>127</v>
      </c>
      <c r="B128" s="10" t="str">
        <f>IF(COUNTIF('Processed Non-zero TRI Data'!J:J,'Facility Summary_Water'!M128)&gt;0, "TRI Form " &amp; INDEX('Processed Non-zero TRI Data'!K:K,MATCH('Facility Summary_Water'!M128,'Processed Non-zero TRI Data'!J:J,0)), "" )</f>
        <v/>
      </c>
      <c r="C128" s="10" t="str">
        <f>IF(COUNTIF('Processed Non-zero DMR Data'!I:I, 'Facility Summary_Water'!M128)&gt;0, "DMR", "")</f>
        <v>DMR</v>
      </c>
      <c r="D128" s="10"/>
      <c r="E128" s="10" t="s">
        <v>375</v>
      </c>
      <c r="F128" s="10"/>
      <c r="G128" s="10" t="s">
        <v>376</v>
      </c>
      <c r="H128" s="10" t="s">
        <v>138</v>
      </c>
      <c r="I128" s="10"/>
      <c r="J128" s="9">
        <f>IF(L128&lt;&gt;"", INDEX('Processed Non-zero TRI Data'!$G:$G, MATCH(L128, 'Processed Non-zero TRI Data'!$I:$I,0)), INDEX('Processed Non-zero DMR Data'!$F:$F, MATCH(M128,'Processed Non-zero DMR Data'!$I:$I, 0)))</f>
        <v>37.349167000000001</v>
      </c>
      <c r="K128" s="9">
        <f>IF(L128&lt;&gt;"", INDEX('Processed Non-zero TRI Data'!$H:$H, MATCH(L128, 'Processed Non-zero TRI Data'!$I:$I,0)), INDEX('Processed Non-zero DMR Data'!$G:$G, MATCH(M128,'Processed Non-zero DMR Data'!$I:$I, 0)))</f>
        <v>-85.379444000000007</v>
      </c>
      <c r="L128" s="10"/>
      <c r="M128" s="259">
        <v>110000736776</v>
      </c>
      <c r="N128" s="9">
        <f>IF(L128&lt;&gt;"",INDEX('Processed Non-zero TRI Data'!L:L,MATCH('Facility Summary_Water'!L128,'Processed Non-zero TRI Data'!I:I,0)),INDEX('Processed Non-zero DMR Data'!$L:$L,MATCH('Facility Summary_Water'!M128,'Processed Non-zero DMR Data'!$I:$I,0)))</f>
        <v>221320</v>
      </c>
      <c r="O128" s="10" t="str">
        <f>INDEX('2017 - 2022 NAICS'!D:D,MATCH('Facility Summary_Water'!N128,'2017 - 2022 NAICS'!C:C,0))</f>
        <v>Sewage Treatment Facilities</v>
      </c>
      <c r="P128" s="10" t="str">
        <f>IFERROR(VLOOKUP(L128, 'Processed Non-zero TRI Data'!I:Q, 8, 0), "Direct")</f>
        <v>Direct</v>
      </c>
      <c r="Q128" s="10" t="e">
        <f>VLOOKUP(R128,#REF!, 2, FALSE)</f>
        <v>#REF!</v>
      </c>
      <c r="R128" s="10" t="str">
        <f>INDEX('Facility Discharge Summary'!D:D, MATCH('Facility Summary_Water'!M128, 'Facility Discharge Summary'!J:J,0))</f>
        <v>Waste Handling, Disposal and Treatment (POTW)</v>
      </c>
      <c r="S128" s="10" t="str">
        <f>INDEX('Processed Non-zero DMR Data'!T:T, MATCH('Facility Summary_Water'!M128, 'Processed Non-zero DMR Data'!I:I,0))</f>
        <v>POTW indicator in DMR</v>
      </c>
      <c r="T128" s="10" t="s">
        <v>72</v>
      </c>
      <c r="U128" s="9">
        <f>INDEX('TRI and DMR OES Summary'!D:D, MATCH('Facility Summary_Water'!R128,'TRI and DMR OES Summary'!A:A,0))</f>
        <v>365</v>
      </c>
      <c r="V128" s="258">
        <f>INDEX('Facility Discharge Summary'!AR:AR,MATCH('Facility Summary_Water'!M128,'Facility Discharge Summary'!J:J,0))</f>
        <v>0</v>
      </c>
      <c r="W128" s="258">
        <f>INDEX('Facility Discharge Summary'!T:T,MATCH('Facility Summary_Water'!M128,'Facility Discharge Summary'!J:J,0))</f>
        <v>2.0066650625000002</v>
      </c>
    </row>
    <row r="129" spans="1:23" ht="30" x14ac:dyDescent="0.25">
      <c r="A129" s="9">
        <v>128</v>
      </c>
      <c r="B129" s="10" t="str">
        <f>IF(COUNTIF('Processed Non-zero TRI Data'!J:J,'Facility Summary_Water'!M129)&gt;0, "TRI Form " &amp; INDEX('Processed Non-zero TRI Data'!K:K,MATCH('Facility Summary_Water'!M129,'Processed Non-zero TRI Data'!J:J,0)), "" )</f>
        <v/>
      </c>
      <c r="C129" s="10" t="str">
        <f>IF(COUNTIF('Processed Non-zero DMR Data'!I:I, 'Facility Summary_Water'!M129)&gt;0, "DMR", "")</f>
        <v>DMR</v>
      </c>
      <c r="D129" s="10"/>
      <c r="E129" s="10" t="s">
        <v>377</v>
      </c>
      <c r="F129" s="10"/>
      <c r="G129" s="10" t="s">
        <v>378</v>
      </c>
      <c r="H129" s="10" t="s">
        <v>114</v>
      </c>
      <c r="I129" s="10"/>
      <c r="J129" s="9">
        <f>IF(L129&lt;&gt;"", INDEX('Processed Non-zero TRI Data'!$G:$G, MATCH(L129, 'Processed Non-zero TRI Data'!$I:$I,0)), INDEX('Processed Non-zero DMR Data'!$F:$F, MATCH(M129,'Processed Non-zero DMR Data'!$I:$I, 0)))</f>
        <v>29.458400000000001</v>
      </c>
      <c r="K129" s="9">
        <f>IF(L129&lt;&gt;"", INDEX('Processed Non-zero TRI Data'!$H:$H, MATCH(L129, 'Processed Non-zero TRI Data'!$I:$I,0)), INDEX('Processed Non-zero DMR Data'!$G:$G, MATCH(M129,'Processed Non-zero DMR Data'!$I:$I, 0)))</f>
        <v>-95.330399999999997</v>
      </c>
      <c r="L129" s="10"/>
      <c r="M129" s="259">
        <v>110000599479</v>
      </c>
      <c r="N129" s="9">
        <f>IF(L129&lt;&gt;"",INDEX('Processed Non-zero TRI Data'!L:L,MATCH('Facility Summary_Water'!L129,'Processed Non-zero TRI Data'!I:I,0)),INDEX('Processed Non-zero DMR Data'!$L:$L,MATCH('Facility Summary_Water'!M129,'Processed Non-zero DMR Data'!$I:$I,0)))</f>
        <v>325110</v>
      </c>
      <c r="O129" s="10" t="str">
        <f>INDEX('2017 - 2022 NAICS'!D:D,MATCH('Facility Summary_Water'!N129,'2017 - 2022 NAICS'!C:C,0))</f>
        <v>Petrochemical Manufacturing</v>
      </c>
      <c r="P129" s="10" t="str">
        <f>IFERROR(VLOOKUP(L129, 'Processed Non-zero TRI Data'!I:Q, 8, 0), "Direct")</f>
        <v>Direct</v>
      </c>
      <c r="Q129" s="10" t="e">
        <f>VLOOKUP(R129,#REF!, 2, FALSE)</f>
        <v>#REF!</v>
      </c>
      <c r="R129" s="10" t="str">
        <f>INDEX('Facility Discharge Summary'!D:D, MATCH('Facility Summary_Water'!M129, 'Facility Discharge Summary'!J:J,0))</f>
        <v>Processing as a reactant</v>
      </c>
      <c r="S129" s="10" t="str">
        <f>INDEX('Processed Non-zero DMR Data'!T:T, MATCH('Facility Summary_Water'!M129, 'Processed Non-zero DMR Data'!I:I,0))</f>
        <v>Assumed processing as a reactant based on SIC and NAICS; this also matches 1,1,-DCA mapping.</v>
      </c>
      <c r="T129" s="10" t="s">
        <v>72</v>
      </c>
      <c r="U129" s="9">
        <f>INDEX('TRI and DMR OES Summary'!D:D, MATCH('Facility Summary_Water'!R129,'TRI and DMR OES Summary'!A:A,0))</f>
        <v>350</v>
      </c>
      <c r="V129" s="258">
        <f>INDEX('Facility Discharge Summary'!AR:AR,MATCH('Facility Summary_Water'!M129,'Facility Discharge Summary'!J:J,0))</f>
        <v>0</v>
      </c>
      <c r="W129" s="258">
        <f>INDEX('Facility Discharge Summary'!T:T,MATCH('Facility Summary_Water'!M129,'Facility Discharge Summary'!J:J,0))</f>
        <v>1.4913900000000001E-2</v>
      </c>
    </row>
    <row r="130" spans="1:23" x14ac:dyDescent="0.25">
      <c r="A130" s="9">
        <v>129</v>
      </c>
      <c r="B130" s="10" t="str">
        <f>IF(COUNTIF('Processed Non-zero TRI Data'!J:J,'Facility Summary_Water'!M130)&gt;0, "TRI Form " &amp; INDEX('Processed Non-zero TRI Data'!K:K,MATCH('Facility Summary_Water'!M130,'Processed Non-zero TRI Data'!J:J,0)), "" )</f>
        <v/>
      </c>
      <c r="C130" s="10" t="str">
        <f>IF(COUNTIF('Processed Non-zero DMR Data'!I:I, 'Facility Summary_Water'!M130)&gt;0, "DMR", "")</f>
        <v>DMR</v>
      </c>
      <c r="D130" s="10"/>
      <c r="E130" s="10" t="s">
        <v>379</v>
      </c>
      <c r="F130" s="10"/>
      <c r="G130" s="10" t="s">
        <v>380</v>
      </c>
      <c r="H130" s="10" t="s">
        <v>367</v>
      </c>
      <c r="I130" s="10"/>
      <c r="J130" s="9">
        <f>IF(L130&lt;&gt;"", INDEX('Processed Non-zero TRI Data'!$G:$G, MATCH(L130, 'Processed Non-zero TRI Data'!$I:$I,0)), INDEX('Processed Non-zero DMR Data'!$F:$F, MATCH(M130,'Processed Non-zero DMR Data'!$I:$I, 0)))</f>
        <v>35.639485000000001</v>
      </c>
      <c r="K130" s="9">
        <f>IF(L130&lt;&gt;"", INDEX('Processed Non-zero TRI Data'!$H:$H, MATCH(L130, 'Processed Non-zero TRI Data'!$I:$I,0)), INDEX('Processed Non-zero DMR Data'!$G:$G, MATCH(M130,'Processed Non-zero DMR Data'!$I:$I, 0)))</f>
        <v>-109.080939</v>
      </c>
      <c r="L130" s="10"/>
      <c r="M130" s="259">
        <v>110024409433</v>
      </c>
      <c r="N130" s="9">
        <f>IF(L130&lt;&gt;"",INDEX('Processed Non-zero TRI Data'!L:L,MATCH('Facility Summary_Water'!L130,'Processed Non-zero TRI Data'!I:I,0)),INDEX('Processed Non-zero DMR Data'!$L:$L,MATCH('Facility Summary_Water'!M130,'Processed Non-zero DMR Data'!$I:$I,0)))</f>
        <v>221320</v>
      </c>
      <c r="O130" s="10" t="str">
        <f>INDEX('2017 - 2022 NAICS'!D:D,MATCH('Facility Summary_Water'!N130,'2017 - 2022 NAICS'!C:C,0))</f>
        <v>Sewage Treatment Facilities</v>
      </c>
      <c r="P130" s="10" t="str">
        <f>IFERROR(VLOOKUP(L130, 'Processed Non-zero TRI Data'!I:Q, 8, 0), "Direct")</f>
        <v>Direct</v>
      </c>
      <c r="Q130" s="10" t="e">
        <f>VLOOKUP(R130,#REF!, 2, FALSE)</f>
        <v>#REF!</v>
      </c>
      <c r="R130" s="10" t="str">
        <f>INDEX('Facility Discharge Summary'!D:D, MATCH('Facility Summary_Water'!M130, 'Facility Discharge Summary'!J:J,0))</f>
        <v>Waste Handling, Disposal and Treatment (POTW)</v>
      </c>
      <c r="S130" s="10" t="str">
        <f>INDEX('Processed Non-zero DMR Data'!T:T, MATCH('Facility Summary_Water'!M130, 'Processed Non-zero DMR Data'!I:I,0))</f>
        <v>POTW indicator in DMR</v>
      </c>
      <c r="T130" s="10" t="s">
        <v>72</v>
      </c>
      <c r="U130" s="9">
        <f>INDEX('TRI and DMR OES Summary'!D:D, MATCH('Facility Summary_Water'!R130,'TRI and DMR OES Summary'!A:A,0))</f>
        <v>365</v>
      </c>
      <c r="V130" s="258">
        <f>INDEX('Facility Discharge Summary'!AR:AR,MATCH('Facility Summary_Water'!M130,'Facility Discharge Summary'!J:J,0))</f>
        <v>0</v>
      </c>
      <c r="W130" s="258">
        <f>INDEX('Facility Discharge Summary'!T:T,MATCH('Facility Summary_Water'!M130,'Facility Discharge Summary'!J:J,0))</f>
        <v>1.1604810000000001</v>
      </c>
    </row>
    <row r="131" spans="1:23" x14ac:dyDescent="0.25">
      <c r="A131" s="9">
        <v>130</v>
      </c>
      <c r="B131" s="10" t="str">
        <f>IF(COUNTIF('Processed Non-zero TRI Data'!J:J,'Facility Summary_Water'!M131)&gt;0, "TRI Form " &amp; INDEX('Processed Non-zero TRI Data'!K:K,MATCH('Facility Summary_Water'!M131,'Processed Non-zero TRI Data'!J:J,0)), "" )</f>
        <v/>
      </c>
      <c r="C131" s="10" t="str">
        <f>IF(COUNTIF('Processed Non-zero DMR Data'!I:I, 'Facility Summary_Water'!M131)&gt;0, "DMR", "")</f>
        <v>DMR</v>
      </c>
      <c r="D131" s="10"/>
      <c r="E131" s="10" t="s">
        <v>381</v>
      </c>
      <c r="F131" s="10"/>
      <c r="G131" s="10" t="s">
        <v>382</v>
      </c>
      <c r="H131" s="10" t="s">
        <v>138</v>
      </c>
      <c r="I131" s="10"/>
      <c r="J131" s="9">
        <f>IF(L131&lt;&gt;"", INDEX('Processed Non-zero TRI Data'!$G:$G, MATCH(L131, 'Processed Non-zero TRI Data'!$I:$I,0)), INDEX('Processed Non-zero DMR Data'!$F:$F, MATCH(M131,'Processed Non-zero DMR Data'!$I:$I, 0)))</f>
        <v>38.391995999999999</v>
      </c>
      <c r="K131" s="9">
        <f>IF(L131&lt;&gt;"", INDEX('Processed Non-zero TRI Data'!$H:$H, MATCH(L131, 'Processed Non-zero TRI Data'!$I:$I,0)), INDEX('Processed Non-zero DMR Data'!$G:$G, MATCH(M131,'Processed Non-zero DMR Data'!$I:$I, 0)))</f>
        <v>-85.416021999999998</v>
      </c>
      <c r="L131" s="10"/>
      <c r="M131" s="259">
        <v>110002108059</v>
      </c>
      <c r="N131" s="9">
        <f>IF(L131&lt;&gt;"",INDEX('Processed Non-zero TRI Data'!L:L,MATCH('Facility Summary_Water'!L131,'Processed Non-zero TRI Data'!I:I,0)),INDEX('Processed Non-zero DMR Data'!$L:$L,MATCH('Facility Summary_Water'!M131,'Processed Non-zero DMR Data'!$I:$I,0)))</f>
        <v>922140</v>
      </c>
      <c r="O131" s="10" t="str">
        <f>INDEX('2017 - 2022 NAICS'!D:D,MATCH('Facility Summary_Water'!N131,'2017 - 2022 NAICS'!C:C,0))</f>
        <v>Correctional Institutions</v>
      </c>
      <c r="P131" s="10" t="str">
        <f>IFERROR(VLOOKUP(L131, 'Processed Non-zero TRI Data'!I:Q, 8, 0), "Direct")</f>
        <v>Direct</v>
      </c>
      <c r="Q131" s="10" t="e">
        <f>VLOOKUP(R131,#REF!, 2, FALSE)</f>
        <v>#REF!</v>
      </c>
      <c r="R131" s="10" t="str">
        <f>INDEX('Facility Discharge Summary'!D:D, MATCH('Facility Summary_Water'!M131, 'Facility Discharge Summary'!J:J,0))</f>
        <v>Waste Handling, Disposal and Treatment (POTW)</v>
      </c>
      <c r="S131" s="10" t="str">
        <f>INDEX('Processed Non-zero DMR Data'!T:T, MATCH('Facility Summary_Water'!M131, 'Processed Non-zero DMR Data'!I:I,0))</f>
        <v>POTW indicator in DMR</v>
      </c>
      <c r="T131" s="10" t="s">
        <v>72</v>
      </c>
      <c r="U131" s="9">
        <f>INDEX('TRI and DMR OES Summary'!D:D, MATCH('Facility Summary_Water'!R131,'TRI and DMR OES Summary'!A:A,0))</f>
        <v>365</v>
      </c>
      <c r="V131" s="258">
        <f>INDEX('Facility Discharge Summary'!AR:AR,MATCH('Facility Summary_Water'!M131,'Facility Discharge Summary'!J:J,0))</f>
        <v>0</v>
      </c>
      <c r="W131" s="258">
        <f>INDEX('Facility Discharge Summary'!T:T,MATCH('Facility Summary_Water'!M131,'Facility Discharge Summary'!J:J,0))</f>
        <v>2.1137332500000001</v>
      </c>
    </row>
    <row r="132" spans="1:23" ht="30" x14ac:dyDescent="0.25">
      <c r="A132" s="9">
        <v>131</v>
      </c>
      <c r="B132" s="10" t="str">
        <f>IF(COUNTIF('Processed Non-zero TRI Data'!J:J,'Facility Summary_Water'!M132)&gt;0, "TRI Form " &amp; INDEX('Processed Non-zero TRI Data'!K:K,MATCH('Facility Summary_Water'!M132,'Processed Non-zero TRI Data'!J:J,0)), "" )</f>
        <v/>
      </c>
      <c r="C132" s="10" t="str">
        <f>IF(COUNTIF('Processed Non-zero DMR Data'!I:I, 'Facility Summary_Water'!M132)&gt;0, "DMR", "")</f>
        <v>DMR</v>
      </c>
      <c r="D132" s="10"/>
      <c r="E132" s="10" t="s">
        <v>383</v>
      </c>
      <c r="F132" s="10"/>
      <c r="G132" s="10" t="s">
        <v>384</v>
      </c>
      <c r="H132" s="10" t="s">
        <v>138</v>
      </c>
      <c r="I132" s="10"/>
      <c r="J132" s="9">
        <f>IF(L132&lt;&gt;"", INDEX('Processed Non-zero TRI Data'!$G:$G, MATCH(L132, 'Processed Non-zero TRI Data'!$I:$I,0)), INDEX('Processed Non-zero DMR Data'!$F:$F, MATCH(M132,'Processed Non-zero DMR Data'!$I:$I, 0)))</f>
        <v>39.058610999999999</v>
      </c>
      <c r="K132" s="9">
        <f>IF(L132&lt;&gt;"", INDEX('Processed Non-zero TRI Data'!$H:$H, MATCH(L132, 'Processed Non-zero TRI Data'!$I:$I,0)), INDEX('Processed Non-zero DMR Data'!$G:$G, MATCH(M132,'Processed Non-zero DMR Data'!$I:$I, 0)))</f>
        <v>-84.618055999999996</v>
      </c>
      <c r="L132" s="10"/>
      <c r="M132" s="259">
        <v>110039639736</v>
      </c>
      <c r="N132" s="9">
        <f>IF(L132&lt;&gt;"",INDEX('Processed Non-zero TRI Data'!L:L,MATCH('Facility Summary_Water'!L132,'Processed Non-zero TRI Data'!I:I,0)),INDEX('Processed Non-zero DMR Data'!$L:$L,MATCH('Facility Summary_Water'!M132,'Processed Non-zero DMR Data'!$I:$I,0)))</f>
        <v>221320</v>
      </c>
      <c r="O132" s="10" t="str">
        <f>INDEX('2017 - 2022 NAICS'!D:D,MATCH('Facility Summary_Water'!N132,'2017 - 2022 NAICS'!C:C,0))</f>
        <v>Sewage Treatment Facilities</v>
      </c>
      <c r="P132" s="10" t="str">
        <f>IFERROR(VLOOKUP(L132, 'Processed Non-zero TRI Data'!I:Q, 8, 0), "Direct")</f>
        <v>Direct</v>
      </c>
      <c r="Q132" s="10" t="e">
        <f>VLOOKUP(R132,#REF!, 2, FALSE)</f>
        <v>#REF!</v>
      </c>
      <c r="R132" s="10" t="str">
        <f>INDEX('Facility Discharge Summary'!D:D, MATCH('Facility Summary_Water'!M132, 'Facility Discharge Summary'!J:J,0))</f>
        <v>Waste Handling, Disposal and Treatment (POTW)</v>
      </c>
      <c r="S132" s="10" t="str">
        <f>INDEX('Processed Non-zero DMR Data'!T:T, MATCH('Facility Summary_Water'!M132, 'Processed Non-zero DMR Data'!I:I,0))</f>
        <v>POTW indicator in DMR</v>
      </c>
      <c r="T132" s="10" t="s">
        <v>72</v>
      </c>
      <c r="U132" s="9">
        <f>INDEX('TRI and DMR OES Summary'!D:D, MATCH('Facility Summary_Water'!R132,'TRI and DMR OES Summary'!A:A,0))</f>
        <v>365</v>
      </c>
      <c r="V132" s="258">
        <f>INDEX('Facility Discharge Summary'!AR:AR,MATCH('Facility Summary_Water'!M132,'Facility Discharge Summary'!J:J,0))</f>
        <v>0</v>
      </c>
      <c r="W132" s="258">
        <f>INDEX('Facility Discharge Summary'!T:T,MATCH('Facility Summary_Water'!M132,'Facility Discharge Summary'!J:J,0))</f>
        <v>22.366889749999999</v>
      </c>
    </row>
    <row r="133" spans="1:23" x14ac:dyDescent="0.25">
      <c r="A133" s="9">
        <v>132</v>
      </c>
      <c r="B133" s="10" t="str">
        <f>IF(COUNTIF('Processed Non-zero TRI Data'!J:J,'Facility Summary_Water'!M133)&gt;0, "TRI Form " &amp; INDEX('Processed Non-zero TRI Data'!K:K,MATCH('Facility Summary_Water'!M133,'Processed Non-zero TRI Data'!J:J,0)), "" )</f>
        <v/>
      </c>
      <c r="C133" s="10" t="str">
        <f>IF(COUNTIF('Processed Non-zero DMR Data'!I:I, 'Facility Summary_Water'!M133)&gt;0, "DMR", "")</f>
        <v>DMR</v>
      </c>
      <c r="D133" s="10"/>
      <c r="E133" s="10" t="s">
        <v>385</v>
      </c>
      <c r="F133" s="10"/>
      <c r="G133" s="10" t="s">
        <v>386</v>
      </c>
      <c r="H133" s="10" t="s">
        <v>146</v>
      </c>
      <c r="I133" s="10"/>
      <c r="J133" s="9">
        <f>IF(L133&lt;&gt;"", INDEX('Processed Non-zero TRI Data'!$G:$G, MATCH(L133, 'Processed Non-zero TRI Data'!$I:$I,0)), INDEX('Processed Non-zero DMR Data'!$F:$F, MATCH(M133,'Processed Non-zero DMR Data'!$I:$I, 0)))</f>
        <v>39.259749999999997</v>
      </c>
      <c r="K133" s="9">
        <f>IF(L133&lt;&gt;"", INDEX('Processed Non-zero TRI Data'!$H:$H, MATCH(L133, 'Processed Non-zero TRI Data'!$I:$I,0)), INDEX('Processed Non-zero DMR Data'!$G:$G, MATCH(M133,'Processed Non-zero DMR Data'!$I:$I, 0)))</f>
        <v>-121.03075</v>
      </c>
      <c r="L133" s="10"/>
      <c r="M133" s="259">
        <v>110000519920</v>
      </c>
      <c r="N133" s="9">
        <f>IF(L133&lt;&gt;"",INDEX('Processed Non-zero TRI Data'!L:L,MATCH('Facility Summary_Water'!L133,'Processed Non-zero TRI Data'!I:I,0)),INDEX('Processed Non-zero DMR Data'!$L:$L,MATCH('Facility Summary_Water'!M133,'Processed Non-zero DMR Data'!$I:$I,0)))</f>
        <v>221320</v>
      </c>
      <c r="O133" s="10" t="str">
        <f>INDEX('2017 - 2022 NAICS'!D:D,MATCH('Facility Summary_Water'!N133,'2017 - 2022 NAICS'!C:C,0))</f>
        <v>Sewage Treatment Facilities</v>
      </c>
      <c r="P133" s="10" t="str">
        <f>IFERROR(VLOOKUP(L133, 'Processed Non-zero TRI Data'!I:Q, 8, 0), "Direct")</f>
        <v>Direct</v>
      </c>
      <c r="Q133" s="10" t="e">
        <f>VLOOKUP(R133,#REF!, 2, FALSE)</f>
        <v>#REF!</v>
      </c>
      <c r="R133" s="10" t="str">
        <f>INDEX('Facility Discharge Summary'!D:D, MATCH('Facility Summary_Water'!M133, 'Facility Discharge Summary'!J:J,0))</f>
        <v>Waste Handling, Disposal and Treatment (POTW)</v>
      </c>
      <c r="S133" s="10" t="str">
        <f>INDEX('Processed Non-zero DMR Data'!T:T, MATCH('Facility Summary_Water'!M133, 'Processed Non-zero DMR Data'!I:I,0))</f>
        <v>POTW indicator in DMR</v>
      </c>
      <c r="T133" s="10" t="s">
        <v>72</v>
      </c>
      <c r="U133" s="9">
        <f>INDEX('TRI and DMR OES Summary'!D:D, MATCH('Facility Summary_Water'!R133,'TRI and DMR OES Summary'!A:A,0))</f>
        <v>365</v>
      </c>
      <c r="V133" s="258">
        <f>INDEX('Facility Discharge Summary'!AR:AR,MATCH('Facility Summary_Water'!M133,'Facility Discharge Summary'!J:J,0))</f>
        <v>0</v>
      </c>
      <c r="W133" s="258">
        <f>INDEX('Facility Discharge Summary'!T:T,MATCH('Facility Summary_Water'!M133,'Facility Discharge Summary'!J:J,0))</f>
        <v>2.7037890120000001E-2</v>
      </c>
    </row>
    <row r="134" spans="1:23" x14ac:dyDescent="0.25">
      <c r="A134" s="9">
        <v>133</v>
      </c>
      <c r="B134" s="10" t="str">
        <f>IF(COUNTIF('Processed Non-zero TRI Data'!J:J,'Facility Summary_Water'!M134)&gt;0, "TRI Form " &amp; INDEX('Processed Non-zero TRI Data'!K:K,MATCH('Facility Summary_Water'!M134,'Processed Non-zero TRI Data'!J:J,0)), "" )</f>
        <v/>
      </c>
      <c r="C134" s="10" t="str">
        <f>IF(COUNTIF('Processed Non-zero DMR Data'!I:I, 'Facility Summary_Water'!M134)&gt;0, "DMR", "")</f>
        <v>DMR</v>
      </c>
      <c r="D134" s="10"/>
      <c r="E134" s="10" t="s">
        <v>387</v>
      </c>
      <c r="F134" s="10"/>
      <c r="G134" s="10" t="s">
        <v>388</v>
      </c>
      <c r="H134" s="10" t="s">
        <v>138</v>
      </c>
      <c r="I134" s="10"/>
      <c r="J134" s="9">
        <f>IF(L134&lt;&gt;"", INDEX('Processed Non-zero TRI Data'!$G:$G, MATCH(L134, 'Processed Non-zero TRI Data'!$I:$I,0)), INDEX('Processed Non-zero DMR Data'!$F:$F, MATCH(M134,'Processed Non-zero DMR Data'!$I:$I, 0)))</f>
        <v>37.021974</v>
      </c>
      <c r="K134" s="9">
        <f>IF(L134&lt;&gt;"", INDEX('Processed Non-zero TRI Data'!$H:$H, MATCH(L134, 'Processed Non-zero TRI Data'!$I:$I,0)), INDEX('Processed Non-zero DMR Data'!$G:$G, MATCH(M134,'Processed Non-zero DMR Data'!$I:$I, 0)))</f>
        <v>-88.512833000000001</v>
      </c>
      <c r="L134" s="10"/>
      <c r="M134" s="259">
        <v>110006367136</v>
      </c>
      <c r="N134" s="9">
        <f>IF(L134&lt;&gt;"",INDEX('Processed Non-zero TRI Data'!L:L,MATCH('Facility Summary_Water'!L134,'Processed Non-zero TRI Data'!I:I,0)),INDEX('Processed Non-zero DMR Data'!$L:$L,MATCH('Facility Summary_Water'!M134,'Processed Non-zero DMR Data'!$I:$I,0)))</f>
        <v>221320</v>
      </c>
      <c r="O134" s="10" t="str">
        <f>INDEX('2017 - 2022 NAICS'!D:D,MATCH('Facility Summary_Water'!N134,'2017 - 2022 NAICS'!C:C,0))</f>
        <v>Sewage Treatment Facilities</v>
      </c>
      <c r="P134" s="10" t="str">
        <f>IFERROR(VLOOKUP(L134, 'Processed Non-zero TRI Data'!I:Q, 8, 0), "Direct")</f>
        <v>Direct</v>
      </c>
      <c r="Q134" s="10" t="e">
        <f>VLOOKUP(R134,#REF!, 2, FALSE)</f>
        <v>#REF!</v>
      </c>
      <c r="R134" s="10" t="str">
        <f>INDEX('Facility Discharge Summary'!D:D, MATCH('Facility Summary_Water'!M134, 'Facility Discharge Summary'!J:J,0))</f>
        <v>Waste Handling, Disposal and Treatment (POTW)</v>
      </c>
      <c r="S134" s="10" t="str">
        <f>INDEX('Processed Non-zero DMR Data'!T:T, MATCH('Facility Summary_Water'!M134, 'Processed Non-zero DMR Data'!I:I,0))</f>
        <v>POTW indicator in DMR</v>
      </c>
      <c r="T134" s="10" t="s">
        <v>72</v>
      </c>
      <c r="U134" s="9">
        <f>INDEX('TRI and DMR OES Summary'!D:D, MATCH('Facility Summary_Water'!R134,'TRI and DMR OES Summary'!A:A,0))</f>
        <v>365</v>
      </c>
      <c r="V134" s="258">
        <f>INDEX('Facility Discharge Summary'!AR:AR,MATCH('Facility Summary_Water'!M134,'Facility Discharge Summary'!J:J,0))</f>
        <v>0</v>
      </c>
      <c r="W134" s="258">
        <f>INDEX('Facility Discharge Summary'!T:T,MATCH('Facility Summary_Water'!M134,'Facility Discharge Summary'!J:J,0))</f>
        <v>0.8178628</v>
      </c>
    </row>
    <row r="135" spans="1:23" x14ac:dyDescent="0.25">
      <c r="A135" s="9">
        <v>134</v>
      </c>
      <c r="B135" s="10" t="str">
        <f>IF(COUNTIF('Processed Non-zero TRI Data'!J:J,'Facility Summary_Water'!M135)&gt;0, "TRI Form " &amp; INDEX('Processed Non-zero TRI Data'!K:K,MATCH('Facility Summary_Water'!M135,'Processed Non-zero TRI Data'!J:J,0)), "" )</f>
        <v/>
      </c>
      <c r="C135" s="10" t="str">
        <f>IF(COUNTIF('Processed Non-zero DMR Data'!I:I, 'Facility Summary_Water'!M135)&gt;0, "DMR", "")</f>
        <v>DMR</v>
      </c>
      <c r="D135" s="10"/>
      <c r="E135" s="10" t="s">
        <v>389</v>
      </c>
      <c r="F135" s="10"/>
      <c r="G135" s="10" t="s">
        <v>390</v>
      </c>
      <c r="H135" s="10" t="s">
        <v>138</v>
      </c>
      <c r="I135" s="10"/>
      <c r="J135" s="9">
        <f>IF(L135&lt;&gt;"", INDEX('Processed Non-zero TRI Data'!$G:$G, MATCH(L135, 'Processed Non-zero TRI Data'!$I:$I,0)), INDEX('Processed Non-zero DMR Data'!$F:$F, MATCH(M135,'Processed Non-zero DMR Data'!$I:$I, 0)))</f>
        <v>38.127222000000003</v>
      </c>
      <c r="K135" s="9">
        <f>IF(L135&lt;&gt;"", INDEX('Processed Non-zero TRI Data'!$H:$H, MATCH(L135, 'Processed Non-zero TRI Data'!$I:$I,0)), INDEX('Processed Non-zero DMR Data'!$G:$G, MATCH(M135,'Processed Non-zero DMR Data'!$I:$I, 0)))</f>
        <v>-83.769443999999993</v>
      </c>
      <c r="L135" s="10"/>
      <c r="M135" s="259">
        <v>110030443544</v>
      </c>
      <c r="N135" s="9">
        <f>IF(L135&lt;&gt;"",INDEX('Processed Non-zero TRI Data'!L:L,MATCH('Facility Summary_Water'!L135,'Processed Non-zero TRI Data'!I:I,0)),INDEX('Processed Non-zero DMR Data'!$L:$L,MATCH('Facility Summary_Water'!M135,'Processed Non-zero DMR Data'!$I:$I,0)))</f>
        <v>221320</v>
      </c>
      <c r="O135" s="10" t="str">
        <f>INDEX('2017 - 2022 NAICS'!D:D,MATCH('Facility Summary_Water'!N135,'2017 - 2022 NAICS'!C:C,0))</f>
        <v>Sewage Treatment Facilities</v>
      </c>
      <c r="P135" s="10" t="str">
        <f>IFERROR(VLOOKUP(L135, 'Processed Non-zero TRI Data'!I:Q, 8, 0), "Direct")</f>
        <v>Direct</v>
      </c>
      <c r="Q135" s="10" t="e">
        <f>VLOOKUP(R135,#REF!, 2, FALSE)</f>
        <v>#REF!</v>
      </c>
      <c r="R135" s="10" t="str">
        <f>INDEX('Facility Discharge Summary'!D:D, MATCH('Facility Summary_Water'!M135, 'Facility Discharge Summary'!J:J,0))</f>
        <v>Waste Handling, Disposal and Treatment (POTW)</v>
      </c>
      <c r="S135" s="10" t="str">
        <f>INDEX('Processed Non-zero DMR Data'!T:T, MATCH('Facility Summary_Water'!M135, 'Processed Non-zero DMR Data'!I:I,0))</f>
        <v>POTW indicator in DMR</v>
      </c>
      <c r="T135" s="10" t="s">
        <v>72</v>
      </c>
      <c r="U135" s="9">
        <f>INDEX('TRI and DMR OES Summary'!D:D, MATCH('Facility Summary_Water'!R135,'TRI and DMR OES Summary'!A:A,0))</f>
        <v>365</v>
      </c>
      <c r="V135" s="258">
        <f>INDEX('Facility Discharge Summary'!AR:AR,MATCH('Facility Summary_Water'!M135,'Facility Discharge Summary'!J:J,0))</f>
        <v>0</v>
      </c>
      <c r="W135" s="258">
        <f>INDEX('Facility Discharge Summary'!T:T,MATCH('Facility Summary_Water'!M135,'Facility Discharge Summary'!J:J,0))</f>
        <v>8.6345312499999993E-2</v>
      </c>
    </row>
    <row r="136" spans="1:23" x14ac:dyDescent="0.25">
      <c r="A136" s="9">
        <v>135</v>
      </c>
      <c r="B136" s="10" t="str">
        <f>IF(COUNTIF('Processed Non-zero TRI Data'!J:J,'Facility Summary_Water'!M136)&gt;0, "TRI Form " &amp; INDEX('Processed Non-zero TRI Data'!K:K,MATCH('Facility Summary_Water'!M136,'Processed Non-zero TRI Data'!J:J,0)), "" )</f>
        <v/>
      </c>
      <c r="C136" s="10" t="str">
        <f>IF(COUNTIF('Processed Non-zero DMR Data'!I:I, 'Facility Summary_Water'!M136)&gt;0, "DMR", "")</f>
        <v>DMR</v>
      </c>
      <c r="D136" s="10"/>
      <c r="E136" s="10" t="s">
        <v>391</v>
      </c>
      <c r="F136" s="10"/>
      <c r="G136" s="10" t="s">
        <v>392</v>
      </c>
      <c r="H136" s="10" t="s">
        <v>138</v>
      </c>
      <c r="I136" s="10"/>
      <c r="J136" s="9">
        <f>IF(L136&lt;&gt;"", INDEX('Processed Non-zero TRI Data'!$G:$G, MATCH(L136, 'Processed Non-zero TRI Data'!$I:$I,0)), INDEX('Processed Non-zero DMR Data'!$F:$F, MATCH(M136,'Processed Non-zero DMR Data'!$I:$I, 0)))</f>
        <v>38.057777999999999</v>
      </c>
      <c r="K136" s="9">
        <f>IF(L136&lt;&gt;"", INDEX('Processed Non-zero TRI Data'!$H:$H, MATCH(L136, 'Processed Non-zero TRI Data'!$I:$I,0)), INDEX('Processed Non-zero DMR Data'!$G:$G, MATCH(M136,'Processed Non-zero DMR Data'!$I:$I, 0)))</f>
        <v>-84.743888999999996</v>
      </c>
      <c r="L136" s="10"/>
      <c r="M136" s="259">
        <v>110000732226</v>
      </c>
      <c r="N136" s="9">
        <f>IF(L136&lt;&gt;"",INDEX('Processed Non-zero TRI Data'!L:L,MATCH('Facility Summary_Water'!L136,'Processed Non-zero TRI Data'!I:I,0)),INDEX('Processed Non-zero DMR Data'!$L:$L,MATCH('Facility Summary_Water'!M136,'Processed Non-zero DMR Data'!$I:$I,0)))</f>
        <v>221320</v>
      </c>
      <c r="O136" s="10" t="str">
        <f>INDEX('2017 - 2022 NAICS'!D:D,MATCH('Facility Summary_Water'!N136,'2017 - 2022 NAICS'!C:C,0))</f>
        <v>Sewage Treatment Facilities</v>
      </c>
      <c r="P136" s="10" t="str">
        <f>IFERROR(VLOOKUP(L136, 'Processed Non-zero TRI Data'!I:Q, 8, 0), "Direct")</f>
        <v>Direct</v>
      </c>
      <c r="Q136" s="10" t="e">
        <f>VLOOKUP(R136,#REF!, 2, FALSE)</f>
        <v>#REF!</v>
      </c>
      <c r="R136" s="10" t="str">
        <f>INDEX('Facility Discharge Summary'!D:D, MATCH('Facility Summary_Water'!M136, 'Facility Discharge Summary'!J:J,0))</f>
        <v>Waste Handling, Disposal and Treatment (POTW)</v>
      </c>
      <c r="S136" s="10" t="str">
        <f>INDEX('Processed Non-zero DMR Data'!T:T, MATCH('Facility Summary_Water'!M136, 'Processed Non-zero DMR Data'!I:I,0))</f>
        <v>POTW indicator in DMR</v>
      </c>
      <c r="T136" s="10" t="s">
        <v>72</v>
      </c>
      <c r="U136" s="9">
        <f>INDEX('TRI and DMR OES Summary'!D:D, MATCH('Facility Summary_Water'!R136,'TRI and DMR OES Summary'!A:A,0))</f>
        <v>365</v>
      </c>
      <c r="V136" s="258">
        <f>INDEX('Facility Discharge Summary'!AR:AR,MATCH('Facility Summary_Water'!M136,'Facility Discharge Summary'!J:J,0))</f>
        <v>0</v>
      </c>
      <c r="W136" s="258">
        <f>INDEX('Facility Discharge Summary'!T:T,MATCH('Facility Summary_Water'!M136,'Facility Discharge Summary'!J:J,0))</f>
        <v>5.636622</v>
      </c>
    </row>
    <row r="137" spans="1:23" x14ac:dyDescent="0.25">
      <c r="A137" s="9">
        <v>136</v>
      </c>
      <c r="B137" s="10" t="str">
        <f>IF(COUNTIF('Processed Non-zero TRI Data'!J:J,'Facility Summary_Water'!M137)&gt;0, "TRI Form " &amp; INDEX('Processed Non-zero TRI Data'!K:K,MATCH('Facility Summary_Water'!M137,'Processed Non-zero TRI Data'!J:J,0)), "" )</f>
        <v/>
      </c>
      <c r="C137" s="10" t="str">
        <f>IF(COUNTIF('Processed Non-zero DMR Data'!I:I, 'Facility Summary_Water'!M137)&gt;0, "DMR", "")</f>
        <v>DMR</v>
      </c>
      <c r="D137" s="10"/>
      <c r="E137" s="10" t="s">
        <v>393</v>
      </c>
      <c r="F137" s="10"/>
      <c r="G137" s="10" t="s">
        <v>394</v>
      </c>
      <c r="H137" s="10" t="s">
        <v>146</v>
      </c>
      <c r="I137" s="10"/>
      <c r="J137" s="9">
        <f>IF(L137&lt;&gt;"", INDEX('Processed Non-zero TRI Data'!$G:$G, MATCH(L137, 'Processed Non-zero TRI Data'!$I:$I,0)), INDEX('Processed Non-zero DMR Data'!$F:$F, MATCH(M137,'Processed Non-zero DMR Data'!$I:$I, 0)))</f>
        <v>38.627777999999999</v>
      </c>
      <c r="K137" s="9">
        <f>IF(L137&lt;&gt;"", INDEX('Processed Non-zero TRI Data'!$H:$H, MATCH(L137, 'Processed Non-zero TRI Data'!$I:$I,0)), INDEX('Processed Non-zero DMR Data'!$G:$G, MATCH(M137,'Processed Non-zero DMR Data'!$I:$I, 0)))</f>
        <v>-120.984167</v>
      </c>
      <c r="L137" s="10"/>
      <c r="M137" s="259">
        <v>110070619860</v>
      </c>
      <c r="N137" s="9">
        <f>IF(L137&lt;&gt;"",INDEX('Processed Non-zero TRI Data'!L:L,MATCH('Facility Summary_Water'!L137,'Processed Non-zero TRI Data'!I:I,0)),INDEX('Processed Non-zero DMR Data'!$L:$L,MATCH('Facility Summary_Water'!M137,'Processed Non-zero DMR Data'!$I:$I,0)))</f>
        <v>221320</v>
      </c>
      <c r="O137" s="10" t="str">
        <f>INDEX('2017 - 2022 NAICS'!D:D,MATCH('Facility Summary_Water'!N137,'2017 - 2022 NAICS'!C:C,0))</f>
        <v>Sewage Treatment Facilities</v>
      </c>
      <c r="P137" s="10" t="str">
        <f>IFERROR(VLOOKUP(L137, 'Processed Non-zero TRI Data'!I:Q, 8, 0), "Direct")</f>
        <v>Direct</v>
      </c>
      <c r="Q137" s="10" t="e">
        <f>VLOOKUP(R137,#REF!, 2, FALSE)</f>
        <v>#REF!</v>
      </c>
      <c r="R137" s="10" t="str">
        <f>INDEX('Facility Discharge Summary'!D:D, MATCH('Facility Summary_Water'!M137, 'Facility Discharge Summary'!J:J,0))</f>
        <v>Waste Handling, Disposal and Treatment (POTW)</v>
      </c>
      <c r="S137" s="10" t="str">
        <f>INDEX('Processed Non-zero DMR Data'!T:T, MATCH('Facility Summary_Water'!M137, 'Processed Non-zero DMR Data'!I:I,0))</f>
        <v>POTW indicator in DMR</v>
      </c>
      <c r="T137" s="10" t="s">
        <v>72</v>
      </c>
      <c r="U137" s="9">
        <f>INDEX('TRI and DMR OES Summary'!D:D, MATCH('Facility Summary_Water'!R137,'TRI and DMR OES Summary'!A:A,0))</f>
        <v>365</v>
      </c>
      <c r="V137" s="258">
        <f>INDEX('Facility Discharge Summary'!AR:AR,MATCH('Facility Summary_Water'!M137,'Facility Discharge Summary'!J:J,0))</f>
        <v>0</v>
      </c>
      <c r="W137" s="258">
        <f>INDEX('Facility Discharge Summary'!T:T,MATCH('Facility Summary_Water'!M137,'Facility Discharge Summary'!J:J,0))</f>
        <v>7.6614228899999998E-2</v>
      </c>
    </row>
    <row r="138" spans="1:23" ht="30" x14ac:dyDescent="0.25">
      <c r="A138" s="9">
        <v>137</v>
      </c>
      <c r="B138" s="10" t="str">
        <f>IF(COUNTIF('Processed Non-zero TRI Data'!J:J,'Facility Summary_Water'!M138)&gt;0, "TRI Form " &amp; INDEX('Processed Non-zero TRI Data'!K:K,MATCH('Facility Summary_Water'!M138,'Processed Non-zero TRI Data'!J:J,0)), "" )</f>
        <v/>
      </c>
      <c r="C138" s="10" t="str">
        <f>IF(COUNTIF('Processed Non-zero DMR Data'!I:I, 'Facility Summary_Water'!M138)&gt;0, "DMR", "")</f>
        <v>DMR</v>
      </c>
      <c r="D138" s="10"/>
      <c r="E138" s="10" t="s">
        <v>395</v>
      </c>
      <c r="F138" s="10"/>
      <c r="G138" s="10" t="s">
        <v>396</v>
      </c>
      <c r="H138" s="10" t="s">
        <v>186</v>
      </c>
      <c r="I138" s="10"/>
      <c r="J138" s="9">
        <f>IF(L138&lt;&gt;"", INDEX('Processed Non-zero TRI Data'!$G:$G, MATCH(L138, 'Processed Non-zero TRI Data'!$I:$I,0)), INDEX('Processed Non-zero DMR Data'!$F:$F, MATCH(M138,'Processed Non-zero DMR Data'!$I:$I, 0)))</f>
        <v>21.438638999999998</v>
      </c>
      <c r="K138" s="9">
        <f>IF(L138&lt;&gt;"", INDEX('Processed Non-zero TRI Data'!$H:$H, MATCH(L138, 'Processed Non-zero TRI Data'!$I:$I,0)), INDEX('Processed Non-zero DMR Data'!$G:$G, MATCH(M138,'Processed Non-zero DMR Data'!$I:$I, 0)))</f>
        <v>-157.75847200000001</v>
      </c>
      <c r="L138" s="10"/>
      <c r="M138" s="259">
        <v>110041973460</v>
      </c>
      <c r="N138" s="9">
        <f>IF(L138&lt;&gt;"",INDEX('Processed Non-zero TRI Data'!L:L,MATCH('Facility Summary_Water'!L138,'Processed Non-zero TRI Data'!I:I,0)),INDEX('Processed Non-zero DMR Data'!$L:$L,MATCH('Facility Summary_Water'!M138,'Processed Non-zero DMR Data'!$I:$I,0)))</f>
        <v>221320</v>
      </c>
      <c r="O138" s="10" t="str">
        <f>INDEX('2017 - 2022 NAICS'!D:D,MATCH('Facility Summary_Water'!N138,'2017 - 2022 NAICS'!C:C,0))</f>
        <v>Sewage Treatment Facilities</v>
      </c>
      <c r="P138" s="10" t="str">
        <f>IFERROR(VLOOKUP(L138, 'Processed Non-zero TRI Data'!I:Q, 8, 0), "Direct")</f>
        <v>Direct</v>
      </c>
      <c r="Q138" s="10" t="e">
        <f>VLOOKUP(R138,#REF!, 2, FALSE)</f>
        <v>#REF!</v>
      </c>
      <c r="R138" s="10" t="str">
        <f>INDEX('Facility Discharge Summary'!D:D, MATCH('Facility Summary_Water'!M138, 'Facility Discharge Summary'!J:J,0))</f>
        <v>Waste Handling, Disposal and Treatment (non-POTW WWT)</v>
      </c>
      <c r="S138" s="10" t="str">
        <f>INDEX('Processed Non-zero DMR Data'!T:T, MATCH('Facility Summary_Water'!M138, 'Processed Non-zero DMR Data'!I:I,0))</f>
        <v>WWT (consistent with 1,1-DCA); per facility type flag, this is a federal establishment so classified as non-POTW WWT.</v>
      </c>
      <c r="T138" s="10" t="s">
        <v>72</v>
      </c>
      <c r="U138" s="9">
        <f>INDEX('TRI and DMR OES Summary'!D:D, MATCH('Facility Summary_Water'!R138,'TRI and DMR OES Summary'!A:A,0))</f>
        <v>250</v>
      </c>
      <c r="V138" s="258">
        <f>INDEX('Facility Discharge Summary'!AR:AR,MATCH('Facility Summary_Water'!M138,'Facility Discharge Summary'!J:J,0))</f>
        <v>0</v>
      </c>
      <c r="W138" s="258">
        <f>INDEX('Facility Discharge Summary'!T:T,MATCH('Facility Summary_Water'!M138,'Facility Discharge Summary'!J:J,0))</f>
        <v>1.747629125</v>
      </c>
    </row>
    <row r="139" spans="1:23" x14ac:dyDescent="0.25">
      <c r="A139" s="9">
        <v>138</v>
      </c>
      <c r="B139" s="10" t="str">
        <f>IF(COUNTIF('Processed Non-zero TRI Data'!J:J,'Facility Summary_Water'!M139)&gt;0, "TRI Form " &amp; INDEX('Processed Non-zero TRI Data'!K:K,MATCH('Facility Summary_Water'!M139,'Processed Non-zero TRI Data'!J:J,0)), "" )</f>
        <v/>
      </c>
      <c r="C139" s="10" t="str">
        <f>IF(COUNTIF('Processed Non-zero DMR Data'!I:I, 'Facility Summary_Water'!M139)&gt;0, "DMR", "")</f>
        <v>DMR</v>
      </c>
      <c r="D139" s="10"/>
      <c r="E139" s="10" t="s">
        <v>397</v>
      </c>
      <c r="F139" s="10"/>
      <c r="G139" s="10" t="s">
        <v>398</v>
      </c>
      <c r="H139" s="10" t="s">
        <v>138</v>
      </c>
      <c r="I139" s="10"/>
      <c r="J139" s="9">
        <f>IF(L139&lt;&gt;"", INDEX('Processed Non-zero TRI Data'!$G:$G, MATCH(L139, 'Processed Non-zero TRI Data'!$I:$I,0)), INDEX('Processed Non-zero DMR Data'!$F:$F, MATCH(M139,'Processed Non-zero DMR Data'!$I:$I, 0)))</f>
        <v>36.866140000000001</v>
      </c>
      <c r="K139" s="9">
        <f>IF(L139&lt;&gt;"", INDEX('Processed Non-zero TRI Data'!$H:$H, MATCH(L139, 'Processed Non-zero TRI Data'!$I:$I,0)), INDEX('Processed Non-zero DMR Data'!$G:$G, MATCH(M139,'Processed Non-zero DMR Data'!$I:$I, 0)))</f>
        <v>-88.342470000000006</v>
      </c>
      <c r="L139" s="10"/>
      <c r="M139" s="259">
        <v>110001855635</v>
      </c>
      <c r="N139" s="9">
        <f>IF(L139&lt;&gt;"",INDEX('Processed Non-zero TRI Data'!L:L,MATCH('Facility Summary_Water'!L139,'Processed Non-zero TRI Data'!I:I,0)),INDEX('Processed Non-zero DMR Data'!$L:$L,MATCH('Facility Summary_Water'!M139,'Processed Non-zero DMR Data'!$I:$I,0)))</f>
        <v>221320</v>
      </c>
      <c r="O139" s="10" t="str">
        <f>INDEX('2017 - 2022 NAICS'!D:D,MATCH('Facility Summary_Water'!N139,'2017 - 2022 NAICS'!C:C,0))</f>
        <v>Sewage Treatment Facilities</v>
      </c>
      <c r="P139" s="10" t="str">
        <f>IFERROR(VLOOKUP(L139, 'Processed Non-zero TRI Data'!I:Q, 8, 0), "Direct")</f>
        <v>Direct</v>
      </c>
      <c r="Q139" s="10" t="e">
        <f>VLOOKUP(R139,#REF!, 2, FALSE)</f>
        <v>#REF!</v>
      </c>
      <c r="R139" s="10" t="str">
        <f>INDEX('Facility Discharge Summary'!D:D, MATCH('Facility Summary_Water'!M139, 'Facility Discharge Summary'!J:J,0))</f>
        <v>Waste Handling, Disposal and Treatment (POTW)</v>
      </c>
      <c r="S139" s="10" t="str">
        <f>INDEX('Processed Non-zero DMR Data'!T:T, MATCH('Facility Summary_Water'!M139, 'Processed Non-zero DMR Data'!I:I,0))</f>
        <v>POTW indicator in DMR</v>
      </c>
      <c r="T139" s="10" t="s">
        <v>72</v>
      </c>
      <c r="U139" s="9">
        <f>INDEX('TRI and DMR OES Summary'!D:D, MATCH('Facility Summary_Water'!R139,'TRI and DMR OES Summary'!A:A,0))</f>
        <v>365</v>
      </c>
      <c r="V139" s="258">
        <f>INDEX('Facility Discharge Summary'!AR:AR,MATCH('Facility Summary_Water'!M139,'Facility Discharge Summary'!J:J,0))</f>
        <v>0</v>
      </c>
      <c r="W139" s="258">
        <f>INDEX('Facility Discharge Summary'!T:T,MATCH('Facility Summary_Water'!M139,'Facility Discharge Summary'!J:J,0))</f>
        <v>5.7747745000000004</v>
      </c>
    </row>
    <row r="140" spans="1:23" x14ac:dyDescent="0.25">
      <c r="A140" s="9">
        <v>139</v>
      </c>
      <c r="B140" s="10" t="str">
        <f>IF(COUNTIF('Processed Non-zero TRI Data'!J:J,'Facility Summary_Water'!M140)&gt;0, "TRI Form " &amp; INDEX('Processed Non-zero TRI Data'!K:K,MATCH('Facility Summary_Water'!M140,'Processed Non-zero TRI Data'!J:J,0)), "" )</f>
        <v/>
      </c>
      <c r="C140" s="10" t="str">
        <f>IF(COUNTIF('Processed Non-zero DMR Data'!I:I, 'Facility Summary_Water'!M140)&gt;0, "DMR", "")</f>
        <v>DMR</v>
      </c>
      <c r="D140" s="10"/>
      <c r="E140" s="10" t="s">
        <v>399</v>
      </c>
      <c r="F140" s="10"/>
      <c r="G140" s="10" t="s">
        <v>400</v>
      </c>
      <c r="H140" s="10" t="s">
        <v>138</v>
      </c>
      <c r="I140" s="10"/>
      <c r="J140" s="9">
        <f>IF(L140&lt;&gt;"", INDEX('Processed Non-zero TRI Data'!$G:$G, MATCH(L140, 'Processed Non-zero TRI Data'!$I:$I,0)), INDEX('Processed Non-zero DMR Data'!$F:$F, MATCH(M140,'Processed Non-zero DMR Data'!$I:$I, 0)))</f>
        <v>37.671391</v>
      </c>
      <c r="K140" s="9">
        <f>IF(L140&lt;&gt;"", INDEX('Processed Non-zero TRI Data'!$H:$H, MATCH(L140, 'Processed Non-zero TRI Data'!$I:$I,0)), INDEX('Processed Non-zero DMR Data'!$G:$G, MATCH(M140,'Processed Non-zero DMR Data'!$I:$I, 0)))</f>
        <v>-87.828888000000006</v>
      </c>
      <c r="L140" s="10"/>
      <c r="M140" s="259">
        <v>110064612557</v>
      </c>
      <c r="N140" s="9">
        <f>IF(L140&lt;&gt;"",INDEX('Processed Non-zero TRI Data'!L:L,MATCH('Facility Summary_Water'!L140,'Processed Non-zero TRI Data'!I:I,0)),INDEX('Processed Non-zero DMR Data'!$L:$L,MATCH('Facility Summary_Water'!M140,'Processed Non-zero DMR Data'!$I:$I,0)))</f>
        <v>221320</v>
      </c>
      <c r="O140" s="10" t="str">
        <f>INDEX('2017 - 2022 NAICS'!D:D,MATCH('Facility Summary_Water'!N140,'2017 - 2022 NAICS'!C:C,0))</f>
        <v>Sewage Treatment Facilities</v>
      </c>
      <c r="P140" s="10" t="str">
        <f>IFERROR(VLOOKUP(L140, 'Processed Non-zero TRI Data'!I:Q, 8, 0), "Direct")</f>
        <v>Direct</v>
      </c>
      <c r="Q140" s="10" t="e">
        <f>VLOOKUP(R140,#REF!, 2, FALSE)</f>
        <v>#REF!</v>
      </c>
      <c r="R140" s="10" t="str">
        <f>INDEX('Facility Discharge Summary'!D:D, MATCH('Facility Summary_Water'!M140, 'Facility Discharge Summary'!J:J,0))</f>
        <v>Waste Handling, Disposal and Treatment (POTW)</v>
      </c>
      <c r="S140" s="10" t="str">
        <f>INDEX('Processed Non-zero DMR Data'!T:T, MATCH('Facility Summary_Water'!M140, 'Processed Non-zero DMR Data'!I:I,0))</f>
        <v>POTW indicator in DMR</v>
      </c>
      <c r="T140" s="10" t="s">
        <v>72</v>
      </c>
      <c r="U140" s="9">
        <f>INDEX('TRI and DMR OES Summary'!D:D, MATCH('Facility Summary_Water'!R140,'TRI and DMR OES Summary'!A:A,0))</f>
        <v>365</v>
      </c>
      <c r="V140" s="258">
        <f>INDEX('Facility Discharge Summary'!AR:AR,MATCH('Facility Summary_Water'!M140,'Facility Discharge Summary'!J:J,0))</f>
        <v>0</v>
      </c>
      <c r="W140" s="258">
        <f>INDEX('Facility Discharge Summary'!T:T,MATCH('Facility Summary_Water'!M140,'Facility Discharge Summary'!J:J,0))</f>
        <v>5.9543727500000001</v>
      </c>
    </row>
    <row r="141" spans="1:23" ht="30" x14ac:dyDescent="0.25">
      <c r="A141" s="9">
        <v>140</v>
      </c>
      <c r="B141" s="10" t="str">
        <f>IF(COUNTIF('Processed Non-zero TRI Data'!J:J,'Facility Summary_Water'!M141)&gt;0, "TRI Form " &amp; INDEX('Processed Non-zero TRI Data'!K:K,MATCH('Facility Summary_Water'!M141,'Processed Non-zero TRI Data'!J:J,0)), "" )</f>
        <v/>
      </c>
      <c r="C141" s="10" t="str">
        <f>IF(COUNTIF('Processed Non-zero DMR Data'!I:I, 'Facility Summary_Water'!M141)&gt;0, "DMR", "")</f>
        <v>DMR</v>
      </c>
      <c r="D141" s="10"/>
      <c r="E141" s="10" t="s">
        <v>401</v>
      </c>
      <c r="F141" s="10"/>
      <c r="G141" s="10" t="s">
        <v>402</v>
      </c>
      <c r="H141" s="10" t="s">
        <v>106</v>
      </c>
      <c r="I141" s="10"/>
      <c r="J141" s="9">
        <f>IF(L141&lt;&gt;"", INDEX('Processed Non-zero TRI Data'!$G:$G, MATCH(L141, 'Processed Non-zero TRI Data'!$I:$I,0)), INDEX('Processed Non-zero DMR Data'!$F:$F, MATCH(M141,'Processed Non-zero DMR Data'!$I:$I, 0)))</f>
        <v>30.27083</v>
      </c>
      <c r="K141" s="9">
        <f>IF(L141&lt;&gt;"", INDEX('Processed Non-zero TRI Data'!$H:$H, MATCH(L141, 'Processed Non-zero TRI Data'!$I:$I,0)), INDEX('Processed Non-zero DMR Data'!$G:$G, MATCH(M141,'Processed Non-zero DMR Data'!$I:$I, 0)))</f>
        <v>-92.037279999999996</v>
      </c>
      <c r="L141" s="10"/>
      <c r="M141" s="259">
        <v>110000846602</v>
      </c>
      <c r="N141" s="9">
        <f>IF(L141&lt;&gt;"",INDEX('Processed Non-zero TRI Data'!L:L,MATCH('Facility Summary_Water'!L141,'Processed Non-zero TRI Data'!I:I,0)),INDEX('Processed Non-zero DMR Data'!$L:$L,MATCH('Facility Summary_Water'!M141,'Processed Non-zero DMR Data'!$I:$I,0)))</f>
        <v>325211</v>
      </c>
      <c r="O141" s="10" t="str">
        <f>INDEX('2017 - 2022 NAICS'!D:D,MATCH('Facility Summary_Water'!N141,'2017 - 2022 NAICS'!C:C,0))</f>
        <v>Plastics Material and Resin Manufacturing</v>
      </c>
      <c r="P141" s="10" t="str">
        <f>IFERROR(VLOOKUP(L141, 'Processed Non-zero TRI Data'!I:Q, 8, 0), "Direct")</f>
        <v>Direct</v>
      </c>
      <c r="Q141" s="10" t="e">
        <f>VLOOKUP(R141,#REF!, 2, FALSE)</f>
        <v>#REF!</v>
      </c>
      <c r="R141" s="10" t="str">
        <f>INDEX('Facility Discharge Summary'!D:D, MATCH('Facility Summary_Water'!M141, 'Facility Discharge Summary'!J:J,0))</f>
        <v xml:space="preserve">Use of laboratory chemicals </v>
      </c>
      <c r="S141" s="10" t="str">
        <f>INDEX('Processed Non-zero DMR Data'!T:T, MATCH('Facility Summary_Water'!M141, 'Processed Non-zero DMR Data'!I:I,0))</f>
        <v>Facility is a skin care clinic; assumed to be laboratory use. This also matches 1,1-DCA mapping.</v>
      </c>
      <c r="T141" s="10" t="s">
        <v>72</v>
      </c>
      <c r="U141" s="9">
        <f>INDEX('TRI and DMR OES Summary'!D:D, MATCH('Facility Summary_Water'!R141,'TRI and DMR OES Summary'!A:A,0))</f>
        <v>260</v>
      </c>
      <c r="V141" s="258">
        <f>INDEX('Facility Discharge Summary'!AR:AR,MATCH('Facility Summary_Water'!M141,'Facility Discharge Summary'!J:J,0))</f>
        <v>0</v>
      </c>
      <c r="W141" s="258">
        <f>INDEX('Facility Discharge Summary'!T:T,MATCH('Facility Summary_Water'!M141,'Facility Discharge Summary'!J:J,0))</f>
        <v>9.5877835000000005E-3</v>
      </c>
    </row>
    <row r="142" spans="1:23" ht="30" x14ac:dyDescent="0.25">
      <c r="A142" s="9">
        <v>141</v>
      </c>
      <c r="B142" s="10" t="str">
        <f>IF(COUNTIF('Processed Non-zero TRI Data'!J:J,'Facility Summary_Water'!M142)&gt;0, "TRI Form " &amp; INDEX('Processed Non-zero TRI Data'!K:K,MATCH('Facility Summary_Water'!M142,'Processed Non-zero TRI Data'!J:J,0)), "" )</f>
        <v/>
      </c>
      <c r="C142" s="10" t="str">
        <f>IF(COUNTIF('Processed Non-zero DMR Data'!I:I, 'Facility Summary_Water'!M142)&gt;0, "DMR", "")</f>
        <v>DMR</v>
      </c>
      <c r="D142" s="10"/>
      <c r="E142" s="10" t="s">
        <v>403</v>
      </c>
      <c r="F142" s="10"/>
      <c r="G142" s="10" t="s">
        <v>404</v>
      </c>
      <c r="H142" s="10" t="s">
        <v>106</v>
      </c>
      <c r="I142" s="10"/>
      <c r="J142" s="9">
        <f>IF(L142&lt;&gt;"", INDEX('Processed Non-zero TRI Data'!$G:$G, MATCH(L142, 'Processed Non-zero TRI Data'!$I:$I,0)), INDEX('Processed Non-zero DMR Data'!$F:$F, MATCH(M142,'Processed Non-zero DMR Data'!$I:$I, 0)))</f>
        <v>29.808250000000001</v>
      </c>
      <c r="K142" s="9">
        <f>IF(L142&lt;&gt;"", INDEX('Processed Non-zero TRI Data'!$H:$H, MATCH(L142, 'Processed Non-zero TRI Data'!$I:$I,0)), INDEX('Processed Non-zero DMR Data'!$G:$G, MATCH(M142,'Processed Non-zero DMR Data'!$I:$I, 0)))</f>
        <v>-90.01</v>
      </c>
      <c r="L142" s="10"/>
      <c r="M142" s="259">
        <v>110000575244</v>
      </c>
      <c r="N142" s="9">
        <f>IF(L142&lt;&gt;"",INDEX('Processed Non-zero TRI Data'!L:L,MATCH('Facility Summary_Water'!L142,'Processed Non-zero TRI Data'!I:I,0)),INDEX('Processed Non-zero DMR Data'!$L:$L,MATCH('Facility Summary_Water'!M142,'Processed Non-zero DMR Data'!$I:$I,0)))</f>
        <v>325110</v>
      </c>
      <c r="O142" s="10" t="str">
        <f>INDEX('2017 - 2022 NAICS'!D:D,MATCH('Facility Summary_Water'!N142,'2017 - 2022 NAICS'!C:C,0))</f>
        <v>Petrochemical Manufacturing</v>
      </c>
      <c r="P142" s="10" t="str">
        <f>IFERROR(VLOOKUP(L142, 'Processed Non-zero TRI Data'!I:Q, 8, 0), "Direct")</f>
        <v>Direct</v>
      </c>
      <c r="Q142" s="10" t="e">
        <f>VLOOKUP(R142,#REF!, 2, FALSE)</f>
        <v>#REF!</v>
      </c>
      <c r="R142" s="10" t="str">
        <f>INDEX('Facility Discharge Summary'!D:D, MATCH('Facility Summary_Water'!M142, 'Facility Discharge Summary'!J:J,0))</f>
        <v>Processing as a reactant</v>
      </c>
      <c r="S142" s="10" t="str">
        <f>INDEX('Processed Non-zero DMR Data'!T:T, MATCH('Facility Summary_Water'!M142, 'Processed Non-zero DMR Data'!I:I,0))</f>
        <v>Assumed processing as a reactant based on SIC and NAICS; this also matches 1,1,-DCA mapping.</v>
      </c>
      <c r="T142" s="10" t="s">
        <v>72</v>
      </c>
      <c r="U142" s="9">
        <f>INDEX('TRI and DMR OES Summary'!D:D, MATCH('Facility Summary_Water'!R142,'TRI and DMR OES Summary'!A:A,0))</f>
        <v>350</v>
      </c>
      <c r="V142" s="258">
        <f>INDEX('Facility Discharge Summary'!AR:AR,MATCH('Facility Summary_Water'!M142,'Facility Discharge Summary'!J:J,0))</f>
        <v>0</v>
      </c>
      <c r="W142" s="258">
        <f>INDEX('Facility Discharge Summary'!T:T,MATCH('Facility Summary_Water'!M142,'Facility Discharge Summary'!J:J,0))</f>
        <v>3.1064280387500001E-2</v>
      </c>
    </row>
    <row r="143" spans="1:23" ht="45" x14ac:dyDescent="0.25">
      <c r="A143" s="9">
        <v>142</v>
      </c>
      <c r="B143" s="10" t="str">
        <f>IF(COUNTIF('Processed Non-zero TRI Data'!J:J,'Facility Summary_Water'!M143)&gt;0, "TRI Form " &amp; INDEX('Processed Non-zero TRI Data'!K:K,MATCH('Facility Summary_Water'!M143,'Processed Non-zero TRI Data'!J:J,0)), "" )</f>
        <v/>
      </c>
      <c r="C143" s="10" t="str">
        <f>IF(COUNTIF('Processed Non-zero DMR Data'!I:I, 'Facility Summary_Water'!M143)&gt;0, "DMR", "")</f>
        <v>DMR</v>
      </c>
      <c r="D143" s="10"/>
      <c r="E143" s="10" t="s">
        <v>405</v>
      </c>
      <c r="F143" s="10"/>
      <c r="G143" s="10" t="s">
        <v>406</v>
      </c>
      <c r="H143" s="10" t="s">
        <v>153</v>
      </c>
      <c r="I143" s="10"/>
      <c r="J143" s="9">
        <f>IF(L143&lt;&gt;"", INDEX('Processed Non-zero TRI Data'!$G:$G, MATCH(L143, 'Processed Non-zero TRI Data'!$I:$I,0)), INDEX('Processed Non-zero DMR Data'!$F:$F, MATCH(M143,'Processed Non-zero DMR Data'!$I:$I, 0)))</f>
        <v>39.845474000000003</v>
      </c>
      <c r="K143" s="9">
        <f>IF(L143&lt;&gt;"", INDEX('Processed Non-zero TRI Data'!$H:$H, MATCH(L143, 'Processed Non-zero TRI Data'!$I:$I,0)), INDEX('Processed Non-zero DMR Data'!$G:$G, MATCH(M143,'Processed Non-zero DMR Data'!$I:$I, 0)))</f>
        <v>-75.209485999999998</v>
      </c>
      <c r="L143" s="10"/>
      <c r="M143" s="259">
        <v>110013317614</v>
      </c>
      <c r="N143" s="9">
        <f>IF(L143&lt;&gt;"",INDEX('Processed Non-zero TRI Data'!L:L,MATCH('Facility Summary_Water'!L143,'Processed Non-zero TRI Data'!I:I,0)),INDEX('Processed Non-zero DMR Data'!$L:$L,MATCH('Facility Summary_Water'!M143,'Processed Non-zero DMR Data'!$I:$I,0)))</f>
        <v>325211</v>
      </c>
      <c r="O143" s="10" t="str">
        <f>INDEX('2017 - 2022 NAICS'!D:D,MATCH('Facility Summary_Water'!N143,'2017 - 2022 NAICS'!C:C,0))</f>
        <v>Plastics Material and Resin Manufacturing</v>
      </c>
      <c r="P143" s="10" t="str">
        <f>IFERROR(VLOOKUP(L143, 'Processed Non-zero TRI Data'!I:Q, 8, 0), "Direct")</f>
        <v>Direct</v>
      </c>
      <c r="Q143" s="10" t="e">
        <f>VLOOKUP(R143,#REF!, 2, FALSE)</f>
        <v>#REF!</v>
      </c>
      <c r="R143" s="10" t="str">
        <f>INDEX('Facility Discharge Summary'!D:D, MATCH('Facility Summary_Water'!M143, 'Facility Discharge Summary'!J:J,0))</f>
        <v>Impurity in Plastics</v>
      </c>
      <c r="S143" s="10" t="str">
        <f>INDEX('Processed Non-zero DMR Data'!T:T, MATCH('Facility Summary_Water'!M143, 'Processed Non-zero DMR Data'!I:I,0))</f>
        <v>Plastics SIC/NAICS - EPA-HQ-OPPT-2018-0428-0011 indicates 1,2-dichloropropane can be a residual/byproduct in PVC plastics or a flame retardant plasticizer.</v>
      </c>
      <c r="T143" s="10" t="s">
        <v>72</v>
      </c>
      <c r="U143" s="9">
        <f>INDEX('TRI and DMR OES Summary'!D:D, MATCH('Facility Summary_Water'!R143,'TRI and DMR OES Summary'!A:A,0))</f>
        <v>350</v>
      </c>
      <c r="V143" s="258">
        <f>INDEX('Facility Discharge Summary'!AR:AR,MATCH('Facility Summary_Water'!M143,'Facility Discharge Summary'!J:J,0))</f>
        <v>0</v>
      </c>
      <c r="W143" s="258">
        <f>INDEX('Facility Discharge Summary'!T:T,MATCH('Facility Summary_Water'!M143,'Facility Discharge Summary'!J:J,0))</f>
        <v>3.6661600000000003E-2</v>
      </c>
    </row>
    <row r="144" spans="1:23" x14ac:dyDescent="0.25">
      <c r="A144" s="9">
        <v>143</v>
      </c>
      <c r="B144" s="10" t="str">
        <f>IF(COUNTIF('Processed Non-zero TRI Data'!J:J,'Facility Summary_Water'!M144)&gt;0, "TRI Form " &amp; INDEX('Processed Non-zero TRI Data'!K:K,MATCH('Facility Summary_Water'!M144,'Processed Non-zero TRI Data'!J:J,0)), "" )</f>
        <v/>
      </c>
      <c r="C144" s="10" t="str">
        <f>IF(COUNTIF('Processed Non-zero DMR Data'!I:I, 'Facility Summary_Water'!M144)&gt;0, "DMR", "")</f>
        <v>DMR</v>
      </c>
      <c r="D144" s="10"/>
      <c r="E144" s="10" t="s">
        <v>407</v>
      </c>
      <c r="F144" s="10"/>
      <c r="G144" s="10" t="s">
        <v>298</v>
      </c>
      <c r="H144" s="10" t="s">
        <v>138</v>
      </c>
      <c r="I144" s="10"/>
      <c r="J144" s="9">
        <f>IF(L144&lt;&gt;"", INDEX('Processed Non-zero TRI Data'!$G:$G, MATCH(L144, 'Processed Non-zero TRI Data'!$I:$I,0)), INDEX('Processed Non-zero DMR Data'!$F:$F, MATCH(M144,'Processed Non-zero DMR Data'!$I:$I, 0)))</f>
        <v>37.608496000000002</v>
      </c>
      <c r="K144" s="9">
        <f>IF(L144&lt;&gt;"", INDEX('Processed Non-zero TRI Data'!$H:$H, MATCH(L144, 'Processed Non-zero TRI Data'!$I:$I,0)), INDEX('Processed Non-zero DMR Data'!$G:$G, MATCH(M144,'Processed Non-zero DMR Data'!$I:$I, 0)))</f>
        <v>-84.287074000000004</v>
      </c>
      <c r="L144" s="10"/>
      <c r="M144" s="259">
        <v>110040000398</v>
      </c>
      <c r="N144" s="9">
        <f>IF(L144&lt;&gt;"",INDEX('Processed Non-zero TRI Data'!L:L,MATCH('Facility Summary_Water'!L144,'Processed Non-zero TRI Data'!I:I,0)),INDEX('Processed Non-zero DMR Data'!$L:$L,MATCH('Facility Summary_Water'!M144,'Processed Non-zero DMR Data'!$I:$I,0)))</f>
        <v>221320</v>
      </c>
      <c r="O144" s="10" t="str">
        <f>INDEX('2017 - 2022 NAICS'!D:D,MATCH('Facility Summary_Water'!N144,'2017 - 2022 NAICS'!C:C,0))</f>
        <v>Sewage Treatment Facilities</v>
      </c>
      <c r="P144" s="10" t="str">
        <f>IFERROR(VLOOKUP(L144, 'Processed Non-zero TRI Data'!I:Q, 8, 0), "Direct")</f>
        <v>Direct</v>
      </c>
      <c r="Q144" s="10" t="e">
        <f>VLOOKUP(R144,#REF!, 2, FALSE)</f>
        <v>#REF!</v>
      </c>
      <c r="R144" s="10" t="str">
        <f>INDEX('Facility Discharge Summary'!D:D, MATCH('Facility Summary_Water'!M144, 'Facility Discharge Summary'!J:J,0))</f>
        <v>Waste Handling, Disposal and Treatment (POTW)</v>
      </c>
      <c r="S144" s="10" t="str">
        <f>INDEX('Processed Non-zero DMR Data'!T:T, MATCH('Facility Summary_Water'!M144, 'Processed Non-zero DMR Data'!I:I,0))</f>
        <v>POTW indicator in DMR</v>
      </c>
      <c r="T144" s="10" t="s">
        <v>72</v>
      </c>
      <c r="U144" s="9">
        <f>INDEX('TRI and DMR OES Summary'!D:D, MATCH('Facility Summary_Water'!R144,'TRI and DMR OES Summary'!A:A,0))</f>
        <v>365</v>
      </c>
      <c r="V144" s="258">
        <f>INDEX('Facility Discharge Summary'!AR:AR,MATCH('Facility Summary_Water'!M144,'Facility Discharge Summary'!J:J,0))</f>
        <v>0</v>
      </c>
      <c r="W144" s="258">
        <f>INDEX('Facility Discharge Summary'!T:T,MATCH('Facility Summary_Water'!M144,'Facility Discharge Summary'!J:J,0))</f>
        <v>2.8480137874999998</v>
      </c>
    </row>
    <row r="145" spans="1:23" x14ac:dyDescent="0.25">
      <c r="A145" s="9">
        <v>144</v>
      </c>
      <c r="B145" s="10" t="str">
        <f>IF(COUNTIF('Processed Non-zero TRI Data'!J:J,'Facility Summary_Water'!M145)&gt;0, "TRI Form " &amp; INDEX('Processed Non-zero TRI Data'!K:K,MATCH('Facility Summary_Water'!M145,'Processed Non-zero TRI Data'!J:J,0)), "" )</f>
        <v/>
      </c>
      <c r="C145" s="10" t="str">
        <f>IF(COUNTIF('Processed Non-zero DMR Data'!I:I, 'Facility Summary_Water'!M145)&gt;0, "DMR", "")</f>
        <v>DMR</v>
      </c>
      <c r="D145" s="10"/>
      <c r="E145" s="10" t="s">
        <v>408</v>
      </c>
      <c r="F145" s="10"/>
      <c r="G145" s="10" t="s">
        <v>409</v>
      </c>
      <c r="H145" s="10" t="s">
        <v>138</v>
      </c>
      <c r="I145" s="10"/>
      <c r="J145" s="9">
        <f>IF(L145&lt;&gt;"", INDEX('Processed Non-zero TRI Data'!$G:$G, MATCH(L145, 'Processed Non-zero TRI Data'!$I:$I,0)), INDEX('Processed Non-zero DMR Data'!$F:$F, MATCH(M145,'Processed Non-zero DMR Data'!$I:$I, 0)))</f>
        <v>38.417499999999997</v>
      </c>
      <c r="K145" s="9">
        <f>IF(L145&lt;&gt;"", INDEX('Processed Non-zero TRI Data'!$H:$H, MATCH(L145, 'Processed Non-zero TRI Data'!$I:$I,0)), INDEX('Processed Non-zero DMR Data'!$G:$G, MATCH(M145,'Processed Non-zero DMR Data'!$I:$I, 0)))</f>
        <v>-85.611109999999996</v>
      </c>
      <c r="L145" s="10"/>
      <c r="M145" s="259">
        <v>110022905588</v>
      </c>
      <c r="N145" s="9">
        <f>IF(L145&lt;&gt;"",INDEX('Processed Non-zero TRI Data'!L:L,MATCH('Facility Summary_Water'!L145,'Processed Non-zero TRI Data'!I:I,0)),INDEX('Processed Non-zero DMR Data'!$L:$L,MATCH('Facility Summary_Water'!M145,'Processed Non-zero DMR Data'!$I:$I,0)))</f>
        <v>221320</v>
      </c>
      <c r="O145" s="10" t="str">
        <f>INDEX('2017 - 2022 NAICS'!D:D,MATCH('Facility Summary_Water'!N145,'2017 - 2022 NAICS'!C:C,0))</f>
        <v>Sewage Treatment Facilities</v>
      </c>
      <c r="P145" s="10" t="str">
        <f>IFERROR(VLOOKUP(L145, 'Processed Non-zero TRI Data'!I:Q, 8, 0), "Direct")</f>
        <v>Direct</v>
      </c>
      <c r="Q145" s="10" t="e">
        <f>VLOOKUP(R145,#REF!, 2, FALSE)</f>
        <v>#REF!</v>
      </c>
      <c r="R145" s="10" t="str">
        <f>INDEX('Facility Discharge Summary'!D:D, MATCH('Facility Summary_Water'!M145, 'Facility Discharge Summary'!J:J,0))</f>
        <v>Waste Handling, Disposal and Treatment (POTW)</v>
      </c>
      <c r="S145" s="10" t="str">
        <f>INDEX('Processed Non-zero DMR Data'!T:T, MATCH('Facility Summary_Water'!M145, 'Processed Non-zero DMR Data'!I:I,0))</f>
        <v>POTW indicator in DMR</v>
      </c>
      <c r="T145" s="10" t="s">
        <v>72</v>
      </c>
      <c r="U145" s="9">
        <f>INDEX('TRI and DMR OES Summary'!D:D, MATCH('Facility Summary_Water'!R145,'TRI and DMR OES Summary'!A:A,0))</f>
        <v>365</v>
      </c>
      <c r="V145" s="258">
        <f>INDEX('Facility Discharge Summary'!AR:AR,MATCH('Facility Summary_Water'!M145,'Facility Discharge Summary'!J:J,0))</f>
        <v>0</v>
      </c>
      <c r="W145" s="258">
        <f>INDEX('Facility Discharge Summary'!T:T,MATCH('Facility Summary_Water'!M145,'Facility Discharge Summary'!J:J,0))</f>
        <v>2.756142375</v>
      </c>
    </row>
    <row r="146" spans="1:23" ht="45" x14ac:dyDescent="0.25">
      <c r="A146" s="9">
        <v>145</v>
      </c>
      <c r="B146" s="10" t="str">
        <f>IF(COUNTIF('Processed Non-zero TRI Data'!J:J,'Facility Summary_Water'!M146)&gt;0, "TRI Form " &amp; INDEX('Processed Non-zero TRI Data'!K:K,MATCH('Facility Summary_Water'!M146,'Processed Non-zero TRI Data'!J:J,0)), "" )</f>
        <v/>
      </c>
      <c r="C146" s="10" t="str">
        <f>IF(COUNTIF('Processed Non-zero DMR Data'!I:I, 'Facility Summary_Water'!M146)&gt;0, "DMR", "")</f>
        <v>DMR</v>
      </c>
      <c r="D146" s="10"/>
      <c r="E146" s="10" t="s">
        <v>410</v>
      </c>
      <c r="F146" s="10"/>
      <c r="G146" s="10" t="s">
        <v>372</v>
      </c>
      <c r="H146" s="10" t="s">
        <v>114</v>
      </c>
      <c r="I146" s="10"/>
      <c r="J146" s="9">
        <f>IF(L146&lt;&gt;"", INDEX('Processed Non-zero TRI Data'!$G:$G, MATCH(L146, 'Processed Non-zero TRI Data'!$I:$I,0)), INDEX('Processed Non-zero DMR Data'!$F:$F, MATCH(M146,'Processed Non-zero DMR Data'!$I:$I, 0)))</f>
        <v>29.704027</v>
      </c>
      <c r="K146" s="9">
        <f>IF(L146&lt;&gt;"", INDEX('Processed Non-zero TRI Data'!$H:$H, MATCH(L146, 'Processed Non-zero TRI Data'!$I:$I,0)), INDEX('Processed Non-zero DMR Data'!$G:$G, MATCH(M146,'Processed Non-zero DMR Data'!$I:$I, 0)))</f>
        <v>-95.079931999999999</v>
      </c>
      <c r="L146" s="10"/>
      <c r="M146" s="259">
        <v>110000463631</v>
      </c>
      <c r="N146" s="9">
        <f>IF(L146&lt;&gt;"",INDEX('Processed Non-zero TRI Data'!L:L,MATCH('Facility Summary_Water'!L146,'Processed Non-zero TRI Data'!I:I,0)),INDEX('Processed Non-zero DMR Data'!$L:$L,MATCH('Facility Summary_Water'!M146,'Processed Non-zero DMR Data'!$I:$I,0)))</f>
        <v>325211</v>
      </c>
      <c r="O146" s="10" t="str">
        <f>INDEX('2017 - 2022 NAICS'!D:D,MATCH('Facility Summary_Water'!N146,'2017 - 2022 NAICS'!C:C,0))</f>
        <v>Plastics Material and Resin Manufacturing</v>
      </c>
      <c r="P146" s="10" t="str">
        <f>IFERROR(VLOOKUP(L146, 'Processed Non-zero TRI Data'!I:Q, 8, 0), "Direct")</f>
        <v>Direct</v>
      </c>
      <c r="Q146" s="10" t="e">
        <f>VLOOKUP(R146,#REF!, 2, FALSE)</f>
        <v>#REF!</v>
      </c>
      <c r="R146" s="10" t="str">
        <f>INDEX('Facility Discharge Summary'!D:D, MATCH('Facility Summary_Water'!M146, 'Facility Discharge Summary'!J:J,0))</f>
        <v>Impurity in Plastics</v>
      </c>
      <c r="S146" s="10" t="str">
        <f>INDEX('Processed Non-zero DMR Data'!T:T, MATCH('Facility Summary_Water'!M146, 'Processed Non-zero DMR Data'!I:I,0))</f>
        <v>Plastics SIC/NAICS - EPA-HQ-OPPT-2018-0428-0011 indicates 1,2-dichloropropane can be a residual/byproduct in PVC plastics or a flame retardant plasticizer.</v>
      </c>
      <c r="T146" s="10" t="s">
        <v>72</v>
      </c>
      <c r="U146" s="9">
        <f>INDEX('TRI and DMR OES Summary'!D:D, MATCH('Facility Summary_Water'!R146,'TRI and DMR OES Summary'!A:A,0))</f>
        <v>350</v>
      </c>
      <c r="V146" s="258">
        <f>INDEX('Facility Discharge Summary'!AR:AR,MATCH('Facility Summary_Water'!M146,'Facility Discharge Summary'!J:J,0))</f>
        <v>0</v>
      </c>
      <c r="W146" s="258">
        <f>INDEX('Facility Discharge Summary'!T:T,MATCH('Facility Summary_Water'!M146,'Facility Discharge Summary'!J:J,0))</f>
        <v>9.6111799999999997E-2</v>
      </c>
    </row>
    <row r="147" spans="1:23" ht="30" x14ac:dyDescent="0.25">
      <c r="A147" s="9">
        <v>146</v>
      </c>
      <c r="B147" s="10" t="str">
        <f>IF(COUNTIF('Processed Non-zero TRI Data'!J:J,'Facility Summary_Water'!M147)&gt;0, "TRI Form " &amp; INDEX('Processed Non-zero TRI Data'!K:K,MATCH('Facility Summary_Water'!M147,'Processed Non-zero TRI Data'!J:J,0)), "" )</f>
        <v/>
      </c>
      <c r="C147" s="10" t="str">
        <f>IF(COUNTIF('Processed Non-zero DMR Data'!I:I, 'Facility Summary_Water'!M147)&gt;0, "DMR", "")</f>
        <v>DMR</v>
      </c>
      <c r="D147" s="10"/>
      <c r="E147" s="10" t="s">
        <v>411</v>
      </c>
      <c r="F147" s="10"/>
      <c r="G147" s="10" t="s">
        <v>412</v>
      </c>
      <c r="H147" s="10" t="s">
        <v>186</v>
      </c>
      <c r="I147" s="10"/>
      <c r="J147" s="9">
        <f>IF(L147&lt;&gt;"", INDEX('Processed Non-zero TRI Data'!$G:$G, MATCH(L147, 'Processed Non-zero TRI Data'!$I:$I,0)), INDEX('Processed Non-zero DMR Data'!$F:$F, MATCH(M147,'Processed Non-zero DMR Data'!$I:$I, 0)))</f>
        <v>21.348493999999999</v>
      </c>
      <c r="K147" s="9">
        <f>IF(L147&lt;&gt;"", INDEX('Processed Non-zero TRI Data'!$H:$H, MATCH(L147, 'Processed Non-zero TRI Data'!$I:$I,0)), INDEX('Processed Non-zero DMR Data'!$G:$G, MATCH(M147,'Processed Non-zero DMR Data'!$I:$I, 0)))</f>
        <v>-157.94398899999999</v>
      </c>
      <c r="L147" s="10"/>
      <c r="M147" s="259">
        <v>110022302417</v>
      </c>
      <c r="N147" s="9">
        <f>IF(L147&lt;&gt;"",INDEX('Processed Non-zero TRI Data'!L:L,MATCH('Facility Summary_Water'!L147,'Processed Non-zero TRI Data'!I:I,0)),INDEX('Processed Non-zero DMR Data'!$L:$L,MATCH('Facility Summary_Water'!M147,'Processed Non-zero DMR Data'!$I:$I,0)))</f>
        <v>221320</v>
      </c>
      <c r="O147" s="10" t="str">
        <f>INDEX('2017 - 2022 NAICS'!D:D,MATCH('Facility Summary_Water'!N147,'2017 - 2022 NAICS'!C:C,0))</f>
        <v>Sewage Treatment Facilities</v>
      </c>
      <c r="P147" s="10" t="str">
        <f>IFERROR(VLOOKUP(L147, 'Processed Non-zero TRI Data'!I:Q, 8, 0), "Direct")</f>
        <v>Direct</v>
      </c>
      <c r="Q147" s="10" t="e">
        <f>VLOOKUP(R147,#REF!, 2, FALSE)</f>
        <v>#REF!</v>
      </c>
      <c r="R147" s="10" t="str">
        <f>INDEX('Facility Discharge Summary'!D:D, MATCH('Facility Summary_Water'!M147, 'Facility Discharge Summary'!J:J,0))</f>
        <v>Waste Handling, Disposal and Treatment (non-POTW WWT)</v>
      </c>
      <c r="S147" s="10" t="str">
        <f>INDEX('Processed Non-zero DMR Data'!T:T, MATCH('Facility Summary_Water'!M147, 'Processed Non-zero DMR Data'!I:I,0))</f>
        <v>WWT (consistent with 1,1-DCA); per facility type flag, this is a federal establishment so classified as non-POTW WWT.</v>
      </c>
      <c r="T147" s="10" t="s">
        <v>72</v>
      </c>
      <c r="U147" s="9">
        <f>INDEX('TRI and DMR OES Summary'!D:D, MATCH('Facility Summary_Water'!R147,'TRI and DMR OES Summary'!A:A,0))</f>
        <v>250</v>
      </c>
      <c r="V147" s="258">
        <f>INDEX('Facility Discharge Summary'!AR:AR,MATCH('Facility Summary_Water'!M147,'Facility Discharge Summary'!J:J,0))</f>
        <v>0</v>
      </c>
      <c r="W147" s="258">
        <f>INDEX('Facility Discharge Summary'!T:T,MATCH('Facility Summary_Water'!M147,'Facility Discharge Summary'!J:J,0))</f>
        <v>3.8682699999999999</v>
      </c>
    </row>
    <row r="148" spans="1:23" x14ac:dyDescent="0.25">
      <c r="A148" s="9">
        <v>147</v>
      </c>
      <c r="B148" s="10" t="str">
        <f>IF(COUNTIF('Processed Non-zero TRI Data'!J:J,'Facility Summary_Water'!M148)&gt;0, "TRI Form " &amp; INDEX('Processed Non-zero TRI Data'!K:K,MATCH('Facility Summary_Water'!M148,'Processed Non-zero TRI Data'!J:J,0)), "" )</f>
        <v/>
      </c>
      <c r="C148" s="10" t="str">
        <f>IF(COUNTIF('Processed Non-zero DMR Data'!I:I, 'Facility Summary_Water'!M148)&gt;0, "DMR", "")</f>
        <v>DMR</v>
      </c>
      <c r="D148" s="10"/>
      <c r="E148" s="10" t="s">
        <v>413</v>
      </c>
      <c r="F148" s="10"/>
      <c r="G148" s="10" t="s">
        <v>414</v>
      </c>
      <c r="H148" s="10" t="s">
        <v>138</v>
      </c>
      <c r="I148" s="10"/>
      <c r="J148" s="9">
        <f>IF(L148&lt;&gt;"", INDEX('Processed Non-zero TRI Data'!$G:$G, MATCH(L148, 'Processed Non-zero TRI Data'!$I:$I,0)), INDEX('Processed Non-zero DMR Data'!$F:$F, MATCH(M148,'Processed Non-zero DMR Data'!$I:$I, 0)))</f>
        <v>39.00703</v>
      </c>
      <c r="K148" s="9">
        <f>IF(L148&lt;&gt;"", INDEX('Processed Non-zero TRI Data'!$H:$H, MATCH(L148, 'Processed Non-zero TRI Data'!$I:$I,0)), INDEX('Processed Non-zero DMR Data'!$G:$G, MATCH(M148,'Processed Non-zero DMR Data'!$I:$I, 0)))</f>
        <v>-84.841210000000004</v>
      </c>
      <c r="L148" s="10"/>
      <c r="M148" s="259">
        <v>110055043705</v>
      </c>
      <c r="N148" s="9">
        <f>IF(L148&lt;&gt;"",INDEX('Processed Non-zero TRI Data'!L:L,MATCH('Facility Summary_Water'!L148,'Processed Non-zero TRI Data'!I:I,0)),INDEX('Processed Non-zero DMR Data'!$L:$L,MATCH('Facility Summary_Water'!M148,'Processed Non-zero DMR Data'!$I:$I,0)))</f>
        <v>221320</v>
      </c>
      <c r="O148" s="10" t="str">
        <f>INDEX('2017 - 2022 NAICS'!D:D,MATCH('Facility Summary_Water'!N148,'2017 - 2022 NAICS'!C:C,0))</f>
        <v>Sewage Treatment Facilities</v>
      </c>
      <c r="P148" s="10" t="str">
        <f>IFERROR(VLOOKUP(L148, 'Processed Non-zero TRI Data'!I:Q, 8, 0), "Direct")</f>
        <v>Direct</v>
      </c>
      <c r="Q148" s="10" t="e">
        <f>VLOOKUP(R148,#REF!, 2, FALSE)</f>
        <v>#REF!</v>
      </c>
      <c r="R148" s="10" t="str">
        <f>INDEX('Facility Discharge Summary'!D:D, MATCH('Facility Summary_Water'!M148, 'Facility Discharge Summary'!J:J,0))</f>
        <v>Waste Handling, Disposal and Treatment (POTW)</v>
      </c>
      <c r="S148" s="10" t="str">
        <f>INDEX('Processed Non-zero DMR Data'!T:T, MATCH('Facility Summary_Water'!M148, 'Processed Non-zero DMR Data'!I:I,0))</f>
        <v>POTW indicator in DMR</v>
      </c>
      <c r="T148" s="10" t="s">
        <v>72</v>
      </c>
      <c r="U148" s="9">
        <f>INDEX('TRI and DMR OES Summary'!D:D, MATCH('Facility Summary_Water'!R148,'TRI and DMR OES Summary'!A:A,0))</f>
        <v>365</v>
      </c>
      <c r="V148" s="258">
        <f>INDEX('Facility Discharge Summary'!AR:AR,MATCH('Facility Summary_Water'!M148,'Facility Discharge Summary'!J:J,0))</f>
        <v>0</v>
      </c>
      <c r="W148" s="258">
        <f>INDEX('Facility Discharge Summary'!T:T,MATCH('Facility Summary_Water'!M148,'Facility Discharge Summary'!J:J,0))</f>
        <v>5.7747744999999996E-3</v>
      </c>
    </row>
    <row r="149" spans="1:23" ht="30" x14ac:dyDescent="0.25">
      <c r="A149" s="9">
        <v>148</v>
      </c>
      <c r="B149" s="10" t="str">
        <f>IF(COUNTIF('Processed Non-zero TRI Data'!J:J,'Facility Summary_Water'!M149)&gt;0, "TRI Form " &amp; INDEX('Processed Non-zero TRI Data'!K:K,MATCH('Facility Summary_Water'!M149,'Processed Non-zero TRI Data'!J:J,0)), "" )</f>
        <v/>
      </c>
      <c r="C149" s="10" t="str">
        <f>IF(COUNTIF('Processed Non-zero DMR Data'!I:I, 'Facility Summary_Water'!M149)&gt;0, "DMR", "")</f>
        <v>DMR</v>
      </c>
      <c r="D149" s="10"/>
      <c r="E149" s="10" t="s">
        <v>415</v>
      </c>
      <c r="F149" s="10"/>
      <c r="G149" s="10" t="s">
        <v>157</v>
      </c>
      <c r="H149" s="10" t="s">
        <v>158</v>
      </c>
      <c r="I149" s="10"/>
      <c r="J149" s="9">
        <f>IF(L149&lt;&gt;"", INDEX('Processed Non-zero TRI Data'!$G:$G, MATCH(L149, 'Processed Non-zero TRI Data'!$I:$I,0)), INDEX('Processed Non-zero DMR Data'!$F:$F, MATCH(M149,'Processed Non-zero DMR Data'!$I:$I, 0)))</f>
        <v>36.131489999999999</v>
      </c>
      <c r="K149" s="9">
        <f>IF(L149&lt;&gt;"", INDEX('Processed Non-zero TRI Data'!$H:$H, MATCH(L149, 'Processed Non-zero TRI Data'!$I:$I,0)), INDEX('Processed Non-zero DMR Data'!$G:$G, MATCH(M149,'Processed Non-zero DMR Data'!$I:$I, 0)))</f>
        <v>-115.15483</v>
      </c>
      <c r="L149" s="10"/>
      <c r="M149" s="259">
        <v>110059844156</v>
      </c>
      <c r="N149" s="9">
        <f>IF(L149&lt;&gt;"",INDEX('Processed Non-zero TRI Data'!L:L,MATCH('Facility Summary_Water'!L149,'Processed Non-zero TRI Data'!I:I,0)),INDEX('Processed Non-zero DMR Data'!$L:$L,MATCH('Facility Summary_Water'!M149,'Processed Non-zero DMR Data'!$I:$I,0)))</f>
        <v>236220</v>
      </c>
      <c r="O149" s="10" t="str">
        <f>INDEX('2017 - 2022 NAICS'!D:D,MATCH('Facility Summary_Water'!N149,'2017 - 2022 NAICS'!C:C,0))</f>
        <v>Commercial and Institutional Building Construction</v>
      </c>
      <c r="P149" s="10" t="str">
        <f>IFERROR(VLOOKUP(L149, 'Processed Non-zero TRI Data'!I:Q, 8, 0), "Direct")</f>
        <v>Direct</v>
      </c>
      <c r="Q149" s="10" t="e">
        <f>VLOOKUP(R149,#REF!, 2, FALSE)</f>
        <v>#REF!</v>
      </c>
      <c r="R149" s="10" t="str">
        <f>INDEX('Facility Discharge Summary'!D:D, MATCH('Facility Summary_Water'!M149, 'Facility Discharge Summary'!J:J,0))</f>
        <v>Waste Handling, Disposal and Treatment (Remediation)</v>
      </c>
      <c r="S149" s="10" t="str">
        <f>INDEX('Processed Non-zero DMR Data'!T:T, MATCH('Facility Summary_Water'!M149, 'Processed Non-zero DMR Data'!I:I,0))</f>
        <v>Site name indicates remediation</v>
      </c>
      <c r="T149" s="10" t="s">
        <v>72</v>
      </c>
      <c r="U149" s="9">
        <f>INDEX('TRI and DMR OES Summary'!D:D, MATCH('Facility Summary_Water'!R149,'TRI and DMR OES Summary'!A:A,0))</f>
        <v>250</v>
      </c>
      <c r="V149" s="258">
        <f>INDEX('Facility Discharge Summary'!AR:AR,MATCH('Facility Summary_Water'!M149,'Facility Discharge Summary'!J:J,0))</f>
        <v>0</v>
      </c>
      <c r="W149" s="258">
        <f>INDEX('Facility Discharge Summary'!T:T,MATCH('Facility Summary_Water'!M149,'Facility Discharge Summary'!J:J,0))</f>
        <v>4.5219040156250001E-2</v>
      </c>
    </row>
    <row r="150" spans="1:23" x14ac:dyDescent="0.25">
      <c r="A150" s="9">
        <v>149</v>
      </c>
      <c r="B150" s="10" t="str">
        <f>IF(COUNTIF('Processed Non-zero TRI Data'!J:J,'Facility Summary_Water'!M150)&gt;0, "TRI Form " &amp; INDEX('Processed Non-zero TRI Data'!K:K,MATCH('Facility Summary_Water'!M150,'Processed Non-zero TRI Data'!J:J,0)), "" )</f>
        <v/>
      </c>
      <c r="C150" s="10" t="str">
        <f>IF(COUNTIF('Processed Non-zero DMR Data'!I:I, 'Facility Summary_Water'!M150)&gt;0, "DMR", "")</f>
        <v>DMR</v>
      </c>
      <c r="D150" s="10"/>
      <c r="E150" s="10" t="s">
        <v>416</v>
      </c>
      <c r="F150" s="10"/>
      <c r="G150" s="10" t="s">
        <v>417</v>
      </c>
      <c r="H150" s="10" t="s">
        <v>146</v>
      </c>
      <c r="I150" s="10"/>
      <c r="J150" s="9">
        <f>IF(L150&lt;&gt;"", INDEX('Processed Non-zero TRI Data'!$G:$G, MATCH(L150, 'Processed Non-zero TRI Data'!$I:$I,0)), INDEX('Processed Non-zero DMR Data'!$F:$F, MATCH(M150,'Processed Non-zero DMR Data'!$I:$I, 0)))</f>
        <v>33.926245999999999</v>
      </c>
      <c r="K150" s="9">
        <f>IF(L150&lt;&gt;"", INDEX('Processed Non-zero TRI Data'!$H:$H, MATCH(L150, 'Processed Non-zero TRI Data'!$I:$I,0)), INDEX('Processed Non-zero DMR Data'!$G:$G, MATCH(M150,'Processed Non-zero DMR Data'!$I:$I, 0)))</f>
        <v>-116.992552</v>
      </c>
      <c r="L150" s="10"/>
      <c r="M150" s="259">
        <v>110055992993</v>
      </c>
      <c r="N150" s="9">
        <f>IF(L150&lt;&gt;"",INDEX('Processed Non-zero TRI Data'!L:L,MATCH('Facility Summary_Water'!L150,'Processed Non-zero TRI Data'!I:I,0)),INDEX('Processed Non-zero DMR Data'!$L:$L,MATCH('Facility Summary_Water'!M150,'Processed Non-zero DMR Data'!$I:$I,0)))</f>
        <v>221320</v>
      </c>
      <c r="O150" s="10" t="str">
        <f>INDEX('2017 - 2022 NAICS'!D:D,MATCH('Facility Summary_Water'!N150,'2017 - 2022 NAICS'!C:C,0))</f>
        <v>Sewage Treatment Facilities</v>
      </c>
      <c r="P150" s="10" t="str">
        <f>IFERROR(VLOOKUP(L150, 'Processed Non-zero TRI Data'!I:Q, 8, 0), "Direct")</f>
        <v>Direct</v>
      </c>
      <c r="Q150" s="10" t="e">
        <f>VLOOKUP(R150,#REF!, 2, FALSE)</f>
        <v>#REF!</v>
      </c>
      <c r="R150" s="10" t="str">
        <f>INDEX('Facility Discharge Summary'!D:D, MATCH('Facility Summary_Water'!M150, 'Facility Discharge Summary'!J:J,0))</f>
        <v>Waste Handling, Disposal and Treatment (POTW)</v>
      </c>
      <c r="S150" s="10" t="str">
        <f>INDEX('Processed Non-zero DMR Data'!T:T, MATCH('Facility Summary_Water'!M150, 'Processed Non-zero DMR Data'!I:I,0))</f>
        <v>POTW indicator in DMR</v>
      </c>
      <c r="T150" s="10" t="s">
        <v>72</v>
      </c>
      <c r="U150" s="9">
        <f>INDEX('TRI and DMR OES Summary'!D:D, MATCH('Facility Summary_Water'!R150,'TRI and DMR OES Summary'!A:A,0))</f>
        <v>365</v>
      </c>
      <c r="V150" s="258">
        <f>INDEX('Facility Discharge Summary'!AR:AR,MATCH('Facility Summary_Water'!M150,'Facility Discharge Summary'!J:J,0))</f>
        <v>0</v>
      </c>
      <c r="W150" s="258">
        <f>INDEX('Facility Discharge Summary'!T:T,MATCH('Facility Summary_Water'!M150,'Facility Discharge Summary'!J:J,0))</f>
        <v>1.178440825</v>
      </c>
    </row>
    <row r="151" spans="1:23" ht="30" x14ac:dyDescent="0.25">
      <c r="A151" s="9">
        <v>150</v>
      </c>
      <c r="B151" s="10" t="str">
        <f>IF(COUNTIF('Processed Non-zero TRI Data'!J:J,'Facility Summary_Water'!M151)&gt;0, "TRI Form " &amp; INDEX('Processed Non-zero TRI Data'!K:K,MATCH('Facility Summary_Water'!M151,'Processed Non-zero TRI Data'!J:J,0)), "" )</f>
        <v/>
      </c>
      <c r="C151" s="10" t="str">
        <f>IF(COUNTIF('Processed Non-zero DMR Data'!I:I, 'Facility Summary_Water'!M151)&gt;0, "DMR", "")</f>
        <v>DMR</v>
      </c>
      <c r="D151" s="10"/>
      <c r="E151" s="10" t="s">
        <v>418</v>
      </c>
      <c r="F151" s="10"/>
      <c r="G151" s="10" t="s">
        <v>313</v>
      </c>
      <c r="H151" s="10" t="s">
        <v>114</v>
      </c>
      <c r="I151" s="10"/>
      <c r="J151" s="9">
        <f>IF(L151&lt;&gt;"", INDEX('Processed Non-zero TRI Data'!$G:$G, MATCH(L151, 'Processed Non-zero TRI Data'!$I:$I,0)), INDEX('Processed Non-zero DMR Data'!$F:$F, MATCH(M151,'Processed Non-zero DMR Data'!$I:$I, 0)))</f>
        <v>29.75487</v>
      </c>
      <c r="K151" s="9">
        <f>IF(L151&lt;&gt;"", INDEX('Processed Non-zero TRI Data'!$H:$H, MATCH(L151, 'Processed Non-zero TRI Data'!$I:$I,0)), INDEX('Processed Non-zero DMR Data'!$G:$G, MATCH(M151,'Processed Non-zero DMR Data'!$I:$I, 0)))</f>
        <v>-95.103269999999995</v>
      </c>
      <c r="L151" s="10"/>
      <c r="M151" s="259">
        <v>110000460983</v>
      </c>
      <c r="N151" s="9">
        <f>IF(L151&lt;&gt;"",INDEX('Processed Non-zero TRI Data'!L:L,MATCH('Facility Summary_Water'!L151,'Processed Non-zero TRI Data'!I:I,0)),INDEX('Processed Non-zero DMR Data'!$L:$L,MATCH('Facility Summary_Water'!M151,'Processed Non-zero DMR Data'!$I:$I,0)))</f>
        <v>325110</v>
      </c>
      <c r="O151" s="10" t="str">
        <f>INDEX('2017 - 2022 NAICS'!D:D,MATCH('Facility Summary_Water'!N151,'2017 - 2022 NAICS'!C:C,0))</f>
        <v>Petrochemical Manufacturing</v>
      </c>
      <c r="P151" s="10" t="str">
        <f>IFERROR(VLOOKUP(L151, 'Processed Non-zero TRI Data'!I:Q, 8, 0), "Direct")</f>
        <v>Direct</v>
      </c>
      <c r="Q151" s="10" t="e">
        <f>VLOOKUP(R151,#REF!, 2, FALSE)</f>
        <v>#REF!</v>
      </c>
      <c r="R151" s="10" t="str">
        <f>INDEX('Facility Discharge Summary'!D:D, MATCH('Facility Summary_Water'!M151, 'Facility Discharge Summary'!J:J,0))</f>
        <v>Processing as a reactant</v>
      </c>
      <c r="S151" s="10" t="str">
        <f>INDEX('Processed Non-zero DMR Data'!T:T, MATCH('Facility Summary_Water'!M151, 'Processed Non-zero DMR Data'!I:I,0))</f>
        <v>Assumed processing as a reactant based on SIC and NAICS; this also matches 1,1,-DCA mapping.</v>
      </c>
      <c r="T151" s="10" t="s">
        <v>72</v>
      </c>
      <c r="U151" s="9">
        <f>INDEX('TRI and DMR OES Summary'!D:D, MATCH('Facility Summary_Water'!R151,'TRI and DMR OES Summary'!A:A,0))</f>
        <v>350</v>
      </c>
      <c r="V151" s="258">
        <f>INDEX('Facility Discharge Summary'!AR:AR,MATCH('Facility Summary_Water'!M151,'Facility Discharge Summary'!J:J,0))</f>
        <v>0</v>
      </c>
      <c r="W151" s="258">
        <f>INDEX('Facility Discharge Summary'!T:T,MATCH('Facility Summary_Water'!M151,'Facility Discharge Summary'!J:J,0))</f>
        <v>0.37450460000000002</v>
      </c>
    </row>
    <row r="152" spans="1:23" ht="60" x14ac:dyDescent="0.25">
      <c r="A152" s="9">
        <v>151</v>
      </c>
      <c r="B152" s="10" t="str">
        <f>IF(COUNTIF('Processed Non-zero TRI Data'!J:J,'Facility Summary_Water'!M152)&gt;0, "TRI Form " &amp; INDEX('Processed Non-zero TRI Data'!K:K,MATCH('Facility Summary_Water'!M152,'Processed Non-zero TRI Data'!J:J,0)), "" )</f>
        <v/>
      </c>
      <c r="C152" s="10" t="str">
        <f>IF(COUNTIF('Processed Non-zero DMR Data'!I:I, 'Facility Summary_Water'!M152)&gt;0, "DMR", "")</f>
        <v>DMR</v>
      </c>
      <c r="D152" s="10"/>
      <c r="E152" s="10" t="s">
        <v>419</v>
      </c>
      <c r="F152" s="10"/>
      <c r="G152" s="10" t="s">
        <v>420</v>
      </c>
      <c r="H152" s="10" t="s">
        <v>153</v>
      </c>
      <c r="I152" s="10"/>
      <c r="J152" s="9">
        <f>IF(L152&lt;&gt;"", INDEX('Processed Non-zero TRI Data'!$G:$G, MATCH(L152, 'Processed Non-zero TRI Data'!$I:$I,0)), INDEX('Processed Non-zero DMR Data'!$F:$F, MATCH(M152,'Processed Non-zero DMR Data'!$I:$I, 0)))</f>
        <v>40.515906999999999</v>
      </c>
      <c r="K152" s="9">
        <f>IF(L152&lt;&gt;"", INDEX('Processed Non-zero TRI Data'!$H:$H, MATCH(L152, 'Processed Non-zero TRI Data'!$I:$I,0)), INDEX('Processed Non-zero DMR Data'!$G:$G, MATCH(M152,'Processed Non-zero DMR Data'!$I:$I, 0)))</f>
        <v>-74.325175999999999</v>
      </c>
      <c r="L152" s="10"/>
      <c r="M152" s="259">
        <v>110070215141</v>
      </c>
      <c r="N152" s="9" t="e">
        <f>IF(L152&lt;&gt;"",INDEX('Processed Non-zero TRI Data'!L:L,MATCH('Facility Summary_Water'!L152,'Processed Non-zero TRI Data'!I:I,0)),INDEX('Processed Non-zero DMR Data'!$L:$L,MATCH('Facility Summary_Water'!M152,'Processed Non-zero DMR Data'!$I:$I,0)))</f>
        <v>#N/A</v>
      </c>
      <c r="O152" s="10" t="e">
        <f>INDEX('2017 - 2022 NAICS'!D:D,MATCH('Facility Summary_Water'!N152,'2017 - 2022 NAICS'!C:C,0))</f>
        <v>#N/A</v>
      </c>
      <c r="P152" s="10" t="str">
        <f>IFERROR(VLOOKUP(L152, 'Processed Non-zero TRI Data'!I:Q, 8, 0), "Direct")</f>
        <v>Direct</v>
      </c>
      <c r="Q152" s="10" t="e">
        <f>VLOOKUP(R152,#REF!, 2, FALSE)</f>
        <v>#REF!</v>
      </c>
      <c r="R152" s="10" t="str">
        <f>INDEX('Facility Discharge Summary'!D:D, MATCH('Facility Summary_Water'!M152, 'Facility Discharge Summary'!J:J,0))</f>
        <v>Waste Handling, Disposal and Treatment (Remediation)</v>
      </c>
      <c r="S152" s="10" t="str">
        <f>INDEX('Processed Non-zero DMR Data'!T:T, MATCH('Facility Summary_Water'!M152, 'Processed Non-zero DMR Data'!I:I,0))</f>
        <v>Internet search indicates remediation (https://brownandcaldwell.com/project/fast-track-remediation-and-redevelopment-of-former-manufacturing-site/)</v>
      </c>
      <c r="T152" s="10" t="s">
        <v>72</v>
      </c>
      <c r="U152" s="9">
        <f>INDEX('TRI and DMR OES Summary'!D:D, MATCH('Facility Summary_Water'!R152,'TRI and DMR OES Summary'!A:A,0))</f>
        <v>250</v>
      </c>
      <c r="V152" s="258">
        <f>INDEX('Facility Discharge Summary'!AR:AR,MATCH('Facility Summary_Water'!M152,'Facility Discharge Summary'!J:J,0))</f>
        <v>0</v>
      </c>
      <c r="W152" s="258">
        <f>INDEX('Facility Discharge Summary'!T:T,MATCH('Facility Summary_Water'!M152,'Facility Discharge Summary'!J:J,0))</f>
        <v>7.2203965825000001E-3</v>
      </c>
    </row>
    <row r="153" spans="1:23" x14ac:dyDescent="0.25">
      <c r="A153" s="9">
        <v>152</v>
      </c>
      <c r="B153" s="10" t="str">
        <f>IF(COUNTIF('Processed Non-zero TRI Data'!J:J,'Facility Summary_Water'!M153)&gt;0, "TRI Form " &amp; INDEX('Processed Non-zero TRI Data'!K:K,MATCH('Facility Summary_Water'!M153,'Processed Non-zero TRI Data'!J:J,0)), "" )</f>
        <v/>
      </c>
      <c r="C153" s="10" t="str">
        <f>IF(COUNTIF('Processed Non-zero DMR Data'!I:I, 'Facility Summary_Water'!M153)&gt;0, "DMR", "")</f>
        <v>DMR</v>
      </c>
      <c r="D153" s="10"/>
      <c r="E153" s="10" t="s">
        <v>421</v>
      </c>
      <c r="F153" s="10"/>
      <c r="G153" s="10" t="s">
        <v>422</v>
      </c>
      <c r="H153" s="10" t="s">
        <v>138</v>
      </c>
      <c r="I153" s="10"/>
      <c r="J153" s="9">
        <f>IF(L153&lt;&gt;"", INDEX('Processed Non-zero TRI Data'!$G:$G, MATCH(L153, 'Processed Non-zero TRI Data'!$I:$I,0)), INDEX('Processed Non-zero DMR Data'!$F:$F, MATCH(M153,'Processed Non-zero DMR Data'!$I:$I, 0)))</f>
        <v>37.106380000000001</v>
      </c>
      <c r="K153" s="9">
        <f>IF(L153&lt;&gt;"", INDEX('Processed Non-zero TRI Data'!$H:$H, MATCH(L153, 'Processed Non-zero TRI Data'!$I:$I,0)), INDEX('Processed Non-zero DMR Data'!$G:$G, MATCH(M153,'Processed Non-zero DMR Data'!$I:$I, 0)))</f>
        <v>-84.066829999999996</v>
      </c>
      <c r="L153" s="10"/>
      <c r="M153" s="259">
        <v>110000557013</v>
      </c>
      <c r="N153" s="9">
        <f>IF(L153&lt;&gt;"",INDEX('Processed Non-zero TRI Data'!L:L,MATCH('Facility Summary_Water'!L153,'Processed Non-zero TRI Data'!I:I,0)),INDEX('Processed Non-zero DMR Data'!$L:$L,MATCH('Facility Summary_Water'!M153,'Processed Non-zero DMR Data'!$I:$I,0)))</f>
        <v>221320</v>
      </c>
      <c r="O153" s="10" t="str">
        <f>INDEX('2017 - 2022 NAICS'!D:D,MATCH('Facility Summary_Water'!N153,'2017 - 2022 NAICS'!C:C,0))</f>
        <v>Sewage Treatment Facilities</v>
      </c>
      <c r="P153" s="10" t="str">
        <f>IFERROR(VLOOKUP(L153, 'Processed Non-zero TRI Data'!I:Q, 8, 0), "Direct")</f>
        <v>Direct</v>
      </c>
      <c r="Q153" s="10" t="e">
        <f>VLOOKUP(R153,#REF!, 2, FALSE)</f>
        <v>#REF!</v>
      </c>
      <c r="R153" s="10" t="str">
        <f>INDEX('Facility Discharge Summary'!D:D, MATCH('Facility Summary_Water'!M153, 'Facility Discharge Summary'!J:J,0))</f>
        <v>Waste Handling, Disposal and Treatment (POTW)</v>
      </c>
      <c r="S153" s="10" t="str">
        <f>INDEX('Processed Non-zero DMR Data'!T:T, MATCH('Facility Summary_Water'!M153, 'Processed Non-zero DMR Data'!I:I,0))</f>
        <v>POTW indicator in DMR</v>
      </c>
      <c r="T153" s="10" t="s">
        <v>72</v>
      </c>
      <c r="U153" s="9">
        <f>INDEX('TRI and DMR OES Summary'!D:D, MATCH('Facility Summary_Water'!R153,'TRI and DMR OES Summary'!A:A,0))</f>
        <v>365</v>
      </c>
      <c r="V153" s="258">
        <f>INDEX('Facility Discharge Summary'!AR:AR,MATCH('Facility Summary_Water'!M153,'Facility Discharge Summary'!J:J,0))</f>
        <v>0</v>
      </c>
      <c r="W153" s="258">
        <f>INDEX('Facility Discharge Summary'!T:T,MATCH('Facility Summary_Water'!M153,'Facility Discharge Summary'!J:J,0))</f>
        <v>2.8348892999999999</v>
      </c>
    </row>
    <row r="154" spans="1:23" x14ac:dyDescent="0.25">
      <c r="A154" s="9">
        <v>153</v>
      </c>
      <c r="B154" s="10" t="str">
        <f>IF(COUNTIF('Processed Non-zero TRI Data'!J:J,'Facility Summary_Water'!M154)&gt;0, "TRI Form " &amp; INDEX('Processed Non-zero TRI Data'!K:K,MATCH('Facility Summary_Water'!M154,'Processed Non-zero TRI Data'!J:J,0)), "" )</f>
        <v/>
      </c>
      <c r="C154" s="10" t="str">
        <f>IF(COUNTIF('Processed Non-zero DMR Data'!I:I, 'Facility Summary_Water'!M154)&gt;0, "DMR", "")</f>
        <v>DMR</v>
      </c>
      <c r="D154" s="10"/>
      <c r="E154" s="10" t="s">
        <v>423</v>
      </c>
      <c r="F154" s="10"/>
      <c r="G154" s="10" t="s">
        <v>424</v>
      </c>
      <c r="H154" s="10" t="s">
        <v>186</v>
      </c>
      <c r="I154" s="10"/>
      <c r="J154" s="9">
        <f>IF(L154&lt;&gt;"", INDEX('Processed Non-zero TRI Data'!$G:$G, MATCH(L154, 'Processed Non-zero TRI Data'!$I:$I,0)), INDEX('Processed Non-zero DMR Data'!$F:$F, MATCH(M154,'Processed Non-zero DMR Data'!$I:$I, 0)))</f>
        <v>22.079093</v>
      </c>
      <c r="K154" s="9">
        <f>IF(L154&lt;&gt;"", INDEX('Processed Non-zero TRI Data'!$H:$H, MATCH(L154, 'Processed Non-zero TRI Data'!$I:$I,0)), INDEX('Processed Non-zero DMR Data'!$G:$G, MATCH(M154,'Processed Non-zero DMR Data'!$I:$I, 0)))</f>
        <v>-159.35138900000001</v>
      </c>
      <c r="L154" s="10"/>
      <c r="M154" s="259">
        <v>110010731262</v>
      </c>
      <c r="N154" s="9">
        <f>IF(L154&lt;&gt;"",INDEX('Processed Non-zero TRI Data'!L:L,MATCH('Facility Summary_Water'!L154,'Processed Non-zero TRI Data'!I:I,0)),INDEX('Processed Non-zero DMR Data'!$L:$L,MATCH('Facility Summary_Water'!M154,'Processed Non-zero DMR Data'!$I:$I,0)))</f>
        <v>221320</v>
      </c>
      <c r="O154" s="10" t="str">
        <f>INDEX('2017 - 2022 NAICS'!D:D,MATCH('Facility Summary_Water'!N154,'2017 - 2022 NAICS'!C:C,0))</f>
        <v>Sewage Treatment Facilities</v>
      </c>
      <c r="P154" s="10" t="str">
        <f>IFERROR(VLOOKUP(L154, 'Processed Non-zero TRI Data'!I:Q, 8, 0), "Direct")</f>
        <v>Direct</v>
      </c>
      <c r="Q154" s="10" t="e">
        <f>VLOOKUP(R154,#REF!, 2, FALSE)</f>
        <v>#REF!</v>
      </c>
      <c r="R154" s="10" t="str">
        <f>INDEX('Facility Discharge Summary'!D:D, MATCH('Facility Summary_Water'!M154, 'Facility Discharge Summary'!J:J,0))</f>
        <v>Waste Handling, Disposal and Treatment (POTW)</v>
      </c>
      <c r="S154" s="10" t="str">
        <f>INDEX('Processed Non-zero DMR Data'!T:T, MATCH('Facility Summary_Water'!M154, 'Processed Non-zero DMR Data'!I:I,0))</f>
        <v>POTW indicator in DMR</v>
      </c>
      <c r="T154" s="10" t="s">
        <v>72</v>
      </c>
      <c r="U154" s="9">
        <f>INDEX('TRI and DMR OES Summary'!D:D, MATCH('Facility Summary_Water'!R154,'TRI and DMR OES Summary'!A:A,0))</f>
        <v>365</v>
      </c>
      <c r="V154" s="258">
        <f>INDEX('Facility Discharge Summary'!AR:AR,MATCH('Facility Summary_Water'!M154,'Facility Discharge Summary'!J:J,0))</f>
        <v>0</v>
      </c>
      <c r="W154" s="258">
        <f>INDEX('Facility Discharge Summary'!T:T,MATCH('Facility Summary_Water'!M154,'Facility Discharge Summary'!J:J,0))</f>
        <v>0.21862633125</v>
      </c>
    </row>
    <row r="155" spans="1:23" ht="30" x14ac:dyDescent="0.25">
      <c r="A155" s="9">
        <v>154</v>
      </c>
      <c r="B155" s="10" t="str">
        <f>IF(COUNTIF('Processed Non-zero TRI Data'!J:J,'Facility Summary_Water'!M155)&gt;0, "TRI Form " &amp; INDEX('Processed Non-zero TRI Data'!K:K,MATCH('Facility Summary_Water'!M155,'Processed Non-zero TRI Data'!J:J,0)), "" )</f>
        <v/>
      </c>
      <c r="C155" s="10" t="str">
        <f>IF(COUNTIF('Processed Non-zero DMR Data'!I:I, 'Facility Summary_Water'!M155)&gt;0, "DMR", "")</f>
        <v>DMR</v>
      </c>
      <c r="D155" s="10"/>
      <c r="E155" s="10" t="s">
        <v>425</v>
      </c>
      <c r="F155" s="10"/>
      <c r="G155" s="10" t="s">
        <v>426</v>
      </c>
      <c r="H155" s="10" t="s">
        <v>170</v>
      </c>
      <c r="I155" s="10"/>
      <c r="J155" s="9">
        <f>IF(L155&lt;&gt;"", INDEX('Processed Non-zero TRI Data'!$G:$G, MATCH(L155, 'Processed Non-zero TRI Data'!$I:$I,0)), INDEX('Processed Non-zero DMR Data'!$F:$F, MATCH(M155,'Processed Non-zero DMR Data'!$I:$I, 0)))</f>
        <v>39.121471999999997</v>
      </c>
      <c r="K155" s="9">
        <f>IF(L155&lt;&gt;"", INDEX('Processed Non-zero TRI Data'!$H:$H, MATCH(L155, 'Processed Non-zero TRI Data'!$I:$I,0)), INDEX('Processed Non-zero DMR Data'!$G:$G, MATCH(M155,'Processed Non-zero DMR Data'!$I:$I, 0)))</f>
        <v>-94.473416999999998</v>
      </c>
      <c r="L155" s="10"/>
      <c r="M155" s="259">
        <v>110000443226</v>
      </c>
      <c r="N155" s="9">
        <f>IF(L155&lt;&gt;"",INDEX('Processed Non-zero TRI Data'!L:L,MATCH('Facility Summary_Water'!L155,'Processed Non-zero TRI Data'!I:I,0)),INDEX('Processed Non-zero DMR Data'!$L:$L,MATCH('Facility Summary_Water'!M155,'Processed Non-zero DMR Data'!$I:$I,0)))</f>
        <v>325320</v>
      </c>
      <c r="O155" s="10" t="str">
        <f>INDEX('2017 - 2022 NAICS'!D:D,MATCH('Facility Summary_Water'!N155,'2017 - 2022 NAICS'!C:C,0))</f>
        <v>Pesticide and Other Agricultural Chemical Manufacturing</v>
      </c>
      <c r="P155" s="10" t="str">
        <f>IFERROR(VLOOKUP(L155, 'Processed Non-zero TRI Data'!I:Q, 8, 0), "Direct")</f>
        <v>Direct</v>
      </c>
      <c r="Q155" s="10" t="e">
        <f>VLOOKUP(R155,#REF!, 2, FALSE)</f>
        <v>#REF!</v>
      </c>
      <c r="R155" s="10" t="str">
        <f>INDEX('Facility Discharge Summary'!D:D, MATCH('Facility Summary_Water'!M155, 'Facility Discharge Summary'!J:J,0))</f>
        <v>Processing as a reactant</v>
      </c>
      <c r="S155" s="10" t="str">
        <f>INDEX('Processed Non-zero DMR Data'!T:T, MATCH('Facility Summary_Water'!M155, 'Processed Non-zero DMR Data'!I:I,0))</f>
        <v>Facility produces agrochemicals.</v>
      </c>
      <c r="T155" s="10" t="s">
        <v>72</v>
      </c>
      <c r="U155" s="9">
        <f>INDEX('TRI and DMR OES Summary'!D:D, MATCH('Facility Summary_Water'!R155,'TRI and DMR OES Summary'!A:A,0))</f>
        <v>350</v>
      </c>
      <c r="V155" s="258">
        <f>INDEX('Facility Discharge Summary'!AR:AR,MATCH('Facility Summary_Water'!M155,'Facility Discharge Summary'!J:J,0))</f>
        <v>0</v>
      </c>
      <c r="W155" s="258">
        <f>INDEX('Facility Discharge Summary'!T:T,MATCH('Facility Summary_Water'!M155,'Facility Discharge Summary'!J:J,0))</f>
        <v>13.2568</v>
      </c>
    </row>
    <row r="156" spans="1:23" x14ac:dyDescent="0.25">
      <c r="A156" s="9">
        <v>155</v>
      </c>
      <c r="B156" s="10" t="str">
        <f>IF(COUNTIF('Processed Non-zero TRI Data'!J:J,'Facility Summary_Water'!M156)&gt;0, "TRI Form " &amp; INDEX('Processed Non-zero TRI Data'!K:K,MATCH('Facility Summary_Water'!M156,'Processed Non-zero TRI Data'!J:J,0)), "" )</f>
        <v/>
      </c>
      <c r="C156" s="10" t="str">
        <f>IF(COUNTIF('Processed Non-zero DMR Data'!I:I, 'Facility Summary_Water'!M156)&gt;0, "DMR", "")</f>
        <v>DMR</v>
      </c>
      <c r="D156" s="10"/>
      <c r="E156" s="10" t="s">
        <v>427</v>
      </c>
      <c r="F156" s="10"/>
      <c r="G156" s="10" t="s">
        <v>428</v>
      </c>
      <c r="H156" s="10" t="s">
        <v>138</v>
      </c>
      <c r="I156" s="10"/>
      <c r="J156" s="9">
        <f>IF(L156&lt;&gt;"", INDEX('Processed Non-zero TRI Data'!$G:$G, MATCH(L156, 'Processed Non-zero TRI Data'!$I:$I,0)), INDEX('Processed Non-zero DMR Data'!$F:$F, MATCH(M156,'Processed Non-zero DMR Data'!$I:$I, 0)))</f>
        <v>38.631208000000001</v>
      </c>
      <c r="K156" s="9">
        <f>IF(L156&lt;&gt;"", INDEX('Processed Non-zero TRI Data'!$H:$H, MATCH(L156, 'Processed Non-zero TRI Data'!$I:$I,0)), INDEX('Processed Non-zero DMR Data'!$G:$G, MATCH(M156,'Processed Non-zero DMR Data'!$I:$I, 0)))</f>
        <v>-84.618809999999996</v>
      </c>
      <c r="L156" s="10"/>
      <c r="M156" s="259">
        <v>110045091379</v>
      </c>
      <c r="N156" s="9">
        <f>IF(L156&lt;&gt;"",INDEX('Processed Non-zero TRI Data'!L:L,MATCH('Facility Summary_Water'!L156,'Processed Non-zero TRI Data'!I:I,0)),INDEX('Processed Non-zero DMR Data'!$L:$L,MATCH('Facility Summary_Water'!M156,'Processed Non-zero DMR Data'!$I:$I,0)))</f>
        <v>221320</v>
      </c>
      <c r="O156" s="10" t="str">
        <f>INDEX('2017 - 2022 NAICS'!D:D,MATCH('Facility Summary_Water'!N156,'2017 - 2022 NAICS'!C:C,0))</f>
        <v>Sewage Treatment Facilities</v>
      </c>
      <c r="P156" s="10" t="str">
        <f>IFERROR(VLOOKUP(L156, 'Processed Non-zero TRI Data'!I:Q, 8, 0), "Direct")</f>
        <v>Direct</v>
      </c>
      <c r="Q156" s="10" t="e">
        <f>VLOOKUP(R156,#REF!, 2, FALSE)</f>
        <v>#REF!</v>
      </c>
      <c r="R156" s="10" t="str">
        <f>INDEX('Facility Discharge Summary'!D:D, MATCH('Facility Summary_Water'!M156, 'Facility Discharge Summary'!J:J,0))</f>
        <v>Waste Handling, Disposal and Treatment (POTW)</v>
      </c>
      <c r="S156" s="10" t="str">
        <f>INDEX('Processed Non-zero DMR Data'!T:T, MATCH('Facility Summary_Water'!M156, 'Processed Non-zero DMR Data'!I:I,0))</f>
        <v>POTW indicator in DMR</v>
      </c>
      <c r="T156" s="10" t="s">
        <v>72</v>
      </c>
      <c r="U156" s="9">
        <f>INDEX('TRI and DMR OES Summary'!D:D, MATCH('Facility Summary_Water'!R156,'TRI and DMR OES Summary'!A:A,0))</f>
        <v>365</v>
      </c>
      <c r="V156" s="258">
        <f>INDEX('Facility Discharge Summary'!AR:AR,MATCH('Facility Summary_Water'!M156,'Facility Discharge Summary'!J:J,0))</f>
        <v>0</v>
      </c>
      <c r="W156" s="258">
        <f>INDEX('Facility Discharge Summary'!T:T,MATCH('Facility Summary_Water'!M156,'Facility Discharge Summary'!J:J,0))</f>
        <v>4.5452172500000003</v>
      </c>
    </row>
    <row r="157" spans="1:23" x14ac:dyDescent="0.25">
      <c r="A157" s="9">
        <v>156</v>
      </c>
      <c r="B157" s="10" t="str">
        <f>IF(COUNTIF('Processed Non-zero TRI Data'!J:J,'Facility Summary_Water'!M157)&gt;0, "TRI Form " &amp; INDEX('Processed Non-zero TRI Data'!K:K,MATCH('Facility Summary_Water'!M157,'Processed Non-zero TRI Data'!J:J,0)), "" )</f>
        <v/>
      </c>
      <c r="C157" s="10" t="str">
        <f>IF(COUNTIF('Processed Non-zero DMR Data'!I:I, 'Facility Summary_Water'!M157)&gt;0, "DMR", "")</f>
        <v>DMR</v>
      </c>
      <c r="D157" s="10"/>
      <c r="E157" s="10" t="s">
        <v>429</v>
      </c>
      <c r="F157" s="10"/>
      <c r="G157" s="10" t="s">
        <v>430</v>
      </c>
      <c r="H157" s="10" t="s">
        <v>367</v>
      </c>
      <c r="I157" s="10"/>
      <c r="J157" s="9">
        <f>IF(L157&lt;&gt;"", INDEX('Processed Non-zero TRI Data'!$G:$G, MATCH(L157, 'Processed Non-zero TRI Data'!$I:$I,0)), INDEX('Processed Non-zero DMR Data'!$F:$F, MATCH(M157,'Processed Non-zero DMR Data'!$I:$I, 0)))</f>
        <v>36.091380999999998</v>
      </c>
      <c r="K157" s="9">
        <f>IF(L157&lt;&gt;"", INDEX('Processed Non-zero TRI Data'!$H:$H, MATCH(L157, 'Processed Non-zero TRI Data'!$I:$I,0)), INDEX('Processed Non-zero DMR Data'!$G:$G, MATCH(M157,'Processed Non-zero DMR Data'!$I:$I, 0)))</f>
        <v>-111.289585</v>
      </c>
      <c r="L157" s="10"/>
      <c r="M157" s="259">
        <v>110024409344</v>
      </c>
      <c r="N157" s="9">
        <f>IF(L157&lt;&gt;"",INDEX('Processed Non-zero TRI Data'!L:L,MATCH('Facility Summary_Water'!L157,'Processed Non-zero TRI Data'!I:I,0)),INDEX('Processed Non-zero DMR Data'!$L:$L,MATCH('Facility Summary_Water'!M157,'Processed Non-zero DMR Data'!$I:$I,0)))</f>
        <v>221320</v>
      </c>
      <c r="O157" s="10" t="str">
        <f>INDEX('2017 - 2022 NAICS'!D:D,MATCH('Facility Summary_Water'!N157,'2017 - 2022 NAICS'!C:C,0))</f>
        <v>Sewage Treatment Facilities</v>
      </c>
      <c r="P157" s="10" t="str">
        <f>IFERROR(VLOOKUP(L157, 'Processed Non-zero TRI Data'!I:Q, 8, 0), "Direct")</f>
        <v>Direct</v>
      </c>
      <c r="Q157" s="10" t="e">
        <f>VLOOKUP(R157,#REF!, 2, FALSE)</f>
        <v>#REF!</v>
      </c>
      <c r="R157" s="10" t="str">
        <f>INDEX('Facility Discharge Summary'!D:D, MATCH('Facility Summary_Water'!M157, 'Facility Discharge Summary'!J:J,0))</f>
        <v>Waste Handling, Disposal and Treatment (POTW)</v>
      </c>
      <c r="S157" s="10" t="str">
        <f>INDEX('Processed Non-zero DMR Data'!T:T, MATCH('Facility Summary_Water'!M157, 'Processed Non-zero DMR Data'!I:I,0))</f>
        <v>POTW indicator in DMR</v>
      </c>
      <c r="T157" s="10" t="s">
        <v>72</v>
      </c>
      <c r="U157" s="9">
        <f>INDEX('TRI and DMR OES Summary'!D:D, MATCH('Facility Summary_Water'!R157,'TRI and DMR OES Summary'!A:A,0))</f>
        <v>365</v>
      </c>
      <c r="V157" s="258">
        <f>INDEX('Facility Discharge Summary'!AR:AR,MATCH('Facility Summary_Water'!M157,'Facility Discharge Summary'!J:J,0))</f>
        <v>0</v>
      </c>
      <c r="W157" s="258">
        <f>INDEX('Facility Discharge Summary'!T:T,MATCH('Facility Summary_Water'!M157,'Facility Discharge Summary'!J:J,0))</f>
        <v>1.9834611200000001</v>
      </c>
    </row>
    <row r="158" spans="1:23" x14ac:dyDescent="0.25">
      <c r="A158" s="9">
        <v>157</v>
      </c>
      <c r="B158" s="10" t="str">
        <f>IF(COUNTIF('Processed Non-zero TRI Data'!J:J,'Facility Summary_Water'!M158)&gt;0, "TRI Form " &amp; INDEX('Processed Non-zero TRI Data'!K:K,MATCH('Facility Summary_Water'!M158,'Processed Non-zero TRI Data'!J:J,0)), "" )</f>
        <v/>
      </c>
      <c r="C158" s="10" t="str">
        <f>IF(COUNTIF('Processed Non-zero DMR Data'!I:I, 'Facility Summary_Water'!M158)&gt;0, "DMR", "")</f>
        <v>DMR</v>
      </c>
      <c r="D158" s="10"/>
      <c r="E158" s="10" t="s">
        <v>431</v>
      </c>
      <c r="F158" s="10"/>
      <c r="G158" s="10" t="s">
        <v>157</v>
      </c>
      <c r="H158" s="10" t="s">
        <v>158</v>
      </c>
      <c r="I158" s="10"/>
      <c r="J158" s="9">
        <f>IF(L158&lt;&gt;"", INDEX('Processed Non-zero TRI Data'!$G:$G, MATCH(L158, 'Processed Non-zero TRI Data'!$I:$I,0)), INDEX('Processed Non-zero DMR Data'!$F:$F, MATCH(M158,'Processed Non-zero DMR Data'!$I:$I, 0)))</f>
        <v>36.19997</v>
      </c>
      <c r="K158" s="9">
        <f>IF(L158&lt;&gt;"", INDEX('Processed Non-zero TRI Data'!$H:$H, MATCH(L158, 'Processed Non-zero TRI Data'!$I:$I,0)), INDEX('Processed Non-zero DMR Data'!$G:$G, MATCH(M158,'Processed Non-zero DMR Data'!$I:$I, 0)))</f>
        <v>-115.19658</v>
      </c>
      <c r="L158" s="10"/>
      <c r="M158" s="259">
        <v>110064418553</v>
      </c>
      <c r="N158" s="9">
        <f>IF(L158&lt;&gt;"",INDEX('Processed Non-zero TRI Data'!L:L,MATCH('Facility Summary_Water'!L158,'Processed Non-zero TRI Data'!I:I,0)),INDEX('Processed Non-zero DMR Data'!$L:$L,MATCH('Facility Summary_Water'!M158,'Processed Non-zero DMR Data'!$I:$I,0)))</f>
        <v>457110</v>
      </c>
      <c r="O158" s="10" t="str">
        <f>INDEX('2017 - 2022 NAICS'!D:D,MATCH('Facility Summary_Water'!N158,'2017 - 2022 NAICS'!C:C,0))</f>
        <v>Gasoline Stations with Convenience Stores</v>
      </c>
      <c r="P158" s="10" t="str">
        <f>IFERROR(VLOOKUP(L158, 'Processed Non-zero TRI Data'!I:Q, 8, 0), "Direct")</f>
        <v>Direct</v>
      </c>
      <c r="Q158" s="10" t="e">
        <f>VLOOKUP(R158,#REF!, 2, FALSE)</f>
        <v>#REF!</v>
      </c>
      <c r="R158" s="10" t="str">
        <f>INDEX('Facility Discharge Summary'!D:D, MATCH('Facility Summary_Water'!M158, 'Facility Discharge Summary'!J:J,0))</f>
        <v>Unknown</v>
      </c>
      <c r="S158" s="10" t="str">
        <f>INDEX('Processed Non-zero DMR Data'!T:T, MATCH('Facility Summary_Water'!M158, 'Processed Non-zero DMR Data'!I:I,0))</f>
        <v>24-hr gas station in Las Vegas; no OES to map to.</v>
      </c>
      <c r="T158" s="10" t="s">
        <v>72</v>
      </c>
      <c r="U158" s="9">
        <f>INDEX('TRI and DMR OES Summary'!D:D, MATCH('Facility Summary_Water'!R158,'TRI and DMR OES Summary'!A:A,0))</f>
        <v>250</v>
      </c>
      <c r="V158" s="258">
        <f>INDEX('Facility Discharge Summary'!AR:AR,MATCH('Facility Summary_Water'!M158,'Facility Discharge Summary'!J:J,0))</f>
        <v>0</v>
      </c>
      <c r="W158" s="258">
        <f>INDEX('Facility Discharge Summary'!T:T,MATCH('Facility Summary_Water'!M158,'Facility Discharge Summary'!J:J,0))</f>
        <v>7.2530062500000001E-3</v>
      </c>
    </row>
    <row r="159" spans="1:23" x14ac:dyDescent="0.25">
      <c r="A159" s="9">
        <v>158</v>
      </c>
      <c r="B159" s="10" t="str">
        <f>IF(COUNTIF('Processed Non-zero TRI Data'!J:J,'Facility Summary_Water'!M159)&gt;0, "TRI Form " &amp; INDEX('Processed Non-zero TRI Data'!K:K,MATCH('Facility Summary_Water'!M159,'Processed Non-zero TRI Data'!J:J,0)), "" )</f>
        <v/>
      </c>
      <c r="C159" s="10" t="str">
        <f>IF(COUNTIF('Processed Non-zero DMR Data'!I:I, 'Facility Summary_Water'!M159)&gt;0, "DMR", "")</f>
        <v>DMR</v>
      </c>
      <c r="D159" s="10"/>
      <c r="E159" s="10" t="s">
        <v>432</v>
      </c>
      <c r="F159" s="10"/>
      <c r="G159" s="10" t="s">
        <v>157</v>
      </c>
      <c r="H159" s="10" t="s">
        <v>158</v>
      </c>
      <c r="I159" s="10"/>
      <c r="J159" s="9">
        <f>IF(L159&lt;&gt;"", INDEX('Processed Non-zero TRI Data'!$G:$G, MATCH(L159, 'Processed Non-zero TRI Data'!$I:$I,0)), INDEX('Processed Non-zero DMR Data'!$F:$F, MATCH(M159,'Processed Non-zero DMR Data'!$I:$I, 0)))</f>
        <v>36.16478</v>
      </c>
      <c r="K159" s="9">
        <f>IF(L159&lt;&gt;"", INDEX('Processed Non-zero TRI Data'!$H:$H, MATCH(L159, 'Processed Non-zero TRI Data'!$I:$I,0)), INDEX('Processed Non-zero DMR Data'!$G:$G, MATCH(M159,'Processed Non-zero DMR Data'!$I:$I, 0)))</f>
        <v>-115.14067</v>
      </c>
      <c r="L159" s="10"/>
      <c r="M159" s="259">
        <v>110017237373</v>
      </c>
      <c r="N159" s="9">
        <f>IF(L159&lt;&gt;"",INDEX('Processed Non-zero TRI Data'!L:L,MATCH('Facility Summary_Water'!L159,'Processed Non-zero TRI Data'!I:I,0)),INDEX('Processed Non-zero DMR Data'!$L:$L,MATCH('Facility Summary_Water'!M159,'Processed Non-zero DMR Data'!$I:$I,0)))</f>
        <v>611110</v>
      </c>
      <c r="O159" s="10" t="str">
        <f>INDEX('2017 - 2022 NAICS'!D:D,MATCH('Facility Summary_Water'!N159,'2017 - 2022 NAICS'!C:C,0))</f>
        <v>Elementary and Secondary Schools</v>
      </c>
      <c r="P159" s="10" t="str">
        <f>IFERROR(VLOOKUP(L159, 'Processed Non-zero TRI Data'!I:Q, 8, 0), "Direct")</f>
        <v>Direct</v>
      </c>
      <c r="Q159" s="10" t="e">
        <f>VLOOKUP(R159,#REF!, 2, FALSE)</f>
        <v>#REF!</v>
      </c>
      <c r="R159" s="10" t="str">
        <f>INDEX('Facility Discharge Summary'!D:D, MATCH('Facility Summary_Water'!M159, 'Facility Discharge Summary'!J:J,0))</f>
        <v>Unknown</v>
      </c>
      <c r="S159" s="10" t="str">
        <f>INDEX('Processed Non-zero DMR Data'!T:T, MATCH('Facility Summary_Water'!M159, 'Processed Non-zero DMR Data'!I:I,0))</f>
        <v>Apartment complex; no OES to map to.</v>
      </c>
      <c r="T159" s="10" t="s">
        <v>72</v>
      </c>
      <c r="U159" s="9">
        <f>INDEX('TRI and DMR OES Summary'!D:D, MATCH('Facility Summary_Water'!R159,'TRI and DMR OES Summary'!A:A,0))</f>
        <v>250</v>
      </c>
      <c r="V159" s="258">
        <f>INDEX('Facility Discharge Summary'!AR:AR,MATCH('Facility Summary_Water'!M159,'Facility Discharge Summary'!J:J,0))</f>
        <v>0</v>
      </c>
      <c r="W159" s="258">
        <f>INDEX('Facility Discharge Summary'!T:T,MATCH('Facility Summary_Water'!M159,'Facility Discharge Summary'!J:J,0))</f>
        <v>3.3501981249999999E-3</v>
      </c>
    </row>
    <row r="160" spans="1:23" x14ac:dyDescent="0.25">
      <c r="A160" s="9">
        <v>159</v>
      </c>
      <c r="B160" s="10" t="str">
        <f>IF(COUNTIF('Processed Non-zero TRI Data'!J:J,'Facility Summary_Water'!M160)&gt;0, "TRI Form " &amp; INDEX('Processed Non-zero TRI Data'!K:K,MATCH('Facility Summary_Water'!M160,'Processed Non-zero TRI Data'!J:J,0)), "" )</f>
        <v/>
      </c>
      <c r="C160" s="10" t="str">
        <f>IF(COUNTIF('Processed Non-zero DMR Data'!I:I, 'Facility Summary_Water'!M160)&gt;0, "DMR", "")</f>
        <v>DMR</v>
      </c>
      <c r="D160" s="10"/>
      <c r="E160" s="10" t="s">
        <v>433</v>
      </c>
      <c r="F160" s="10"/>
      <c r="G160" s="10" t="s">
        <v>434</v>
      </c>
      <c r="H160" s="10" t="s">
        <v>138</v>
      </c>
      <c r="I160" s="10"/>
      <c r="J160" s="9">
        <f>IF(L160&lt;&gt;"", INDEX('Processed Non-zero TRI Data'!$G:$G, MATCH(L160, 'Processed Non-zero TRI Data'!$I:$I,0)), INDEX('Processed Non-zero DMR Data'!$F:$F, MATCH(M160,'Processed Non-zero DMR Data'!$I:$I, 0)))</f>
        <v>37.318492999999997</v>
      </c>
      <c r="K160" s="9">
        <f>IF(L160&lt;&gt;"", INDEX('Processed Non-zero TRI Data'!$H:$H, MATCH(L160, 'Processed Non-zero TRI Data'!$I:$I,0)), INDEX('Processed Non-zero DMR Data'!$G:$G, MATCH(M160,'Processed Non-zero DMR Data'!$I:$I, 0)))</f>
        <v>-87.549857000000003</v>
      </c>
      <c r="L160" s="10"/>
      <c r="M160" s="259">
        <v>110002041380</v>
      </c>
      <c r="N160" s="9">
        <f>IF(L160&lt;&gt;"",INDEX('Processed Non-zero TRI Data'!L:L,MATCH('Facility Summary_Water'!L160,'Processed Non-zero TRI Data'!I:I,0)),INDEX('Processed Non-zero DMR Data'!$L:$L,MATCH('Facility Summary_Water'!M160,'Processed Non-zero DMR Data'!$I:$I,0)))</f>
        <v>221320</v>
      </c>
      <c r="O160" s="10" t="str">
        <f>INDEX('2017 - 2022 NAICS'!D:D,MATCH('Facility Summary_Water'!N160,'2017 - 2022 NAICS'!C:C,0))</f>
        <v>Sewage Treatment Facilities</v>
      </c>
      <c r="P160" s="10" t="str">
        <f>IFERROR(VLOOKUP(L160, 'Processed Non-zero TRI Data'!I:Q, 8, 0), "Direct")</f>
        <v>Direct</v>
      </c>
      <c r="Q160" s="10" t="e">
        <f>VLOOKUP(R160,#REF!, 2, FALSE)</f>
        <v>#REF!</v>
      </c>
      <c r="R160" s="10" t="str">
        <f>INDEX('Facility Discharge Summary'!D:D, MATCH('Facility Summary_Water'!M160, 'Facility Discharge Summary'!J:J,0))</f>
        <v>Waste Handling, Disposal and Treatment (POTW)</v>
      </c>
      <c r="S160" s="10" t="str">
        <f>INDEX('Processed Non-zero DMR Data'!T:T, MATCH('Facility Summary_Water'!M160, 'Processed Non-zero DMR Data'!I:I,0))</f>
        <v>POTW indicator in DMR</v>
      </c>
      <c r="T160" s="10" t="s">
        <v>72</v>
      </c>
      <c r="U160" s="9">
        <f>INDEX('TRI and DMR OES Summary'!D:D, MATCH('Facility Summary_Water'!R160,'TRI and DMR OES Summary'!A:A,0))</f>
        <v>365</v>
      </c>
      <c r="V160" s="258">
        <f>INDEX('Facility Discharge Summary'!AR:AR,MATCH('Facility Summary_Water'!M160,'Facility Discharge Summary'!J:J,0))</f>
        <v>0</v>
      </c>
      <c r="W160" s="258">
        <f>INDEX('Facility Discharge Summary'!T:T,MATCH('Facility Summary_Water'!M160,'Facility Discharge Summary'!J:J,0))</f>
        <v>19.372434312500001</v>
      </c>
    </row>
    <row r="161" spans="1:23" x14ac:dyDescent="0.25">
      <c r="A161" s="9">
        <v>160</v>
      </c>
      <c r="B161" s="10" t="str">
        <f>IF(COUNTIF('Processed Non-zero TRI Data'!J:J,'Facility Summary_Water'!M161)&gt;0, "TRI Form " &amp; INDEX('Processed Non-zero TRI Data'!K:K,MATCH('Facility Summary_Water'!M161,'Processed Non-zero TRI Data'!J:J,0)), "" )</f>
        <v/>
      </c>
      <c r="C161" s="10" t="str">
        <f>IF(COUNTIF('Processed Non-zero DMR Data'!I:I, 'Facility Summary_Water'!M161)&gt;0, "DMR", "")</f>
        <v>DMR</v>
      </c>
      <c r="D161" s="10"/>
      <c r="E161" s="10" t="s">
        <v>435</v>
      </c>
      <c r="F161" s="10"/>
      <c r="G161" s="10" t="s">
        <v>436</v>
      </c>
      <c r="H161" s="10" t="s">
        <v>138</v>
      </c>
      <c r="I161" s="10"/>
      <c r="J161" s="9">
        <f>IF(L161&lt;&gt;"", INDEX('Processed Non-zero TRI Data'!$G:$G, MATCH(L161, 'Processed Non-zero TRI Data'!$I:$I,0)), INDEX('Processed Non-zero DMR Data'!$F:$F, MATCH(M161,'Processed Non-zero DMR Data'!$I:$I, 0)))</f>
        <v>37.780760000000001</v>
      </c>
      <c r="K161" s="9">
        <f>IF(L161&lt;&gt;"", INDEX('Processed Non-zero TRI Data'!$H:$H, MATCH(L161, 'Processed Non-zero TRI Data'!$I:$I,0)), INDEX('Processed Non-zero DMR Data'!$G:$G, MATCH(M161,'Processed Non-zero DMR Data'!$I:$I, 0)))</f>
        <v>-85.510740999999996</v>
      </c>
      <c r="L161" s="10"/>
      <c r="M161" s="259">
        <v>110009933402</v>
      </c>
      <c r="N161" s="9">
        <f>IF(L161&lt;&gt;"",INDEX('Processed Non-zero TRI Data'!L:L,MATCH('Facility Summary_Water'!L161,'Processed Non-zero TRI Data'!I:I,0)),INDEX('Processed Non-zero DMR Data'!$L:$L,MATCH('Facility Summary_Water'!M161,'Processed Non-zero DMR Data'!$I:$I,0)))</f>
        <v>221320</v>
      </c>
      <c r="O161" s="10" t="str">
        <f>INDEX('2017 - 2022 NAICS'!D:D,MATCH('Facility Summary_Water'!N161,'2017 - 2022 NAICS'!C:C,0))</f>
        <v>Sewage Treatment Facilities</v>
      </c>
      <c r="P161" s="10" t="str">
        <f>IFERROR(VLOOKUP(L161, 'Processed Non-zero TRI Data'!I:Q, 8, 0), "Direct")</f>
        <v>Direct</v>
      </c>
      <c r="Q161" s="10" t="e">
        <f>VLOOKUP(R161,#REF!, 2, FALSE)</f>
        <v>#REF!</v>
      </c>
      <c r="R161" s="10" t="str">
        <f>INDEX('Facility Discharge Summary'!D:D, MATCH('Facility Summary_Water'!M161, 'Facility Discharge Summary'!J:J,0))</f>
        <v>Waste Handling, Disposal and Treatment (POTW)</v>
      </c>
      <c r="S161" s="10" t="str">
        <f>INDEX('Processed Non-zero DMR Data'!T:T, MATCH('Facility Summary_Water'!M161, 'Processed Non-zero DMR Data'!I:I,0))</f>
        <v>POTW indicator in DMR</v>
      </c>
      <c r="T161" s="10" t="s">
        <v>72</v>
      </c>
      <c r="U161" s="9">
        <f>INDEX('TRI and DMR OES Summary'!D:D, MATCH('Facility Summary_Water'!R161,'TRI and DMR OES Summary'!A:A,0))</f>
        <v>365</v>
      </c>
      <c r="V161" s="258">
        <f>INDEX('Facility Discharge Summary'!AR:AR,MATCH('Facility Summary_Water'!M161,'Facility Discharge Summary'!J:J,0))</f>
        <v>0</v>
      </c>
      <c r="W161" s="258">
        <f>INDEX('Facility Discharge Summary'!T:T,MATCH('Facility Summary_Water'!M161,'Facility Discharge Summary'!J:J,0))</f>
        <v>1.6219103500000001</v>
      </c>
    </row>
    <row r="162" spans="1:23" x14ac:dyDescent="0.25">
      <c r="A162" s="9">
        <v>161</v>
      </c>
      <c r="B162" s="10" t="str">
        <f>IF(COUNTIF('Processed Non-zero TRI Data'!J:J,'Facility Summary_Water'!M162)&gt;0, "TRI Form " &amp; INDEX('Processed Non-zero TRI Data'!K:K,MATCH('Facility Summary_Water'!M162,'Processed Non-zero TRI Data'!J:J,0)), "" )</f>
        <v/>
      </c>
      <c r="C162" s="10" t="str">
        <f>IF(COUNTIF('Processed Non-zero DMR Data'!I:I, 'Facility Summary_Water'!M162)&gt;0, "DMR", "")</f>
        <v>DMR</v>
      </c>
      <c r="D162" s="10"/>
      <c r="E162" s="10" t="s">
        <v>437</v>
      </c>
      <c r="F162" s="10"/>
      <c r="G162" s="10" t="s">
        <v>438</v>
      </c>
      <c r="H162" s="10" t="s">
        <v>138</v>
      </c>
      <c r="I162" s="10"/>
      <c r="J162" s="9">
        <f>IF(L162&lt;&gt;"", INDEX('Processed Non-zero TRI Data'!$G:$G, MATCH(L162, 'Processed Non-zero TRI Data'!$I:$I,0)), INDEX('Processed Non-zero DMR Data'!$F:$F, MATCH(M162,'Processed Non-zero DMR Data'!$I:$I, 0)))</f>
        <v>38.551630000000003</v>
      </c>
      <c r="K162" s="9">
        <f>IF(L162&lt;&gt;"", INDEX('Processed Non-zero TRI Data'!$H:$H, MATCH(L162, 'Processed Non-zero TRI Data'!$I:$I,0)), INDEX('Processed Non-zero DMR Data'!$G:$G, MATCH(M162,'Processed Non-zero DMR Data'!$I:$I, 0)))</f>
        <v>-82.778199999999998</v>
      </c>
      <c r="L162" s="10"/>
      <c r="M162" s="259">
        <v>110000759723</v>
      </c>
      <c r="N162" s="9">
        <f>IF(L162&lt;&gt;"",INDEX('Processed Non-zero TRI Data'!L:L,MATCH('Facility Summary_Water'!L162,'Processed Non-zero TRI Data'!I:I,0)),INDEX('Processed Non-zero DMR Data'!$L:$L,MATCH('Facility Summary_Water'!M162,'Processed Non-zero DMR Data'!$I:$I,0)))</f>
        <v>221320</v>
      </c>
      <c r="O162" s="10" t="str">
        <f>INDEX('2017 - 2022 NAICS'!D:D,MATCH('Facility Summary_Water'!N162,'2017 - 2022 NAICS'!C:C,0))</f>
        <v>Sewage Treatment Facilities</v>
      </c>
      <c r="P162" s="10" t="str">
        <f>IFERROR(VLOOKUP(L162, 'Processed Non-zero TRI Data'!I:Q, 8, 0), "Direct")</f>
        <v>Direct</v>
      </c>
      <c r="Q162" s="10" t="e">
        <f>VLOOKUP(R162,#REF!, 2, FALSE)</f>
        <v>#REF!</v>
      </c>
      <c r="R162" s="10" t="str">
        <f>INDEX('Facility Discharge Summary'!D:D, MATCH('Facility Summary_Water'!M162, 'Facility Discharge Summary'!J:J,0))</f>
        <v>Waste Handling, Disposal and Treatment (POTW)</v>
      </c>
      <c r="S162" s="10" t="str">
        <f>INDEX('Processed Non-zero DMR Data'!T:T, MATCH('Facility Summary_Water'!M162, 'Processed Non-zero DMR Data'!I:I,0))</f>
        <v>POTW indicator in DMR</v>
      </c>
      <c r="T162" s="10" t="s">
        <v>72</v>
      </c>
      <c r="U162" s="9">
        <f>INDEX('TRI and DMR OES Summary'!D:D, MATCH('Facility Summary_Water'!R162,'TRI and DMR OES Summary'!A:A,0))</f>
        <v>365</v>
      </c>
      <c r="V162" s="258">
        <f>INDEX('Facility Discharge Summary'!AR:AR,MATCH('Facility Summary_Water'!M162,'Facility Discharge Summary'!J:J,0))</f>
        <v>0</v>
      </c>
      <c r="W162" s="258">
        <f>INDEX('Facility Discharge Summary'!T:T,MATCH('Facility Summary_Water'!M162,'Facility Discharge Summary'!J:J,0))</f>
        <v>1.3815249999999999</v>
      </c>
    </row>
    <row r="163" spans="1:23" x14ac:dyDescent="0.25">
      <c r="A163" s="9">
        <v>162</v>
      </c>
      <c r="B163" s="10" t="str">
        <f>IF(COUNTIF('Processed Non-zero TRI Data'!J:J,'Facility Summary_Water'!M163)&gt;0, "TRI Form " &amp; INDEX('Processed Non-zero TRI Data'!K:K,MATCH('Facility Summary_Water'!M163,'Processed Non-zero TRI Data'!J:J,0)), "" )</f>
        <v/>
      </c>
      <c r="C163" s="10" t="str">
        <f>IF(COUNTIF('Processed Non-zero DMR Data'!I:I, 'Facility Summary_Water'!M163)&gt;0, "DMR", "")</f>
        <v>DMR</v>
      </c>
      <c r="D163" s="10"/>
      <c r="E163" s="10" t="s">
        <v>439</v>
      </c>
      <c r="F163" s="10"/>
      <c r="G163" s="10" t="s">
        <v>440</v>
      </c>
      <c r="H163" s="10" t="s">
        <v>138</v>
      </c>
      <c r="I163" s="10"/>
      <c r="J163" s="9">
        <f>IF(L163&lt;&gt;"", INDEX('Processed Non-zero TRI Data'!$G:$G, MATCH(L163, 'Processed Non-zero TRI Data'!$I:$I,0)), INDEX('Processed Non-zero DMR Data'!$F:$F, MATCH(M163,'Processed Non-zero DMR Data'!$I:$I, 0)))</f>
        <v>37.621431000000001</v>
      </c>
      <c r="K163" s="9">
        <f>IF(L163&lt;&gt;"", INDEX('Processed Non-zero TRI Data'!$H:$H, MATCH(L163, 'Processed Non-zero TRI Data'!$I:$I,0)), INDEX('Processed Non-zero DMR Data'!$G:$G, MATCH(M163,'Processed Non-zero DMR Data'!$I:$I, 0)))</f>
        <v>-84.733756</v>
      </c>
      <c r="L163" s="10"/>
      <c r="M163" s="259">
        <v>110000732351</v>
      </c>
      <c r="N163" s="9">
        <f>IF(L163&lt;&gt;"",INDEX('Processed Non-zero TRI Data'!L:L,MATCH('Facility Summary_Water'!L163,'Processed Non-zero TRI Data'!I:I,0)),INDEX('Processed Non-zero DMR Data'!$L:$L,MATCH('Facility Summary_Water'!M163,'Processed Non-zero DMR Data'!$I:$I,0)))</f>
        <v>221320</v>
      </c>
      <c r="O163" s="10" t="str">
        <f>INDEX('2017 - 2022 NAICS'!D:D,MATCH('Facility Summary_Water'!N163,'2017 - 2022 NAICS'!C:C,0))</f>
        <v>Sewage Treatment Facilities</v>
      </c>
      <c r="P163" s="10" t="str">
        <f>IFERROR(VLOOKUP(L163, 'Processed Non-zero TRI Data'!I:Q, 8, 0), "Direct")</f>
        <v>Direct</v>
      </c>
      <c r="Q163" s="10" t="e">
        <f>VLOOKUP(R163,#REF!, 2, FALSE)</f>
        <v>#REF!</v>
      </c>
      <c r="R163" s="10" t="str">
        <f>INDEX('Facility Discharge Summary'!D:D, MATCH('Facility Summary_Water'!M163, 'Facility Discharge Summary'!J:J,0))</f>
        <v>Waste Handling, Disposal and Treatment (POTW)</v>
      </c>
      <c r="S163" s="10" t="str">
        <f>INDEX('Processed Non-zero DMR Data'!T:T, MATCH('Facility Summary_Water'!M163, 'Processed Non-zero DMR Data'!I:I,0))</f>
        <v>POTW indicator in DMR</v>
      </c>
      <c r="T163" s="10" t="s">
        <v>72</v>
      </c>
      <c r="U163" s="9">
        <f>INDEX('TRI and DMR OES Summary'!D:D, MATCH('Facility Summary_Water'!R163,'TRI and DMR OES Summary'!A:A,0))</f>
        <v>365</v>
      </c>
      <c r="V163" s="258">
        <f>INDEX('Facility Discharge Summary'!AR:AR,MATCH('Facility Summary_Water'!M163,'Facility Discharge Summary'!J:J,0))</f>
        <v>0</v>
      </c>
      <c r="W163" s="258">
        <f>INDEX('Facility Discharge Summary'!T:T,MATCH('Facility Summary_Water'!M163,'Facility Discharge Summary'!J:J,0))</f>
        <v>25.316445625</v>
      </c>
    </row>
    <row r="164" spans="1:23" x14ac:dyDescent="0.25">
      <c r="A164" s="9">
        <v>163</v>
      </c>
      <c r="B164" s="10" t="str">
        <f>IF(COUNTIF('Processed Non-zero TRI Data'!J:J,'Facility Summary_Water'!M164)&gt;0, "TRI Form " &amp; INDEX('Processed Non-zero TRI Data'!K:K,MATCH('Facility Summary_Water'!M164,'Processed Non-zero TRI Data'!J:J,0)), "" )</f>
        <v/>
      </c>
      <c r="C164" s="10" t="str">
        <f>IF(COUNTIF('Processed Non-zero DMR Data'!I:I, 'Facility Summary_Water'!M164)&gt;0, "DMR", "")</f>
        <v>DMR</v>
      </c>
      <c r="D164" s="10"/>
      <c r="E164" s="10" t="s">
        <v>441</v>
      </c>
      <c r="F164" s="10"/>
      <c r="G164" s="10" t="s">
        <v>442</v>
      </c>
      <c r="H164" s="10" t="s">
        <v>138</v>
      </c>
      <c r="I164" s="10"/>
      <c r="J164" s="9">
        <f>IF(L164&lt;&gt;"", INDEX('Processed Non-zero TRI Data'!$G:$G, MATCH(L164, 'Processed Non-zero TRI Data'!$I:$I,0)), INDEX('Processed Non-zero DMR Data'!$F:$F, MATCH(M164,'Processed Non-zero DMR Data'!$I:$I, 0)))</f>
        <v>37.861111000000001</v>
      </c>
      <c r="K164" s="9">
        <f>IF(L164&lt;&gt;"", INDEX('Processed Non-zero TRI Data'!$H:$H, MATCH(L164, 'Processed Non-zero TRI Data'!$I:$I,0)), INDEX('Processed Non-zero DMR Data'!$G:$G, MATCH(M164,'Processed Non-zero DMR Data'!$I:$I, 0)))</f>
        <v>-83.871667000000002</v>
      </c>
      <c r="L164" s="10"/>
      <c r="M164" s="259">
        <v>110009938470</v>
      </c>
      <c r="N164" s="9">
        <f>IF(L164&lt;&gt;"",INDEX('Processed Non-zero TRI Data'!L:L,MATCH('Facility Summary_Water'!L164,'Processed Non-zero TRI Data'!I:I,0)),INDEX('Processed Non-zero DMR Data'!$L:$L,MATCH('Facility Summary_Water'!M164,'Processed Non-zero DMR Data'!$I:$I,0)))</f>
        <v>221320</v>
      </c>
      <c r="O164" s="10" t="str">
        <f>INDEX('2017 - 2022 NAICS'!D:D,MATCH('Facility Summary_Water'!N164,'2017 - 2022 NAICS'!C:C,0))</f>
        <v>Sewage Treatment Facilities</v>
      </c>
      <c r="P164" s="10" t="str">
        <f>IFERROR(VLOOKUP(L164, 'Processed Non-zero TRI Data'!I:Q, 8, 0), "Direct")</f>
        <v>Direct</v>
      </c>
      <c r="Q164" s="10" t="e">
        <f>VLOOKUP(R164,#REF!, 2, FALSE)</f>
        <v>#REF!</v>
      </c>
      <c r="R164" s="10" t="str">
        <f>INDEX('Facility Discharge Summary'!D:D, MATCH('Facility Summary_Water'!M164, 'Facility Discharge Summary'!J:J,0))</f>
        <v>Waste Handling, Disposal and Treatment (POTW)</v>
      </c>
      <c r="S164" s="10" t="str">
        <f>INDEX('Processed Non-zero DMR Data'!T:T, MATCH('Facility Summary_Water'!M164, 'Processed Non-zero DMR Data'!I:I,0))</f>
        <v>POTW indicator in DMR</v>
      </c>
      <c r="T164" s="10" t="s">
        <v>72</v>
      </c>
      <c r="U164" s="9">
        <f>INDEX('TRI and DMR OES Summary'!D:D, MATCH('Facility Summary_Water'!R164,'TRI and DMR OES Summary'!A:A,0))</f>
        <v>365</v>
      </c>
      <c r="V164" s="258">
        <f>INDEX('Facility Discharge Summary'!AR:AR,MATCH('Facility Summary_Water'!M164,'Facility Discharge Summary'!J:J,0))</f>
        <v>0</v>
      </c>
      <c r="W164" s="258">
        <f>INDEX('Facility Discharge Summary'!T:T,MATCH('Facility Summary_Water'!M164,'Facility Discharge Summary'!J:J,0))</f>
        <v>3.9718843750000001</v>
      </c>
    </row>
    <row r="165" spans="1:23" ht="30" x14ac:dyDescent="0.25">
      <c r="A165" s="9">
        <v>164</v>
      </c>
      <c r="B165" s="10" t="str">
        <f>IF(COUNTIF('Processed Non-zero TRI Data'!J:J,'Facility Summary_Water'!M165)&gt;0, "TRI Form " &amp; INDEX('Processed Non-zero TRI Data'!K:K,MATCH('Facility Summary_Water'!M165,'Processed Non-zero TRI Data'!J:J,0)), "" )</f>
        <v/>
      </c>
      <c r="C165" s="10" t="str">
        <f>IF(COUNTIF('Processed Non-zero DMR Data'!I:I, 'Facility Summary_Water'!M165)&gt;0, "DMR", "")</f>
        <v>DMR</v>
      </c>
      <c r="D165" s="10"/>
      <c r="E165" s="10" t="s">
        <v>443</v>
      </c>
      <c r="F165" s="10"/>
      <c r="G165" s="10" t="s">
        <v>444</v>
      </c>
      <c r="H165" s="10" t="s">
        <v>138</v>
      </c>
      <c r="I165" s="10"/>
      <c r="J165" s="9">
        <f>IF(L165&lt;&gt;"", INDEX('Processed Non-zero TRI Data'!$G:$G, MATCH(L165, 'Processed Non-zero TRI Data'!$I:$I,0)), INDEX('Processed Non-zero DMR Data'!$F:$F, MATCH(M165,'Processed Non-zero DMR Data'!$I:$I, 0)))</f>
        <v>38.32978</v>
      </c>
      <c r="K165" s="9">
        <f>IF(L165&lt;&gt;"", INDEX('Processed Non-zero TRI Data'!$H:$H, MATCH(L165, 'Processed Non-zero TRI Data'!$I:$I,0)), INDEX('Processed Non-zero DMR Data'!$G:$G, MATCH(M165,'Processed Non-zero DMR Data'!$I:$I, 0)))</f>
        <v>-85.540719999999993</v>
      </c>
      <c r="L165" s="10"/>
      <c r="M165" s="259">
        <v>110064615590</v>
      </c>
      <c r="N165" s="9">
        <f>IF(L165&lt;&gt;"",INDEX('Processed Non-zero TRI Data'!L:L,MATCH('Facility Summary_Water'!L165,'Processed Non-zero TRI Data'!I:I,0)),INDEX('Processed Non-zero DMR Data'!$L:$L,MATCH('Facility Summary_Water'!M165,'Processed Non-zero DMR Data'!$I:$I,0)))</f>
        <v>221320</v>
      </c>
      <c r="O165" s="10" t="str">
        <f>INDEX('2017 - 2022 NAICS'!D:D,MATCH('Facility Summary_Water'!N165,'2017 - 2022 NAICS'!C:C,0))</f>
        <v>Sewage Treatment Facilities</v>
      </c>
      <c r="P165" s="10" t="str">
        <f>IFERROR(VLOOKUP(L165, 'Processed Non-zero TRI Data'!I:Q, 8, 0), "Direct")</f>
        <v>Direct</v>
      </c>
      <c r="Q165" s="10" t="e">
        <f>VLOOKUP(R165,#REF!, 2, FALSE)</f>
        <v>#REF!</v>
      </c>
      <c r="R165" s="10" t="str">
        <f>INDEX('Facility Discharge Summary'!D:D, MATCH('Facility Summary_Water'!M165, 'Facility Discharge Summary'!J:J,0))</f>
        <v>Waste Handling, Disposal and Treatment (POTW)</v>
      </c>
      <c r="S165" s="10" t="str">
        <f>INDEX('Processed Non-zero DMR Data'!T:T, MATCH('Facility Summary_Water'!M165, 'Processed Non-zero DMR Data'!I:I,0))</f>
        <v>POTW indicator in DMR</v>
      </c>
      <c r="T165" s="10" t="s">
        <v>72</v>
      </c>
      <c r="U165" s="9">
        <f>INDEX('TRI and DMR OES Summary'!D:D, MATCH('Facility Summary_Water'!R165,'TRI and DMR OES Summary'!A:A,0))</f>
        <v>365</v>
      </c>
      <c r="V165" s="258">
        <f>INDEX('Facility Discharge Summary'!AR:AR,MATCH('Facility Summary_Water'!M165,'Facility Discharge Summary'!J:J,0))</f>
        <v>0</v>
      </c>
      <c r="W165" s="258">
        <f>INDEX('Facility Discharge Summary'!T:T,MATCH('Facility Summary_Water'!M165,'Facility Discharge Summary'!J:J,0))</f>
        <v>1.1846576874999999</v>
      </c>
    </row>
    <row r="166" spans="1:23" x14ac:dyDescent="0.25">
      <c r="A166" s="9">
        <v>165</v>
      </c>
      <c r="B166" s="10" t="str">
        <f>IF(COUNTIF('Processed Non-zero TRI Data'!J:J,'Facility Summary_Water'!M166)&gt;0, "TRI Form " &amp; INDEX('Processed Non-zero TRI Data'!K:K,MATCH('Facility Summary_Water'!M166,'Processed Non-zero TRI Data'!J:J,0)), "" )</f>
        <v/>
      </c>
      <c r="C166" s="10" t="str">
        <f>IF(COUNTIF('Processed Non-zero DMR Data'!I:I, 'Facility Summary_Water'!M166)&gt;0, "DMR", "")</f>
        <v>DMR</v>
      </c>
      <c r="D166" s="10"/>
      <c r="E166" s="10" t="s">
        <v>445</v>
      </c>
      <c r="F166" s="10"/>
      <c r="G166" s="10" t="s">
        <v>446</v>
      </c>
      <c r="H166" s="10" t="s">
        <v>146</v>
      </c>
      <c r="I166" s="10"/>
      <c r="J166" s="9">
        <f>IF(L166&lt;&gt;"", INDEX('Processed Non-zero TRI Data'!$G:$G, MATCH(L166, 'Processed Non-zero TRI Data'!$I:$I,0)), INDEX('Processed Non-zero DMR Data'!$F:$F, MATCH(M166,'Processed Non-zero DMR Data'!$I:$I, 0)))</f>
        <v>33.990146000000003</v>
      </c>
      <c r="K166" s="9">
        <f>IF(L166&lt;&gt;"", INDEX('Processed Non-zero TRI Data'!$H:$H, MATCH(L166, 'Processed Non-zero TRI Data'!$I:$I,0)), INDEX('Processed Non-zero DMR Data'!$G:$G, MATCH(M166,'Processed Non-zero DMR Data'!$I:$I, 0)))</f>
        <v>-118.36358</v>
      </c>
      <c r="L166" s="10"/>
      <c r="M166" s="259">
        <v>110064624018</v>
      </c>
      <c r="N166" s="9">
        <f>IF(L166&lt;&gt;"",INDEX('Processed Non-zero TRI Data'!L:L,MATCH('Facility Summary_Water'!L166,'Processed Non-zero TRI Data'!I:I,0)),INDEX('Processed Non-zero DMR Data'!$L:$L,MATCH('Facility Summary_Water'!M166,'Processed Non-zero DMR Data'!$I:$I,0)))</f>
        <v>324110</v>
      </c>
      <c r="O166" s="10" t="str">
        <f>INDEX('2017 - 2022 NAICS'!D:D,MATCH('Facility Summary_Water'!N166,'2017 - 2022 NAICS'!C:C,0))</f>
        <v>Petroleum Refineries</v>
      </c>
      <c r="P166" s="10" t="str">
        <f>IFERROR(VLOOKUP(L166, 'Processed Non-zero TRI Data'!I:Q, 8, 0), "Direct")</f>
        <v>Direct</v>
      </c>
      <c r="Q166" s="10" t="e">
        <f>VLOOKUP(R166,#REF!, 2, FALSE)</f>
        <v>#REF!</v>
      </c>
      <c r="R166" s="10" t="str">
        <f>INDEX('Facility Discharge Summary'!D:D, MATCH('Facility Summary_Water'!M166, 'Facility Discharge Summary'!J:J,0))</f>
        <v>Unknown</v>
      </c>
      <c r="S166" s="10" t="str">
        <f>INDEX('Processed Non-zero DMR Data'!T:T, MATCH('Facility Summary_Water'!M166, 'Processed Non-zero DMR Data'!I:I,0))</f>
        <v>Facility is an oil field; no OES to map to.</v>
      </c>
      <c r="T166" s="10" t="s">
        <v>72</v>
      </c>
      <c r="U166" s="9">
        <f>INDEX('TRI and DMR OES Summary'!D:D, MATCH('Facility Summary_Water'!R166,'TRI and DMR OES Summary'!A:A,0))</f>
        <v>250</v>
      </c>
      <c r="V166" s="258">
        <f>INDEX('Facility Discharge Summary'!AR:AR,MATCH('Facility Summary_Water'!M166,'Facility Discharge Summary'!J:J,0))</f>
        <v>0</v>
      </c>
      <c r="W166" s="258">
        <f>INDEX('Facility Discharge Summary'!T:T,MATCH('Facility Summary_Water'!M166,'Facility Discharge Summary'!J:J,0))</f>
        <v>0.69490707500000004</v>
      </c>
    </row>
    <row r="167" spans="1:23" ht="30" x14ac:dyDescent="0.25">
      <c r="A167" s="9">
        <v>166</v>
      </c>
      <c r="B167" s="10" t="str">
        <f>IF(COUNTIF('Processed Non-zero TRI Data'!J:J,'Facility Summary_Water'!M167)&gt;0, "TRI Form " &amp; INDEX('Processed Non-zero TRI Data'!K:K,MATCH('Facility Summary_Water'!M167,'Processed Non-zero TRI Data'!J:J,0)), "" )</f>
        <v/>
      </c>
      <c r="C167" s="10" t="str">
        <f>IF(COUNTIF('Processed Non-zero DMR Data'!I:I, 'Facility Summary_Water'!M167)&gt;0, "DMR", "")</f>
        <v>DMR</v>
      </c>
      <c r="D167" s="10"/>
      <c r="E167" s="10" t="s">
        <v>447</v>
      </c>
      <c r="F167" s="10"/>
      <c r="G167" s="10" t="s">
        <v>448</v>
      </c>
      <c r="H167" s="10" t="s">
        <v>146</v>
      </c>
      <c r="I167" s="10"/>
      <c r="J167" s="9">
        <f>IF(L167&lt;&gt;"", INDEX('Processed Non-zero TRI Data'!$G:$G, MATCH(L167, 'Processed Non-zero TRI Data'!$I:$I,0)), INDEX('Processed Non-zero DMR Data'!$F:$F, MATCH(M167,'Processed Non-zero DMR Data'!$I:$I, 0)))</f>
        <v>39.814332999999998</v>
      </c>
      <c r="K167" s="9">
        <f>IF(L167&lt;&gt;"", INDEX('Processed Non-zero TRI Data'!$H:$H, MATCH(L167, 'Processed Non-zero TRI Data'!$I:$I,0)), INDEX('Processed Non-zero DMR Data'!$G:$G, MATCH(M167,'Processed Non-zero DMR Data'!$I:$I, 0)))</f>
        <v>-121.58030599999999</v>
      </c>
      <c r="L167" s="10"/>
      <c r="M167" s="259">
        <v>110000520026</v>
      </c>
      <c r="N167" s="9">
        <f>IF(L167&lt;&gt;"",INDEX('Processed Non-zero TRI Data'!L:L,MATCH('Facility Summary_Water'!L167,'Processed Non-zero TRI Data'!I:I,0)),INDEX('Processed Non-zero DMR Data'!$L:$L,MATCH('Facility Summary_Water'!M167,'Processed Non-zero DMR Data'!$I:$I,0)))</f>
        <v>221310</v>
      </c>
      <c r="O167" s="10" t="str">
        <f>INDEX('2017 - 2022 NAICS'!D:D,MATCH('Facility Summary_Water'!N167,'2017 - 2022 NAICS'!C:C,0))</f>
        <v>Water Supply and Irrigation Systems</v>
      </c>
      <c r="P167" s="10" t="str">
        <f>IFERROR(VLOOKUP(L167, 'Processed Non-zero TRI Data'!I:Q, 8, 0), "Direct")</f>
        <v>Direct</v>
      </c>
      <c r="Q167" s="10" t="e">
        <f>VLOOKUP(R167,#REF!, 2, FALSE)</f>
        <v>#REF!</v>
      </c>
      <c r="R167" s="10" t="str">
        <f>INDEX('Facility Discharge Summary'!D:D, MATCH('Facility Summary_Water'!M167, 'Facility Discharge Summary'!J:J,0))</f>
        <v>Waste Handling, Disposal and Treatment (non-POTW WWT)</v>
      </c>
      <c r="S167" s="10" t="str">
        <f>INDEX('Processed Non-zero DMR Data'!T:T, MATCH('Facility Summary_Water'!M167, 'Processed Non-zero DMR Data'!I:I,0))</f>
        <v>Water treatment plant; non-POTW WWT per facility type flag.</v>
      </c>
      <c r="T167" s="10" t="s">
        <v>72</v>
      </c>
      <c r="U167" s="9">
        <f>INDEX('TRI and DMR OES Summary'!D:D, MATCH('Facility Summary_Water'!R167,'TRI and DMR OES Summary'!A:A,0))</f>
        <v>250</v>
      </c>
      <c r="V167" s="258">
        <f>INDEX('Facility Discharge Summary'!AR:AR,MATCH('Facility Summary_Water'!M167,'Facility Discharge Summary'!J:J,0))</f>
        <v>0</v>
      </c>
      <c r="W167" s="258">
        <f>INDEX('Facility Discharge Summary'!T:T,MATCH('Facility Summary_Water'!M167,'Facility Discharge Summary'!J:J,0))</f>
        <v>1.84323500775E-2</v>
      </c>
    </row>
    <row r="168" spans="1:23" x14ac:dyDescent="0.25">
      <c r="A168" s="9">
        <v>167</v>
      </c>
      <c r="B168" s="10" t="str">
        <f>IF(COUNTIF('Processed Non-zero TRI Data'!J:J,'Facility Summary_Water'!M168)&gt;0, "TRI Form " &amp; INDEX('Processed Non-zero TRI Data'!K:K,MATCH('Facility Summary_Water'!M168,'Processed Non-zero TRI Data'!J:J,0)), "" )</f>
        <v/>
      </c>
      <c r="C168" s="10" t="str">
        <f>IF(COUNTIF('Processed Non-zero DMR Data'!I:I, 'Facility Summary_Water'!M168)&gt;0, "DMR", "")</f>
        <v>DMR</v>
      </c>
      <c r="D168" s="10"/>
      <c r="E168" s="10" t="s">
        <v>449</v>
      </c>
      <c r="F168" s="10"/>
      <c r="G168" s="10" t="s">
        <v>450</v>
      </c>
      <c r="H168" s="10" t="s">
        <v>138</v>
      </c>
      <c r="I168" s="10"/>
      <c r="J168" s="9">
        <f>IF(L168&lt;&gt;"", INDEX('Processed Non-zero TRI Data'!$G:$G, MATCH(L168, 'Processed Non-zero TRI Data'!$I:$I,0)), INDEX('Processed Non-zero DMR Data'!$F:$F, MATCH(M168,'Processed Non-zero DMR Data'!$I:$I, 0)))</f>
        <v>38.394444</v>
      </c>
      <c r="K168" s="9">
        <f>IF(L168&lt;&gt;"", INDEX('Processed Non-zero TRI Data'!$H:$H, MATCH(L168, 'Processed Non-zero TRI Data'!$I:$I,0)), INDEX('Processed Non-zero DMR Data'!$G:$G, MATCH(M168,'Processed Non-zero DMR Data'!$I:$I, 0)))</f>
        <v>-84.284999999999997</v>
      </c>
      <c r="L168" s="10"/>
      <c r="M168" s="259">
        <v>110020737540</v>
      </c>
      <c r="N168" s="9">
        <f>IF(L168&lt;&gt;"",INDEX('Processed Non-zero TRI Data'!L:L,MATCH('Facility Summary_Water'!L168,'Processed Non-zero TRI Data'!I:I,0)),INDEX('Processed Non-zero DMR Data'!$L:$L,MATCH('Facility Summary_Water'!M168,'Processed Non-zero DMR Data'!$I:$I,0)))</f>
        <v>221320</v>
      </c>
      <c r="O168" s="10" t="str">
        <f>INDEX('2017 - 2022 NAICS'!D:D,MATCH('Facility Summary_Water'!N168,'2017 - 2022 NAICS'!C:C,0))</f>
        <v>Sewage Treatment Facilities</v>
      </c>
      <c r="P168" s="10" t="str">
        <f>IFERROR(VLOOKUP(L168, 'Processed Non-zero TRI Data'!I:Q, 8, 0), "Direct")</f>
        <v>Direct</v>
      </c>
      <c r="Q168" s="10" t="e">
        <f>VLOOKUP(R168,#REF!, 2, FALSE)</f>
        <v>#REF!</v>
      </c>
      <c r="R168" s="10" t="str">
        <f>INDEX('Facility Discharge Summary'!D:D, MATCH('Facility Summary_Water'!M168, 'Facility Discharge Summary'!J:J,0))</f>
        <v>Waste Handling, Disposal and Treatment (POTW)</v>
      </c>
      <c r="S168" s="10" t="str">
        <f>INDEX('Processed Non-zero DMR Data'!T:T, MATCH('Facility Summary_Water'!M168, 'Processed Non-zero DMR Data'!I:I,0))</f>
        <v>POTW indicator in DMR</v>
      </c>
      <c r="T168" s="10" t="s">
        <v>72</v>
      </c>
      <c r="U168" s="9">
        <f>INDEX('TRI and DMR OES Summary'!D:D, MATCH('Facility Summary_Water'!R168,'TRI and DMR OES Summary'!A:A,0))</f>
        <v>365</v>
      </c>
      <c r="V168" s="258">
        <f>INDEX('Facility Discharge Summary'!AR:AR,MATCH('Facility Summary_Water'!M168,'Facility Discharge Summary'!J:J,0))</f>
        <v>0</v>
      </c>
      <c r="W168" s="258">
        <f>INDEX('Facility Discharge Summary'!T:T,MATCH('Facility Summary_Water'!M168,'Facility Discharge Summary'!J:J,0))</f>
        <v>2.9322868125000001</v>
      </c>
    </row>
    <row r="169" spans="1:23" ht="30" x14ac:dyDescent="0.25">
      <c r="A169" s="9">
        <v>168</v>
      </c>
      <c r="B169" s="10" t="str">
        <f>IF(COUNTIF('Processed Non-zero TRI Data'!J:J,'Facility Summary_Water'!M169)&gt;0, "TRI Form " &amp; INDEX('Processed Non-zero TRI Data'!K:K,MATCH('Facility Summary_Water'!M169,'Processed Non-zero TRI Data'!J:J,0)), "" )</f>
        <v/>
      </c>
      <c r="C169" s="10" t="str">
        <f>IF(COUNTIF('Processed Non-zero DMR Data'!I:I, 'Facility Summary_Water'!M169)&gt;0, "DMR", "")</f>
        <v>DMR</v>
      </c>
      <c r="D169" s="10"/>
      <c r="E169" s="10" t="s">
        <v>451</v>
      </c>
      <c r="F169" s="10"/>
      <c r="G169" s="10" t="s">
        <v>324</v>
      </c>
      <c r="H169" s="10" t="s">
        <v>452</v>
      </c>
      <c r="I169" s="10"/>
      <c r="J169" s="9">
        <f>IF(L169&lt;&gt;"", INDEX('Processed Non-zero TRI Data'!$G:$G, MATCH(L169, 'Processed Non-zero TRI Data'!$I:$I,0)), INDEX('Processed Non-zero DMR Data'!$F:$F, MATCH(M169,'Processed Non-zero DMR Data'!$I:$I, 0)))</f>
        <v>34.047217000000003</v>
      </c>
      <c r="K169" s="9">
        <f>IF(L169&lt;&gt;"", INDEX('Processed Non-zero TRI Data'!$H:$H, MATCH(L169, 'Processed Non-zero TRI Data'!$I:$I,0)), INDEX('Processed Non-zero DMR Data'!$G:$G, MATCH(M169,'Processed Non-zero DMR Data'!$I:$I, 0)))</f>
        <v>-81.151325999999997</v>
      </c>
      <c r="L169" s="10"/>
      <c r="M169" s="259">
        <v>110000854246</v>
      </c>
      <c r="N169" s="9">
        <f>IF(L169&lt;&gt;"",INDEX('Processed Non-zero TRI Data'!L:L,MATCH('Facility Summary_Water'!L169,'Processed Non-zero TRI Data'!I:I,0)),INDEX('Processed Non-zero DMR Data'!$L:$L,MATCH('Facility Summary_Water'!M169,'Processed Non-zero DMR Data'!$I:$I,0)))</f>
        <v>325220</v>
      </c>
      <c r="O169" s="10" t="str">
        <f>INDEX('2017 - 2022 NAICS'!D:D,MATCH('Facility Summary_Water'!N169,'2017 - 2022 NAICS'!C:C,0))</f>
        <v>Artificial and Synthetic Fibers and Filaments Manufacturing</v>
      </c>
      <c r="P169" s="10" t="str">
        <f>IFERROR(VLOOKUP(L169, 'Processed Non-zero TRI Data'!I:Q, 8, 0), "Direct")</f>
        <v>Direct</v>
      </c>
      <c r="Q169" s="10" t="e">
        <f>VLOOKUP(R169,#REF!, 2, FALSE)</f>
        <v>#REF!</v>
      </c>
      <c r="R169" s="10" t="str">
        <f>INDEX('Facility Discharge Summary'!D:D, MATCH('Facility Summary_Water'!M169, 'Facility Discharge Summary'!J:J,0))</f>
        <v>Processing as a reactant</v>
      </c>
      <c r="S169" s="10" t="str">
        <f>INDEX('Processed Non-zero DMR Data'!T:T, MATCH('Facility Summary_Water'!M169, 'Processed Non-zero DMR Data'!I:I,0))</f>
        <v>Commercial flooring product manufacturer; assumed processing as a reactant.</v>
      </c>
      <c r="T169" s="10" t="s">
        <v>72</v>
      </c>
      <c r="U169" s="9">
        <f>INDEX('TRI and DMR OES Summary'!D:D, MATCH('Facility Summary_Water'!R169,'TRI and DMR OES Summary'!A:A,0))</f>
        <v>350</v>
      </c>
      <c r="V169" s="258">
        <f>INDEX('Facility Discharge Summary'!AR:AR,MATCH('Facility Summary_Water'!M169,'Facility Discharge Summary'!J:J,0))</f>
        <v>0</v>
      </c>
      <c r="W169" s="258">
        <f>INDEX('Facility Discharge Summary'!T:T,MATCH('Facility Summary_Water'!M169,'Facility Discharge Summary'!J:J,0))</f>
        <v>0.33141999999999999</v>
      </c>
    </row>
    <row r="170" spans="1:23" x14ac:dyDescent="0.25">
      <c r="A170" s="9">
        <v>169</v>
      </c>
      <c r="B170" s="10" t="str">
        <f>IF(COUNTIF('Processed Non-zero TRI Data'!J:J,'Facility Summary_Water'!M170)&gt;0, "TRI Form " &amp; INDEX('Processed Non-zero TRI Data'!K:K,MATCH('Facility Summary_Water'!M170,'Processed Non-zero TRI Data'!J:J,0)), "" )</f>
        <v/>
      </c>
      <c r="C170" s="10" t="str">
        <f>IF(COUNTIF('Processed Non-zero DMR Data'!I:I, 'Facility Summary_Water'!M170)&gt;0, "DMR", "")</f>
        <v>DMR</v>
      </c>
      <c r="D170" s="10"/>
      <c r="E170" s="10" t="s">
        <v>453</v>
      </c>
      <c r="F170" s="10"/>
      <c r="G170" s="10" t="s">
        <v>454</v>
      </c>
      <c r="H170" s="10" t="s">
        <v>146</v>
      </c>
      <c r="I170" s="10"/>
      <c r="J170" s="9">
        <f>IF(L170&lt;&gt;"", INDEX('Processed Non-zero TRI Data'!$G:$G, MATCH(L170, 'Processed Non-zero TRI Data'!$I:$I,0)), INDEX('Processed Non-zero DMR Data'!$F:$F, MATCH(M170,'Processed Non-zero DMR Data'!$I:$I, 0)))</f>
        <v>38.333300000000001</v>
      </c>
      <c r="K170" s="9">
        <f>IF(L170&lt;&gt;"", INDEX('Processed Non-zero TRI Data'!$H:$H, MATCH(L170, 'Processed Non-zero TRI Data'!$I:$I,0)), INDEX('Processed Non-zero DMR Data'!$G:$G, MATCH(M170,'Processed Non-zero DMR Data'!$I:$I, 0)))</f>
        <v>-120.7833</v>
      </c>
      <c r="L170" s="10"/>
      <c r="M170" s="259">
        <v>110011373637</v>
      </c>
      <c r="N170" s="9">
        <f>IF(L170&lt;&gt;"",INDEX('Processed Non-zero TRI Data'!L:L,MATCH('Facility Summary_Water'!L170,'Processed Non-zero TRI Data'!I:I,0)),INDEX('Processed Non-zero DMR Data'!$L:$L,MATCH('Facility Summary_Water'!M170,'Processed Non-zero DMR Data'!$I:$I,0)))</f>
        <v>221320</v>
      </c>
      <c r="O170" s="10" t="str">
        <f>INDEX('2017 - 2022 NAICS'!D:D,MATCH('Facility Summary_Water'!N170,'2017 - 2022 NAICS'!C:C,0))</f>
        <v>Sewage Treatment Facilities</v>
      </c>
      <c r="P170" s="10" t="str">
        <f>IFERROR(VLOOKUP(L170, 'Processed Non-zero TRI Data'!I:Q, 8, 0), "Direct")</f>
        <v>Direct</v>
      </c>
      <c r="Q170" s="10" t="e">
        <f>VLOOKUP(R170,#REF!, 2, FALSE)</f>
        <v>#REF!</v>
      </c>
      <c r="R170" s="10" t="str">
        <f>INDEX('Facility Discharge Summary'!D:D, MATCH('Facility Summary_Water'!M170, 'Facility Discharge Summary'!J:J,0))</f>
        <v>Waste Handling, Disposal and Treatment (POTW)</v>
      </c>
      <c r="S170" s="10" t="str">
        <f>INDEX('Processed Non-zero DMR Data'!T:T, MATCH('Facility Summary_Water'!M170, 'Processed Non-zero DMR Data'!I:I,0))</f>
        <v>POTW indicator in DMR</v>
      </c>
      <c r="T170" s="10" t="s">
        <v>72</v>
      </c>
      <c r="U170" s="9">
        <f>INDEX('TRI and DMR OES Summary'!D:D, MATCH('Facility Summary_Water'!R170,'TRI and DMR OES Summary'!A:A,0))</f>
        <v>365</v>
      </c>
      <c r="V170" s="258">
        <f>INDEX('Facility Discharge Summary'!AR:AR,MATCH('Facility Summary_Water'!M170,'Facility Discharge Summary'!J:J,0))</f>
        <v>0</v>
      </c>
      <c r="W170" s="258">
        <f>INDEX('Facility Discharge Summary'!T:T,MATCH('Facility Summary_Water'!M170,'Facility Discharge Summary'!J:J,0))</f>
        <v>0.13427665999999999</v>
      </c>
    </row>
    <row r="171" spans="1:23" x14ac:dyDescent="0.25">
      <c r="A171" s="9">
        <v>170</v>
      </c>
      <c r="B171" s="10" t="str">
        <f>IF(COUNTIF('Processed Non-zero TRI Data'!J:J,'Facility Summary_Water'!M171)&gt;0, "TRI Form " &amp; INDEX('Processed Non-zero TRI Data'!K:K,MATCH('Facility Summary_Water'!M171,'Processed Non-zero TRI Data'!J:J,0)), "" )</f>
        <v/>
      </c>
      <c r="C171" s="10" t="str">
        <f>IF(COUNTIF('Processed Non-zero DMR Data'!I:I, 'Facility Summary_Water'!M171)&gt;0, "DMR", "")</f>
        <v>DMR</v>
      </c>
      <c r="D171" s="10"/>
      <c r="E171" s="10" t="s">
        <v>455</v>
      </c>
      <c r="F171" s="10"/>
      <c r="G171" s="10" t="s">
        <v>456</v>
      </c>
      <c r="H171" s="10" t="s">
        <v>186</v>
      </c>
      <c r="I171" s="10"/>
      <c r="J171" s="9">
        <f>IF(L171&lt;&gt;"", INDEX('Processed Non-zero TRI Data'!$G:$G, MATCH(L171, 'Processed Non-zero TRI Data'!$I:$I,0)), INDEX('Processed Non-zero DMR Data'!$F:$F, MATCH(M171,'Processed Non-zero DMR Data'!$I:$I, 0)))</f>
        <v>19.713750000000001</v>
      </c>
      <c r="K171" s="9">
        <f>IF(L171&lt;&gt;"", INDEX('Processed Non-zero TRI Data'!$H:$H, MATCH(L171, 'Processed Non-zero TRI Data'!$I:$I,0)), INDEX('Processed Non-zero DMR Data'!$G:$G, MATCH(M171,'Processed Non-zero DMR Data'!$I:$I, 0)))</f>
        <v>-155.01927800000001</v>
      </c>
      <c r="L171" s="10"/>
      <c r="M171" s="259">
        <v>110013786698</v>
      </c>
      <c r="N171" s="9">
        <f>IF(L171&lt;&gt;"",INDEX('Processed Non-zero TRI Data'!L:L,MATCH('Facility Summary_Water'!L171,'Processed Non-zero TRI Data'!I:I,0)),INDEX('Processed Non-zero DMR Data'!$L:$L,MATCH('Facility Summary_Water'!M171,'Processed Non-zero DMR Data'!$I:$I,0)))</f>
        <v>221320</v>
      </c>
      <c r="O171" s="10" t="str">
        <f>INDEX('2017 - 2022 NAICS'!D:D,MATCH('Facility Summary_Water'!N171,'2017 - 2022 NAICS'!C:C,0))</f>
        <v>Sewage Treatment Facilities</v>
      </c>
      <c r="P171" s="10" t="str">
        <f>IFERROR(VLOOKUP(L171, 'Processed Non-zero TRI Data'!I:Q, 8, 0), "Direct")</f>
        <v>Direct</v>
      </c>
      <c r="Q171" s="10" t="e">
        <f>VLOOKUP(R171,#REF!, 2, FALSE)</f>
        <v>#REF!</v>
      </c>
      <c r="R171" s="10" t="str">
        <f>INDEX('Facility Discharge Summary'!D:D, MATCH('Facility Summary_Water'!M171, 'Facility Discharge Summary'!J:J,0))</f>
        <v>Waste Handling, Disposal and Treatment (POTW)</v>
      </c>
      <c r="S171" s="10" t="str">
        <f>INDEX('Processed Non-zero DMR Data'!T:T, MATCH('Facility Summary_Water'!M171, 'Processed Non-zero DMR Data'!I:I,0))</f>
        <v>POTW indicator in DMR</v>
      </c>
      <c r="T171" s="10" t="s">
        <v>72</v>
      </c>
      <c r="U171" s="9">
        <f>INDEX('TRI and DMR OES Summary'!D:D, MATCH('Facility Summary_Water'!R171,'TRI and DMR OES Summary'!A:A,0))</f>
        <v>365</v>
      </c>
      <c r="V171" s="258">
        <f>INDEX('Facility Discharge Summary'!AR:AR,MATCH('Facility Summary_Water'!M171,'Facility Discharge Summary'!J:J,0))</f>
        <v>0</v>
      </c>
      <c r="W171" s="258">
        <f>INDEX('Facility Discharge Summary'!T:T,MATCH('Facility Summary_Water'!M171,'Facility Discharge Summary'!J:J,0))</f>
        <v>2.305765225</v>
      </c>
    </row>
    <row r="172" spans="1:23" x14ac:dyDescent="0.25">
      <c r="A172" s="9">
        <v>171</v>
      </c>
      <c r="B172" s="10" t="str">
        <f>IF(COUNTIF('Processed Non-zero TRI Data'!J:J,'Facility Summary_Water'!M172)&gt;0, "TRI Form " &amp; INDEX('Processed Non-zero TRI Data'!K:K,MATCH('Facility Summary_Water'!M172,'Processed Non-zero TRI Data'!J:J,0)), "" )</f>
        <v/>
      </c>
      <c r="C172" s="10" t="str">
        <f>IF(COUNTIF('Processed Non-zero DMR Data'!I:I, 'Facility Summary_Water'!M172)&gt;0, "DMR", "")</f>
        <v>DMR</v>
      </c>
      <c r="D172" s="10"/>
      <c r="E172" s="10" t="s">
        <v>457</v>
      </c>
      <c r="F172" s="10"/>
      <c r="G172" s="10" t="s">
        <v>157</v>
      </c>
      <c r="H172" s="10" t="s">
        <v>158</v>
      </c>
      <c r="I172" s="10"/>
      <c r="J172" s="9">
        <f>IF(L172&lt;&gt;"", INDEX('Processed Non-zero TRI Data'!$G:$G, MATCH(L172, 'Processed Non-zero TRI Data'!$I:$I,0)), INDEX('Processed Non-zero DMR Data'!$F:$F, MATCH(M172,'Processed Non-zero DMR Data'!$I:$I, 0)))</f>
        <v>36.090899999999998</v>
      </c>
      <c r="K172" s="9">
        <f>IF(L172&lt;&gt;"", INDEX('Processed Non-zero TRI Data'!$H:$H, MATCH(L172, 'Processed Non-zero TRI Data'!$I:$I,0)), INDEX('Processed Non-zero DMR Data'!$G:$G, MATCH(M172,'Processed Non-zero DMR Data'!$I:$I, 0)))</f>
        <v>-115.1833</v>
      </c>
      <c r="L172" s="10"/>
      <c r="M172" s="259">
        <v>110070948151</v>
      </c>
      <c r="N172" s="9">
        <f>IF(L172&lt;&gt;"",INDEX('Processed Non-zero TRI Data'!L:L,MATCH('Facility Summary_Water'!L172,'Processed Non-zero TRI Data'!I:I,0)),INDEX('Processed Non-zero DMR Data'!$L:$L,MATCH('Facility Summary_Water'!M172,'Processed Non-zero DMR Data'!$I:$I,0)))</f>
        <v>711211</v>
      </c>
      <c r="O172" s="10" t="str">
        <f>INDEX('2017 - 2022 NAICS'!D:D,MATCH('Facility Summary_Water'!N172,'2017 - 2022 NAICS'!C:C,0))</f>
        <v>Sports Teams and Clubs</v>
      </c>
      <c r="P172" s="10" t="str">
        <f>IFERROR(VLOOKUP(L172, 'Processed Non-zero TRI Data'!I:Q, 8, 0), "Direct")</f>
        <v>Direct</v>
      </c>
      <c r="Q172" s="10" t="e">
        <f>VLOOKUP(R172,#REF!, 2, FALSE)</f>
        <v>#REF!</v>
      </c>
      <c r="R172" s="10" t="str">
        <f>INDEX('Facility Discharge Summary'!D:D, MATCH('Facility Summary_Water'!M172, 'Facility Discharge Summary'!J:J,0))</f>
        <v>Unknown</v>
      </c>
      <c r="S172" s="10" t="str">
        <f>INDEX('Processed Non-zero DMR Data'!T:T, MATCH('Facility Summary_Water'!M172, 'Processed Non-zero DMR Data'!I:I,0))</f>
        <v>unknown -stadium</v>
      </c>
      <c r="T172" s="10" t="s">
        <v>72</v>
      </c>
      <c r="U172" s="9">
        <f>INDEX('TRI and DMR OES Summary'!D:D, MATCH('Facility Summary_Water'!R172,'TRI and DMR OES Summary'!A:A,0))</f>
        <v>250</v>
      </c>
      <c r="V172" s="258">
        <f>INDEX('Facility Discharge Summary'!AR:AR,MATCH('Facility Summary_Water'!M172,'Facility Discharge Summary'!J:J,0))</f>
        <v>0</v>
      </c>
      <c r="W172" s="258">
        <f>INDEX('Facility Discharge Summary'!T:T,MATCH('Facility Summary_Water'!M172,'Facility Discharge Summary'!J:J,0))</f>
        <v>6.2714327375000004E-2</v>
      </c>
    </row>
    <row r="173" spans="1:23" ht="30" x14ac:dyDescent="0.25">
      <c r="A173" s="9">
        <v>172</v>
      </c>
      <c r="B173" s="10" t="str">
        <f>IF(COUNTIF('Processed Non-zero TRI Data'!J:J,'Facility Summary_Water'!M173)&gt;0, "TRI Form " &amp; INDEX('Processed Non-zero TRI Data'!K:K,MATCH('Facility Summary_Water'!M173,'Processed Non-zero TRI Data'!J:J,0)), "" )</f>
        <v/>
      </c>
      <c r="C173" s="10" t="str">
        <f>IF(COUNTIF('Processed Non-zero DMR Data'!I:I, 'Facility Summary_Water'!M173)&gt;0, "DMR", "")</f>
        <v>DMR</v>
      </c>
      <c r="D173" s="10"/>
      <c r="E173" s="10" t="s">
        <v>458</v>
      </c>
      <c r="F173" s="10"/>
      <c r="G173" s="10" t="s">
        <v>459</v>
      </c>
      <c r="H173" s="10" t="s">
        <v>309</v>
      </c>
      <c r="I173" s="10"/>
      <c r="J173" s="9">
        <f>IF(L173&lt;&gt;"", INDEX('Processed Non-zero TRI Data'!$G:$G, MATCH(L173, 'Processed Non-zero TRI Data'!$I:$I,0)), INDEX('Processed Non-zero DMR Data'!$F:$F, MATCH(M173,'Processed Non-zero DMR Data'!$I:$I, 0)))</f>
        <v>35.607599999999998</v>
      </c>
      <c r="K173" s="9">
        <f>IF(L173&lt;&gt;"", INDEX('Processed Non-zero TRI Data'!$H:$H, MATCH(L173, 'Processed Non-zero TRI Data'!$I:$I,0)), INDEX('Processed Non-zero DMR Data'!$G:$G, MATCH(M173,'Processed Non-zero DMR Data'!$I:$I, 0)))</f>
        <v>-89.237700000000004</v>
      </c>
      <c r="L173" s="10"/>
      <c r="M173" s="259">
        <v>110000373621</v>
      </c>
      <c r="N173" s="9">
        <f>IF(L173&lt;&gt;"",INDEX('Processed Non-zero TRI Data'!L:L,MATCH('Facility Summary_Water'!L173,'Processed Non-zero TRI Data'!I:I,0)),INDEX('Processed Non-zero DMR Data'!$L:$L,MATCH('Facility Summary_Water'!M173,'Processed Non-zero DMR Data'!$I:$I,0)))</f>
        <v>325991</v>
      </c>
      <c r="O173" s="10" t="str">
        <f>INDEX('2017 - 2022 NAICS'!D:D,MATCH('Facility Summary_Water'!N173,'2017 - 2022 NAICS'!C:C,0))</f>
        <v>Custom Compounding of Purchased Resins</v>
      </c>
      <c r="P173" s="10" t="str">
        <f>IFERROR(VLOOKUP(L173, 'Processed Non-zero TRI Data'!I:Q, 8, 0), "Direct")</f>
        <v>Direct</v>
      </c>
      <c r="Q173" s="10" t="e">
        <f>VLOOKUP(R173,#REF!, 2, FALSE)</f>
        <v>#REF!</v>
      </c>
      <c r="R173" s="10" t="str">
        <f>INDEX('Facility Discharge Summary'!D:D, MATCH('Facility Summary_Water'!M173, 'Facility Discharge Summary'!J:J,0))</f>
        <v>Impurity in Plastics</v>
      </c>
      <c r="S173" s="10" t="str">
        <f>INDEX('Processed Non-zero DMR Data'!T:T, MATCH('Facility Summary_Water'!M173, 'Processed Non-zero DMR Data'!I:I,0))</f>
        <v>Facility is a plastics manufacturer; assumed Impurity in Plastics</v>
      </c>
      <c r="T173" s="10" t="s">
        <v>72</v>
      </c>
      <c r="U173" s="9">
        <f>INDEX('TRI and DMR OES Summary'!D:D, MATCH('Facility Summary_Water'!R173,'TRI and DMR OES Summary'!A:A,0))</f>
        <v>350</v>
      </c>
      <c r="V173" s="258">
        <f>INDEX('Facility Discharge Summary'!AR:AR,MATCH('Facility Summary_Water'!M173,'Facility Discharge Summary'!J:J,0))</f>
        <v>0</v>
      </c>
      <c r="W173" s="258">
        <f>INDEX('Facility Discharge Summary'!T:T,MATCH('Facility Summary_Water'!M173,'Facility Discharge Summary'!J:J,0))</f>
        <v>0.78056162500000004</v>
      </c>
    </row>
    <row r="174" spans="1:23" x14ac:dyDescent="0.25">
      <c r="A174" s="9">
        <v>173</v>
      </c>
      <c r="B174" s="10" t="str">
        <f>IF(COUNTIF('Processed Non-zero TRI Data'!J:J,'Facility Summary_Water'!M174)&gt;0, "TRI Form " &amp; INDEX('Processed Non-zero TRI Data'!K:K,MATCH('Facility Summary_Water'!M174,'Processed Non-zero TRI Data'!J:J,0)), "" )</f>
        <v/>
      </c>
      <c r="C174" s="10" t="str">
        <f>IF(COUNTIF('Processed Non-zero DMR Data'!I:I, 'Facility Summary_Water'!M174)&gt;0, "DMR", "")</f>
        <v>DMR</v>
      </c>
      <c r="D174" s="10"/>
      <c r="E174" s="10" t="s">
        <v>460</v>
      </c>
      <c r="F174" s="10"/>
      <c r="G174" s="10" t="s">
        <v>461</v>
      </c>
      <c r="H174" s="10" t="s">
        <v>138</v>
      </c>
      <c r="I174" s="10"/>
      <c r="J174" s="9">
        <f>IF(L174&lt;&gt;"", INDEX('Processed Non-zero TRI Data'!$G:$G, MATCH(L174, 'Processed Non-zero TRI Data'!$I:$I,0)), INDEX('Processed Non-zero DMR Data'!$F:$F, MATCH(M174,'Processed Non-zero DMR Data'!$I:$I, 0)))</f>
        <v>38.369734999999999</v>
      </c>
      <c r="K174" s="9">
        <f>IF(L174&lt;&gt;"", INDEX('Processed Non-zero TRI Data'!$H:$H, MATCH(L174, 'Processed Non-zero TRI Data'!$I:$I,0)), INDEX('Processed Non-zero DMR Data'!$G:$G, MATCH(M174,'Processed Non-zero DMR Data'!$I:$I, 0)))</f>
        <v>-85.180234999999996</v>
      </c>
      <c r="L174" s="10"/>
      <c r="M174" s="259">
        <v>110064268260</v>
      </c>
      <c r="N174" s="9">
        <f>IF(L174&lt;&gt;"",INDEX('Processed Non-zero TRI Data'!L:L,MATCH('Facility Summary_Water'!L174,'Processed Non-zero TRI Data'!I:I,0)),INDEX('Processed Non-zero DMR Data'!$L:$L,MATCH('Facility Summary_Water'!M174,'Processed Non-zero DMR Data'!$I:$I,0)))</f>
        <v>221320</v>
      </c>
      <c r="O174" s="10" t="str">
        <f>INDEX('2017 - 2022 NAICS'!D:D,MATCH('Facility Summary_Water'!N174,'2017 - 2022 NAICS'!C:C,0))</f>
        <v>Sewage Treatment Facilities</v>
      </c>
      <c r="P174" s="10" t="str">
        <f>IFERROR(VLOOKUP(L174, 'Processed Non-zero TRI Data'!I:Q, 8, 0), "Direct")</f>
        <v>Direct</v>
      </c>
      <c r="Q174" s="10" t="e">
        <f>VLOOKUP(R174,#REF!, 2, FALSE)</f>
        <v>#REF!</v>
      </c>
      <c r="R174" s="10" t="str">
        <f>INDEX('Facility Discharge Summary'!D:D, MATCH('Facility Summary_Water'!M174, 'Facility Discharge Summary'!J:J,0))</f>
        <v>Waste Handling, Disposal and Treatment (POTW)</v>
      </c>
      <c r="S174" s="10" t="str">
        <f>INDEX('Processed Non-zero DMR Data'!T:T, MATCH('Facility Summary_Water'!M174, 'Processed Non-zero DMR Data'!I:I,0))</f>
        <v>POTW indicator in DMR</v>
      </c>
      <c r="T174" s="10" t="s">
        <v>72</v>
      </c>
      <c r="U174" s="9">
        <f>INDEX('TRI and DMR OES Summary'!D:D, MATCH('Facility Summary_Water'!R174,'TRI and DMR OES Summary'!A:A,0))</f>
        <v>365</v>
      </c>
      <c r="V174" s="258">
        <f>INDEX('Facility Discharge Summary'!AR:AR,MATCH('Facility Summary_Water'!M174,'Facility Discharge Summary'!J:J,0))</f>
        <v>0</v>
      </c>
      <c r="W174" s="258">
        <f>INDEX('Facility Discharge Summary'!T:T,MATCH('Facility Summary_Water'!M174,'Facility Discharge Summary'!J:J,0))</f>
        <v>2.3520463125000002</v>
      </c>
    </row>
    <row r="175" spans="1:23" ht="30" x14ac:dyDescent="0.25">
      <c r="A175" s="9">
        <v>174</v>
      </c>
      <c r="B175" s="10" t="str">
        <f>IF(COUNTIF('Processed Non-zero TRI Data'!J:J,'Facility Summary_Water'!M175)&gt;0, "TRI Form " &amp; INDEX('Processed Non-zero TRI Data'!K:K,MATCH('Facility Summary_Water'!M175,'Processed Non-zero TRI Data'!J:J,0)), "" )</f>
        <v/>
      </c>
      <c r="C175" s="10" t="str">
        <f>IF(COUNTIF('Processed Non-zero DMR Data'!I:I, 'Facility Summary_Water'!M175)&gt;0, "DMR", "")</f>
        <v>DMR</v>
      </c>
      <c r="D175" s="10"/>
      <c r="E175" s="10" t="s">
        <v>462</v>
      </c>
      <c r="F175" s="10"/>
      <c r="G175" s="10" t="s">
        <v>463</v>
      </c>
      <c r="H175" s="10" t="s">
        <v>186</v>
      </c>
      <c r="I175" s="10"/>
      <c r="J175" s="9">
        <f>IF(L175&lt;&gt;"", INDEX('Processed Non-zero TRI Data'!$G:$G, MATCH(L175, 'Processed Non-zero TRI Data'!$I:$I,0)), INDEX('Processed Non-zero DMR Data'!$F:$F, MATCH(M175,'Processed Non-zero DMR Data'!$I:$I, 0)))</f>
        <v>21.994944</v>
      </c>
      <c r="K175" s="9">
        <f>IF(L175&lt;&gt;"", INDEX('Processed Non-zero TRI Data'!$H:$H, MATCH(L175, 'Processed Non-zero TRI Data'!$I:$I,0)), INDEX('Processed Non-zero DMR Data'!$G:$G, MATCH(M175,'Processed Non-zero DMR Data'!$I:$I, 0)))</f>
        <v>-159.75363899999999</v>
      </c>
      <c r="L175" s="10"/>
      <c r="M175" s="259">
        <v>110006777247</v>
      </c>
      <c r="N175" s="9" t="e">
        <f>IF(L175&lt;&gt;"",INDEX('Processed Non-zero TRI Data'!L:L,MATCH('Facility Summary_Water'!L175,'Processed Non-zero TRI Data'!I:I,0)),INDEX('Processed Non-zero DMR Data'!$L:$L,MATCH('Facility Summary_Water'!M175,'Processed Non-zero DMR Data'!$I:$I,0)))</f>
        <v>#N/A</v>
      </c>
      <c r="O175" s="10" t="e">
        <f>INDEX('2017 - 2022 NAICS'!D:D,MATCH('Facility Summary_Water'!N175,'2017 - 2022 NAICS'!C:C,0))</f>
        <v>#N/A</v>
      </c>
      <c r="P175" s="10" t="str">
        <f>IFERROR(VLOOKUP(L175, 'Processed Non-zero TRI Data'!I:Q, 8, 0), "Direct")</f>
        <v>Direct</v>
      </c>
      <c r="Q175" s="10" t="e">
        <f>VLOOKUP(R175,#REF!, 2, FALSE)</f>
        <v>#REF!</v>
      </c>
      <c r="R175" s="10" t="str">
        <f>INDEX('Facility Discharge Summary'!D:D, MATCH('Facility Summary_Water'!M175, 'Facility Discharge Summary'!J:J,0))</f>
        <v>Unknown</v>
      </c>
      <c r="S175" s="10" t="str">
        <f>INDEX('Processed Non-zero DMR Data'!T:T, MATCH('Facility Summary_Water'!M175, 'Processed Non-zero DMR Data'!I:I,0))</f>
        <v>Facility is a farm growing fresh produce for sale; no OES to map to.</v>
      </c>
      <c r="T175" s="10" t="s">
        <v>72</v>
      </c>
      <c r="U175" s="9">
        <f>INDEX('TRI and DMR OES Summary'!D:D, MATCH('Facility Summary_Water'!R175,'TRI and DMR OES Summary'!A:A,0))</f>
        <v>250</v>
      </c>
      <c r="V175" s="258">
        <f>INDEX('Facility Discharge Summary'!AR:AR,MATCH('Facility Summary_Water'!M175,'Facility Discharge Summary'!J:J,0))</f>
        <v>0</v>
      </c>
      <c r="W175" s="258">
        <f>INDEX('Facility Discharge Summary'!T:T,MATCH('Facility Summary_Water'!M175,'Facility Discharge Summary'!J:J,0))</f>
        <v>3.4399972499999998</v>
      </c>
    </row>
    <row r="176" spans="1:23" x14ac:dyDescent="0.25">
      <c r="A176" s="9">
        <v>175</v>
      </c>
      <c r="B176" s="10" t="str">
        <f>IF(COUNTIF('Processed Non-zero TRI Data'!J:J,'Facility Summary_Water'!M176)&gt;0, "TRI Form " &amp; INDEX('Processed Non-zero TRI Data'!K:K,MATCH('Facility Summary_Water'!M176,'Processed Non-zero TRI Data'!J:J,0)), "" )</f>
        <v/>
      </c>
      <c r="C176" s="10" t="str">
        <f>IF(COUNTIF('Processed Non-zero DMR Data'!I:I, 'Facility Summary_Water'!M176)&gt;0, "DMR", "")</f>
        <v>DMR</v>
      </c>
      <c r="D176" s="10"/>
      <c r="E176" s="10" t="s">
        <v>464</v>
      </c>
      <c r="F176" s="10"/>
      <c r="G176" s="10" t="s">
        <v>465</v>
      </c>
      <c r="H176" s="10" t="s">
        <v>146</v>
      </c>
      <c r="I176" s="10"/>
      <c r="J176" s="9">
        <f>IF(L176&lt;&gt;"", INDEX('Processed Non-zero TRI Data'!$G:$G, MATCH(L176, 'Processed Non-zero TRI Data'!$I:$I,0)), INDEX('Processed Non-zero DMR Data'!$F:$F, MATCH(M176,'Processed Non-zero DMR Data'!$I:$I, 0)))</f>
        <v>38.662149999999997</v>
      </c>
      <c r="K176" s="9">
        <f>IF(L176&lt;&gt;"", INDEX('Processed Non-zero TRI Data'!$H:$H, MATCH(L176, 'Processed Non-zero TRI Data'!$I:$I,0)), INDEX('Processed Non-zero DMR Data'!$G:$G, MATCH(M176,'Processed Non-zero DMR Data'!$I:$I, 0)))</f>
        <v>-121.71407000000001</v>
      </c>
      <c r="L176" s="10"/>
      <c r="M176" s="259">
        <v>110039782349</v>
      </c>
      <c r="N176" s="9">
        <f>IF(L176&lt;&gt;"",INDEX('Processed Non-zero TRI Data'!L:L,MATCH('Facility Summary_Water'!L176,'Processed Non-zero TRI Data'!I:I,0)),INDEX('Processed Non-zero DMR Data'!$L:$L,MATCH('Facility Summary_Water'!M176,'Processed Non-zero DMR Data'!$I:$I,0)))</f>
        <v>221320</v>
      </c>
      <c r="O176" s="10" t="str">
        <f>INDEX('2017 - 2022 NAICS'!D:D,MATCH('Facility Summary_Water'!N176,'2017 - 2022 NAICS'!C:C,0))</f>
        <v>Sewage Treatment Facilities</v>
      </c>
      <c r="P176" s="10" t="str">
        <f>IFERROR(VLOOKUP(L176, 'Processed Non-zero TRI Data'!I:Q, 8, 0), "Direct")</f>
        <v>Direct</v>
      </c>
      <c r="Q176" s="10" t="e">
        <f>VLOOKUP(R176,#REF!, 2, FALSE)</f>
        <v>#REF!</v>
      </c>
      <c r="R176" s="10" t="str">
        <f>INDEX('Facility Discharge Summary'!D:D, MATCH('Facility Summary_Water'!M176, 'Facility Discharge Summary'!J:J,0))</f>
        <v>Waste Handling, Disposal and Treatment (POTW)</v>
      </c>
      <c r="S176" s="10" t="str">
        <f>INDEX('Processed Non-zero DMR Data'!T:T, MATCH('Facility Summary_Water'!M176, 'Processed Non-zero DMR Data'!I:I,0))</f>
        <v>POTW indicator in DMR</v>
      </c>
      <c r="T176" s="10" t="s">
        <v>72</v>
      </c>
      <c r="U176" s="9">
        <f>INDEX('TRI and DMR OES Summary'!D:D, MATCH('Facility Summary_Water'!R176,'TRI and DMR OES Summary'!A:A,0))</f>
        <v>365</v>
      </c>
      <c r="V176" s="258">
        <f>INDEX('Facility Discharge Summary'!AR:AR,MATCH('Facility Summary_Water'!M176,'Facility Discharge Summary'!J:J,0))</f>
        <v>0</v>
      </c>
      <c r="W176" s="258">
        <f>INDEX('Facility Discharge Summary'!T:T,MATCH('Facility Summary_Water'!M176,'Facility Discharge Summary'!J:J,0))</f>
        <v>0.32078026399999998</v>
      </c>
    </row>
    <row r="177" spans="1:23" x14ac:dyDescent="0.25">
      <c r="A177" s="9">
        <v>176</v>
      </c>
      <c r="B177" s="10" t="str">
        <f>IF(COUNTIF('Processed Non-zero TRI Data'!J:J,'Facility Summary_Water'!M177)&gt;0, "TRI Form " &amp; INDEX('Processed Non-zero TRI Data'!K:K,MATCH('Facility Summary_Water'!M177,'Processed Non-zero TRI Data'!J:J,0)), "" )</f>
        <v/>
      </c>
      <c r="C177" s="10" t="str">
        <f>IF(COUNTIF('Processed Non-zero DMR Data'!I:I, 'Facility Summary_Water'!M177)&gt;0, "DMR", "")</f>
        <v>DMR</v>
      </c>
      <c r="D177" s="10"/>
      <c r="E177" s="10" t="s">
        <v>466</v>
      </c>
      <c r="F177" s="10"/>
      <c r="G177" s="10" t="s">
        <v>467</v>
      </c>
      <c r="H177" s="10" t="s">
        <v>138</v>
      </c>
      <c r="I177" s="10"/>
      <c r="J177" s="9">
        <f>IF(L177&lt;&gt;"", INDEX('Processed Non-zero TRI Data'!$G:$G, MATCH(L177, 'Processed Non-zero TRI Data'!$I:$I,0)), INDEX('Processed Non-zero DMR Data'!$F:$F, MATCH(M177,'Processed Non-zero DMR Data'!$I:$I, 0)))</f>
        <v>37.616959999999999</v>
      </c>
      <c r="K177" s="9">
        <f>IF(L177&lt;&gt;"", INDEX('Processed Non-zero TRI Data'!$H:$H, MATCH(L177, 'Processed Non-zero TRI Data'!$I:$I,0)), INDEX('Processed Non-zero DMR Data'!$G:$G, MATCH(M177,'Processed Non-zero DMR Data'!$I:$I, 0)))</f>
        <v>-84.585099999999997</v>
      </c>
      <c r="L177" s="10"/>
      <c r="M177" s="259">
        <v>110039705049</v>
      </c>
      <c r="N177" s="9">
        <f>IF(L177&lt;&gt;"",INDEX('Processed Non-zero TRI Data'!L:L,MATCH('Facility Summary_Water'!L177,'Processed Non-zero TRI Data'!I:I,0)),INDEX('Processed Non-zero DMR Data'!$L:$L,MATCH('Facility Summary_Water'!M177,'Processed Non-zero DMR Data'!$I:$I,0)))</f>
        <v>221320</v>
      </c>
      <c r="O177" s="10" t="str">
        <f>INDEX('2017 - 2022 NAICS'!D:D,MATCH('Facility Summary_Water'!N177,'2017 - 2022 NAICS'!C:C,0))</f>
        <v>Sewage Treatment Facilities</v>
      </c>
      <c r="P177" s="10" t="str">
        <f>IFERROR(VLOOKUP(L177, 'Processed Non-zero TRI Data'!I:Q, 8, 0), "Direct")</f>
        <v>Direct</v>
      </c>
      <c r="Q177" s="10" t="e">
        <f>VLOOKUP(R177,#REF!, 2, FALSE)</f>
        <v>#REF!</v>
      </c>
      <c r="R177" s="10" t="str">
        <f>INDEX('Facility Discharge Summary'!D:D, MATCH('Facility Summary_Water'!M177, 'Facility Discharge Summary'!J:J,0))</f>
        <v>Waste Handling, Disposal and Treatment (POTW)</v>
      </c>
      <c r="S177" s="10" t="str">
        <f>INDEX('Processed Non-zero DMR Data'!T:T, MATCH('Facility Summary_Water'!M177, 'Processed Non-zero DMR Data'!I:I,0))</f>
        <v>POTW indicator in DMR</v>
      </c>
      <c r="T177" s="10" t="s">
        <v>72</v>
      </c>
      <c r="U177" s="9">
        <f>INDEX('TRI and DMR OES Summary'!D:D, MATCH('Facility Summary_Water'!R177,'TRI and DMR OES Summary'!A:A,0))</f>
        <v>365</v>
      </c>
      <c r="V177" s="258">
        <f>INDEX('Facility Discharge Summary'!AR:AR,MATCH('Facility Summary_Water'!M177,'Facility Discharge Summary'!J:J,0))</f>
        <v>0</v>
      </c>
      <c r="W177" s="258">
        <f>INDEX('Facility Discharge Summary'!T:T,MATCH('Facility Summary_Water'!M177,'Facility Discharge Summary'!J:J,0))</f>
        <v>3.2700696749999998</v>
      </c>
    </row>
    <row r="178" spans="1:23" x14ac:dyDescent="0.25">
      <c r="A178" s="9">
        <v>177</v>
      </c>
      <c r="B178" s="10" t="str">
        <f>IF(COUNTIF('Processed Non-zero TRI Data'!J:J,'Facility Summary_Water'!M178)&gt;0, "TRI Form " &amp; INDEX('Processed Non-zero TRI Data'!K:K,MATCH('Facility Summary_Water'!M178,'Processed Non-zero TRI Data'!J:J,0)), "" )</f>
        <v/>
      </c>
      <c r="C178" s="10" t="str">
        <f>IF(COUNTIF('Processed Non-zero DMR Data'!I:I, 'Facility Summary_Water'!M178)&gt;0, "DMR", "")</f>
        <v>DMR</v>
      </c>
      <c r="D178" s="10"/>
      <c r="E178" s="10" t="s">
        <v>468</v>
      </c>
      <c r="F178" s="10"/>
      <c r="G178" s="10" t="s">
        <v>469</v>
      </c>
      <c r="H178" s="10" t="s">
        <v>146</v>
      </c>
      <c r="I178" s="10"/>
      <c r="J178" s="9">
        <f>IF(L178&lt;&gt;"", INDEX('Processed Non-zero TRI Data'!$G:$G, MATCH(L178, 'Processed Non-zero TRI Data'!$I:$I,0)), INDEX('Processed Non-zero DMR Data'!$F:$F, MATCH(M178,'Processed Non-zero DMR Data'!$I:$I, 0)))</f>
        <v>37.894722000000002</v>
      </c>
      <c r="K178" s="9">
        <f>IF(L178&lt;&gt;"", INDEX('Processed Non-zero TRI Data'!$H:$H, MATCH(L178, 'Processed Non-zero TRI Data'!$I:$I,0)), INDEX('Processed Non-zero DMR Data'!$G:$G, MATCH(M178,'Processed Non-zero DMR Data'!$I:$I, 0)))</f>
        <v>-121.587222</v>
      </c>
      <c r="L178" s="10"/>
      <c r="M178" s="259">
        <v>110001103911</v>
      </c>
      <c r="N178" s="9">
        <f>IF(L178&lt;&gt;"",INDEX('Processed Non-zero TRI Data'!L:L,MATCH('Facility Summary_Water'!L178,'Processed Non-zero TRI Data'!I:I,0)),INDEX('Processed Non-zero DMR Data'!$L:$L,MATCH('Facility Summary_Water'!M178,'Processed Non-zero DMR Data'!$I:$I,0)))</f>
        <v>221320</v>
      </c>
      <c r="O178" s="10" t="str">
        <f>INDEX('2017 - 2022 NAICS'!D:D,MATCH('Facility Summary_Water'!N178,'2017 - 2022 NAICS'!C:C,0))</f>
        <v>Sewage Treatment Facilities</v>
      </c>
      <c r="P178" s="10" t="str">
        <f>IFERROR(VLOOKUP(L178, 'Processed Non-zero TRI Data'!I:Q, 8, 0), "Direct")</f>
        <v>Direct</v>
      </c>
      <c r="Q178" s="10" t="e">
        <f>VLOOKUP(R178,#REF!, 2, FALSE)</f>
        <v>#REF!</v>
      </c>
      <c r="R178" s="10" t="str">
        <f>INDEX('Facility Discharge Summary'!D:D, MATCH('Facility Summary_Water'!M178, 'Facility Discharge Summary'!J:J,0))</f>
        <v>Waste Handling, Disposal and Treatment (POTW)</v>
      </c>
      <c r="S178" s="10" t="str">
        <f>INDEX('Processed Non-zero DMR Data'!T:T, MATCH('Facility Summary_Water'!M178, 'Processed Non-zero DMR Data'!I:I,0))</f>
        <v>POTW indicator in DMR</v>
      </c>
      <c r="T178" s="10" t="s">
        <v>72</v>
      </c>
      <c r="U178" s="9">
        <f>INDEX('TRI and DMR OES Summary'!D:D, MATCH('Facility Summary_Water'!R178,'TRI and DMR OES Summary'!A:A,0))</f>
        <v>365</v>
      </c>
      <c r="V178" s="258">
        <f>INDEX('Facility Discharge Summary'!AR:AR,MATCH('Facility Summary_Water'!M178,'Facility Discharge Summary'!J:J,0))</f>
        <v>0</v>
      </c>
      <c r="W178" s="258">
        <f>INDEX('Facility Discharge Summary'!T:T,MATCH('Facility Summary_Water'!M178,'Facility Discharge Summary'!J:J,0))</f>
        <v>6.99504336E-2</v>
      </c>
    </row>
    <row r="179" spans="1:23" x14ac:dyDescent="0.25">
      <c r="A179" s="9">
        <v>178</v>
      </c>
      <c r="B179" s="10" t="str">
        <f>IF(COUNTIF('Processed Non-zero TRI Data'!J:J,'Facility Summary_Water'!M179)&gt;0, "TRI Form " &amp; INDEX('Processed Non-zero TRI Data'!K:K,MATCH('Facility Summary_Water'!M179,'Processed Non-zero TRI Data'!J:J,0)), "" )</f>
        <v/>
      </c>
      <c r="C179" s="10" t="str">
        <f>IF(COUNTIF('Processed Non-zero DMR Data'!I:I, 'Facility Summary_Water'!M179)&gt;0, "DMR", "")</f>
        <v>DMR</v>
      </c>
      <c r="D179" s="10"/>
      <c r="E179" s="10" t="s">
        <v>470</v>
      </c>
      <c r="F179" s="10"/>
      <c r="G179" s="10" t="s">
        <v>157</v>
      </c>
      <c r="H179" s="10" t="s">
        <v>158</v>
      </c>
      <c r="I179" s="10"/>
      <c r="J179" s="9">
        <f>IF(L179&lt;&gt;"", INDEX('Processed Non-zero TRI Data'!$G:$G, MATCH(L179, 'Processed Non-zero TRI Data'!$I:$I,0)), INDEX('Processed Non-zero DMR Data'!$F:$F, MATCH(M179,'Processed Non-zero DMR Data'!$I:$I, 0)))</f>
        <v>36.137529999999998</v>
      </c>
      <c r="K179" s="9">
        <f>IF(L179&lt;&gt;"", INDEX('Processed Non-zero TRI Data'!$H:$H, MATCH(L179, 'Processed Non-zero TRI Data'!$I:$I,0)), INDEX('Processed Non-zero DMR Data'!$G:$G, MATCH(M179,'Processed Non-zero DMR Data'!$I:$I, 0)))</f>
        <v>-115.15479000000001</v>
      </c>
      <c r="L179" s="10"/>
      <c r="M179" s="259">
        <v>110020039402</v>
      </c>
      <c r="N179" s="9">
        <f>IF(L179&lt;&gt;"",INDEX('Processed Non-zero TRI Data'!L:L,MATCH('Facility Summary_Water'!L179,'Processed Non-zero TRI Data'!I:I,0)),INDEX('Processed Non-zero DMR Data'!$L:$L,MATCH('Facility Summary_Water'!M179,'Processed Non-zero DMR Data'!$I:$I,0)))</f>
        <v>721110</v>
      </c>
      <c r="O179" s="10" t="str">
        <f>INDEX('2017 - 2022 NAICS'!D:D,MATCH('Facility Summary_Water'!N179,'2017 - 2022 NAICS'!C:C,0))</f>
        <v>Hotels (except Casino Hotels) and Motels</v>
      </c>
      <c r="P179" s="10" t="str">
        <f>IFERROR(VLOOKUP(L179, 'Processed Non-zero TRI Data'!I:Q, 8, 0), "Direct")</f>
        <v>Direct</v>
      </c>
      <c r="Q179" s="10" t="e">
        <f>VLOOKUP(R179,#REF!, 2, FALSE)</f>
        <v>#REF!</v>
      </c>
      <c r="R179" s="10" t="str">
        <f>INDEX('Facility Discharge Summary'!D:D, MATCH('Facility Summary_Water'!M179, 'Facility Discharge Summary'!J:J,0))</f>
        <v>Unknown</v>
      </c>
      <c r="S179" s="10" t="str">
        <f>INDEX('Processed Non-zero DMR Data'!T:T, MATCH('Facility Summary_Water'!M179, 'Processed Non-zero DMR Data'!I:I,0))</f>
        <v>Social club; no OES to map to.</v>
      </c>
      <c r="T179" s="10" t="s">
        <v>72</v>
      </c>
      <c r="U179" s="9">
        <f>INDEX('TRI and DMR OES Summary'!D:D, MATCH('Facility Summary_Water'!R179,'TRI and DMR OES Summary'!A:A,0))</f>
        <v>250</v>
      </c>
      <c r="V179" s="258">
        <f>INDEX('Facility Discharge Summary'!AR:AR,MATCH('Facility Summary_Water'!M179,'Facility Discharge Summary'!J:J,0))</f>
        <v>0</v>
      </c>
      <c r="W179" s="258">
        <f>INDEX('Facility Discharge Summary'!T:T,MATCH('Facility Summary_Water'!M179,'Facility Discharge Summary'!J:J,0))</f>
        <v>3.3080986137137502E-3</v>
      </c>
    </row>
    <row r="180" spans="1:23" ht="30" x14ac:dyDescent="0.25">
      <c r="A180" s="9">
        <v>179</v>
      </c>
      <c r="B180" s="10" t="str">
        <f>IF(COUNTIF('Processed Non-zero TRI Data'!J:J,'Facility Summary_Water'!M180)&gt;0, "TRI Form " &amp; INDEX('Processed Non-zero TRI Data'!K:K,MATCH('Facility Summary_Water'!M180,'Processed Non-zero TRI Data'!J:J,0)), "" )</f>
        <v/>
      </c>
      <c r="C180" s="10" t="str">
        <f>IF(COUNTIF('Processed Non-zero DMR Data'!I:I, 'Facility Summary_Water'!M180)&gt;0, "DMR", "")</f>
        <v>DMR</v>
      </c>
      <c r="D180" s="10"/>
      <c r="E180" s="10" t="s">
        <v>471</v>
      </c>
      <c r="F180" s="10"/>
      <c r="G180" s="10" t="s">
        <v>472</v>
      </c>
      <c r="H180" s="10" t="s">
        <v>106</v>
      </c>
      <c r="I180" s="10"/>
      <c r="J180" s="9">
        <f>IF(L180&lt;&gt;"", INDEX('Processed Non-zero TRI Data'!$G:$G, MATCH(L180, 'Processed Non-zero TRI Data'!$I:$I,0)), INDEX('Processed Non-zero DMR Data'!$F:$F, MATCH(M180,'Processed Non-zero DMR Data'!$I:$I, 0)))</f>
        <v>30.584540000000001</v>
      </c>
      <c r="K180" s="9">
        <f>IF(L180&lt;&gt;"", INDEX('Processed Non-zero TRI Data'!$H:$H, MATCH(L180, 'Processed Non-zero TRI Data'!$I:$I,0)), INDEX('Processed Non-zero DMR Data'!$G:$G, MATCH(M180,'Processed Non-zero DMR Data'!$I:$I, 0)))</f>
        <v>-91.247479999999996</v>
      </c>
      <c r="L180" s="10"/>
      <c r="M180" s="259">
        <v>110064644782</v>
      </c>
      <c r="N180" s="9">
        <f>IF(L180&lt;&gt;"",INDEX('Processed Non-zero TRI Data'!L:L,MATCH('Facility Summary_Water'!L180,'Processed Non-zero TRI Data'!I:I,0)),INDEX('Processed Non-zero DMR Data'!$L:$L,MATCH('Facility Summary_Water'!M180,'Processed Non-zero DMR Data'!$I:$I,0)))</f>
        <v>562211</v>
      </c>
      <c r="O180" s="10" t="str">
        <f>INDEX('2017 - 2022 NAICS'!D:D,MATCH('Facility Summary_Water'!N180,'2017 - 2022 NAICS'!C:C,0))</f>
        <v>Hazardous Waste Treatment and Disposal</v>
      </c>
      <c r="P180" s="10" t="str">
        <f>IFERROR(VLOOKUP(L180, 'Processed Non-zero TRI Data'!I:Q, 8, 0), "Direct")</f>
        <v>Direct</v>
      </c>
      <c r="Q180" s="10" t="e">
        <f>VLOOKUP(R180,#REF!, 2, FALSE)</f>
        <v>#REF!</v>
      </c>
      <c r="R180" s="10" t="str">
        <f>INDEX('Facility Discharge Summary'!D:D, MATCH('Facility Summary_Water'!M180, 'Facility Discharge Summary'!J:J,0))</f>
        <v>Waste Handling, Disposal and Treatment (Incinerator)</v>
      </c>
      <c r="S180" s="10" t="str">
        <f>INDEX('Processed Non-zero DMR Data'!T:T, MATCH('Facility Summary_Water'!M180, 'Processed Non-zero DMR Data'!I:I,0))</f>
        <v>Superfund site operating an incinerator: https://www.frtr.gov/costperformance/profile.cfm?ID=217</v>
      </c>
      <c r="T180" s="10" t="s">
        <v>72</v>
      </c>
      <c r="U180" s="9">
        <f>INDEX('TRI and DMR OES Summary'!D:D, MATCH('Facility Summary_Water'!R180,'TRI and DMR OES Summary'!A:A,0))</f>
        <v>250</v>
      </c>
      <c r="V180" s="258">
        <f>INDEX('Facility Discharge Summary'!AR:AR,MATCH('Facility Summary_Water'!M180,'Facility Discharge Summary'!J:J,0))</f>
        <v>0</v>
      </c>
      <c r="W180" s="258">
        <f>INDEX('Facility Discharge Summary'!T:T,MATCH('Facility Summary_Water'!M180,'Facility Discharge Summary'!J:J,0))</f>
        <v>0.99645802500000002</v>
      </c>
    </row>
    <row r="181" spans="1:23" x14ac:dyDescent="0.25">
      <c r="A181" s="9">
        <v>180</v>
      </c>
      <c r="B181" s="10" t="str">
        <f>IF(COUNTIF('Processed Non-zero TRI Data'!J:J,'Facility Summary_Water'!M181)&gt;0, "TRI Form " &amp; INDEX('Processed Non-zero TRI Data'!K:K,MATCH('Facility Summary_Water'!M181,'Processed Non-zero TRI Data'!J:J,0)), "" )</f>
        <v/>
      </c>
      <c r="C181" s="10" t="str">
        <f>IF(COUNTIF('Processed Non-zero DMR Data'!I:I, 'Facility Summary_Water'!M181)&gt;0, "DMR", "")</f>
        <v>DMR</v>
      </c>
      <c r="D181" s="10"/>
      <c r="E181" s="10" t="s">
        <v>473</v>
      </c>
      <c r="F181" s="10"/>
      <c r="G181" s="10" t="s">
        <v>474</v>
      </c>
      <c r="H181" s="10" t="s">
        <v>146</v>
      </c>
      <c r="I181" s="10"/>
      <c r="J181" s="9">
        <f>IF(L181&lt;&gt;"", INDEX('Processed Non-zero TRI Data'!$G:$G, MATCH(L181, 'Processed Non-zero TRI Data'!$I:$I,0)), INDEX('Processed Non-zero DMR Data'!$F:$F, MATCH(M181,'Processed Non-zero DMR Data'!$I:$I, 0)))</f>
        <v>37.908380000000001</v>
      </c>
      <c r="K181" s="9">
        <f>IF(L181&lt;&gt;"", INDEX('Processed Non-zero TRI Data'!$H:$H, MATCH(L181, 'Processed Non-zero TRI Data'!$I:$I,0)), INDEX('Processed Non-zero DMR Data'!$G:$G, MATCH(M181,'Processed Non-zero DMR Data'!$I:$I, 0)))</f>
        <v>-120.61605</v>
      </c>
      <c r="L181" s="10"/>
      <c r="M181" s="259">
        <v>110027858432</v>
      </c>
      <c r="N181" s="9">
        <f>IF(L181&lt;&gt;"",INDEX('Processed Non-zero TRI Data'!L:L,MATCH('Facility Summary_Water'!L181,'Processed Non-zero TRI Data'!I:I,0)),INDEX('Processed Non-zero DMR Data'!$L:$L,MATCH('Facility Summary_Water'!M181,'Processed Non-zero DMR Data'!$I:$I,0)))</f>
        <v>221320</v>
      </c>
      <c r="O181" s="10" t="str">
        <f>INDEX('2017 - 2022 NAICS'!D:D,MATCH('Facility Summary_Water'!N181,'2017 - 2022 NAICS'!C:C,0))</f>
        <v>Sewage Treatment Facilities</v>
      </c>
      <c r="P181" s="10" t="str">
        <f>IFERROR(VLOOKUP(L181, 'Processed Non-zero TRI Data'!I:Q, 8, 0), "Direct")</f>
        <v>Direct</v>
      </c>
      <c r="Q181" s="10" t="e">
        <f>VLOOKUP(R181,#REF!, 2, FALSE)</f>
        <v>#REF!</v>
      </c>
      <c r="R181" s="10" t="str">
        <f>INDEX('Facility Discharge Summary'!D:D, MATCH('Facility Summary_Water'!M181, 'Facility Discharge Summary'!J:J,0))</f>
        <v>Waste Handling, Disposal and Treatment (POTW)</v>
      </c>
      <c r="S181" s="10" t="str">
        <f>INDEX('Processed Non-zero DMR Data'!T:T, MATCH('Facility Summary_Water'!M181, 'Processed Non-zero DMR Data'!I:I,0))</f>
        <v>POTW indicator in DMR</v>
      </c>
      <c r="T181" s="10" t="s">
        <v>72</v>
      </c>
      <c r="U181" s="9">
        <f>INDEX('TRI and DMR OES Summary'!D:D, MATCH('Facility Summary_Water'!R181,'TRI and DMR OES Summary'!A:A,0))</f>
        <v>365</v>
      </c>
      <c r="V181" s="258">
        <f>INDEX('Facility Discharge Summary'!AR:AR,MATCH('Facility Summary_Water'!M181,'Facility Discharge Summary'!J:J,0))</f>
        <v>0</v>
      </c>
      <c r="W181" s="258">
        <f>INDEX('Facility Discharge Summary'!T:T,MATCH('Facility Summary_Water'!M181,'Facility Discharge Summary'!J:J,0))</f>
        <v>0.16820066875</v>
      </c>
    </row>
    <row r="182" spans="1:23" x14ac:dyDescent="0.25">
      <c r="A182" s="9">
        <v>181</v>
      </c>
      <c r="B182" s="10" t="str">
        <f>IF(COUNTIF('Processed Non-zero TRI Data'!J:J,'Facility Summary_Water'!M182)&gt;0, "TRI Form " &amp; INDEX('Processed Non-zero TRI Data'!K:K,MATCH('Facility Summary_Water'!M182,'Processed Non-zero TRI Data'!J:J,0)), "" )</f>
        <v/>
      </c>
      <c r="C182" s="10" t="str">
        <f>IF(COUNTIF('Processed Non-zero DMR Data'!I:I, 'Facility Summary_Water'!M182)&gt;0, "DMR", "")</f>
        <v>DMR</v>
      </c>
      <c r="D182" s="10"/>
      <c r="E182" s="10" t="s">
        <v>475</v>
      </c>
      <c r="F182" s="10"/>
      <c r="G182" s="10" t="s">
        <v>476</v>
      </c>
      <c r="H182" s="10" t="s">
        <v>146</v>
      </c>
      <c r="I182" s="10"/>
      <c r="J182" s="9">
        <f>IF(L182&lt;&gt;"", INDEX('Processed Non-zero TRI Data'!$G:$G, MATCH(L182, 'Processed Non-zero TRI Data'!$I:$I,0)), INDEX('Processed Non-zero DMR Data'!$F:$F, MATCH(M182,'Processed Non-zero DMR Data'!$I:$I, 0)))</f>
        <v>38.730832999999997</v>
      </c>
      <c r="K182" s="9">
        <f>IF(L182&lt;&gt;"", INDEX('Processed Non-zero TRI Data'!$H:$H, MATCH(L182, 'Processed Non-zero TRI Data'!$I:$I,0)), INDEX('Processed Non-zero DMR Data'!$G:$G, MATCH(M182,'Processed Non-zero DMR Data'!$I:$I, 0)))</f>
        <v>-120.846667</v>
      </c>
      <c r="L182" s="10"/>
      <c r="M182" s="259">
        <v>110039757992</v>
      </c>
      <c r="N182" s="9">
        <f>IF(L182&lt;&gt;"",INDEX('Processed Non-zero TRI Data'!L:L,MATCH('Facility Summary_Water'!L182,'Processed Non-zero TRI Data'!I:I,0)),INDEX('Processed Non-zero DMR Data'!$L:$L,MATCH('Facility Summary_Water'!M182,'Processed Non-zero DMR Data'!$I:$I,0)))</f>
        <v>221320</v>
      </c>
      <c r="O182" s="10" t="str">
        <f>INDEX('2017 - 2022 NAICS'!D:D,MATCH('Facility Summary_Water'!N182,'2017 - 2022 NAICS'!C:C,0))</f>
        <v>Sewage Treatment Facilities</v>
      </c>
      <c r="P182" s="10" t="str">
        <f>IFERROR(VLOOKUP(L182, 'Processed Non-zero TRI Data'!I:Q, 8, 0), "Direct")</f>
        <v>Direct</v>
      </c>
      <c r="Q182" s="10" t="e">
        <f>VLOOKUP(R182,#REF!, 2, FALSE)</f>
        <v>#REF!</v>
      </c>
      <c r="R182" s="10" t="str">
        <f>INDEX('Facility Discharge Summary'!D:D, MATCH('Facility Summary_Water'!M182, 'Facility Discharge Summary'!J:J,0))</f>
        <v>Waste Handling, Disposal and Treatment (POTW)</v>
      </c>
      <c r="S182" s="10" t="str">
        <f>INDEX('Processed Non-zero DMR Data'!T:T, MATCH('Facility Summary_Water'!M182, 'Processed Non-zero DMR Data'!I:I,0))</f>
        <v>POTW indicator in DMR</v>
      </c>
      <c r="T182" s="10" t="s">
        <v>72</v>
      </c>
      <c r="U182" s="9">
        <f>INDEX('TRI and DMR OES Summary'!D:D, MATCH('Facility Summary_Water'!R182,'TRI and DMR OES Summary'!A:A,0))</f>
        <v>365</v>
      </c>
      <c r="V182" s="258">
        <f>INDEX('Facility Discharge Summary'!AR:AR,MATCH('Facility Summary_Water'!M182,'Facility Discharge Summary'!J:J,0))</f>
        <v>0</v>
      </c>
      <c r="W182" s="258">
        <f>INDEX('Facility Discharge Summary'!T:T,MATCH('Facility Summary_Water'!M182,'Facility Discharge Summary'!J:J,0))</f>
        <v>7.1705462400000003E-2</v>
      </c>
    </row>
    <row r="183" spans="1:23" x14ac:dyDescent="0.25">
      <c r="A183" s="9">
        <v>182</v>
      </c>
      <c r="B183" s="10" t="str">
        <f>IF(COUNTIF('Processed Non-zero TRI Data'!J:J,'Facility Summary_Water'!M183)&gt;0, "TRI Form " &amp; INDEX('Processed Non-zero TRI Data'!K:K,MATCH('Facility Summary_Water'!M183,'Processed Non-zero TRI Data'!J:J,0)), "" )</f>
        <v/>
      </c>
      <c r="C183" s="10" t="str">
        <f>IF(COUNTIF('Processed Non-zero DMR Data'!I:I, 'Facility Summary_Water'!M183)&gt;0, "DMR", "")</f>
        <v>DMR</v>
      </c>
      <c r="D183" s="10"/>
      <c r="E183" s="10" t="s">
        <v>477</v>
      </c>
      <c r="F183" s="10"/>
      <c r="G183" s="10" t="s">
        <v>478</v>
      </c>
      <c r="H183" s="10" t="s">
        <v>146</v>
      </c>
      <c r="I183" s="10"/>
      <c r="J183" s="9">
        <f>IF(L183&lt;&gt;"", INDEX('Processed Non-zero TRI Data'!$G:$G, MATCH(L183, 'Processed Non-zero TRI Data'!$I:$I,0)), INDEX('Processed Non-zero DMR Data'!$F:$F, MATCH(M183,'Processed Non-zero DMR Data'!$I:$I, 0)))</f>
        <v>38.060360000000003</v>
      </c>
      <c r="K183" s="9">
        <f>IF(L183&lt;&gt;"", INDEX('Processed Non-zero TRI Data'!$H:$H, MATCH(L183, 'Processed Non-zero TRI Data'!$I:$I,0)), INDEX('Processed Non-zero DMR Data'!$G:$G, MATCH(M183,'Processed Non-zero DMR Data'!$I:$I, 0)))</f>
        <v>-120.53995999999999</v>
      </c>
      <c r="L183" s="10"/>
      <c r="M183" s="259">
        <v>110030437524</v>
      </c>
      <c r="N183" s="9">
        <f>IF(L183&lt;&gt;"",INDEX('Processed Non-zero TRI Data'!L:L,MATCH('Facility Summary_Water'!L183,'Processed Non-zero TRI Data'!I:I,0)),INDEX('Processed Non-zero DMR Data'!$L:$L,MATCH('Facility Summary_Water'!M183,'Processed Non-zero DMR Data'!$I:$I,0)))</f>
        <v>221320</v>
      </c>
      <c r="O183" s="10" t="str">
        <f>INDEX('2017 - 2022 NAICS'!D:D,MATCH('Facility Summary_Water'!N183,'2017 - 2022 NAICS'!C:C,0))</f>
        <v>Sewage Treatment Facilities</v>
      </c>
      <c r="P183" s="10" t="str">
        <f>IFERROR(VLOOKUP(L183, 'Processed Non-zero TRI Data'!I:Q, 8, 0), "Direct")</f>
        <v>Direct</v>
      </c>
      <c r="Q183" s="10" t="e">
        <f>VLOOKUP(R183,#REF!, 2, FALSE)</f>
        <v>#REF!</v>
      </c>
      <c r="R183" s="10" t="str">
        <f>INDEX('Facility Discharge Summary'!D:D, MATCH('Facility Summary_Water'!M183, 'Facility Discharge Summary'!J:J,0))</f>
        <v>Waste Handling, Disposal and Treatment (POTW)</v>
      </c>
      <c r="S183" s="10" t="str">
        <f>INDEX('Processed Non-zero DMR Data'!T:T, MATCH('Facility Summary_Water'!M183, 'Processed Non-zero DMR Data'!I:I,0))</f>
        <v>POTW indicator in DMR</v>
      </c>
      <c r="T183" s="10" t="s">
        <v>72</v>
      </c>
      <c r="U183" s="9">
        <f>INDEX('TRI and DMR OES Summary'!D:D, MATCH('Facility Summary_Water'!R183,'TRI and DMR OES Summary'!A:A,0))</f>
        <v>365</v>
      </c>
      <c r="V183" s="258">
        <f>INDEX('Facility Discharge Summary'!AR:AR,MATCH('Facility Summary_Water'!M183,'Facility Discharge Summary'!J:J,0))</f>
        <v>0</v>
      </c>
      <c r="W183" s="258">
        <f>INDEX('Facility Discharge Summary'!T:T,MATCH('Facility Summary_Water'!M183,'Facility Discharge Summary'!J:J,0))</f>
        <v>3.3018447499999999E-2</v>
      </c>
    </row>
    <row r="184" spans="1:23" x14ac:dyDescent="0.25">
      <c r="A184" s="9">
        <v>183</v>
      </c>
      <c r="B184" s="10" t="str">
        <f>IF(COUNTIF('Processed Non-zero TRI Data'!J:J,'Facility Summary_Water'!M184)&gt;0, "TRI Form " &amp; INDEX('Processed Non-zero TRI Data'!K:K,MATCH('Facility Summary_Water'!M184,'Processed Non-zero TRI Data'!J:J,0)), "" )</f>
        <v/>
      </c>
      <c r="C184" s="10" t="str">
        <f>IF(COUNTIF('Processed Non-zero DMR Data'!I:I, 'Facility Summary_Water'!M184)&gt;0, "DMR", "")</f>
        <v>DMR</v>
      </c>
      <c r="D184" s="10"/>
      <c r="E184" s="10" t="s">
        <v>479</v>
      </c>
      <c r="F184" s="10"/>
      <c r="G184" s="10" t="s">
        <v>480</v>
      </c>
      <c r="H184" s="10" t="s">
        <v>146</v>
      </c>
      <c r="I184" s="10"/>
      <c r="J184" s="9">
        <f>IF(L184&lt;&gt;"", INDEX('Processed Non-zero TRI Data'!$G:$G, MATCH(L184, 'Processed Non-zero TRI Data'!$I:$I,0)), INDEX('Processed Non-zero DMR Data'!$F:$F, MATCH(M184,'Processed Non-zero DMR Data'!$I:$I, 0)))</f>
        <v>33.147531999999998</v>
      </c>
      <c r="K184" s="9">
        <f>IF(L184&lt;&gt;"", INDEX('Processed Non-zero TRI Data'!$H:$H, MATCH(L184, 'Processed Non-zero TRI Data'!$I:$I,0)), INDEX('Processed Non-zero DMR Data'!$G:$G, MATCH(M184,'Processed Non-zero DMR Data'!$I:$I, 0)))</f>
        <v>-115.54533000000001</v>
      </c>
      <c r="L184" s="10"/>
      <c r="M184" s="259">
        <v>110002043217</v>
      </c>
      <c r="N184" s="9">
        <f>IF(L184&lt;&gt;"",INDEX('Processed Non-zero TRI Data'!L:L,MATCH('Facility Summary_Water'!L184,'Processed Non-zero TRI Data'!I:I,0)),INDEX('Processed Non-zero DMR Data'!$L:$L,MATCH('Facility Summary_Water'!M184,'Processed Non-zero DMR Data'!$I:$I,0)))</f>
        <v>221320</v>
      </c>
      <c r="O184" s="10" t="str">
        <f>INDEX('2017 - 2022 NAICS'!D:D,MATCH('Facility Summary_Water'!N184,'2017 - 2022 NAICS'!C:C,0))</f>
        <v>Sewage Treatment Facilities</v>
      </c>
      <c r="P184" s="10" t="str">
        <f>IFERROR(VLOOKUP(L184, 'Processed Non-zero TRI Data'!I:Q, 8, 0), "Direct")</f>
        <v>Direct</v>
      </c>
      <c r="Q184" s="10" t="e">
        <f>VLOOKUP(R184,#REF!, 2, FALSE)</f>
        <v>#REF!</v>
      </c>
      <c r="R184" s="10" t="str">
        <f>INDEX('Facility Discharge Summary'!D:D, MATCH('Facility Summary_Water'!M184, 'Facility Discharge Summary'!J:J,0))</f>
        <v>Waste Handling, Disposal and Treatment (POTW)</v>
      </c>
      <c r="S184" s="10" t="str">
        <f>INDEX('Processed Non-zero DMR Data'!T:T, MATCH('Facility Summary_Water'!M184, 'Processed Non-zero DMR Data'!I:I,0))</f>
        <v>POTW indicator in DMR</v>
      </c>
      <c r="T184" s="10" t="s">
        <v>72</v>
      </c>
      <c r="U184" s="9">
        <f>INDEX('TRI and DMR OES Summary'!D:D, MATCH('Facility Summary_Water'!R184,'TRI and DMR OES Summary'!A:A,0))</f>
        <v>365</v>
      </c>
      <c r="V184" s="258">
        <f>INDEX('Facility Discharge Summary'!AR:AR,MATCH('Facility Summary_Water'!M184,'Facility Discharge Summary'!J:J,0))</f>
        <v>0</v>
      </c>
      <c r="W184" s="258">
        <f>INDEX('Facility Discharge Summary'!T:T,MATCH('Facility Summary_Water'!M184,'Facility Discharge Summary'!J:J,0))</f>
        <v>3.8959005000000001E-3</v>
      </c>
    </row>
    <row r="185" spans="1:23" x14ac:dyDescent="0.25">
      <c r="A185" s="9">
        <v>184</v>
      </c>
      <c r="B185" s="10" t="str">
        <f>IF(COUNTIF('Processed Non-zero TRI Data'!J:J,'Facility Summary_Water'!M185)&gt;0, "TRI Form " &amp; INDEX('Processed Non-zero TRI Data'!K:K,MATCH('Facility Summary_Water'!M185,'Processed Non-zero TRI Data'!J:J,0)), "" )</f>
        <v/>
      </c>
      <c r="C185" s="10" t="str">
        <f>IF(COUNTIF('Processed Non-zero DMR Data'!I:I, 'Facility Summary_Water'!M185)&gt;0, "DMR", "")</f>
        <v>DMR</v>
      </c>
      <c r="D185" s="10"/>
      <c r="E185" s="10" t="s">
        <v>481</v>
      </c>
      <c r="F185" s="10"/>
      <c r="G185" s="10" t="s">
        <v>482</v>
      </c>
      <c r="H185" s="10" t="s">
        <v>158</v>
      </c>
      <c r="I185" s="10"/>
      <c r="J185" s="9">
        <f>IF(L185&lt;&gt;"", INDEX('Processed Non-zero TRI Data'!$G:$G, MATCH(L185, 'Processed Non-zero TRI Data'!$I:$I,0)), INDEX('Processed Non-zero DMR Data'!$F:$F, MATCH(M185,'Processed Non-zero DMR Data'!$I:$I, 0)))</f>
        <v>39.463894000000003</v>
      </c>
      <c r="K185" s="9">
        <f>IF(L185&lt;&gt;"", INDEX('Processed Non-zero TRI Data'!$H:$H, MATCH(L185, 'Processed Non-zero TRI Data'!$I:$I,0)), INDEX('Processed Non-zero DMR Data'!$G:$G, MATCH(M185,'Processed Non-zero DMR Data'!$I:$I, 0)))</f>
        <v>-118.75532800000001</v>
      </c>
      <c r="L185" s="10"/>
      <c r="M185" s="259">
        <v>110000734616</v>
      </c>
      <c r="N185" s="9">
        <f>IF(L185&lt;&gt;"",INDEX('Processed Non-zero TRI Data'!L:L,MATCH('Facility Summary_Water'!L185,'Processed Non-zero TRI Data'!I:I,0)),INDEX('Processed Non-zero DMR Data'!$L:$L,MATCH('Facility Summary_Water'!M185,'Processed Non-zero DMR Data'!$I:$I,0)))</f>
        <v>221320</v>
      </c>
      <c r="O185" s="10" t="str">
        <f>INDEX('2017 - 2022 NAICS'!D:D,MATCH('Facility Summary_Water'!N185,'2017 - 2022 NAICS'!C:C,0))</f>
        <v>Sewage Treatment Facilities</v>
      </c>
      <c r="P185" s="10" t="str">
        <f>IFERROR(VLOOKUP(L185, 'Processed Non-zero TRI Data'!I:Q, 8, 0), "Direct")</f>
        <v>Direct</v>
      </c>
      <c r="Q185" s="10" t="e">
        <f>VLOOKUP(R185,#REF!, 2, FALSE)</f>
        <v>#REF!</v>
      </c>
      <c r="R185" s="10" t="str">
        <f>INDEX('Facility Discharge Summary'!D:D, MATCH('Facility Summary_Water'!M185, 'Facility Discharge Summary'!J:J,0))</f>
        <v>Waste Handling, Disposal and Treatment (POTW)</v>
      </c>
      <c r="S185" s="10" t="str">
        <f>INDEX('Processed Non-zero DMR Data'!T:T, MATCH('Facility Summary_Water'!M185, 'Processed Non-zero DMR Data'!I:I,0))</f>
        <v>POTW indicator in DMR</v>
      </c>
      <c r="T185" s="10" t="s">
        <v>72</v>
      </c>
      <c r="U185" s="9">
        <f>INDEX('TRI and DMR OES Summary'!D:D, MATCH('Facility Summary_Water'!R185,'TRI and DMR OES Summary'!A:A,0))</f>
        <v>365</v>
      </c>
      <c r="V185" s="258">
        <f>INDEX('Facility Discharge Summary'!AR:AR,MATCH('Facility Summary_Water'!M185,'Facility Discharge Summary'!J:J,0))</f>
        <v>0</v>
      </c>
      <c r="W185" s="258">
        <f>INDEX('Facility Discharge Summary'!T:T,MATCH('Facility Summary_Water'!M185,'Facility Discharge Summary'!J:J,0))</f>
        <v>3.5919650000000001</v>
      </c>
    </row>
    <row r="186" spans="1:23" x14ac:dyDescent="0.25">
      <c r="A186" s="9">
        <v>185</v>
      </c>
      <c r="B186" s="10" t="str">
        <f>IF(COUNTIF('Processed Non-zero TRI Data'!J:J,'Facility Summary_Water'!M186)&gt;0, "TRI Form " &amp; INDEX('Processed Non-zero TRI Data'!K:K,MATCH('Facility Summary_Water'!M186,'Processed Non-zero TRI Data'!J:J,0)), "" )</f>
        <v/>
      </c>
      <c r="C186" s="10" t="str">
        <f>IF(COUNTIF('Processed Non-zero DMR Data'!I:I, 'Facility Summary_Water'!M186)&gt;0, "DMR", "")</f>
        <v>DMR</v>
      </c>
      <c r="D186" s="10"/>
      <c r="E186" s="10" t="s">
        <v>483</v>
      </c>
      <c r="F186" s="10"/>
      <c r="G186" s="10" t="s">
        <v>484</v>
      </c>
      <c r="H186" s="10" t="s">
        <v>485</v>
      </c>
      <c r="I186" s="10"/>
      <c r="J186" s="9">
        <f>IF(L186&lt;&gt;"", INDEX('Processed Non-zero TRI Data'!$G:$G, MATCH(L186, 'Processed Non-zero TRI Data'!$I:$I,0)), INDEX('Processed Non-zero DMR Data'!$F:$F, MATCH(M186,'Processed Non-zero DMR Data'!$I:$I, 0)))</f>
        <v>36.716268999999997</v>
      </c>
      <c r="K186" s="9">
        <f>IF(L186&lt;&gt;"", INDEX('Processed Non-zero TRI Data'!$H:$H, MATCH(L186, 'Processed Non-zero TRI Data'!$I:$I,0)), INDEX('Processed Non-zero DMR Data'!$G:$G, MATCH(M186,'Processed Non-zero DMR Data'!$I:$I, 0)))</f>
        <v>-108.255737</v>
      </c>
      <c r="L186" s="10"/>
      <c r="M186" s="259">
        <v>110064631457</v>
      </c>
      <c r="N186" s="9">
        <f>IF(L186&lt;&gt;"",INDEX('Processed Non-zero TRI Data'!L:L,MATCH('Facility Summary_Water'!L186,'Processed Non-zero TRI Data'!I:I,0)),INDEX('Processed Non-zero DMR Data'!$L:$L,MATCH('Facility Summary_Water'!M186,'Processed Non-zero DMR Data'!$I:$I,0)))</f>
        <v>221320</v>
      </c>
      <c r="O186" s="10" t="str">
        <f>INDEX('2017 - 2022 NAICS'!D:D,MATCH('Facility Summary_Water'!N186,'2017 - 2022 NAICS'!C:C,0))</f>
        <v>Sewage Treatment Facilities</v>
      </c>
      <c r="P186" s="10" t="str">
        <f>IFERROR(VLOOKUP(L186, 'Processed Non-zero TRI Data'!I:Q, 8, 0), "Direct")</f>
        <v>Direct</v>
      </c>
      <c r="Q186" s="10" t="e">
        <f>VLOOKUP(R186,#REF!, 2, FALSE)</f>
        <v>#REF!</v>
      </c>
      <c r="R186" s="10" t="str">
        <f>INDEX('Facility Discharge Summary'!D:D, MATCH('Facility Summary_Water'!M186, 'Facility Discharge Summary'!J:J,0))</f>
        <v>Unknown</v>
      </c>
      <c r="S186" s="10" t="str">
        <f>INDEX('Processed Non-zero DMR Data'!T:T, MATCH('Facility Summary_Water'!M186, 'Processed Non-zero DMR Data'!I:I,0))</f>
        <v>Facility is a casino; no OES to map to.</v>
      </c>
      <c r="T186" s="10" t="s">
        <v>72</v>
      </c>
      <c r="U186" s="9">
        <f>INDEX('TRI and DMR OES Summary'!D:D, MATCH('Facility Summary_Water'!R186,'TRI and DMR OES Summary'!A:A,0))</f>
        <v>250</v>
      </c>
      <c r="V186" s="258">
        <f>INDEX('Facility Discharge Summary'!AR:AR,MATCH('Facility Summary_Water'!M186,'Facility Discharge Summary'!J:J,0))</f>
        <v>0</v>
      </c>
      <c r="W186" s="258">
        <f>INDEX('Facility Discharge Summary'!T:T,MATCH('Facility Summary_Water'!M186,'Facility Discharge Summary'!J:J,0))</f>
        <v>0.1114304</v>
      </c>
    </row>
    <row r="187" spans="1:23" x14ac:dyDescent="0.25">
      <c r="A187" s="9">
        <v>186</v>
      </c>
      <c r="B187" s="10" t="str">
        <f>IF(COUNTIF('Processed Non-zero TRI Data'!J:J,'Facility Summary_Water'!M187)&gt;0, "TRI Form " &amp; INDEX('Processed Non-zero TRI Data'!K:K,MATCH('Facility Summary_Water'!M187,'Processed Non-zero TRI Data'!J:J,0)), "" )</f>
        <v/>
      </c>
      <c r="C187" s="10" t="str">
        <f>IF(COUNTIF('Processed Non-zero DMR Data'!I:I, 'Facility Summary_Water'!M187)&gt;0, "DMR", "")</f>
        <v>DMR</v>
      </c>
      <c r="D187" s="10"/>
      <c r="E187" s="10" t="s">
        <v>486</v>
      </c>
      <c r="F187" s="10"/>
      <c r="G187" s="10" t="s">
        <v>185</v>
      </c>
      <c r="H187" s="10" t="s">
        <v>186</v>
      </c>
      <c r="I187" s="10"/>
      <c r="J187" s="9">
        <f>IF(L187&lt;&gt;"", INDEX('Processed Non-zero TRI Data'!$G:$G, MATCH(L187, 'Processed Non-zero TRI Data'!$I:$I,0)), INDEX('Processed Non-zero DMR Data'!$F:$F, MATCH(M187,'Processed Non-zero DMR Data'!$I:$I, 0)))</f>
        <v>21.27167</v>
      </c>
      <c r="K187" s="9">
        <f>IF(L187&lt;&gt;"", INDEX('Processed Non-zero TRI Data'!$H:$H, MATCH(L187, 'Processed Non-zero TRI Data'!$I:$I,0)), INDEX('Processed Non-zero DMR Data'!$G:$G, MATCH(M187,'Processed Non-zero DMR Data'!$I:$I, 0)))</f>
        <v>-157.77395999999999</v>
      </c>
      <c r="L187" s="10"/>
      <c r="M187" s="259">
        <v>110006777210</v>
      </c>
      <c r="N187" s="9" t="e">
        <f>IF(L187&lt;&gt;"",INDEX('Processed Non-zero TRI Data'!L:L,MATCH('Facility Summary_Water'!L187,'Processed Non-zero TRI Data'!I:I,0)),INDEX('Processed Non-zero DMR Data'!$L:$L,MATCH('Facility Summary_Water'!M187,'Processed Non-zero DMR Data'!$I:$I,0)))</f>
        <v>#N/A</v>
      </c>
      <c r="O187" s="10" t="e">
        <f>INDEX('2017 - 2022 NAICS'!D:D,MATCH('Facility Summary_Water'!N187,'2017 - 2022 NAICS'!C:C,0))</f>
        <v>#N/A</v>
      </c>
      <c r="P187" s="10" t="str">
        <f>IFERROR(VLOOKUP(L187, 'Processed Non-zero TRI Data'!I:Q, 8, 0), "Direct")</f>
        <v>Direct</v>
      </c>
      <c r="Q187" s="10" t="e">
        <f>VLOOKUP(R187,#REF!, 2, FALSE)</f>
        <v>#REF!</v>
      </c>
      <c r="R187" s="10" t="str">
        <f>INDEX('Facility Discharge Summary'!D:D, MATCH('Facility Summary_Water'!M187, 'Facility Discharge Summary'!J:J,0))</f>
        <v>Unknown</v>
      </c>
      <c r="S187" s="10" t="str">
        <f>INDEX('Processed Non-zero DMR Data'!T:T, MATCH('Facility Summary_Water'!M187, 'Processed Non-zero DMR Data'!I:I,0))</f>
        <v>Hotel and resort; no OES to map to.</v>
      </c>
      <c r="T187" s="10" t="s">
        <v>72</v>
      </c>
      <c r="U187" s="9">
        <f>INDEX('TRI and DMR OES Summary'!D:D, MATCH('Facility Summary_Water'!R187,'TRI and DMR OES Summary'!A:A,0))</f>
        <v>250</v>
      </c>
      <c r="V187" s="258">
        <f>INDEX('Facility Discharge Summary'!AR:AR,MATCH('Facility Summary_Water'!M187,'Facility Discharge Summary'!J:J,0))</f>
        <v>0</v>
      </c>
      <c r="W187" s="258">
        <f>INDEX('Facility Discharge Summary'!T:T,MATCH('Facility Summary_Water'!M187,'Facility Discharge Summary'!J:J,0))</f>
        <v>6.7440745444000001</v>
      </c>
    </row>
    <row r="188" spans="1:23" x14ac:dyDescent="0.25">
      <c r="A188" s="9">
        <v>187</v>
      </c>
      <c r="B188" s="10" t="str">
        <f>IF(COUNTIF('Processed Non-zero TRI Data'!J:J,'Facility Summary_Water'!M188)&gt;0, "TRI Form " &amp; INDEX('Processed Non-zero TRI Data'!K:K,MATCH('Facility Summary_Water'!M188,'Processed Non-zero TRI Data'!J:J,0)), "" )</f>
        <v/>
      </c>
      <c r="C188" s="10" t="str">
        <f>IF(COUNTIF('Processed Non-zero DMR Data'!I:I, 'Facility Summary_Water'!M188)&gt;0, "DMR", "")</f>
        <v>DMR</v>
      </c>
      <c r="D188" s="10"/>
      <c r="E188" s="10" t="s">
        <v>487</v>
      </c>
      <c r="F188" s="10"/>
      <c r="G188" s="10" t="s">
        <v>488</v>
      </c>
      <c r="H188" s="10" t="s">
        <v>138</v>
      </c>
      <c r="I188" s="10"/>
      <c r="J188" s="9">
        <f>IF(L188&lt;&gt;"", INDEX('Processed Non-zero TRI Data'!$G:$G, MATCH(L188, 'Processed Non-zero TRI Data'!$I:$I,0)), INDEX('Processed Non-zero DMR Data'!$F:$F, MATCH(M188,'Processed Non-zero DMR Data'!$I:$I, 0)))</f>
        <v>38.267437999999999</v>
      </c>
      <c r="K188" s="9">
        <f>IF(L188&lt;&gt;"", INDEX('Processed Non-zero TRI Data'!$H:$H, MATCH(L188, 'Processed Non-zero TRI Data'!$I:$I,0)), INDEX('Processed Non-zero DMR Data'!$G:$G, MATCH(M188,'Processed Non-zero DMR Data'!$I:$I, 0)))</f>
        <v>-84.527996000000002</v>
      </c>
      <c r="L188" s="10"/>
      <c r="M188" s="259">
        <v>110000759741</v>
      </c>
      <c r="N188" s="9">
        <f>IF(L188&lt;&gt;"",INDEX('Processed Non-zero TRI Data'!L:L,MATCH('Facility Summary_Water'!L188,'Processed Non-zero TRI Data'!I:I,0)),INDEX('Processed Non-zero DMR Data'!$L:$L,MATCH('Facility Summary_Water'!M188,'Processed Non-zero DMR Data'!$I:$I,0)))</f>
        <v>221320</v>
      </c>
      <c r="O188" s="10" t="str">
        <f>INDEX('2017 - 2022 NAICS'!D:D,MATCH('Facility Summary_Water'!N188,'2017 - 2022 NAICS'!C:C,0))</f>
        <v>Sewage Treatment Facilities</v>
      </c>
      <c r="P188" s="10" t="str">
        <f>IFERROR(VLOOKUP(L188, 'Processed Non-zero TRI Data'!I:Q, 8, 0), "Direct")</f>
        <v>Direct</v>
      </c>
      <c r="Q188" s="10" t="e">
        <f>VLOOKUP(R188,#REF!, 2, FALSE)</f>
        <v>#REF!</v>
      </c>
      <c r="R188" s="10" t="str">
        <f>INDEX('Facility Discharge Summary'!D:D, MATCH('Facility Summary_Water'!M188, 'Facility Discharge Summary'!J:J,0))</f>
        <v>Waste Handling, Disposal and Treatment (POTW)</v>
      </c>
      <c r="S188" s="10" t="str">
        <f>INDEX('Processed Non-zero DMR Data'!T:T, MATCH('Facility Summary_Water'!M188, 'Processed Non-zero DMR Data'!I:I,0))</f>
        <v>POTW indicator in DMR</v>
      </c>
      <c r="T188" s="10" t="s">
        <v>72</v>
      </c>
      <c r="U188" s="9">
        <f>INDEX('TRI and DMR OES Summary'!D:D, MATCH('Facility Summary_Water'!R188,'TRI and DMR OES Summary'!A:A,0))</f>
        <v>365</v>
      </c>
      <c r="V188" s="258">
        <f>INDEX('Facility Discharge Summary'!AR:AR,MATCH('Facility Summary_Water'!M188,'Facility Discharge Summary'!J:J,0))</f>
        <v>0</v>
      </c>
      <c r="W188" s="258">
        <f>INDEX('Facility Discharge Summary'!T:T,MATCH('Facility Summary_Water'!M188,'Facility Discharge Summary'!J:J,0))</f>
        <v>4.5728477500000002</v>
      </c>
    </row>
    <row r="189" spans="1:23" x14ac:dyDescent="0.25">
      <c r="A189" s="9">
        <v>188</v>
      </c>
      <c r="B189" s="10" t="str">
        <f>IF(COUNTIF('Processed Non-zero TRI Data'!J:J,'Facility Summary_Water'!M189)&gt;0, "TRI Form " &amp; INDEX('Processed Non-zero TRI Data'!K:K,MATCH('Facility Summary_Water'!M189,'Processed Non-zero TRI Data'!J:J,0)), "" )</f>
        <v/>
      </c>
      <c r="C189" s="10" t="str">
        <f>IF(COUNTIF('Processed Non-zero DMR Data'!I:I, 'Facility Summary_Water'!M189)&gt;0, "DMR", "")</f>
        <v>DMR</v>
      </c>
      <c r="D189" s="10"/>
      <c r="E189" s="10" t="s">
        <v>489</v>
      </c>
      <c r="F189" s="10"/>
      <c r="G189" s="10" t="s">
        <v>484</v>
      </c>
      <c r="H189" s="10" t="s">
        <v>485</v>
      </c>
      <c r="I189" s="10"/>
      <c r="J189" s="9">
        <f>IF(L189&lt;&gt;"", INDEX('Processed Non-zero TRI Data'!$G:$G, MATCH(L189, 'Processed Non-zero TRI Data'!$I:$I,0)), INDEX('Processed Non-zero DMR Data'!$F:$F, MATCH(M189,'Processed Non-zero DMR Data'!$I:$I, 0)))</f>
        <v>36.688809999999997</v>
      </c>
      <c r="K189" s="9">
        <f>IF(L189&lt;&gt;"", INDEX('Processed Non-zero TRI Data'!$H:$H, MATCH(L189, 'Processed Non-zero TRI Data'!$I:$I,0)), INDEX('Processed Non-zero DMR Data'!$G:$G, MATCH(M189,'Processed Non-zero DMR Data'!$I:$I, 0)))</f>
        <v>-108.48036</v>
      </c>
      <c r="L189" s="10"/>
      <c r="M189" s="259">
        <v>110042068473</v>
      </c>
      <c r="N189" s="9">
        <f>IF(L189&lt;&gt;"",INDEX('Processed Non-zero TRI Data'!L:L,MATCH('Facility Summary_Water'!L189,'Processed Non-zero TRI Data'!I:I,0)),INDEX('Processed Non-zero DMR Data'!$L:$L,MATCH('Facility Summary_Water'!M189,'Processed Non-zero DMR Data'!$I:$I,0)))</f>
        <v>221111</v>
      </c>
      <c r="O189" s="10" t="str">
        <f>INDEX('2017 - 2022 NAICS'!D:D,MATCH('Facility Summary_Water'!N189,'2017 - 2022 NAICS'!C:C,0))</f>
        <v>Hydroelectric Power Generation</v>
      </c>
      <c r="P189" s="10" t="str">
        <f>IFERROR(VLOOKUP(L189, 'Processed Non-zero TRI Data'!I:Q, 8, 0), "Direct")</f>
        <v>Direct</v>
      </c>
      <c r="Q189" s="10" t="e">
        <f>VLOOKUP(R189,#REF!, 2, FALSE)</f>
        <v>#REF!</v>
      </c>
      <c r="R189" s="10" t="str">
        <f>INDEX('Facility Discharge Summary'!D:D, MATCH('Facility Summary_Water'!M189, 'Facility Discharge Summary'!J:J,0))</f>
        <v>Unknown</v>
      </c>
      <c r="S189" s="10" t="str">
        <f>INDEX('Processed Non-zero DMR Data'!T:T, MATCH('Facility Summary_Water'!M189, 'Processed Non-zero DMR Data'!I:I,0))</f>
        <v>Facility is a powerplant; no OES to map to.</v>
      </c>
      <c r="T189" s="10" t="s">
        <v>72</v>
      </c>
      <c r="U189" s="9">
        <f>INDEX('TRI and DMR OES Summary'!D:D, MATCH('Facility Summary_Water'!R189,'TRI and DMR OES Summary'!A:A,0))</f>
        <v>250</v>
      </c>
      <c r="V189" s="258">
        <f>INDEX('Facility Discharge Summary'!AR:AR,MATCH('Facility Summary_Water'!M189,'Facility Discharge Summary'!J:J,0))</f>
        <v>0</v>
      </c>
      <c r="W189" s="258">
        <f>INDEX('Facility Discharge Summary'!T:T,MATCH('Facility Summary_Water'!M189,'Facility Discharge Summary'!J:J,0))</f>
        <v>1.6192230000000001</v>
      </c>
    </row>
    <row r="190" spans="1:23" x14ac:dyDescent="0.25">
      <c r="A190" s="9">
        <v>189</v>
      </c>
      <c r="B190" s="10" t="str">
        <f>IF(COUNTIF('Processed Non-zero TRI Data'!J:J,'Facility Summary_Water'!M190)&gt;0, "TRI Form " &amp; INDEX('Processed Non-zero TRI Data'!K:K,MATCH('Facility Summary_Water'!M190,'Processed Non-zero TRI Data'!J:J,0)), "" )</f>
        <v/>
      </c>
      <c r="C190" s="10" t="str">
        <f>IF(COUNTIF('Processed Non-zero DMR Data'!I:I, 'Facility Summary_Water'!M190)&gt;0, "DMR", "")</f>
        <v>DMR</v>
      </c>
      <c r="D190" s="10"/>
      <c r="E190" s="10" t="s">
        <v>490</v>
      </c>
      <c r="F190" s="10"/>
      <c r="G190" s="10" t="s">
        <v>488</v>
      </c>
      <c r="H190" s="10" t="s">
        <v>138</v>
      </c>
      <c r="I190" s="10"/>
      <c r="J190" s="9">
        <f>IF(L190&lt;&gt;"", INDEX('Processed Non-zero TRI Data'!$G:$G, MATCH(L190, 'Processed Non-zero TRI Data'!$I:$I,0)), INDEX('Processed Non-zero DMR Data'!$F:$F, MATCH(M190,'Processed Non-zero DMR Data'!$I:$I, 0)))</f>
        <v>38.217222</v>
      </c>
      <c r="K190" s="9">
        <f>IF(L190&lt;&gt;"", INDEX('Processed Non-zero TRI Data'!$H:$H, MATCH(L190, 'Processed Non-zero TRI Data'!$I:$I,0)), INDEX('Processed Non-zero DMR Data'!$G:$G, MATCH(M190,'Processed Non-zero DMR Data'!$I:$I, 0)))</f>
        <v>-84.564166999999998</v>
      </c>
      <c r="L190" s="10"/>
      <c r="M190" s="259">
        <v>110000732208</v>
      </c>
      <c r="N190" s="9">
        <f>IF(L190&lt;&gt;"",INDEX('Processed Non-zero TRI Data'!L:L,MATCH('Facility Summary_Water'!L190,'Processed Non-zero TRI Data'!I:I,0)),INDEX('Processed Non-zero DMR Data'!$L:$L,MATCH('Facility Summary_Water'!M190,'Processed Non-zero DMR Data'!$I:$I,0)))</f>
        <v>221320</v>
      </c>
      <c r="O190" s="10" t="str">
        <f>INDEX('2017 - 2022 NAICS'!D:D,MATCH('Facility Summary_Water'!N190,'2017 - 2022 NAICS'!C:C,0))</f>
        <v>Sewage Treatment Facilities</v>
      </c>
      <c r="P190" s="10" t="str">
        <f>IFERROR(VLOOKUP(L190, 'Processed Non-zero TRI Data'!I:Q, 8, 0), "Direct")</f>
        <v>Direct</v>
      </c>
      <c r="Q190" s="10" t="e">
        <f>VLOOKUP(R190,#REF!, 2, FALSE)</f>
        <v>#REF!</v>
      </c>
      <c r="R190" s="10" t="str">
        <f>INDEX('Facility Discharge Summary'!D:D, MATCH('Facility Summary_Water'!M190, 'Facility Discharge Summary'!J:J,0))</f>
        <v>Waste Handling, Disposal and Treatment (POTW)</v>
      </c>
      <c r="S190" s="10" t="str">
        <f>INDEX('Processed Non-zero DMR Data'!T:T, MATCH('Facility Summary_Water'!M190, 'Processed Non-zero DMR Data'!I:I,0))</f>
        <v>POTW indicator in DMR</v>
      </c>
      <c r="T190" s="10" t="s">
        <v>72</v>
      </c>
      <c r="U190" s="9">
        <f>INDEX('TRI and DMR OES Summary'!D:D, MATCH('Facility Summary_Water'!R190,'TRI and DMR OES Summary'!A:A,0))</f>
        <v>365</v>
      </c>
      <c r="V190" s="258">
        <f>INDEX('Facility Discharge Summary'!AR:AR,MATCH('Facility Summary_Water'!M190,'Facility Discharge Summary'!J:J,0))</f>
        <v>0</v>
      </c>
      <c r="W190" s="258">
        <f>INDEX('Facility Discharge Summary'!T:T,MATCH('Facility Summary_Water'!M190,'Facility Discharge Summary'!J:J,0))</f>
        <v>8.7726837500000006</v>
      </c>
    </row>
    <row r="191" spans="1:23" x14ac:dyDescent="0.25">
      <c r="A191" s="9">
        <v>190</v>
      </c>
      <c r="B191" s="10" t="str">
        <f>IF(COUNTIF('Processed Non-zero TRI Data'!J:J,'Facility Summary_Water'!M191)&gt;0, "TRI Form " &amp; INDEX('Processed Non-zero TRI Data'!K:K,MATCH('Facility Summary_Water'!M191,'Processed Non-zero TRI Data'!J:J,0)), "" )</f>
        <v/>
      </c>
      <c r="C191" s="10" t="str">
        <f>IF(COUNTIF('Processed Non-zero DMR Data'!I:I, 'Facility Summary_Water'!M191)&gt;0, "DMR", "")</f>
        <v>DMR</v>
      </c>
      <c r="D191" s="10"/>
      <c r="E191" s="10" t="s">
        <v>491</v>
      </c>
      <c r="F191" s="10"/>
      <c r="G191" s="10" t="s">
        <v>492</v>
      </c>
      <c r="H191" s="10" t="s">
        <v>268</v>
      </c>
      <c r="I191" s="10"/>
      <c r="J191" s="9">
        <f>IF(L191&lt;&gt;"", INDEX('Processed Non-zero TRI Data'!$G:$G, MATCH(L191, 'Processed Non-zero TRI Data'!$I:$I,0)), INDEX('Processed Non-zero DMR Data'!$F:$F, MATCH(M191,'Processed Non-zero DMR Data'!$I:$I, 0)))</f>
        <v>39.904949999999999</v>
      </c>
      <c r="K191" s="9">
        <f>IF(L191&lt;&gt;"", INDEX('Processed Non-zero TRI Data'!$H:$H, MATCH(L191, 'Processed Non-zero TRI Data'!$I:$I,0)), INDEX('Processed Non-zero DMR Data'!$G:$G, MATCH(M191,'Processed Non-zero DMR Data'!$I:$I, 0)))</f>
        <v>-80.150440000000003</v>
      </c>
      <c r="L191" s="10"/>
      <c r="M191" s="259">
        <v>110039840740</v>
      </c>
      <c r="N191" s="9">
        <f>IF(L191&lt;&gt;"",INDEX('Processed Non-zero TRI Data'!L:L,MATCH('Facility Summary_Water'!L191,'Processed Non-zero TRI Data'!I:I,0)),INDEX('Processed Non-zero DMR Data'!$L:$L,MATCH('Facility Summary_Water'!M191,'Processed Non-zero DMR Data'!$I:$I,0)))</f>
        <v>221320</v>
      </c>
      <c r="O191" s="10" t="str">
        <f>INDEX('2017 - 2022 NAICS'!D:D,MATCH('Facility Summary_Water'!N191,'2017 - 2022 NAICS'!C:C,0))</f>
        <v>Sewage Treatment Facilities</v>
      </c>
      <c r="P191" s="10" t="str">
        <f>IFERROR(VLOOKUP(L191, 'Processed Non-zero TRI Data'!I:Q, 8, 0), "Direct")</f>
        <v>Direct</v>
      </c>
      <c r="Q191" s="10" t="e">
        <f>VLOOKUP(R191,#REF!, 2, FALSE)</f>
        <v>#REF!</v>
      </c>
      <c r="R191" s="10" t="str">
        <f>INDEX('Facility Discharge Summary'!D:D, MATCH('Facility Summary_Water'!M191, 'Facility Discharge Summary'!J:J,0))</f>
        <v>Waste Handling, Disposal and Treatment (POTW)</v>
      </c>
      <c r="S191" s="10" t="str">
        <f>INDEX('Processed Non-zero DMR Data'!T:T, MATCH('Facility Summary_Water'!M191, 'Processed Non-zero DMR Data'!I:I,0))</f>
        <v>POTW indicator in DMR</v>
      </c>
      <c r="T191" s="10" t="s">
        <v>72</v>
      </c>
      <c r="U191" s="9">
        <f>INDEX('TRI and DMR OES Summary'!D:D, MATCH('Facility Summary_Water'!R191,'TRI and DMR OES Summary'!A:A,0))</f>
        <v>365</v>
      </c>
      <c r="V191" s="258">
        <f>INDEX('Facility Discharge Summary'!AR:AR,MATCH('Facility Summary_Water'!M191,'Facility Discharge Summary'!J:J,0))</f>
        <v>0</v>
      </c>
      <c r="W191" s="258">
        <f>INDEX('Facility Discharge Summary'!T:T,MATCH('Facility Summary_Water'!M191,'Facility Discharge Summary'!J:J,0))</f>
        <v>358.70799428571399</v>
      </c>
    </row>
    <row r="192" spans="1:23" x14ac:dyDescent="0.25">
      <c r="A192" s="9">
        <v>191</v>
      </c>
      <c r="B192" s="10" t="str">
        <f>IF(COUNTIF('Processed Non-zero TRI Data'!J:J,'Facility Summary_Water'!M192)&gt;0, "TRI Form " &amp; INDEX('Processed Non-zero TRI Data'!K:K,MATCH('Facility Summary_Water'!M192,'Processed Non-zero TRI Data'!J:J,0)), "" )</f>
        <v/>
      </c>
      <c r="C192" s="10" t="str">
        <f>IF(COUNTIF('Processed Non-zero DMR Data'!I:I, 'Facility Summary_Water'!M192)&gt;0, "DMR", "")</f>
        <v>DMR</v>
      </c>
      <c r="D192" s="10"/>
      <c r="E192" s="10" t="s">
        <v>493</v>
      </c>
      <c r="F192" s="10"/>
      <c r="G192" s="10" t="s">
        <v>494</v>
      </c>
      <c r="H192" s="10" t="s">
        <v>146</v>
      </c>
      <c r="I192" s="10"/>
      <c r="J192" s="9">
        <f>IF(L192&lt;&gt;"", INDEX('Processed Non-zero TRI Data'!$G:$G, MATCH(L192, 'Processed Non-zero TRI Data'!$I:$I,0)), INDEX('Processed Non-zero DMR Data'!$F:$F, MATCH(M192,'Processed Non-zero DMR Data'!$I:$I, 0)))</f>
        <v>37.318058999999998</v>
      </c>
      <c r="K192" s="9">
        <f>IF(L192&lt;&gt;"", INDEX('Processed Non-zero TRI Data'!$H:$H, MATCH(L192, 'Processed Non-zero TRI Data'!$I:$I,0)), INDEX('Processed Non-zero DMR Data'!$G:$G, MATCH(M192,'Processed Non-zero DMR Data'!$I:$I, 0)))</f>
        <v>-122.09263199999999</v>
      </c>
      <c r="L192" s="10"/>
      <c r="M192" s="259">
        <v>110000484039</v>
      </c>
      <c r="N192" s="9">
        <f>IF(L192&lt;&gt;"",INDEX('Processed Non-zero TRI Data'!L:L,MATCH('Facility Summary_Water'!L192,'Processed Non-zero TRI Data'!I:I,0)),INDEX('Processed Non-zero DMR Data'!$L:$L,MATCH('Facility Summary_Water'!M192,'Processed Non-zero DMR Data'!$I:$I,0)))</f>
        <v>327310</v>
      </c>
      <c r="O192" s="10" t="str">
        <f>INDEX('2017 - 2022 NAICS'!D:D,MATCH('Facility Summary_Water'!N192,'2017 - 2022 NAICS'!C:C,0))</f>
        <v>Cement Manufacturing</v>
      </c>
      <c r="P192" s="10" t="str">
        <f>IFERROR(VLOOKUP(L192, 'Processed Non-zero TRI Data'!I:Q, 8, 0), "Direct")</f>
        <v>Direct</v>
      </c>
      <c r="Q192" s="10" t="e">
        <f>VLOOKUP(R192,#REF!, 2, FALSE)</f>
        <v>#REF!</v>
      </c>
      <c r="R192" s="10" t="str">
        <f>INDEX('Facility Discharge Summary'!D:D, MATCH('Facility Summary_Water'!M192, 'Facility Discharge Summary'!J:J,0))</f>
        <v>Waste Handling, Disposal and Treatment (Incinerator)</v>
      </c>
      <c r="S192" s="10" t="str">
        <f>INDEX('Processed Non-zero DMR Data'!T:T, MATCH('Facility Summary_Water'!M192, 'Processed Non-zero DMR Data'!I:I,0))</f>
        <v>Cement producer; assumed incineration in cement kilns.</v>
      </c>
      <c r="T192" s="10" t="s">
        <v>72</v>
      </c>
      <c r="U192" s="9">
        <f>INDEX('TRI and DMR OES Summary'!D:D, MATCH('Facility Summary_Water'!R192,'TRI and DMR OES Summary'!A:A,0))</f>
        <v>250</v>
      </c>
      <c r="V192" s="258">
        <f>INDEX('Facility Discharge Summary'!AR:AR,MATCH('Facility Summary_Water'!M192,'Facility Discharge Summary'!J:J,0))</f>
        <v>0</v>
      </c>
      <c r="W192" s="258">
        <f>INDEX('Facility Discharge Summary'!T:T,MATCH('Facility Summary_Water'!M192,'Facility Discharge Summary'!J:J,0))</f>
        <v>2.2587933750000001E-2</v>
      </c>
    </row>
    <row r="193" spans="1:23" x14ac:dyDescent="0.25">
      <c r="A193" s="9">
        <v>192</v>
      </c>
      <c r="B193" s="10" t="str">
        <f>IF(COUNTIF('Processed Non-zero TRI Data'!J:J,'Facility Summary_Water'!M193)&gt;0, "TRI Form " &amp; INDEX('Processed Non-zero TRI Data'!K:K,MATCH('Facility Summary_Water'!M193,'Processed Non-zero TRI Data'!J:J,0)), "" )</f>
        <v/>
      </c>
      <c r="C193" s="10" t="str">
        <f>IF(COUNTIF('Processed Non-zero DMR Data'!I:I, 'Facility Summary_Water'!M193)&gt;0, "DMR", "")</f>
        <v>DMR</v>
      </c>
      <c r="D193" s="10"/>
      <c r="E193" s="10" t="s">
        <v>495</v>
      </c>
      <c r="F193" s="10"/>
      <c r="G193" s="10" t="s">
        <v>183</v>
      </c>
      <c r="H193" s="10" t="s">
        <v>138</v>
      </c>
      <c r="I193" s="10"/>
      <c r="J193" s="9">
        <f>IF(L193&lt;&gt;"", INDEX('Processed Non-zero TRI Data'!$G:$G, MATCH(L193, 'Processed Non-zero TRI Data'!$I:$I,0)), INDEX('Processed Non-zero DMR Data'!$F:$F, MATCH(M193,'Processed Non-zero DMR Data'!$I:$I, 0)))</f>
        <v>37.801943999999999</v>
      </c>
      <c r="K193" s="9">
        <f>IF(L193&lt;&gt;"", INDEX('Processed Non-zero TRI Data'!$H:$H, MATCH(L193, 'Processed Non-zero TRI Data'!$I:$I,0)), INDEX('Processed Non-zero DMR Data'!$G:$G, MATCH(M193,'Processed Non-zero DMR Data'!$I:$I, 0)))</f>
        <v>-84.261111</v>
      </c>
      <c r="L193" s="10"/>
      <c r="M193" s="259">
        <v>110031112659</v>
      </c>
      <c r="N193" s="9">
        <f>IF(L193&lt;&gt;"",INDEX('Processed Non-zero TRI Data'!L:L,MATCH('Facility Summary_Water'!L193,'Processed Non-zero TRI Data'!I:I,0)),INDEX('Processed Non-zero DMR Data'!$L:$L,MATCH('Facility Summary_Water'!M193,'Processed Non-zero DMR Data'!$I:$I,0)))</f>
        <v>221320</v>
      </c>
      <c r="O193" s="10" t="str">
        <f>INDEX('2017 - 2022 NAICS'!D:D,MATCH('Facility Summary_Water'!N193,'2017 - 2022 NAICS'!C:C,0))</f>
        <v>Sewage Treatment Facilities</v>
      </c>
      <c r="P193" s="10" t="str">
        <f>IFERROR(VLOOKUP(L193, 'Processed Non-zero TRI Data'!I:Q, 8, 0), "Direct")</f>
        <v>Direct</v>
      </c>
      <c r="Q193" s="10" t="e">
        <f>VLOOKUP(R193,#REF!, 2, FALSE)</f>
        <v>#REF!</v>
      </c>
      <c r="R193" s="10" t="str">
        <f>INDEX('Facility Discharge Summary'!D:D, MATCH('Facility Summary_Water'!M193, 'Facility Discharge Summary'!J:J,0))</f>
        <v>Waste Handling, Disposal and Treatment (POTW)</v>
      </c>
      <c r="S193" s="10" t="str">
        <f>INDEX('Processed Non-zero DMR Data'!T:T, MATCH('Facility Summary_Water'!M193, 'Processed Non-zero DMR Data'!I:I,0))</f>
        <v>POTW indicator in DMR</v>
      </c>
      <c r="T193" s="10" t="s">
        <v>72</v>
      </c>
      <c r="U193" s="9">
        <f>INDEX('TRI and DMR OES Summary'!D:D, MATCH('Facility Summary_Water'!R193,'TRI and DMR OES Summary'!A:A,0))</f>
        <v>365</v>
      </c>
      <c r="V193" s="258">
        <f>INDEX('Facility Discharge Summary'!AR:AR,MATCH('Facility Summary_Water'!M193,'Facility Discharge Summary'!J:J,0))</f>
        <v>0</v>
      </c>
      <c r="W193" s="258">
        <f>INDEX('Facility Discharge Summary'!T:T,MATCH('Facility Summary_Water'!M193,'Facility Discharge Summary'!J:J,0))</f>
        <v>34.448325875000002</v>
      </c>
    </row>
    <row r="194" spans="1:23" ht="30" x14ac:dyDescent="0.25">
      <c r="A194" s="9">
        <v>193</v>
      </c>
      <c r="B194" s="10" t="str">
        <f>IF(COUNTIF('Processed Non-zero TRI Data'!J:J,'Facility Summary_Water'!M194)&gt;0, "TRI Form " &amp; INDEX('Processed Non-zero TRI Data'!K:K,MATCH('Facility Summary_Water'!M194,'Processed Non-zero TRI Data'!J:J,0)), "" )</f>
        <v/>
      </c>
      <c r="C194" s="10" t="str">
        <f>IF(COUNTIF('Processed Non-zero DMR Data'!I:I, 'Facility Summary_Water'!M194)&gt;0, "DMR", "")</f>
        <v>DMR</v>
      </c>
      <c r="D194" s="10"/>
      <c r="E194" s="10" t="s">
        <v>496</v>
      </c>
      <c r="F194" s="10"/>
      <c r="G194" s="10" t="s">
        <v>333</v>
      </c>
      <c r="H194" s="10" t="s">
        <v>268</v>
      </c>
      <c r="I194" s="10"/>
      <c r="J194" s="9">
        <f>IF(L194&lt;&gt;"", INDEX('Processed Non-zero TRI Data'!$G:$G, MATCH(L194, 'Processed Non-zero TRI Data'!$I:$I,0)), INDEX('Processed Non-zero DMR Data'!$F:$F, MATCH(M194,'Processed Non-zero DMR Data'!$I:$I, 0)))</f>
        <v>40.670580000000001</v>
      </c>
      <c r="K194" s="9">
        <f>IF(L194&lt;&gt;"", INDEX('Processed Non-zero TRI Data'!$H:$H, MATCH(L194, 'Processed Non-zero TRI Data'!$I:$I,0)), INDEX('Processed Non-zero DMR Data'!$G:$G, MATCH(M194,'Processed Non-zero DMR Data'!$I:$I, 0)))</f>
        <v>-80.336500000000001</v>
      </c>
      <c r="L194" s="10"/>
      <c r="M194" s="259">
        <v>110000329038</v>
      </c>
      <c r="N194" s="9">
        <f>IF(L194&lt;&gt;"",INDEX('Processed Non-zero TRI Data'!L:L,MATCH('Facility Summary_Water'!L194,'Processed Non-zero TRI Data'!I:I,0)),INDEX('Processed Non-zero DMR Data'!$L:$L,MATCH('Facility Summary_Water'!M194,'Processed Non-zero DMR Data'!$I:$I,0)))</f>
        <v>325110</v>
      </c>
      <c r="O194" s="10" t="str">
        <f>INDEX('2017 - 2022 NAICS'!D:D,MATCH('Facility Summary_Water'!N194,'2017 - 2022 NAICS'!C:C,0))</f>
        <v>Petrochemical Manufacturing</v>
      </c>
      <c r="P194" s="10" t="str">
        <f>IFERROR(VLOOKUP(L194, 'Processed Non-zero TRI Data'!I:Q, 8, 0), "Direct")</f>
        <v>Direct</v>
      </c>
      <c r="Q194" s="10" t="e">
        <f>VLOOKUP(R194,#REF!, 2, FALSE)</f>
        <v>#REF!</v>
      </c>
      <c r="R194" s="10" t="str">
        <f>INDEX('Facility Discharge Summary'!D:D, MATCH('Facility Summary_Water'!M194, 'Facility Discharge Summary'!J:J,0))</f>
        <v>Processing as a reactant</v>
      </c>
      <c r="S194" s="10" t="str">
        <f>INDEX('Processed Non-zero DMR Data'!T:T, MATCH('Facility Summary_Water'!M194, 'Processed Non-zero DMR Data'!I:I,0))</f>
        <v>Assumed processing as a reactant based on SIC and NAICS. Not known MFG site.</v>
      </c>
      <c r="T194" s="10" t="s">
        <v>72</v>
      </c>
      <c r="U194" s="9">
        <f>INDEX('TRI and DMR OES Summary'!D:D, MATCH('Facility Summary_Water'!R194,'TRI and DMR OES Summary'!A:A,0))</f>
        <v>350</v>
      </c>
      <c r="V194" s="258">
        <f>INDEX('Facility Discharge Summary'!AR:AR,MATCH('Facility Summary_Water'!M194,'Facility Discharge Summary'!J:J,0))</f>
        <v>0</v>
      </c>
      <c r="W194" s="258">
        <f>INDEX('Facility Discharge Summary'!T:T,MATCH('Facility Summary_Water'!M194,'Facility Discharge Summary'!J:J,0))</f>
        <v>2.8147999999999999E-2</v>
      </c>
    </row>
    <row r="195" spans="1:23" x14ac:dyDescent="0.25">
      <c r="A195" s="9">
        <v>194</v>
      </c>
      <c r="B195" s="10" t="str">
        <f>IF(COUNTIF('Processed Non-zero TRI Data'!J:J,'Facility Summary_Water'!M195)&gt;0, "TRI Form " &amp; INDEX('Processed Non-zero TRI Data'!K:K,MATCH('Facility Summary_Water'!M195,'Processed Non-zero TRI Data'!J:J,0)), "" )</f>
        <v/>
      </c>
      <c r="C195" s="10" t="str">
        <f>IF(COUNTIF('Processed Non-zero DMR Data'!I:I, 'Facility Summary_Water'!M195)&gt;0, "DMR", "")</f>
        <v>DMR</v>
      </c>
      <c r="D195" s="10"/>
      <c r="E195" s="10" t="s">
        <v>497</v>
      </c>
      <c r="F195" s="10"/>
      <c r="G195" s="10" t="s">
        <v>498</v>
      </c>
      <c r="H195" s="10" t="s">
        <v>218</v>
      </c>
      <c r="I195" s="10"/>
      <c r="J195" s="9">
        <f>IF(L195&lt;&gt;"", INDEX('Processed Non-zero TRI Data'!$G:$G, MATCH(L195, 'Processed Non-zero TRI Data'!$I:$I,0)), INDEX('Processed Non-zero DMR Data'!$F:$F, MATCH(M195,'Processed Non-zero DMR Data'!$I:$I, 0)))</f>
        <v>39.754530000000003</v>
      </c>
      <c r="K195" s="9">
        <f>IF(L195&lt;&gt;"", INDEX('Processed Non-zero TRI Data'!$H:$H, MATCH(L195, 'Processed Non-zero TRI Data'!$I:$I,0)), INDEX('Processed Non-zero DMR Data'!$G:$G, MATCH(M195,'Processed Non-zero DMR Data'!$I:$I, 0)))</f>
        <v>-105.00681</v>
      </c>
      <c r="L195" s="10"/>
      <c r="M195" s="259">
        <v>110056125376</v>
      </c>
      <c r="N195" s="9">
        <f>IF(L195&lt;&gt;"",INDEX('Processed Non-zero TRI Data'!L:L,MATCH('Facility Summary_Water'!L195,'Processed Non-zero TRI Data'!I:I,0)),INDEX('Processed Non-zero DMR Data'!$L:$L,MATCH('Facility Summary_Water'!M195,'Processed Non-zero DMR Data'!$I:$I,0)))</f>
        <v>236220</v>
      </c>
      <c r="O195" s="10" t="str">
        <f>INDEX('2017 - 2022 NAICS'!D:D,MATCH('Facility Summary_Water'!N195,'2017 - 2022 NAICS'!C:C,0))</f>
        <v>Commercial and Institutional Building Construction</v>
      </c>
      <c r="P195" s="10" t="str">
        <f>IFERROR(VLOOKUP(L195, 'Processed Non-zero TRI Data'!I:Q, 8, 0), "Direct")</f>
        <v>Direct</v>
      </c>
      <c r="Q195" s="10" t="e">
        <f>VLOOKUP(R195,#REF!, 2, FALSE)</f>
        <v>#REF!</v>
      </c>
      <c r="R195" s="10" t="str">
        <f>INDEX('Facility Discharge Summary'!D:D, MATCH('Facility Summary_Water'!M195, 'Facility Discharge Summary'!J:J,0))</f>
        <v>Unknown</v>
      </c>
      <c r="S195" s="10" t="str">
        <f>INDEX('Processed Non-zero DMR Data'!T:T, MATCH('Facility Summary_Water'!M195, 'Processed Non-zero DMR Data'!I:I,0))</f>
        <v>Apartment complex; no OES to map to.</v>
      </c>
      <c r="T195" s="10" t="s">
        <v>72</v>
      </c>
      <c r="U195" s="9">
        <f>INDEX('TRI and DMR OES Summary'!D:D, MATCH('Facility Summary_Water'!R195,'TRI and DMR OES Summary'!A:A,0))</f>
        <v>250</v>
      </c>
      <c r="V195" s="258">
        <f>INDEX('Facility Discharge Summary'!AR:AR,MATCH('Facility Summary_Water'!M195,'Facility Discharge Summary'!J:J,0))</f>
        <v>0</v>
      </c>
      <c r="W195" s="258">
        <f>INDEX('Facility Discharge Summary'!T:T,MATCH('Facility Summary_Water'!M195,'Facility Discharge Summary'!J:J,0))</f>
        <v>6.2756056999999999E-3</v>
      </c>
    </row>
    <row r="196" spans="1:23" ht="30" x14ac:dyDescent="0.25">
      <c r="A196" s="9">
        <v>195</v>
      </c>
      <c r="B196" s="10" t="str">
        <f>IF(COUNTIF('Processed Non-zero TRI Data'!J:J,'Facility Summary_Water'!M196)&gt;0, "TRI Form " &amp; INDEX('Processed Non-zero TRI Data'!K:K,MATCH('Facility Summary_Water'!M196,'Processed Non-zero TRI Data'!J:J,0)), "" )</f>
        <v/>
      </c>
      <c r="C196" s="10" t="str">
        <f>IF(COUNTIF('Processed Non-zero DMR Data'!I:I, 'Facility Summary_Water'!M196)&gt;0, "DMR", "")</f>
        <v>DMR</v>
      </c>
      <c r="D196" s="10"/>
      <c r="E196" s="10" t="s">
        <v>499</v>
      </c>
      <c r="F196" s="10"/>
      <c r="G196" s="10" t="s">
        <v>500</v>
      </c>
      <c r="H196" s="10" t="s">
        <v>501</v>
      </c>
      <c r="I196" s="10"/>
      <c r="J196" s="9">
        <f>IF(L196&lt;&gt;"", INDEX('Processed Non-zero TRI Data'!$G:$G, MATCH(L196, 'Processed Non-zero TRI Data'!$I:$I,0)), INDEX('Processed Non-zero DMR Data'!$F:$F, MATCH(M196,'Processed Non-zero DMR Data'!$I:$I, 0)))</f>
        <v>40.506320000000002</v>
      </c>
      <c r="K196" s="9">
        <f>IF(L196&lt;&gt;"", INDEX('Processed Non-zero TRI Data'!$H:$H, MATCH(L196, 'Processed Non-zero TRI Data'!$I:$I,0)), INDEX('Processed Non-zero DMR Data'!$G:$G, MATCH(M196,'Processed Non-zero DMR Data'!$I:$I, 0)))</f>
        <v>-81.474299999999999</v>
      </c>
      <c r="L196" s="10"/>
      <c r="M196" s="259">
        <v>110000496981</v>
      </c>
      <c r="N196" s="9">
        <f>IF(L196&lt;&gt;"",INDEX('Processed Non-zero TRI Data'!L:L,MATCH('Facility Summary_Water'!L196,'Processed Non-zero TRI Data'!I:I,0)),INDEX('Processed Non-zero DMR Data'!$L:$L,MATCH('Facility Summary_Water'!M196,'Processed Non-zero DMR Data'!$I:$I,0)))</f>
        <v>325110</v>
      </c>
      <c r="O196" s="10" t="str">
        <f>INDEX('2017 - 2022 NAICS'!D:D,MATCH('Facility Summary_Water'!N196,'2017 - 2022 NAICS'!C:C,0))</f>
        <v>Petrochemical Manufacturing</v>
      </c>
      <c r="P196" s="10" t="str">
        <f>IFERROR(VLOOKUP(L196, 'Processed Non-zero TRI Data'!I:Q, 8, 0), "Direct")</f>
        <v>Direct</v>
      </c>
      <c r="Q196" s="10" t="e">
        <f>VLOOKUP(R196,#REF!, 2, FALSE)</f>
        <v>#REF!</v>
      </c>
      <c r="R196" s="10" t="str">
        <f>INDEX('Facility Discharge Summary'!D:D, MATCH('Facility Summary_Water'!M196, 'Facility Discharge Summary'!J:J,0))</f>
        <v>Processing as a reactant</v>
      </c>
      <c r="S196" s="10" t="str">
        <f>INDEX('Processed Non-zero DMR Data'!T:T, MATCH('Facility Summary_Water'!M196, 'Processed Non-zero DMR Data'!I:I,0))</f>
        <v>Assumed processing as a reactant based on SIC and NAICS. Not known MFG site.</v>
      </c>
      <c r="T196" s="10" t="s">
        <v>72</v>
      </c>
      <c r="U196" s="9">
        <f>INDEX('TRI and DMR OES Summary'!D:D, MATCH('Facility Summary_Water'!R196,'TRI and DMR OES Summary'!A:A,0))</f>
        <v>350</v>
      </c>
      <c r="V196" s="258">
        <f>INDEX('Facility Discharge Summary'!AR:AR,MATCH('Facility Summary_Water'!M196,'Facility Discharge Summary'!J:J,0))</f>
        <v>0</v>
      </c>
      <c r="W196" s="258">
        <f>INDEX('Facility Discharge Summary'!T:T,MATCH('Facility Summary_Water'!M196,'Facility Discharge Summary'!J:J,0))</f>
        <v>0.93744000000000005</v>
      </c>
    </row>
    <row r="197" spans="1:23" ht="45" x14ac:dyDescent="0.25">
      <c r="A197" s="9">
        <v>196</v>
      </c>
      <c r="B197" s="10" t="str">
        <f>IF(COUNTIF('Processed Non-zero TRI Data'!J:J,'Facility Summary_Water'!M197)&gt;0, "TRI Form " &amp; INDEX('Processed Non-zero TRI Data'!K:K,MATCH('Facility Summary_Water'!M197,'Processed Non-zero TRI Data'!J:J,0)), "" )</f>
        <v/>
      </c>
      <c r="C197" s="10" t="str">
        <f>IF(COUNTIF('Processed Non-zero DMR Data'!I:I, 'Facility Summary_Water'!M197)&gt;0, "DMR", "")</f>
        <v>DMR</v>
      </c>
      <c r="D197" s="10"/>
      <c r="E197" s="10" t="s">
        <v>502</v>
      </c>
      <c r="F197" s="10"/>
      <c r="G197" s="10" t="s">
        <v>372</v>
      </c>
      <c r="H197" s="10" t="s">
        <v>114</v>
      </c>
      <c r="I197" s="10"/>
      <c r="J197" s="9">
        <f>IF(L197&lt;&gt;"", INDEX('Processed Non-zero TRI Data'!$G:$G, MATCH(L197, 'Processed Non-zero TRI Data'!$I:$I,0)), INDEX('Processed Non-zero DMR Data'!$F:$F, MATCH(M197,'Processed Non-zero DMR Data'!$I:$I, 0)))</f>
        <v>29.726065999999999</v>
      </c>
      <c r="K197" s="9">
        <f>IF(L197&lt;&gt;"", INDEX('Processed Non-zero TRI Data'!$H:$H, MATCH(L197, 'Processed Non-zero TRI Data'!$I:$I,0)), INDEX('Processed Non-zero DMR Data'!$G:$G, MATCH(M197,'Processed Non-zero DMR Data'!$I:$I, 0)))</f>
        <v>-95.079583999999997</v>
      </c>
      <c r="L197" s="10"/>
      <c r="M197" s="259">
        <v>110000463677</v>
      </c>
      <c r="N197" s="9">
        <f>IF(L197&lt;&gt;"",INDEX('Processed Non-zero TRI Data'!L:L,MATCH('Facility Summary_Water'!L197,'Processed Non-zero TRI Data'!I:I,0)),INDEX('Processed Non-zero DMR Data'!$L:$L,MATCH('Facility Summary_Water'!M197,'Processed Non-zero DMR Data'!$I:$I,0)))</f>
        <v>325211</v>
      </c>
      <c r="O197" s="10" t="str">
        <f>INDEX('2017 - 2022 NAICS'!D:D,MATCH('Facility Summary_Water'!N197,'2017 - 2022 NAICS'!C:C,0))</f>
        <v>Plastics Material and Resin Manufacturing</v>
      </c>
      <c r="P197" s="10" t="str">
        <f>IFERROR(VLOOKUP(L197, 'Processed Non-zero TRI Data'!I:Q, 8, 0), "Direct")</f>
        <v>Direct</v>
      </c>
      <c r="Q197" s="10" t="e">
        <f>VLOOKUP(R197,#REF!, 2, FALSE)</f>
        <v>#REF!</v>
      </c>
      <c r="R197" s="10" t="str">
        <f>INDEX('Facility Discharge Summary'!D:D, MATCH('Facility Summary_Water'!M197, 'Facility Discharge Summary'!J:J,0))</f>
        <v>Impurity in Plastics</v>
      </c>
      <c r="S197" s="10" t="str">
        <f>INDEX('Processed Non-zero DMR Data'!T:T, MATCH('Facility Summary_Water'!M197, 'Processed Non-zero DMR Data'!I:I,0))</f>
        <v>Plastics SIC/NAICS - EPA-HQ-OPPT-2018-0428-0011 indicates 1,2-dichloropropane can be a residual/byproduct in PVC plastics or a flame retardant plasticizer.</v>
      </c>
      <c r="T197" s="10" t="s">
        <v>72</v>
      </c>
      <c r="U197" s="9">
        <f>INDEX('TRI and DMR OES Summary'!D:D, MATCH('Facility Summary_Water'!R197,'TRI and DMR OES Summary'!A:A,0))</f>
        <v>350</v>
      </c>
      <c r="V197" s="258">
        <f>INDEX('Facility Discharge Summary'!AR:AR,MATCH('Facility Summary_Water'!M197,'Facility Discharge Summary'!J:J,0))</f>
        <v>0</v>
      </c>
      <c r="W197" s="258">
        <f>INDEX('Facility Discharge Summary'!T:T,MATCH('Facility Summary_Water'!M197,'Facility Discharge Summary'!J:J,0))</f>
        <v>3.9936110000000002E-3</v>
      </c>
    </row>
    <row r="198" spans="1:23" ht="30" x14ac:dyDescent="0.25">
      <c r="A198" s="9">
        <v>197</v>
      </c>
      <c r="B198" s="10" t="str">
        <f>IF(COUNTIF('Processed Non-zero TRI Data'!J:J,'Facility Summary_Water'!M198)&gt;0, "TRI Form " &amp; INDEX('Processed Non-zero TRI Data'!K:K,MATCH('Facility Summary_Water'!M198,'Processed Non-zero TRI Data'!J:J,0)), "" )</f>
        <v/>
      </c>
      <c r="C198" s="10" t="str">
        <f>IF(COUNTIF('Processed Non-zero DMR Data'!I:I, 'Facility Summary_Water'!M198)&gt;0, "DMR", "")</f>
        <v>DMR</v>
      </c>
      <c r="D198" s="10"/>
      <c r="E198" s="10" t="s">
        <v>503</v>
      </c>
      <c r="F198" s="10"/>
      <c r="G198" s="10" t="s">
        <v>504</v>
      </c>
      <c r="H198" s="10" t="s">
        <v>452</v>
      </c>
      <c r="I198" s="10"/>
      <c r="J198" s="9">
        <f>IF(L198&lt;&gt;"", INDEX('Processed Non-zero TRI Data'!$G:$G, MATCH(L198, 'Processed Non-zero TRI Data'!$I:$I,0)), INDEX('Processed Non-zero DMR Data'!$F:$F, MATCH(M198,'Processed Non-zero DMR Data'!$I:$I, 0)))</f>
        <v>35.118552999999999</v>
      </c>
      <c r="K198" s="9">
        <f>IF(L198&lt;&gt;"", INDEX('Processed Non-zero TRI Data'!$H:$H, MATCH(L198, 'Processed Non-zero TRI Data'!$I:$I,0)), INDEX('Processed Non-zero DMR Data'!$G:$G, MATCH(M198,'Processed Non-zero DMR Data'!$I:$I, 0)))</f>
        <v>-81.559533000000002</v>
      </c>
      <c r="L198" s="10"/>
      <c r="M198" s="259">
        <v>110000915984</v>
      </c>
      <c r="N198" s="9">
        <f>IF(L198&lt;&gt;"",INDEX('Processed Non-zero TRI Data'!L:L,MATCH('Facility Summary_Water'!L198,'Processed Non-zero TRI Data'!I:I,0)),INDEX('Processed Non-zero DMR Data'!$L:$L,MATCH('Facility Summary_Water'!M198,'Processed Non-zero DMR Data'!$I:$I,0)))</f>
        <v>313310</v>
      </c>
      <c r="O198" s="10" t="str">
        <f>INDEX('2017 - 2022 NAICS'!D:D,MATCH('Facility Summary_Water'!N198,'2017 - 2022 NAICS'!C:C,0))</f>
        <v>Textile and Fabric Finishing Mills</v>
      </c>
      <c r="P198" s="10" t="str">
        <f>IFERROR(VLOOKUP(L198, 'Processed Non-zero TRI Data'!I:Q, 8, 0), "Direct")</f>
        <v>Direct</v>
      </c>
      <c r="Q198" s="10" t="e">
        <f>VLOOKUP(R198,#REF!, 2, FALSE)</f>
        <v>#REF!</v>
      </c>
      <c r="R198" s="10" t="str">
        <f>INDEX('Facility Discharge Summary'!D:D, MATCH('Facility Summary_Water'!M198, 'Facility Discharge Summary'!J:J,0))</f>
        <v>Processing as a reactant</v>
      </c>
      <c r="S198" s="10" t="str">
        <f>INDEX('Processed Non-zero DMR Data'!T:T, MATCH('Facility Summary_Water'!M198, 'Processed Non-zero DMR Data'!I:I,0))</f>
        <v>Facility produces textile, chemical, and floor covering products; assumed processing as a reactant.</v>
      </c>
      <c r="T198" s="10" t="s">
        <v>72</v>
      </c>
      <c r="U198" s="9">
        <f>INDEX('TRI and DMR OES Summary'!D:D, MATCH('Facility Summary_Water'!R198,'TRI and DMR OES Summary'!A:A,0))</f>
        <v>350</v>
      </c>
      <c r="V198" s="258">
        <f>INDEX('Facility Discharge Summary'!AR:AR,MATCH('Facility Summary_Water'!M198,'Facility Discharge Summary'!J:J,0))</f>
        <v>0</v>
      </c>
      <c r="W198" s="258">
        <f>INDEX('Facility Discharge Summary'!T:T,MATCH('Facility Summary_Water'!M198,'Facility Discharge Summary'!J:J,0))</f>
        <v>9.7768899999999999</v>
      </c>
    </row>
    <row r="199" spans="1:23" ht="30" x14ac:dyDescent="0.25">
      <c r="A199" s="9">
        <v>198</v>
      </c>
      <c r="B199" s="10" t="str">
        <f>IF(COUNTIF('Processed Non-zero TRI Data'!J:J,'Facility Summary_Water'!M199)&gt;0, "TRI Form " &amp; INDEX('Processed Non-zero TRI Data'!K:K,MATCH('Facility Summary_Water'!M199,'Processed Non-zero TRI Data'!J:J,0)), "" )</f>
        <v/>
      </c>
      <c r="C199" s="10" t="str">
        <f>IF(COUNTIF('Processed Non-zero DMR Data'!I:I, 'Facility Summary_Water'!M199)&gt;0, "DMR", "")</f>
        <v>DMR</v>
      </c>
      <c r="D199" s="10"/>
      <c r="E199" s="10" t="s">
        <v>505</v>
      </c>
      <c r="F199" s="10"/>
      <c r="G199" s="10" t="s">
        <v>498</v>
      </c>
      <c r="H199" s="10" t="s">
        <v>218</v>
      </c>
      <c r="I199" s="10"/>
      <c r="J199" s="9">
        <f>IF(L199&lt;&gt;"", INDEX('Processed Non-zero TRI Data'!$G:$G, MATCH(L199, 'Processed Non-zero TRI Data'!$I:$I,0)), INDEX('Processed Non-zero DMR Data'!$F:$F, MATCH(M199,'Processed Non-zero DMR Data'!$I:$I, 0)))</f>
        <v>39.781474000000003</v>
      </c>
      <c r="K199" s="9">
        <f>IF(L199&lt;&gt;"", INDEX('Processed Non-zero TRI Data'!$H:$H, MATCH(L199, 'Processed Non-zero TRI Data'!$I:$I,0)), INDEX('Processed Non-zero DMR Data'!$G:$G, MATCH(M199,'Processed Non-zero DMR Data'!$I:$I, 0)))</f>
        <v>-104.97438</v>
      </c>
      <c r="L199" s="10"/>
      <c r="M199" s="259">
        <v>110070162955</v>
      </c>
      <c r="N199" s="9">
        <f>IF(L199&lt;&gt;"",INDEX('Processed Non-zero TRI Data'!L:L,MATCH('Facility Summary_Water'!L199,'Processed Non-zero TRI Data'!I:I,0)),INDEX('Processed Non-zero DMR Data'!$L:$L,MATCH('Facility Summary_Water'!M199,'Processed Non-zero DMR Data'!$I:$I,0)))</f>
        <v>236210</v>
      </c>
      <c r="O199" s="10" t="str">
        <f>INDEX('2017 - 2022 NAICS'!D:D,MATCH('Facility Summary_Water'!N199,'2017 - 2022 NAICS'!C:C,0))</f>
        <v>Industrial Building Construction</v>
      </c>
      <c r="P199" s="10" t="str">
        <f>IFERROR(VLOOKUP(L199, 'Processed Non-zero TRI Data'!I:Q, 8, 0), "Direct")</f>
        <v>Direct</v>
      </c>
      <c r="Q199" s="10" t="e">
        <f>VLOOKUP(R199,#REF!, 2, FALSE)</f>
        <v>#REF!</v>
      </c>
      <c r="R199" s="10" t="str">
        <f>INDEX('Facility Discharge Summary'!D:D, MATCH('Facility Summary_Water'!M199, 'Facility Discharge Summary'!J:J,0))</f>
        <v>Waste Handling, Disposal and Treatment (non-POTW WWT)</v>
      </c>
      <c r="S199" s="10" t="str">
        <f>INDEX('Processed Non-zero DMR Data'!T:T, MATCH('Facility Summary_Water'!M199, 'Processed Non-zero DMR Data'!I:I,0))</f>
        <v>Facility provides wastewater treatment and waste hauling services; mapped to non-POTW WWT per facility type flag.</v>
      </c>
      <c r="T199" s="10" t="s">
        <v>72</v>
      </c>
      <c r="U199" s="9">
        <f>INDEX('TRI and DMR OES Summary'!D:D, MATCH('Facility Summary_Water'!R199,'TRI and DMR OES Summary'!A:A,0))</f>
        <v>250</v>
      </c>
      <c r="V199" s="258">
        <f>INDEX('Facility Discharge Summary'!AR:AR,MATCH('Facility Summary_Water'!M199,'Facility Discharge Summary'!J:J,0))</f>
        <v>0</v>
      </c>
      <c r="W199" s="258">
        <f>INDEX('Facility Discharge Summary'!T:T,MATCH('Facility Summary_Water'!M199,'Facility Discharge Summary'!J:J,0))</f>
        <v>7.8992950000000006E-3</v>
      </c>
    </row>
    <row r="200" spans="1:23" ht="30" x14ac:dyDescent="0.25">
      <c r="A200" s="9">
        <v>199</v>
      </c>
      <c r="B200" s="10" t="str">
        <f>IF(COUNTIF('Processed Non-zero TRI Data'!J:J,'Facility Summary_Water'!M200)&gt;0, "TRI Form " &amp; INDEX('Processed Non-zero TRI Data'!K:K,MATCH('Facility Summary_Water'!M200,'Processed Non-zero TRI Data'!J:J,0)), "" )</f>
        <v/>
      </c>
      <c r="C200" s="10" t="str">
        <f>IF(COUNTIF('Processed Non-zero DMR Data'!I:I, 'Facility Summary_Water'!M200)&gt;0, "DMR", "")</f>
        <v>DMR</v>
      </c>
      <c r="D200" s="10"/>
      <c r="E200" s="10" t="s">
        <v>506</v>
      </c>
      <c r="F200" s="10"/>
      <c r="G200" s="10" t="s">
        <v>507</v>
      </c>
      <c r="H200" s="10" t="s">
        <v>114</v>
      </c>
      <c r="I200" s="10"/>
      <c r="J200" s="9">
        <f>IF(L200&lt;&gt;"", INDEX('Processed Non-zero TRI Data'!$G:$G, MATCH(L200, 'Processed Non-zero TRI Data'!$I:$I,0)), INDEX('Processed Non-zero DMR Data'!$F:$F, MATCH(M200,'Processed Non-zero DMR Data'!$I:$I, 0)))</f>
        <v>29.857654</v>
      </c>
      <c r="K200" s="9">
        <f>IF(L200&lt;&gt;"", INDEX('Processed Non-zero TRI Data'!$H:$H, MATCH(L200, 'Processed Non-zero TRI Data'!$I:$I,0)), INDEX('Processed Non-zero DMR Data'!$G:$G, MATCH(M200,'Processed Non-zero DMR Data'!$I:$I, 0)))</f>
        <v>-94.910674</v>
      </c>
      <c r="L200" s="10"/>
      <c r="M200" s="259">
        <v>110056961480</v>
      </c>
      <c r="N200" s="9">
        <f>IF(L200&lt;&gt;"",INDEX('Processed Non-zero TRI Data'!L:L,MATCH('Facility Summary_Water'!L200,'Processed Non-zero TRI Data'!I:I,0)),INDEX('Processed Non-zero DMR Data'!$L:$L,MATCH('Facility Summary_Water'!M200,'Processed Non-zero DMR Data'!$I:$I,0)))</f>
        <v>325110</v>
      </c>
      <c r="O200" s="10" t="str">
        <f>INDEX('2017 - 2022 NAICS'!D:D,MATCH('Facility Summary_Water'!N200,'2017 - 2022 NAICS'!C:C,0))</f>
        <v>Petrochemical Manufacturing</v>
      </c>
      <c r="P200" s="10" t="str">
        <f>IFERROR(VLOOKUP(L200, 'Processed Non-zero TRI Data'!I:Q, 8, 0), "Direct")</f>
        <v>Direct</v>
      </c>
      <c r="Q200" s="10" t="e">
        <f>VLOOKUP(R200,#REF!, 2, FALSE)</f>
        <v>#REF!</v>
      </c>
      <c r="R200" s="10" t="str">
        <f>INDEX('Facility Discharge Summary'!D:D, MATCH('Facility Summary_Water'!M200, 'Facility Discharge Summary'!J:J,0))</f>
        <v>Processing as a reactant</v>
      </c>
      <c r="S200" s="10" t="str">
        <f>INDEX('Processed Non-zero DMR Data'!T:T, MATCH('Facility Summary_Water'!M200, 'Processed Non-zero DMR Data'!I:I,0))</f>
        <v>Assumed processing as a reactant based on SIC and NAICS. Not known MFG site.</v>
      </c>
      <c r="T200" s="10" t="s">
        <v>72</v>
      </c>
      <c r="U200" s="9">
        <f>INDEX('TRI and DMR OES Summary'!D:D, MATCH('Facility Summary_Water'!R200,'TRI and DMR OES Summary'!A:A,0))</f>
        <v>350</v>
      </c>
      <c r="V200" s="258">
        <f>INDEX('Facility Discharge Summary'!AR:AR,MATCH('Facility Summary_Water'!M200,'Facility Discharge Summary'!J:J,0))</f>
        <v>0</v>
      </c>
      <c r="W200" s="258">
        <f>INDEX('Facility Discharge Summary'!T:T,MATCH('Facility Summary_Water'!M200,'Facility Discharge Summary'!J:J,0))</f>
        <v>0.16571</v>
      </c>
    </row>
    <row r="201" spans="1:23" x14ac:dyDescent="0.25">
      <c r="A201" s="9">
        <v>200</v>
      </c>
      <c r="B201" s="10" t="str">
        <f>IF(COUNTIF('Processed Non-zero TRI Data'!J:J,'Facility Summary_Water'!M201)&gt;0, "TRI Form " &amp; INDEX('Processed Non-zero TRI Data'!K:K,MATCH('Facility Summary_Water'!M201,'Processed Non-zero TRI Data'!J:J,0)), "" )</f>
        <v/>
      </c>
      <c r="C201" s="10" t="str">
        <f>IF(COUNTIF('Processed Non-zero DMR Data'!I:I, 'Facility Summary_Water'!M201)&gt;0, "DMR", "")</f>
        <v>DMR</v>
      </c>
      <c r="D201" s="10"/>
      <c r="E201" s="10" t="s">
        <v>508</v>
      </c>
      <c r="F201" s="10"/>
      <c r="G201" s="10" t="s">
        <v>509</v>
      </c>
      <c r="H201" s="10" t="s">
        <v>146</v>
      </c>
      <c r="I201" s="10"/>
      <c r="J201" s="9">
        <f>IF(L201&lt;&gt;"", INDEX('Processed Non-zero TRI Data'!$G:$G, MATCH(L201, 'Processed Non-zero TRI Data'!$I:$I,0)), INDEX('Processed Non-zero DMR Data'!$F:$F, MATCH(M201,'Processed Non-zero DMR Data'!$I:$I, 0)))</f>
        <v>40.638300000000001</v>
      </c>
      <c r="K201" s="9">
        <f>IF(L201&lt;&gt;"", INDEX('Processed Non-zero TRI Data'!$H:$H, MATCH(L201, 'Processed Non-zero TRI Data'!$I:$I,0)), INDEX('Processed Non-zero DMR Data'!$G:$G, MATCH(M201,'Processed Non-zero DMR Data'!$I:$I, 0)))</f>
        <v>-124.22553000000001</v>
      </c>
      <c r="L201" s="10"/>
      <c r="M201" s="259">
        <v>110010059649</v>
      </c>
      <c r="N201" s="9">
        <f>IF(L201&lt;&gt;"",INDEX('Processed Non-zero TRI Data'!L:L,MATCH('Facility Summary_Water'!L201,'Processed Non-zero TRI Data'!I:I,0)),INDEX('Processed Non-zero DMR Data'!$L:$L,MATCH('Facility Summary_Water'!M201,'Processed Non-zero DMR Data'!$I:$I,0)))</f>
        <v>221320</v>
      </c>
      <c r="O201" s="10" t="str">
        <f>INDEX('2017 - 2022 NAICS'!D:D,MATCH('Facility Summary_Water'!N201,'2017 - 2022 NAICS'!C:C,0))</f>
        <v>Sewage Treatment Facilities</v>
      </c>
      <c r="P201" s="10" t="str">
        <f>IFERROR(VLOOKUP(L201, 'Processed Non-zero TRI Data'!I:Q, 8, 0), "Direct")</f>
        <v>Direct</v>
      </c>
      <c r="Q201" s="10" t="e">
        <f>VLOOKUP(R201,#REF!, 2, FALSE)</f>
        <v>#REF!</v>
      </c>
      <c r="R201" s="10" t="str">
        <f>INDEX('Facility Discharge Summary'!D:D, MATCH('Facility Summary_Water'!M201, 'Facility Discharge Summary'!J:J,0))</f>
        <v>Waste Handling, Disposal and Treatment (POTW)</v>
      </c>
      <c r="S201" s="10" t="str">
        <f>INDEX('Processed Non-zero DMR Data'!T:T, MATCH('Facility Summary_Water'!M201, 'Processed Non-zero DMR Data'!I:I,0))</f>
        <v>POTW indicator in DMR</v>
      </c>
      <c r="T201" s="10" t="s">
        <v>72</v>
      </c>
      <c r="U201" s="9">
        <f>INDEX('TRI and DMR OES Summary'!D:D, MATCH('Facility Summary_Water'!R201,'TRI and DMR OES Summary'!A:A,0))</f>
        <v>365</v>
      </c>
      <c r="V201" s="258">
        <f>INDEX('Facility Discharge Summary'!AR:AR,MATCH('Facility Summary_Water'!M201,'Facility Discharge Summary'!J:J,0))</f>
        <v>0</v>
      </c>
      <c r="W201" s="258">
        <f>INDEX('Facility Discharge Summary'!T:T,MATCH('Facility Summary_Water'!M201,'Facility Discharge Summary'!J:J,0))</f>
        <v>6.8385487499999995E-2</v>
      </c>
    </row>
    <row r="202" spans="1:23" x14ac:dyDescent="0.25">
      <c r="A202" s="9">
        <v>201</v>
      </c>
      <c r="B202" s="10" t="str">
        <f>IF(COUNTIF('Processed Non-zero TRI Data'!J:J,'Facility Summary_Water'!M202)&gt;0, "TRI Form " &amp; INDEX('Processed Non-zero TRI Data'!K:K,MATCH('Facility Summary_Water'!M202,'Processed Non-zero TRI Data'!J:J,0)), "" )</f>
        <v/>
      </c>
      <c r="C202" s="10" t="str">
        <f>IF(COUNTIF('Processed Non-zero DMR Data'!I:I, 'Facility Summary_Water'!M202)&gt;0, "DMR", "")</f>
        <v>DMR</v>
      </c>
      <c r="D202" s="10"/>
      <c r="E202" s="10" t="s">
        <v>510</v>
      </c>
      <c r="F202" s="10"/>
      <c r="G202" s="10" t="s">
        <v>145</v>
      </c>
      <c r="H202" s="10" t="s">
        <v>146</v>
      </c>
      <c r="I202" s="10"/>
      <c r="J202" s="9">
        <f>IF(L202&lt;&gt;"", INDEX('Processed Non-zero TRI Data'!$G:$G, MATCH(L202, 'Processed Non-zero TRI Data'!$I:$I,0)), INDEX('Processed Non-zero DMR Data'!$F:$F, MATCH(M202,'Processed Non-zero DMR Data'!$I:$I, 0)))</f>
        <v>39.915689999999998</v>
      </c>
      <c r="K202" s="9">
        <f>IF(L202&lt;&gt;"", INDEX('Processed Non-zero TRI Data'!$H:$H, MATCH(L202, 'Processed Non-zero TRI Data'!$I:$I,0)), INDEX('Processed Non-zero DMR Data'!$G:$G, MATCH(M202,'Processed Non-zero DMR Data'!$I:$I, 0)))</f>
        <v>-122.10365</v>
      </c>
      <c r="L202" s="10"/>
      <c r="M202" s="259">
        <v>110054272210</v>
      </c>
      <c r="N202" s="9">
        <f>IF(L202&lt;&gt;"",INDEX('Processed Non-zero TRI Data'!L:L,MATCH('Facility Summary_Water'!L202,'Processed Non-zero TRI Data'!I:I,0)),INDEX('Processed Non-zero DMR Data'!$L:$L,MATCH('Facility Summary_Water'!M202,'Processed Non-zero DMR Data'!$I:$I,0)))</f>
        <v>311421</v>
      </c>
      <c r="O202" s="10" t="str">
        <f>INDEX('2017 - 2022 NAICS'!D:D,MATCH('Facility Summary_Water'!N202,'2017 - 2022 NAICS'!C:C,0))</f>
        <v>Fruit and Vegetable Canning</v>
      </c>
      <c r="P202" s="10" t="str">
        <f>IFERROR(VLOOKUP(L202, 'Processed Non-zero TRI Data'!I:Q, 8, 0), "Direct")</f>
        <v>Direct</v>
      </c>
      <c r="Q202" s="10" t="e">
        <f>VLOOKUP(R202,#REF!, 2, FALSE)</f>
        <v>#REF!</v>
      </c>
      <c r="R202" s="10" t="str">
        <f>INDEX('Facility Discharge Summary'!D:D, MATCH('Facility Summary_Water'!M202, 'Facility Discharge Summary'!J:J,0))</f>
        <v>Waste Handling, Disposal and Treatment (non-POTW WWT)</v>
      </c>
      <c r="S202" s="10" t="str">
        <f>INDEX('Processed Non-zero DMR Data'!T:T, MATCH('Facility Summary_Water'!M202, 'Processed Non-zero DMR Data'!I:I,0))</f>
        <v>Site Name is WWTP; non-POTW WWT per facility type flag.</v>
      </c>
      <c r="T202" s="10" t="s">
        <v>72</v>
      </c>
      <c r="U202" s="9">
        <f>INDEX('TRI and DMR OES Summary'!D:D, MATCH('Facility Summary_Water'!R202,'TRI and DMR OES Summary'!A:A,0))</f>
        <v>250</v>
      </c>
      <c r="V202" s="258">
        <f>INDEX('Facility Discharge Summary'!AR:AR,MATCH('Facility Summary_Water'!M202,'Facility Discharge Summary'!J:J,0))</f>
        <v>0</v>
      </c>
      <c r="W202" s="258">
        <f>INDEX('Facility Discharge Summary'!T:T,MATCH('Facility Summary_Water'!M202,'Facility Discharge Summary'!J:J,0))</f>
        <v>0.16759979999999999</v>
      </c>
    </row>
    <row r="203" spans="1:23" ht="30" x14ac:dyDescent="0.25">
      <c r="A203" s="9">
        <v>202</v>
      </c>
      <c r="B203" s="10" t="str">
        <f>IF(COUNTIF('Processed Non-zero TRI Data'!J:J,'Facility Summary_Water'!M203)&gt;0, "TRI Form " &amp; INDEX('Processed Non-zero TRI Data'!K:K,MATCH('Facility Summary_Water'!M203,'Processed Non-zero TRI Data'!J:J,0)), "" )</f>
        <v/>
      </c>
      <c r="C203" s="10" t="str">
        <f>IF(COUNTIF('Processed Non-zero DMR Data'!I:I, 'Facility Summary_Water'!M203)&gt;0, "DMR", "")</f>
        <v>DMR</v>
      </c>
      <c r="D203" s="10"/>
      <c r="E203" s="10" t="s">
        <v>511</v>
      </c>
      <c r="F203" s="10"/>
      <c r="G203" s="10" t="s">
        <v>512</v>
      </c>
      <c r="H203" s="10" t="s">
        <v>146</v>
      </c>
      <c r="I203" s="10"/>
      <c r="J203" s="9">
        <f>IF(L203&lt;&gt;"", INDEX('Processed Non-zero TRI Data'!$G:$G, MATCH(L203, 'Processed Non-zero TRI Data'!$I:$I,0)), INDEX('Processed Non-zero DMR Data'!$F:$F, MATCH(M203,'Processed Non-zero DMR Data'!$I:$I, 0)))</f>
        <v>38.030833000000001</v>
      </c>
      <c r="K203" s="9">
        <f>IF(L203&lt;&gt;"", INDEX('Processed Non-zero TRI Data'!$H:$H, MATCH(L203, 'Processed Non-zero TRI Data'!$I:$I,0)), INDEX('Processed Non-zero DMR Data'!$G:$G, MATCH(M203,'Processed Non-zero DMR Data'!$I:$I, 0)))</f>
        <v>-122.075</v>
      </c>
      <c r="L203" s="10"/>
      <c r="M203" s="259">
        <v>110071349304</v>
      </c>
      <c r="N203" s="9">
        <f>IF(L203&lt;&gt;"",INDEX('Processed Non-zero TRI Data'!L:L,MATCH('Facility Summary_Water'!L203,'Processed Non-zero TRI Data'!I:I,0)),INDEX('Processed Non-zero DMR Data'!$L:$L,MATCH('Facility Summary_Water'!M203,'Processed Non-zero DMR Data'!$I:$I,0)))</f>
        <v>324110</v>
      </c>
      <c r="O203" s="10" t="str">
        <f>INDEX('2017 - 2022 NAICS'!D:D,MATCH('Facility Summary_Water'!N203,'2017 - 2022 NAICS'!C:C,0))</f>
        <v>Petroleum Refineries</v>
      </c>
      <c r="P203" s="10" t="str">
        <f>IFERROR(VLOOKUP(L203, 'Processed Non-zero TRI Data'!I:Q, 8, 0), "Direct")</f>
        <v>Direct</v>
      </c>
      <c r="Q203" s="10" t="e">
        <f>VLOOKUP(R203,#REF!, 2, FALSE)</f>
        <v>#REF!</v>
      </c>
      <c r="R203" s="10" t="str">
        <f>INDEX('Facility Discharge Summary'!D:D, MATCH('Facility Summary_Water'!M203, 'Facility Discharge Summary'!J:J,0))</f>
        <v>Repackaging</v>
      </c>
      <c r="S203" s="10" t="str">
        <f>INDEX('Processed Non-zero DMR Data'!T:T, MATCH('Facility Summary_Water'!M203, 'Processed Non-zero DMR Data'!I:I,0))</f>
        <v>Facility is a tank farm/distributor; assumed distribution in commerce.</v>
      </c>
      <c r="T203" s="10" t="s">
        <v>72</v>
      </c>
      <c r="U203" s="9">
        <f>INDEX('TRI and DMR OES Summary'!D:D, MATCH('Facility Summary_Water'!R203,'TRI and DMR OES Summary'!A:A,0))</f>
        <v>250</v>
      </c>
      <c r="V203" s="258">
        <f>INDEX('Facility Discharge Summary'!AR:AR,MATCH('Facility Summary_Water'!M203,'Facility Discharge Summary'!J:J,0))</f>
        <v>0</v>
      </c>
      <c r="W203" s="258">
        <f>INDEX('Facility Discharge Summary'!T:T,MATCH('Facility Summary_Water'!M203,'Facility Discharge Summary'!J:J,0))</f>
        <v>2.95882534E-2</v>
      </c>
    </row>
    <row r="204" spans="1:23" x14ac:dyDescent="0.25">
      <c r="A204" s="9">
        <v>203</v>
      </c>
      <c r="B204" s="10" t="str">
        <f>IF(COUNTIF('Processed Non-zero TRI Data'!J:J,'Facility Summary_Water'!M204)&gt;0, "TRI Form " &amp; INDEX('Processed Non-zero TRI Data'!K:K,MATCH('Facility Summary_Water'!M204,'Processed Non-zero TRI Data'!J:J,0)), "" )</f>
        <v/>
      </c>
      <c r="C204" s="10" t="str">
        <f>IF(COUNTIF('Processed Non-zero DMR Data'!I:I, 'Facility Summary_Water'!M204)&gt;0, "DMR", "")</f>
        <v>DMR</v>
      </c>
      <c r="D204" s="10"/>
      <c r="E204" s="10" t="s">
        <v>513</v>
      </c>
      <c r="F204" s="10"/>
      <c r="G204" s="10" t="s">
        <v>514</v>
      </c>
      <c r="H204" s="10" t="s">
        <v>146</v>
      </c>
      <c r="I204" s="10"/>
      <c r="J204" s="9">
        <f>IF(L204&lt;&gt;"", INDEX('Processed Non-zero TRI Data'!$G:$G, MATCH(L204, 'Processed Non-zero TRI Data'!$I:$I,0)), INDEX('Processed Non-zero DMR Data'!$F:$F, MATCH(M204,'Processed Non-zero DMR Data'!$I:$I, 0)))</f>
        <v>37.795589999999997</v>
      </c>
      <c r="K204" s="9">
        <f>IF(L204&lt;&gt;"", INDEX('Processed Non-zero TRI Data'!$H:$H, MATCH(L204, 'Processed Non-zero TRI Data'!$I:$I,0)), INDEX('Processed Non-zero DMR Data'!$G:$G, MATCH(M204,'Processed Non-zero DMR Data'!$I:$I, 0)))</f>
        <v>-121.26000999999999</v>
      </c>
      <c r="L204" s="10"/>
      <c r="M204" s="259">
        <v>110039801462</v>
      </c>
      <c r="N204" s="9">
        <f>IF(L204&lt;&gt;"",INDEX('Processed Non-zero TRI Data'!L:L,MATCH('Facility Summary_Water'!L204,'Processed Non-zero TRI Data'!I:I,0)),INDEX('Processed Non-zero DMR Data'!$L:$L,MATCH('Facility Summary_Water'!M204,'Processed Non-zero DMR Data'!$I:$I,0)))</f>
        <v>221320</v>
      </c>
      <c r="O204" s="10" t="str">
        <f>INDEX('2017 - 2022 NAICS'!D:D,MATCH('Facility Summary_Water'!N204,'2017 - 2022 NAICS'!C:C,0))</f>
        <v>Sewage Treatment Facilities</v>
      </c>
      <c r="P204" s="10" t="str">
        <f>IFERROR(VLOOKUP(L204, 'Processed Non-zero TRI Data'!I:Q, 8, 0), "Direct")</f>
        <v>Direct</v>
      </c>
      <c r="Q204" s="10" t="e">
        <f>VLOOKUP(R204,#REF!, 2, FALSE)</f>
        <v>#REF!</v>
      </c>
      <c r="R204" s="10" t="str">
        <f>INDEX('Facility Discharge Summary'!D:D, MATCH('Facility Summary_Water'!M204, 'Facility Discharge Summary'!J:J,0))</f>
        <v>Waste Handling, Disposal and Treatment (POTW)</v>
      </c>
      <c r="S204" s="10" t="str">
        <f>INDEX('Processed Non-zero DMR Data'!T:T, MATCH('Facility Summary_Water'!M204, 'Processed Non-zero DMR Data'!I:I,0))</f>
        <v>POTW indicator in DMR</v>
      </c>
      <c r="T204" s="10" t="s">
        <v>72</v>
      </c>
      <c r="U204" s="9">
        <f>INDEX('TRI and DMR OES Summary'!D:D, MATCH('Facility Summary_Water'!R204,'TRI and DMR OES Summary'!A:A,0))</f>
        <v>365</v>
      </c>
      <c r="V204" s="258">
        <f>INDEX('Facility Discharge Summary'!AR:AR,MATCH('Facility Summary_Water'!M204,'Facility Discharge Summary'!J:J,0))</f>
        <v>0</v>
      </c>
      <c r="W204" s="258">
        <f>INDEX('Facility Discharge Summary'!T:T,MATCH('Facility Summary_Water'!M204,'Facility Discharge Summary'!J:J,0))</f>
        <v>0.27096562666666602</v>
      </c>
    </row>
    <row r="205" spans="1:23" ht="30" x14ac:dyDescent="0.25">
      <c r="A205" s="9">
        <v>204</v>
      </c>
      <c r="B205" s="10" t="str">
        <f>IF(COUNTIF('Processed Non-zero TRI Data'!J:J,'Facility Summary_Water'!M205)&gt;0, "TRI Form " &amp; INDEX('Processed Non-zero TRI Data'!K:K,MATCH('Facility Summary_Water'!M205,'Processed Non-zero TRI Data'!J:J,0)), "" )</f>
        <v/>
      </c>
      <c r="C205" s="10" t="str">
        <f>IF(COUNTIF('Processed Non-zero DMR Data'!I:I, 'Facility Summary_Water'!M205)&gt;0, "DMR", "")</f>
        <v>DMR</v>
      </c>
      <c r="D205" s="10"/>
      <c r="E205" s="10" t="s">
        <v>515</v>
      </c>
      <c r="F205" s="10"/>
      <c r="G205" s="10" t="s">
        <v>313</v>
      </c>
      <c r="H205" s="10" t="s">
        <v>114</v>
      </c>
      <c r="I205" s="10"/>
      <c r="J205" s="9">
        <f>IF(L205&lt;&gt;"", INDEX('Processed Non-zero TRI Data'!$G:$G, MATCH(L205, 'Processed Non-zero TRI Data'!$I:$I,0)), INDEX('Processed Non-zero DMR Data'!$F:$F, MATCH(M205,'Processed Non-zero DMR Data'!$I:$I, 0)))</f>
        <v>29.706247999999999</v>
      </c>
      <c r="K205" s="9">
        <f>IF(L205&lt;&gt;"", INDEX('Processed Non-zero TRI Data'!$H:$H, MATCH(L205, 'Processed Non-zero TRI Data'!$I:$I,0)), INDEX('Processed Non-zero DMR Data'!$G:$G, MATCH(M205,'Processed Non-zero DMR Data'!$I:$I, 0)))</f>
        <v>-95.251079000000004</v>
      </c>
      <c r="L205" s="10"/>
      <c r="M205" s="259">
        <v>110000461107</v>
      </c>
      <c r="N205" s="9">
        <f>IF(L205&lt;&gt;"",INDEX('Processed Non-zero TRI Data'!L:L,MATCH('Facility Summary_Water'!L205,'Processed Non-zero TRI Data'!I:I,0)),INDEX('Processed Non-zero DMR Data'!$L:$L,MATCH('Facility Summary_Water'!M205,'Processed Non-zero DMR Data'!$I:$I,0)))</f>
        <v>325110</v>
      </c>
      <c r="O205" s="10" t="str">
        <f>INDEX('2017 - 2022 NAICS'!D:D,MATCH('Facility Summary_Water'!N205,'2017 - 2022 NAICS'!C:C,0))</f>
        <v>Petrochemical Manufacturing</v>
      </c>
      <c r="P205" s="10" t="str">
        <f>IFERROR(VLOOKUP(L205, 'Processed Non-zero TRI Data'!I:Q, 8, 0), "Direct")</f>
        <v>Direct</v>
      </c>
      <c r="Q205" s="10" t="e">
        <f>VLOOKUP(R205,#REF!, 2, FALSE)</f>
        <v>#REF!</v>
      </c>
      <c r="R205" s="10" t="str">
        <f>INDEX('Facility Discharge Summary'!D:D, MATCH('Facility Summary_Water'!M205, 'Facility Discharge Summary'!J:J,0))</f>
        <v>Processing as a reactant</v>
      </c>
      <c r="S205" s="10" t="str">
        <f>INDEX('Processed Non-zero DMR Data'!T:T, MATCH('Facility Summary_Water'!M205, 'Processed Non-zero DMR Data'!I:I,0))</f>
        <v>Assumed processing as a reactant based on SIC and NAICS. Not known MFG site.</v>
      </c>
      <c r="T205" s="10" t="s">
        <v>72</v>
      </c>
      <c r="U205" s="9">
        <f>INDEX('TRI and DMR OES Summary'!D:D, MATCH('Facility Summary_Water'!R205,'TRI and DMR OES Summary'!A:A,0))</f>
        <v>350</v>
      </c>
      <c r="V205" s="258">
        <f>INDEX('Facility Discharge Summary'!AR:AR,MATCH('Facility Summary_Water'!M205,'Facility Discharge Summary'!J:J,0))</f>
        <v>0</v>
      </c>
      <c r="W205" s="258">
        <f>INDEX('Facility Discharge Summary'!T:T,MATCH('Facility Summary_Water'!M205,'Facility Discharge Summary'!J:J,0))</f>
        <v>5.7998500000000001E-2</v>
      </c>
    </row>
    <row r="206" spans="1:23" ht="30" x14ac:dyDescent="0.25">
      <c r="A206" s="9">
        <v>205</v>
      </c>
      <c r="B206" s="10" t="str">
        <f>IF(COUNTIF('Processed Non-zero TRI Data'!J:J,'Facility Summary_Water'!M206)&gt;0, "TRI Form " &amp; INDEX('Processed Non-zero TRI Data'!K:K,MATCH('Facility Summary_Water'!M206,'Processed Non-zero TRI Data'!J:J,0)), "" )</f>
        <v/>
      </c>
      <c r="C206" s="10" t="str">
        <f>IF(COUNTIF('Processed Non-zero DMR Data'!I:I, 'Facility Summary_Water'!M206)&gt;0, "DMR", "")</f>
        <v>DMR</v>
      </c>
      <c r="D206" s="10"/>
      <c r="E206" s="10" t="s">
        <v>516</v>
      </c>
      <c r="F206" s="10"/>
      <c r="G206" s="10" t="s">
        <v>517</v>
      </c>
      <c r="H206" s="10" t="s">
        <v>146</v>
      </c>
      <c r="I206" s="10"/>
      <c r="J206" s="9">
        <f>IF(L206&lt;&gt;"", INDEX('Processed Non-zero TRI Data'!$G:$G, MATCH(L206, 'Processed Non-zero TRI Data'!$I:$I,0)), INDEX('Processed Non-zero DMR Data'!$F:$F, MATCH(M206,'Processed Non-zero DMR Data'!$I:$I, 0)))</f>
        <v>38.055900000000001</v>
      </c>
      <c r="K206" s="9">
        <f>IF(L206&lt;&gt;"", INDEX('Processed Non-zero TRI Data'!$H:$H, MATCH(L206, 'Processed Non-zero TRI Data'!$I:$I,0)), INDEX('Processed Non-zero DMR Data'!$G:$G, MATCH(M206,'Processed Non-zero DMR Data'!$I:$I, 0)))</f>
        <v>-122.21435</v>
      </c>
      <c r="L206" s="10"/>
      <c r="M206" s="259">
        <v>110001163062</v>
      </c>
      <c r="N206" s="9">
        <f>IF(L206&lt;&gt;"",INDEX('Processed Non-zero TRI Data'!L:L,MATCH('Facility Summary_Water'!L206,'Processed Non-zero TRI Data'!I:I,0)),INDEX('Processed Non-zero DMR Data'!$L:$L,MATCH('Facility Summary_Water'!M206,'Processed Non-zero DMR Data'!$I:$I,0)))</f>
        <v>221111</v>
      </c>
      <c r="O206" s="10" t="str">
        <f>INDEX('2017 - 2022 NAICS'!D:D,MATCH('Facility Summary_Water'!N206,'2017 - 2022 NAICS'!C:C,0))</f>
        <v>Hydroelectric Power Generation</v>
      </c>
      <c r="P206" s="10" t="str">
        <f>IFERROR(VLOOKUP(L206, 'Processed Non-zero TRI Data'!I:Q, 8, 0), "Direct")</f>
        <v>Direct</v>
      </c>
      <c r="Q206" s="10" t="e">
        <f>VLOOKUP(R206,#REF!, 2, FALSE)</f>
        <v>#REF!</v>
      </c>
      <c r="R206" s="10" t="str">
        <f>INDEX('Facility Discharge Summary'!D:D, MATCH('Facility Summary_Water'!M206, 'Facility Discharge Summary'!J:J,0))</f>
        <v>Unknown</v>
      </c>
      <c r="S206" s="10" t="str">
        <f>INDEX('Processed Non-zero DMR Data'!T:T, MATCH('Facility Summary_Water'!M206, 'Processed Non-zero DMR Data'!I:I,0))</f>
        <v>Facility is a natural-gas fired combustion gas turbine; no OES to map to.</v>
      </c>
      <c r="T206" s="10" t="s">
        <v>72</v>
      </c>
      <c r="U206" s="9">
        <f>INDEX('TRI and DMR OES Summary'!D:D, MATCH('Facility Summary_Water'!R206,'TRI and DMR OES Summary'!A:A,0))</f>
        <v>250</v>
      </c>
      <c r="V206" s="258">
        <f>INDEX('Facility Discharge Summary'!AR:AR,MATCH('Facility Summary_Water'!M206,'Facility Discharge Summary'!J:J,0))</f>
        <v>0</v>
      </c>
      <c r="W206" s="258">
        <f>INDEX('Facility Discharge Summary'!T:T,MATCH('Facility Summary_Water'!M206,'Facility Discharge Summary'!J:J,0))</f>
        <v>2.7174161569625001E-3</v>
      </c>
    </row>
    <row r="207" spans="1:23" ht="30" x14ac:dyDescent="0.25">
      <c r="A207" s="9">
        <v>206</v>
      </c>
      <c r="B207" s="10" t="str">
        <f>IF(COUNTIF('Processed Non-zero TRI Data'!J:J,'Facility Summary_Water'!M207)&gt;0, "TRI Form " &amp; INDEX('Processed Non-zero TRI Data'!K:K,MATCH('Facility Summary_Water'!M207,'Processed Non-zero TRI Data'!J:J,0)), "" )</f>
        <v/>
      </c>
      <c r="C207" s="10" t="str">
        <f>IF(COUNTIF('Processed Non-zero DMR Data'!I:I, 'Facility Summary_Water'!M207)&gt;0, "DMR", "")</f>
        <v>DMR</v>
      </c>
      <c r="D207" s="10"/>
      <c r="E207" s="10" t="s">
        <v>518</v>
      </c>
      <c r="F207" s="10"/>
      <c r="G207" s="10" t="s">
        <v>519</v>
      </c>
      <c r="H207" s="10" t="s">
        <v>520</v>
      </c>
      <c r="I207" s="10"/>
      <c r="J207" s="9">
        <f>IF(L207&lt;&gt;"", INDEX('Processed Non-zero TRI Data'!$G:$G, MATCH(L207, 'Processed Non-zero TRI Data'!$I:$I,0)), INDEX('Processed Non-zero DMR Data'!$F:$F, MATCH(M207,'Processed Non-zero DMR Data'!$I:$I, 0)))</f>
        <v>42.362200000000001</v>
      </c>
      <c r="K207" s="9">
        <f>IF(L207&lt;&gt;"", INDEX('Processed Non-zero TRI Data'!$H:$H, MATCH(L207, 'Processed Non-zero TRI Data'!$I:$I,0)), INDEX('Processed Non-zero DMR Data'!$G:$G, MATCH(M207,'Processed Non-zero DMR Data'!$I:$I, 0)))</f>
        <v>-71.084089000000006</v>
      </c>
      <c r="L207" s="10"/>
      <c r="M207" s="259">
        <v>110071158765</v>
      </c>
      <c r="N207" s="9">
        <f>IF(L207&lt;&gt;"",INDEX('Processed Non-zero TRI Data'!L:L,MATCH('Facility Summary_Water'!L207,'Processed Non-zero TRI Data'!I:I,0)),INDEX('Processed Non-zero DMR Data'!$L:$L,MATCH('Facility Summary_Water'!M207,'Processed Non-zero DMR Data'!$I:$I,0)))</f>
        <v>488119</v>
      </c>
      <c r="O207" s="10" t="str">
        <f>INDEX('2017 - 2022 NAICS'!D:D,MATCH('Facility Summary_Water'!N207,'2017 - 2022 NAICS'!C:C,0))</f>
        <v>Other Airport Operations</v>
      </c>
      <c r="P207" s="10" t="str">
        <f>IFERROR(VLOOKUP(L207, 'Processed Non-zero TRI Data'!I:Q, 8, 0), "Direct")</f>
        <v>Direct</v>
      </c>
      <c r="Q207" s="10" t="e">
        <f>VLOOKUP(R207,#REF!, 2, FALSE)</f>
        <v>#REF!</v>
      </c>
      <c r="R207" s="10" t="str">
        <f>INDEX('Facility Discharge Summary'!D:D, MATCH('Facility Summary_Water'!M207, 'Facility Discharge Summary'!J:J,0))</f>
        <v>Unknown</v>
      </c>
      <c r="S207" s="10" t="str">
        <f>INDEX('Processed Non-zero DMR Data'!T:T, MATCH('Facility Summary_Water'!M207, 'Processed Non-zero DMR Data'!I:I,0))</f>
        <v>Location seems to be an apartment complex. No OES to map to.</v>
      </c>
      <c r="T207" s="10" t="s">
        <v>72</v>
      </c>
      <c r="U207" s="9">
        <f>INDEX('TRI and DMR OES Summary'!D:D, MATCH('Facility Summary_Water'!R207,'TRI and DMR OES Summary'!A:A,0))</f>
        <v>250</v>
      </c>
      <c r="V207" s="258">
        <f>INDEX('Facility Discharge Summary'!AR:AR,MATCH('Facility Summary_Water'!M207,'Facility Discharge Summary'!J:J,0))</f>
        <v>0</v>
      </c>
      <c r="W207" s="258">
        <f>INDEX('Facility Discharge Summary'!T:T,MATCH('Facility Summary_Water'!M207,'Facility Discharge Summary'!J:J,0))</f>
        <v>5.5009581375000003E-3</v>
      </c>
    </row>
    <row r="208" spans="1:23" x14ac:dyDescent="0.25">
      <c r="A208" s="9">
        <v>207</v>
      </c>
      <c r="B208" s="10" t="str">
        <f>IF(COUNTIF('Processed Non-zero TRI Data'!J:J,'Facility Summary_Water'!M208)&gt;0, "TRI Form " &amp; INDEX('Processed Non-zero TRI Data'!K:K,MATCH('Facility Summary_Water'!M208,'Processed Non-zero TRI Data'!J:J,0)), "" )</f>
        <v/>
      </c>
      <c r="C208" s="10" t="str">
        <f>IF(COUNTIF('Processed Non-zero DMR Data'!I:I, 'Facility Summary_Water'!M208)&gt;0, "DMR", "")</f>
        <v>DMR</v>
      </c>
      <c r="D208" s="10"/>
      <c r="E208" s="10" t="s">
        <v>521</v>
      </c>
      <c r="F208" s="10"/>
      <c r="G208" s="10" t="s">
        <v>522</v>
      </c>
      <c r="H208" s="10" t="s">
        <v>153</v>
      </c>
      <c r="I208" s="10"/>
      <c r="J208" s="9">
        <f>IF(L208&lt;&gt;"", INDEX('Processed Non-zero TRI Data'!$G:$G, MATCH(L208, 'Processed Non-zero TRI Data'!$I:$I,0)), INDEX('Processed Non-zero DMR Data'!$F:$F, MATCH(M208,'Processed Non-zero DMR Data'!$I:$I, 0)))</f>
        <v>40.703099000000002</v>
      </c>
      <c r="K208" s="9">
        <f>IF(L208&lt;&gt;"", INDEX('Processed Non-zero TRI Data'!$H:$H, MATCH(L208, 'Processed Non-zero TRI Data'!$I:$I,0)), INDEX('Processed Non-zero DMR Data'!$G:$G, MATCH(M208,'Processed Non-zero DMR Data'!$I:$I, 0)))</f>
        <v>-75.197676000000001</v>
      </c>
      <c r="L208" s="10"/>
      <c r="M208" s="259">
        <v>110000322311</v>
      </c>
      <c r="N208" s="9">
        <f>IF(L208&lt;&gt;"",INDEX('Processed Non-zero TRI Data'!L:L,MATCH('Facility Summary_Water'!L208,'Processed Non-zero TRI Data'!I:I,0)),INDEX('Processed Non-zero DMR Data'!$L:$L,MATCH('Facility Summary_Water'!M208,'Processed Non-zero DMR Data'!$I:$I,0)))</f>
        <v>211130</v>
      </c>
      <c r="O208" s="10" t="str">
        <f>INDEX('2017 - 2022 NAICS'!D:D,MATCH('Facility Summary_Water'!N208,'2017 - 2022 NAICS'!C:C,0))</f>
        <v>Natural Gas Extraction</v>
      </c>
      <c r="P208" s="10" t="str">
        <f>IFERROR(VLOOKUP(L208, 'Processed Non-zero TRI Data'!I:Q, 8, 0), "Direct")</f>
        <v>Direct</v>
      </c>
      <c r="Q208" s="10" t="e">
        <f>VLOOKUP(R208,#REF!, 2, FALSE)</f>
        <v>#REF!</v>
      </c>
      <c r="R208" s="10" t="str">
        <f>INDEX('Facility Discharge Summary'!D:D, MATCH('Facility Summary_Water'!M208, 'Facility Discharge Summary'!J:J,0))</f>
        <v>Processing as a reactant</v>
      </c>
      <c r="S208" s="10" t="str">
        <f>INDEX('Processed Non-zero DMR Data'!T:T, MATCH('Facility Summary_Water'!M208, 'Processed Non-zero DMR Data'!I:I,0))</f>
        <v>Facility produces specialty and custom laboratory products.</v>
      </c>
      <c r="T208" s="10" t="s">
        <v>72</v>
      </c>
      <c r="U208" s="9">
        <f>INDEX('TRI and DMR OES Summary'!D:D, MATCH('Facility Summary_Water'!R208,'TRI and DMR OES Summary'!A:A,0))</f>
        <v>350</v>
      </c>
      <c r="V208" s="258">
        <f>INDEX('Facility Discharge Summary'!AR:AR,MATCH('Facility Summary_Water'!M208,'Facility Discharge Summary'!J:J,0))</f>
        <v>0</v>
      </c>
      <c r="W208" s="258">
        <f>INDEX('Facility Discharge Summary'!T:T,MATCH('Facility Summary_Water'!M208,'Facility Discharge Summary'!J:J,0))</f>
        <v>0.15440000000000001</v>
      </c>
    </row>
    <row r="209" spans="1:23" x14ac:dyDescent="0.25">
      <c r="A209" s="9">
        <v>208</v>
      </c>
      <c r="B209" s="10" t="str">
        <f>IF(COUNTIF('Processed Non-zero TRI Data'!J:J,'Facility Summary_Water'!M209)&gt;0, "TRI Form " &amp; INDEX('Processed Non-zero TRI Data'!K:K,MATCH('Facility Summary_Water'!M209,'Processed Non-zero TRI Data'!J:J,0)), "" )</f>
        <v/>
      </c>
      <c r="C209" s="10" t="str">
        <f>IF(COUNTIF('Processed Non-zero DMR Data'!I:I, 'Facility Summary_Water'!M209)&gt;0, "DMR", "")</f>
        <v>DMR</v>
      </c>
      <c r="D209" s="10"/>
      <c r="E209" s="10" t="s">
        <v>523</v>
      </c>
      <c r="F209" s="10"/>
      <c r="G209" s="10" t="s">
        <v>190</v>
      </c>
      <c r="H209" s="10" t="s">
        <v>146</v>
      </c>
      <c r="I209" s="10"/>
      <c r="J209" s="9">
        <f>IF(L209&lt;&gt;"", INDEX('Processed Non-zero TRI Data'!$G:$G, MATCH(L209, 'Processed Non-zero TRI Data'!$I:$I,0)), INDEX('Processed Non-zero DMR Data'!$F:$F, MATCH(M209,'Processed Non-zero DMR Data'!$I:$I, 0)))</f>
        <v>32.796432000000003</v>
      </c>
      <c r="K209" s="9">
        <f>IF(L209&lt;&gt;"", INDEX('Processed Non-zero TRI Data'!$H:$H, MATCH(L209, 'Processed Non-zero TRI Data'!$I:$I,0)), INDEX('Processed Non-zero DMR Data'!$G:$G, MATCH(M209,'Processed Non-zero DMR Data'!$I:$I, 0)))</f>
        <v>-115.667761</v>
      </c>
      <c r="L209" s="10"/>
      <c r="M209" s="259">
        <v>110013128169</v>
      </c>
      <c r="N209" s="9">
        <f>IF(L209&lt;&gt;"",INDEX('Processed Non-zero TRI Data'!L:L,MATCH('Facility Summary_Water'!L209,'Processed Non-zero TRI Data'!I:I,0)),INDEX('Processed Non-zero DMR Data'!$L:$L,MATCH('Facility Summary_Water'!M209,'Processed Non-zero DMR Data'!$I:$I,0)))</f>
        <v>221320</v>
      </c>
      <c r="O209" s="10" t="str">
        <f>INDEX('2017 - 2022 NAICS'!D:D,MATCH('Facility Summary_Water'!N209,'2017 - 2022 NAICS'!C:C,0))</f>
        <v>Sewage Treatment Facilities</v>
      </c>
      <c r="P209" s="10" t="str">
        <f>IFERROR(VLOOKUP(L209, 'Processed Non-zero TRI Data'!I:Q, 8, 0), "Direct")</f>
        <v>Direct</v>
      </c>
      <c r="Q209" s="10" t="e">
        <f>VLOOKUP(R209,#REF!, 2, FALSE)</f>
        <v>#REF!</v>
      </c>
      <c r="R209" s="10" t="str">
        <f>INDEX('Facility Discharge Summary'!D:D, MATCH('Facility Summary_Water'!M209, 'Facility Discharge Summary'!J:J,0))</f>
        <v>Unknown</v>
      </c>
      <c r="S209" s="10" t="str">
        <f>INDEX('Processed Non-zero DMR Data'!T:T, MATCH('Facility Summary_Water'!M209, 'Processed Non-zero DMR Data'!I:I,0))</f>
        <v>Mobile home complex; no OES to map to.</v>
      </c>
      <c r="T209" s="10" t="s">
        <v>72</v>
      </c>
      <c r="U209" s="9">
        <f>INDEX('TRI and DMR OES Summary'!D:D, MATCH('Facility Summary_Water'!R209,'TRI and DMR OES Summary'!A:A,0))</f>
        <v>250</v>
      </c>
      <c r="V209" s="258">
        <f>INDEX('Facility Discharge Summary'!AR:AR,MATCH('Facility Summary_Water'!M209,'Facility Discharge Summary'!J:J,0))</f>
        <v>0</v>
      </c>
      <c r="W209" s="258">
        <f>INDEX('Facility Discharge Summary'!T:T,MATCH('Facility Summary_Water'!M209,'Facility Discharge Summary'!J:J,0))</f>
        <v>2.0722875000000001E-3</v>
      </c>
    </row>
    <row r="210" spans="1:23" x14ac:dyDescent="0.25">
      <c r="A210" s="9">
        <v>209</v>
      </c>
      <c r="B210" s="10" t="str">
        <f>IF(COUNTIF('Processed Non-zero TRI Data'!J:J,'Facility Summary_Water'!M210)&gt;0, "TRI Form " &amp; INDEX('Processed Non-zero TRI Data'!K:K,MATCH('Facility Summary_Water'!M210,'Processed Non-zero TRI Data'!J:J,0)), "" )</f>
        <v/>
      </c>
      <c r="C210" s="10" t="str">
        <f>IF(COUNTIF('Processed Non-zero DMR Data'!I:I, 'Facility Summary_Water'!M210)&gt;0, "DMR", "")</f>
        <v>DMR</v>
      </c>
      <c r="D210" s="10"/>
      <c r="E210" s="10" t="s">
        <v>524</v>
      </c>
      <c r="F210" s="10"/>
      <c r="G210" s="10" t="s">
        <v>315</v>
      </c>
      <c r="H210" s="10" t="s">
        <v>138</v>
      </c>
      <c r="I210" s="10"/>
      <c r="J210" s="9">
        <f>IF(L210&lt;&gt;"", INDEX('Processed Non-zero TRI Data'!$G:$G, MATCH(L210, 'Processed Non-zero TRI Data'!$I:$I,0)), INDEX('Processed Non-zero DMR Data'!$F:$F, MATCH(M210,'Processed Non-zero DMR Data'!$I:$I, 0)))</f>
        <v>38.041639000000004</v>
      </c>
      <c r="K210" s="9">
        <f>IF(L210&lt;&gt;"", INDEX('Processed Non-zero TRI Data'!$H:$H, MATCH(L210, 'Processed Non-zero TRI Data'!$I:$I,0)), INDEX('Processed Non-zero DMR Data'!$G:$G, MATCH(M210,'Processed Non-zero DMR Data'!$I:$I, 0)))</f>
        <v>-84.208667000000005</v>
      </c>
      <c r="L210" s="10"/>
      <c r="M210" s="259">
        <v>110000542896</v>
      </c>
      <c r="N210" s="9">
        <f>IF(L210&lt;&gt;"",INDEX('Processed Non-zero TRI Data'!L:L,MATCH('Facility Summary_Water'!L210,'Processed Non-zero TRI Data'!I:I,0)),INDEX('Processed Non-zero DMR Data'!$L:$L,MATCH('Facility Summary_Water'!M210,'Processed Non-zero DMR Data'!$I:$I,0)))</f>
        <v>221320</v>
      </c>
      <c r="O210" s="10" t="str">
        <f>INDEX('2017 - 2022 NAICS'!D:D,MATCH('Facility Summary_Water'!N210,'2017 - 2022 NAICS'!C:C,0))</f>
        <v>Sewage Treatment Facilities</v>
      </c>
      <c r="P210" s="10" t="str">
        <f>IFERROR(VLOOKUP(L210, 'Processed Non-zero TRI Data'!I:Q, 8, 0), "Direct")</f>
        <v>Direct</v>
      </c>
      <c r="Q210" s="10" t="e">
        <f>VLOOKUP(R210,#REF!, 2, FALSE)</f>
        <v>#REF!</v>
      </c>
      <c r="R210" s="10" t="str">
        <f>INDEX('Facility Discharge Summary'!D:D, MATCH('Facility Summary_Water'!M210, 'Facility Discharge Summary'!J:J,0))</f>
        <v>Waste Handling, Disposal and Treatment (POTW)</v>
      </c>
      <c r="S210" s="10" t="str">
        <f>INDEX('Processed Non-zero DMR Data'!T:T, MATCH('Facility Summary_Water'!M210, 'Processed Non-zero DMR Data'!I:I,0))</f>
        <v>POTW indicator in DMR</v>
      </c>
      <c r="T210" s="10" t="s">
        <v>72</v>
      </c>
      <c r="U210" s="9">
        <f>INDEX('TRI and DMR OES Summary'!D:D, MATCH('Facility Summary_Water'!R210,'TRI and DMR OES Summary'!A:A,0))</f>
        <v>365</v>
      </c>
      <c r="V210" s="258">
        <f>INDEX('Facility Discharge Summary'!AR:AR,MATCH('Facility Summary_Water'!M210,'Facility Discharge Summary'!J:J,0))</f>
        <v>0</v>
      </c>
      <c r="W210" s="258">
        <f>INDEX('Facility Discharge Summary'!T:T,MATCH('Facility Summary_Water'!M210,'Facility Discharge Summary'!J:J,0))</f>
        <v>0.55833642112500004</v>
      </c>
    </row>
    <row r="211" spans="1:23" x14ac:dyDescent="0.25">
      <c r="A211" s="9">
        <v>210</v>
      </c>
      <c r="B211" s="10" t="str">
        <f>IF(COUNTIF('Processed Non-zero TRI Data'!J:J,'Facility Summary_Water'!M211)&gt;0, "TRI Form " &amp; INDEX('Processed Non-zero TRI Data'!K:K,MATCH('Facility Summary_Water'!M211,'Processed Non-zero TRI Data'!J:J,0)), "" )</f>
        <v/>
      </c>
      <c r="C211" s="10" t="str">
        <f>IF(COUNTIF('Processed Non-zero DMR Data'!I:I, 'Facility Summary_Water'!M211)&gt;0, "DMR", "")</f>
        <v>DMR</v>
      </c>
      <c r="D211" s="10"/>
      <c r="E211" s="10" t="s">
        <v>525</v>
      </c>
      <c r="F211" s="10"/>
      <c r="G211" s="10" t="s">
        <v>157</v>
      </c>
      <c r="H211" s="10" t="s">
        <v>158</v>
      </c>
      <c r="I211" s="10"/>
      <c r="J211" s="9">
        <f>IF(L211&lt;&gt;"", INDEX('Processed Non-zero TRI Data'!$G:$G, MATCH(L211, 'Processed Non-zero TRI Data'!$I:$I,0)), INDEX('Processed Non-zero DMR Data'!$F:$F, MATCH(M211,'Processed Non-zero DMR Data'!$I:$I, 0)))</f>
        <v>36.170819999999999</v>
      </c>
      <c r="K211" s="9">
        <f>IF(L211&lt;&gt;"", INDEX('Processed Non-zero TRI Data'!$H:$H, MATCH(L211, 'Processed Non-zero TRI Data'!$I:$I,0)), INDEX('Processed Non-zero DMR Data'!$G:$G, MATCH(M211,'Processed Non-zero DMR Data'!$I:$I, 0)))</f>
        <v>-115.14431</v>
      </c>
      <c r="L211" s="10"/>
      <c r="M211" s="259">
        <v>110004300596</v>
      </c>
      <c r="N211" s="9">
        <f>IF(L211&lt;&gt;"",INDEX('Processed Non-zero TRI Data'!L:L,MATCH('Facility Summary_Water'!L211,'Processed Non-zero TRI Data'!I:I,0)),INDEX('Processed Non-zero DMR Data'!$L:$L,MATCH('Facility Summary_Water'!M211,'Processed Non-zero DMR Data'!$I:$I,0)))</f>
        <v>721110</v>
      </c>
      <c r="O211" s="10" t="str">
        <f>INDEX('2017 - 2022 NAICS'!D:D,MATCH('Facility Summary_Water'!N211,'2017 - 2022 NAICS'!C:C,0))</f>
        <v>Hotels (except Casino Hotels) and Motels</v>
      </c>
      <c r="P211" s="10" t="str">
        <f>IFERROR(VLOOKUP(L211, 'Processed Non-zero TRI Data'!I:Q, 8, 0), "Direct")</f>
        <v>Direct</v>
      </c>
      <c r="Q211" s="10" t="e">
        <f>VLOOKUP(R211,#REF!, 2, FALSE)</f>
        <v>#REF!</v>
      </c>
      <c r="R211" s="10" t="str">
        <f>INDEX('Facility Discharge Summary'!D:D, MATCH('Facility Summary_Water'!M211, 'Facility Discharge Summary'!J:J,0))</f>
        <v>Unknown</v>
      </c>
      <c r="S211" s="10" t="str">
        <f>INDEX('Processed Non-zero DMR Data'!T:T, MATCH('Facility Summary_Water'!M211, 'Processed Non-zero DMR Data'!I:I,0))</f>
        <v>Facility is a hotel in Las Vegas; no OES to map to.</v>
      </c>
      <c r="T211" s="10" t="s">
        <v>72</v>
      </c>
      <c r="U211" s="9">
        <f>INDEX('TRI and DMR OES Summary'!D:D, MATCH('Facility Summary_Water'!R211,'TRI and DMR OES Summary'!A:A,0))</f>
        <v>250</v>
      </c>
      <c r="V211" s="258">
        <f>INDEX('Facility Discharge Summary'!AR:AR,MATCH('Facility Summary_Water'!M211,'Facility Discharge Summary'!J:J,0))</f>
        <v>0</v>
      </c>
      <c r="W211" s="258">
        <f>INDEX('Facility Discharge Summary'!T:T,MATCH('Facility Summary_Water'!M211,'Facility Discharge Summary'!J:J,0))</f>
        <v>2.2898776875000001E-3</v>
      </c>
    </row>
    <row r="212" spans="1:23" x14ac:dyDescent="0.25">
      <c r="A212" s="9">
        <v>211</v>
      </c>
      <c r="B212" s="10" t="str">
        <f>IF(COUNTIF('Processed Non-zero TRI Data'!J:J,'Facility Summary_Water'!M212)&gt;0, "TRI Form " &amp; INDEX('Processed Non-zero TRI Data'!K:K,MATCH('Facility Summary_Water'!M212,'Processed Non-zero TRI Data'!J:J,0)), "" )</f>
        <v/>
      </c>
      <c r="C212" s="10" t="str">
        <f>IF(COUNTIF('Processed Non-zero DMR Data'!I:I, 'Facility Summary_Water'!M212)&gt;0, "DMR", "")</f>
        <v>DMR</v>
      </c>
      <c r="D212" s="10"/>
      <c r="E212" s="10" t="s">
        <v>526</v>
      </c>
      <c r="F212" s="10"/>
      <c r="G212" s="10" t="s">
        <v>527</v>
      </c>
      <c r="H212" s="10" t="s">
        <v>485</v>
      </c>
      <c r="I212" s="10"/>
      <c r="J212" s="9">
        <f>IF(L212&lt;&gt;"", INDEX('Processed Non-zero TRI Data'!$G:$G, MATCH(L212, 'Processed Non-zero TRI Data'!$I:$I,0)), INDEX('Processed Non-zero DMR Data'!$F:$F, MATCH(M212,'Processed Non-zero DMR Data'!$I:$I, 0)))</f>
        <v>36.786963999999998</v>
      </c>
      <c r="K212" s="9">
        <f>IF(L212&lt;&gt;"", INDEX('Processed Non-zero TRI Data'!$H:$H, MATCH(L212, 'Processed Non-zero TRI Data'!$I:$I,0)), INDEX('Processed Non-zero DMR Data'!$G:$G, MATCH(M212,'Processed Non-zero DMR Data'!$I:$I, 0)))</f>
        <v>-108.711493</v>
      </c>
      <c r="L212" s="10"/>
      <c r="M212" s="259">
        <v>110024409362</v>
      </c>
      <c r="N212" s="9">
        <f>IF(L212&lt;&gt;"",INDEX('Processed Non-zero TRI Data'!L:L,MATCH('Facility Summary_Water'!L212,'Processed Non-zero TRI Data'!I:I,0)),INDEX('Processed Non-zero DMR Data'!$L:$L,MATCH('Facility Summary_Water'!M212,'Processed Non-zero DMR Data'!$I:$I,0)))</f>
        <v>221320</v>
      </c>
      <c r="O212" s="10" t="str">
        <f>INDEX('2017 - 2022 NAICS'!D:D,MATCH('Facility Summary_Water'!N212,'2017 - 2022 NAICS'!C:C,0))</f>
        <v>Sewage Treatment Facilities</v>
      </c>
      <c r="P212" s="10" t="str">
        <f>IFERROR(VLOOKUP(L212, 'Processed Non-zero TRI Data'!I:Q, 8, 0), "Direct")</f>
        <v>Direct</v>
      </c>
      <c r="Q212" s="10" t="e">
        <f>VLOOKUP(R212,#REF!, 2, FALSE)</f>
        <v>#REF!</v>
      </c>
      <c r="R212" s="10" t="str">
        <f>INDEX('Facility Discharge Summary'!D:D, MATCH('Facility Summary_Water'!M212, 'Facility Discharge Summary'!J:J,0))</f>
        <v>Waste Handling, Disposal and Treatment (POTW)</v>
      </c>
      <c r="S212" s="10" t="str">
        <f>INDEX('Processed Non-zero DMR Data'!T:T, MATCH('Facility Summary_Water'!M212, 'Processed Non-zero DMR Data'!I:I,0))</f>
        <v>POTW indicator in DMR</v>
      </c>
      <c r="T212" s="10" t="s">
        <v>72</v>
      </c>
      <c r="U212" s="9">
        <f>INDEX('TRI and DMR OES Summary'!D:D, MATCH('Facility Summary_Water'!R212,'TRI and DMR OES Summary'!A:A,0))</f>
        <v>365</v>
      </c>
      <c r="V212" s="258">
        <f>INDEX('Facility Discharge Summary'!AR:AR,MATCH('Facility Summary_Water'!M212,'Facility Discharge Summary'!J:J,0))</f>
        <v>0</v>
      </c>
      <c r="W212" s="258">
        <f>INDEX('Facility Discharge Summary'!T:T,MATCH('Facility Summary_Water'!M212,'Facility Discharge Summary'!J:J,0))</f>
        <v>0.80347979999999997</v>
      </c>
    </row>
    <row r="213" spans="1:23" x14ac:dyDescent="0.25">
      <c r="A213" s="9">
        <v>212</v>
      </c>
      <c r="B213" s="10" t="str">
        <f>IF(COUNTIF('Processed Non-zero TRI Data'!J:J,'Facility Summary_Water'!M213)&gt;0, "TRI Form " &amp; INDEX('Processed Non-zero TRI Data'!K:K,MATCH('Facility Summary_Water'!M213,'Processed Non-zero TRI Data'!J:J,0)), "" )</f>
        <v/>
      </c>
      <c r="C213" s="10" t="str">
        <f>IF(COUNTIF('Processed Non-zero DMR Data'!I:I, 'Facility Summary_Water'!M213)&gt;0, "DMR", "")</f>
        <v>DMR</v>
      </c>
      <c r="D213" s="10"/>
      <c r="E213" s="10" t="s">
        <v>528</v>
      </c>
      <c r="F213" s="10"/>
      <c r="G213" s="10" t="s">
        <v>529</v>
      </c>
      <c r="H213" s="10" t="s">
        <v>138</v>
      </c>
      <c r="I213" s="10"/>
      <c r="J213" s="9">
        <f>IF(L213&lt;&gt;"", INDEX('Processed Non-zero TRI Data'!$G:$G, MATCH(L213, 'Processed Non-zero TRI Data'!$I:$I,0)), INDEX('Processed Non-zero DMR Data'!$F:$F, MATCH(M213,'Processed Non-zero DMR Data'!$I:$I, 0)))</f>
        <v>38.691943999999999</v>
      </c>
      <c r="K213" s="9">
        <f>IF(L213&lt;&gt;"", INDEX('Processed Non-zero TRI Data'!$H:$H, MATCH(L213, 'Processed Non-zero TRI Data'!$I:$I,0)), INDEX('Processed Non-zero DMR Data'!$G:$G, MATCH(M213,'Processed Non-zero DMR Data'!$I:$I, 0)))</f>
        <v>-84.325000000000003</v>
      </c>
      <c r="L213" s="10"/>
      <c r="M213" s="259">
        <v>110023140420</v>
      </c>
      <c r="N213" s="9">
        <f>IF(L213&lt;&gt;"",INDEX('Processed Non-zero TRI Data'!L:L,MATCH('Facility Summary_Water'!L213,'Processed Non-zero TRI Data'!I:I,0)),INDEX('Processed Non-zero DMR Data'!$L:$L,MATCH('Facility Summary_Water'!M213,'Processed Non-zero DMR Data'!$I:$I,0)))</f>
        <v>221320</v>
      </c>
      <c r="O213" s="10" t="str">
        <f>INDEX('2017 - 2022 NAICS'!D:D,MATCH('Facility Summary_Water'!N213,'2017 - 2022 NAICS'!C:C,0))</f>
        <v>Sewage Treatment Facilities</v>
      </c>
      <c r="P213" s="10" t="str">
        <f>IFERROR(VLOOKUP(L213, 'Processed Non-zero TRI Data'!I:Q, 8, 0), "Direct")</f>
        <v>Direct</v>
      </c>
      <c r="Q213" s="10" t="e">
        <f>VLOOKUP(R213,#REF!, 2, FALSE)</f>
        <v>#REF!</v>
      </c>
      <c r="R213" s="10" t="str">
        <f>INDEX('Facility Discharge Summary'!D:D, MATCH('Facility Summary_Water'!M213, 'Facility Discharge Summary'!J:J,0))</f>
        <v>Waste Handling, Disposal and Treatment (POTW)</v>
      </c>
      <c r="S213" s="10" t="str">
        <f>INDEX('Processed Non-zero DMR Data'!T:T, MATCH('Facility Summary_Water'!M213, 'Processed Non-zero DMR Data'!I:I,0))</f>
        <v>POTW indicator in DMR</v>
      </c>
      <c r="T213" s="10" t="s">
        <v>72</v>
      </c>
      <c r="U213" s="9">
        <f>INDEX('TRI and DMR OES Summary'!D:D, MATCH('Facility Summary_Water'!R213,'TRI and DMR OES Summary'!A:A,0))</f>
        <v>365</v>
      </c>
      <c r="V213" s="258">
        <f>INDEX('Facility Discharge Summary'!AR:AR,MATCH('Facility Summary_Water'!M213,'Facility Discharge Summary'!J:J,0))</f>
        <v>0</v>
      </c>
      <c r="W213" s="258">
        <f>INDEX('Facility Discharge Summary'!T:T,MATCH('Facility Summary_Water'!M213,'Facility Discharge Summary'!J:J,0))</f>
        <v>1.4194029616874999</v>
      </c>
    </row>
    <row r="214" spans="1:23" x14ac:dyDescent="0.25">
      <c r="A214" s="9">
        <v>213</v>
      </c>
      <c r="B214" s="10" t="str">
        <f>IF(COUNTIF('Processed Non-zero TRI Data'!J:J,'Facility Summary_Water'!M214)&gt;0, "TRI Form " &amp; INDEX('Processed Non-zero TRI Data'!K:K,MATCH('Facility Summary_Water'!M214,'Processed Non-zero TRI Data'!J:J,0)), "" )</f>
        <v/>
      </c>
      <c r="C214" s="10" t="str">
        <f>IF(COUNTIF('Processed Non-zero DMR Data'!I:I, 'Facility Summary_Water'!M214)&gt;0, "DMR", "")</f>
        <v>DMR</v>
      </c>
      <c r="D214" s="10"/>
      <c r="E214" s="10" t="s">
        <v>530</v>
      </c>
      <c r="F214" s="10"/>
      <c r="G214" s="10" t="s">
        <v>531</v>
      </c>
      <c r="H214" s="10" t="s">
        <v>146</v>
      </c>
      <c r="I214" s="10"/>
      <c r="J214" s="9">
        <f>IF(L214&lt;&gt;"", INDEX('Processed Non-zero TRI Data'!$G:$G, MATCH(L214, 'Processed Non-zero TRI Data'!$I:$I,0)), INDEX('Processed Non-zero DMR Data'!$F:$F, MATCH(M214,'Processed Non-zero DMR Data'!$I:$I, 0)))</f>
        <v>38.074433999999997</v>
      </c>
      <c r="K214" s="9">
        <f>IF(L214&lt;&gt;"", INDEX('Processed Non-zero TRI Data'!$H:$H, MATCH(L214, 'Processed Non-zero TRI Data'!$I:$I,0)), INDEX('Processed Non-zero DMR Data'!$G:$G, MATCH(M214,'Processed Non-zero DMR Data'!$I:$I, 0)))</f>
        <v>-122.144397</v>
      </c>
      <c r="L214" s="10"/>
      <c r="M214" s="259">
        <v>110033145353</v>
      </c>
      <c r="N214" s="9">
        <f>IF(L214&lt;&gt;"",INDEX('Processed Non-zero TRI Data'!L:L,MATCH('Facility Summary_Water'!L214,'Processed Non-zero TRI Data'!I:I,0)),INDEX('Processed Non-zero DMR Data'!$L:$L,MATCH('Facility Summary_Water'!M214,'Processed Non-zero DMR Data'!$I:$I,0)))</f>
        <v>324110</v>
      </c>
      <c r="O214" s="10" t="str">
        <f>INDEX('2017 - 2022 NAICS'!D:D,MATCH('Facility Summary_Water'!N214,'2017 - 2022 NAICS'!C:C,0))</f>
        <v>Petroleum Refineries</v>
      </c>
      <c r="P214" s="10" t="str">
        <f>IFERROR(VLOOKUP(L214, 'Processed Non-zero TRI Data'!I:Q, 8, 0), "Direct")</f>
        <v>Direct</v>
      </c>
      <c r="Q214" s="10" t="e">
        <f>VLOOKUP(R214,#REF!, 2, FALSE)</f>
        <v>#REF!</v>
      </c>
      <c r="R214" s="10" t="str">
        <f>INDEX('Facility Discharge Summary'!D:D, MATCH('Facility Summary_Water'!M214, 'Facility Discharge Summary'!J:J,0))</f>
        <v>Processing as a reactant</v>
      </c>
      <c r="S214" s="10" t="str">
        <f>INDEX('Processed Non-zero DMR Data'!T:T, MATCH('Facility Summary_Water'!M214, 'Processed Non-zero DMR Data'!I:I,0))</f>
        <v>Oil refinery; assumed processing as a reactant.</v>
      </c>
      <c r="T214" s="10" t="s">
        <v>72</v>
      </c>
      <c r="U214" s="9">
        <f>INDEX('TRI and DMR OES Summary'!D:D, MATCH('Facility Summary_Water'!R214,'TRI and DMR OES Summary'!A:A,0))</f>
        <v>350</v>
      </c>
      <c r="V214" s="258">
        <f>INDEX('Facility Discharge Summary'!AR:AR,MATCH('Facility Summary_Water'!M214,'Facility Discharge Summary'!J:J,0))</f>
        <v>0</v>
      </c>
      <c r="W214" s="258">
        <f>INDEX('Facility Discharge Summary'!T:T,MATCH('Facility Summary_Water'!M214,'Facility Discharge Summary'!J:J,0))</f>
        <v>0.27745942499999998</v>
      </c>
    </row>
    <row r="215" spans="1:23" ht="30" x14ac:dyDescent="0.25">
      <c r="A215" s="9">
        <v>214</v>
      </c>
      <c r="B215" s="10" t="str">
        <f>IF(COUNTIF('Processed Non-zero TRI Data'!J:J,'Facility Summary_Water'!M215)&gt;0, "TRI Form " &amp; INDEX('Processed Non-zero TRI Data'!K:K,MATCH('Facility Summary_Water'!M215,'Processed Non-zero TRI Data'!J:J,0)), "" )</f>
        <v/>
      </c>
      <c r="C215" s="10" t="str">
        <f>IF(COUNTIF('Processed Non-zero DMR Data'!I:I, 'Facility Summary_Water'!M215)&gt;0, "DMR", "")</f>
        <v>DMR</v>
      </c>
      <c r="D215" s="10"/>
      <c r="E215" s="10" t="s">
        <v>532</v>
      </c>
      <c r="F215" s="10"/>
      <c r="G215" s="10" t="s">
        <v>533</v>
      </c>
      <c r="H215" s="10" t="s">
        <v>520</v>
      </c>
      <c r="I215" s="10"/>
      <c r="J215" s="9">
        <f>IF(L215&lt;&gt;"", INDEX('Processed Non-zero TRI Data'!$G:$G, MATCH(L215, 'Processed Non-zero TRI Data'!$I:$I,0)), INDEX('Processed Non-zero DMR Data'!$F:$F, MATCH(M215,'Processed Non-zero DMR Data'!$I:$I, 0)))</f>
        <v>42.313240999999998</v>
      </c>
      <c r="K215" s="9">
        <f>IF(L215&lt;&gt;"", INDEX('Processed Non-zero TRI Data'!$H:$H, MATCH(L215, 'Processed Non-zero TRI Data'!$I:$I,0)), INDEX('Processed Non-zero DMR Data'!$G:$G, MATCH(M215,'Processed Non-zero DMR Data'!$I:$I, 0)))</f>
        <v>-71.046143999999998</v>
      </c>
      <c r="L215" s="10"/>
      <c r="M215" s="259">
        <v>110071445083</v>
      </c>
      <c r="N215" s="9">
        <f>IF(L215&lt;&gt;"",INDEX('Processed Non-zero TRI Data'!L:L,MATCH('Facility Summary_Water'!L215,'Processed Non-zero TRI Data'!I:I,0)),INDEX('Processed Non-zero DMR Data'!$L:$L,MATCH('Facility Summary_Water'!M215,'Processed Non-zero DMR Data'!$I:$I,0)))</f>
        <v>488119</v>
      </c>
      <c r="O215" s="10" t="str">
        <f>INDEX('2017 - 2022 NAICS'!D:D,MATCH('Facility Summary_Water'!N215,'2017 - 2022 NAICS'!C:C,0))</f>
        <v>Other Airport Operations</v>
      </c>
      <c r="P215" s="10" t="str">
        <f>IFERROR(VLOOKUP(L215, 'Processed Non-zero TRI Data'!I:Q, 8, 0), "Direct")</f>
        <v>Direct</v>
      </c>
      <c r="Q215" s="10" t="e">
        <f>VLOOKUP(R215,#REF!, 2, FALSE)</f>
        <v>#REF!</v>
      </c>
      <c r="R215" s="10" t="str">
        <f>INDEX('Facility Discharge Summary'!D:D, MATCH('Facility Summary_Water'!M215, 'Facility Discharge Summary'!J:J,0))</f>
        <v>Unknown</v>
      </c>
      <c r="S215" s="10" t="str">
        <f>INDEX('Processed Non-zero DMR Data'!T:T, MATCH('Facility Summary_Water'!M215, 'Processed Non-zero DMR Data'!I:I,0))</f>
        <v>Underground transmission line; no OES to map to.</v>
      </c>
      <c r="T215" s="10" t="s">
        <v>72</v>
      </c>
      <c r="U215" s="9">
        <f>INDEX('TRI and DMR OES Summary'!D:D, MATCH('Facility Summary_Water'!R215,'TRI and DMR OES Summary'!A:A,0))</f>
        <v>250</v>
      </c>
      <c r="V215" s="258">
        <f>INDEX('Facility Discharge Summary'!AR:AR,MATCH('Facility Summary_Water'!M215,'Facility Discharge Summary'!J:J,0))</f>
        <v>0</v>
      </c>
      <c r="W215" s="258">
        <f>INDEX('Facility Discharge Summary'!T:T,MATCH('Facility Summary_Water'!M215,'Facility Discharge Summary'!J:J,0))</f>
        <v>4.6591457500000004E-3</v>
      </c>
    </row>
    <row r="216" spans="1:23" x14ac:dyDescent="0.25">
      <c r="A216" s="9">
        <v>215</v>
      </c>
      <c r="B216" s="10" t="str">
        <f>IF(COUNTIF('Processed Non-zero TRI Data'!J:J,'Facility Summary_Water'!M216)&gt;0, "TRI Form " &amp; INDEX('Processed Non-zero TRI Data'!K:K,MATCH('Facility Summary_Water'!M216,'Processed Non-zero TRI Data'!J:J,0)), "" )</f>
        <v/>
      </c>
      <c r="C216" s="10" t="str">
        <f>IF(COUNTIF('Processed Non-zero DMR Data'!I:I, 'Facility Summary_Water'!M216)&gt;0, "DMR", "")</f>
        <v>DMR</v>
      </c>
      <c r="D216" s="10"/>
      <c r="E216" s="10" t="s">
        <v>534</v>
      </c>
      <c r="F216" s="10"/>
      <c r="G216" s="10" t="s">
        <v>190</v>
      </c>
      <c r="H216" s="10" t="s">
        <v>146</v>
      </c>
      <c r="I216" s="10"/>
      <c r="J216" s="9">
        <f>IF(L216&lt;&gt;"", INDEX('Processed Non-zero TRI Data'!$G:$G, MATCH(L216, 'Processed Non-zero TRI Data'!$I:$I,0)), INDEX('Processed Non-zero DMR Data'!$F:$F, MATCH(M216,'Processed Non-zero DMR Data'!$I:$I, 0)))</f>
        <v>32.781489999999998</v>
      </c>
      <c r="K216" s="9">
        <f>IF(L216&lt;&gt;"", INDEX('Processed Non-zero TRI Data'!$H:$H, MATCH(L216, 'Processed Non-zero TRI Data'!$I:$I,0)), INDEX('Processed Non-zero DMR Data'!$G:$G, MATCH(M216,'Processed Non-zero DMR Data'!$I:$I, 0)))</f>
        <v>-115.5035</v>
      </c>
      <c r="L216" s="10"/>
      <c r="M216" s="259">
        <v>110012876557</v>
      </c>
      <c r="N216" s="9">
        <f>IF(L216&lt;&gt;"",INDEX('Processed Non-zero TRI Data'!L:L,MATCH('Facility Summary_Water'!L216,'Processed Non-zero TRI Data'!I:I,0)),INDEX('Processed Non-zero DMR Data'!$L:$L,MATCH('Facility Summary_Water'!M216,'Processed Non-zero DMR Data'!$I:$I,0)))</f>
        <v>531190</v>
      </c>
      <c r="O216" s="10" t="str">
        <f>INDEX('2017 - 2022 NAICS'!D:D,MATCH('Facility Summary_Water'!N216,'2017 - 2022 NAICS'!C:C,0))</f>
        <v>Lessors of Other Real Estate Property</v>
      </c>
      <c r="P216" s="10" t="str">
        <f>IFERROR(VLOOKUP(L216, 'Processed Non-zero TRI Data'!I:Q, 8, 0), "Direct")</f>
        <v>Direct</v>
      </c>
      <c r="Q216" s="10" t="e">
        <f>VLOOKUP(R216,#REF!, 2, FALSE)</f>
        <v>#REF!</v>
      </c>
      <c r="R216" s="10" t="str">
        <f>INDEX('Facility Discharge Summary'!D:D, MATCH('Facility Summary_Water'!M216, 'Facility Discharge Summary'!J:J,0))</f>
        <v>Unknown</v>
      </c>
      <c r="S216" s="10" t="str">
        <f>INDEX('Processed Non-zero DMR Data'!T:T, MATCH('Facility Summary_Water'!M216, 'Processed Non-zero DMR Data'!I:I,0))</f>
        <v>RV park; no OES to map to.</v>
      </c>
      <c r="T216" s="10" t="s">
        <v>72</v>
      </c>
      <c r="U216" s="9">
        <f>INDEX('TRI and DMR OES Summary'!D:D, MATCH('Facility Summary_Water'!R216,'TRI and DMR OES Summary'!A:A,0))</f>
        <v>250</v>
      </c>
      <c r="V216" s="258">
        <f>INDEX('Facility Discharge Summary'!AR:AR,MATCH('Facility Summary_Water'!M216,'Facility Discharge Summary'!J:J,0))</f>
        <v>0</v>
      </c>
      <c r="W216" s="258">
        <f>INDEX('Facility Discharge Summary'!T:T,MATCH('Facility Summary_Water'!M216,'Facility Discharge Summary'!J:J,0))</f>
        <v>7.94376875E-3</v>
      </c>
    </row>
    <row r="217" spans="1:23" x14ac:dyDescent="0.25">
      <c r="A217" s="9">
        <v>216</v>
      </c>
      <c r="B217" s="10" t="str">
        <f>IF(COUNTIF('Processed Non-zero TRI Data'!J:J,'Facility Summary_Water'!M217)&gt;0, "TRI Form " &amp; INDEX('Processed Non-zero TRI Data'!K:K,MATCH('Facility Summary_Water'!M217,'Processed Non-zero TRI Data'!J:J,0)), "" )</f>
        <v/>
      </c>
      <c r="C217" s="10" t="str">
        <f>IF(COUNTIF('Processed Non-zero DMR Data'!I:I, 'Facility Summary_Water'!M217)&gt;0, "DMR", "")</f>
        <v>DMR</v>
      </c>
      <c r="D217" s="10"/>
      <c r="E217" s="10" t="s">
        <v>535</v>
      </c>
      <c r="F217" s="10"/>
      <c r="G217" s="10" t="s">
        <v>536</v>
      </c>
      <c r="H217" s="10" t="s">
        <v>218</v>
      </c>
      <c r="I217" s="10"/>
      <c r="J217" s="9">
        <f>IF(L217&lt;&gt;"", INDEX('Processed Non-zero TRI Data'!$G:$G, MATCH(L217, 'Processed Non-zero TRI Data'!$I:$I,0)), INDEX('Processed Non-zero DMR Data'!$F:$F, MATCH(M217,'Processed Non-zero DMR Data'!$I:$I, 0)))</f>
        <v>40.49682</v>
      </c>
      <c r="K217" s="9">
        <f>IF(L217&lt;&gt;"", INDEX('Processed Non-zero TRI Data'!$H:$H, MATCH(L217, 'Processed Non-zero TRI Data'!$I:$I,0)), INDEX('Processed Non-zero DMR Data'!$G:$G, MATCH(M217,'Processed Non-zero DMR Data'!$I:$I, 0)))</f>
        <v>-105.11552</v>
      </c>
      <c r="L217" s="10"/>
      <c r="M217" s="259">
        <v>110012150858</v>
      </c>
      <c r="N217" s="9">
        <f>IF(L217&lt;&gt;"",INDEX('Processed Non-zero TRI Data'!L:L,MATCH('Facility Summary_Water'!L217,'Processed Non-zero TRI Data'!I:I,0)),INDEX('Processed Non-zero DMR Data'!$L:$L,MATCH('Facility Summary_Water'!M217,'Processed Non-zero DMR Data'!$I:$I,0)))</f>
        <v>562211</v>
      </c>
      <c r="O217" s="10" t="str">
        <f>INDEX('2017 - 2022 NAICS'!D:D,MATCH('Facility Summary_Water'!N217,'2017 - 2022 NAICS'!C:C,0))</f>
        <v>Hazardous Waste Treatment and Disposal</v>
      </c>
      <c r="P217" s="10" t="str">
        <f>IFERROR(VLOOKUP(L217, 'Processed Non-zero TRI Data'!I:Q, 8, 0), "Direct")</f>
        <v>Direct</v>
      </c>
      <c r="Q217" s="10" t="e">
        <f>VLOOKUP(R217,#REF!, 2, FALSE)</f>
        <v>#REF!</v>
      </c>
      <c r="R217" s="10" t="str">
        <f>INDEX('Facility Discharge Summary'!D:D, MATCH('Facility Summary_Water'!M217, 'Facility Discharge Summary'!J:J,0))</f>
        <v>Unknown</v>
      </c>
      <c r="S217" s="10" t="str">
        <f>INDEX('Processed Non-zero DMR Data'!T:T, MATCH('Facility Summary_Water'!M217, 'Processed Non-zero DMR Data'!I:I,0))</f>
        <v>Solar energy project; no OES to map to.</v>
      </c>
      <c r="T217" s="10" t="s">
        <v>72</v>
      </c>
      <c r="U217" s="9">
        <f>INDEX('TRI and DMR OES Summary'!D:D, MATCH('Facility Summary_Water'!R217,'TRI and DMR OES Summary'!A:A,0))</f>
        <v>250</v>
      </c>
      <c r="V217" s="258">
        <f>INDEX('Facility Discharge Summary'!AR:AR,MATCH('Facility Summary_Water'!M217,'Facility Discharge Summary'!J:J,0))</f>
        <v>0</v>
      </c>
      <c r="W217" s="258">
        <f>INDEX('Facility Discharge Summary'!T:T,MATCH('Facility Summary_Water'!M217,'Facility Discharge Summary'!J:J,0))</f>
        <v>2.4702492818181798E-3</v>
      </c>
    </row>
    <row r="218" spans="1:23" x14ac:dyDescent="0.25">
      <c r="A218" s="9">
        <v>217</v>
      </c>
      <c r="B218" s="10" t="str">
        <f>IF(COUNTIF('Processed Non-zero TRI Data'!J:J,'Facility Summary_Water'!M218)&gt;0, "TRI Form " &amp; INDEX('Processed Non-zero TRI Data'!K:K,MATCH('Facility Summary_Water'!M218,'Processed Non-zero TRI Data'!J:J,0)), "" )</f>
        <v/>
      </c>
      <c r="C218" s="10" t="str">
        <f>IF(COUNTIF('Processed Non-zero DMR Data'!I:I, 'Facility Summary_Water'!M218)&gt;0, "DMR", "")</f>
        <v>DMR</v>
      </c>
      <c r="D218" s="10"/>
      <c r="E218" s="10" t="s">
        <v>537</v>
      </c>
      <c r="F218" s="10"/>
      <c r="G218" s="10" t="s">
        <v>538</v>
      </c>
      <c r="H218" s="10" t="s">
        <v>138</v>
      </c>
      <c r="I218" s="10"/>
      <c r="J218" s="9">
        <f>IF(L218&lt;&gt;"", INDEX('Processed Non-zero TRI Data'!$G:$G, MATCH(L218, 'Processed Non-zero TRI Data'!$I:$I,0)), INDEX('Processed Non-zero DMR Data'!$F:$F, MATCH(M218,'Processed Non-zero DMR Data'!$I:$I, 0)))</f>
        <v>38.213957000000001</v>
      </c>
      <c r="K218" s="9">
        <f>IF(L218&lt;&gt;"", INDEX('Processed Non-zero TRI Data'!$H:$H, MATCH(L218, 'Processed Non-zero TRI Data'!$I:$I,0)), INDEX('Processed Non-zero DMR Data'!$G:$G, MATCH(M218,'Processed Non-zero DMR Data'!$I:$I, 0)))</f>
        <v>-84.873705000000001</v>
      </c>
      <c r="L218" s="10"/>
      <c r="M218" s="259">
        <v>110000732299</v>
      </c>
      <c r="N218" s="9">
        <f>IF(L218&lt;&gt;"",INDEX('Processed Non-zero TRI Data'!L:L,MATCH('Facility Summary_Water'!L218,'Processed Non-zero TRI Data'!I:I,0)),INDEX('Processed Non-zero DMR Data'!$L:$L,MATCH('Facility Summary_Water'!M218,'Processed Non-zero DMR Data'!$I:$I,0)))</f>
        <v>221320</v>
      </c>
      <c r="O218" s="10" t="str">
        <f>INDEX('2017 - 2022 NAICS'!D:D,MATCH('Facility Summary_Water'!N218,'2017 - 2022 NAICS'!C:C,0))</f>
        <v>Sewage Treatment Facilities</v>
      </c>
      <c r="P218" s="10" t="str">
        <f>IFERROR(VLOOKUP(L218, 'Processed Non-zero TRI Data'!I:Q, 8, 0), "Direct")</f>
        <v>Direct</v>
      </c>
      <c r="Q218" s="10" t="e">
        <f>VLOOKUP(R218,#REF!, 2, FALSE)</f>
        <v>#REF!</v>
      </c>
      <c r="R218" s="10" t="str">
        <f>INDEX('Facility Discharge Summary'!D:D, MATCH('Facility Summary_Water'!M218, 'Facility Discharge Summary'!J:J,0))</f>
        <v>Waste Handling, Disposal and Treatment (POTW)</v>
      </c>
      <c r="S218" s="10" t="str">
        <f>INDEX('Processed Non-zero DMR Data'!T:T, MATCH('Facility Summary_Water'!M218, 'Processed Non-zero DMR Data'!I:I,0))</f>
        <v>POTW indicator in DMR</v>
      </c>
      <c r="T218" s="10" t="s">
        <v>72</v>
      </c>
      <c r="U218" s="9">
        <f>INDEX('TRI and DMR OES Summary'!D:D, MATCH('Facility Summary_Water'!R218,'TRI and DMR OES Summary'!A:A,0))</f>
        <v>365</v>
      </c>
      <c r="V218" s="258">
        <f>INDEX('Facility Discharge Summary'!AR:AR,MATCH('Facility Summary_Water'!M218,'Facility Discharge Summary'!J:J,0))</f>
        <v>0</v>
      </c>
      <c r="W218" s="258">
        <f>INDEX('Facility Discharge Summary'!T:T,MATCH('Facility Summary_Water'!M218,'Facility Discharge Summary'!J:J,0))</f>
        <v>13.4007925</v>
      </c>
    </row>
  </sheetData>
  <autoFilter ref="B1:U218" xr:uid="{7775A4E7-8CFB-428E-B62D-FA61FC7EF019}"/>
  <phoneticPr fontId="7"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6EB5-5E51-4FEE-9367-C5C64547AAE5}">
  <sheetPr codeName="Sheet7">
    <tabColor theme="7"/>
  </sheetPr>
  <dimension ref="A1:AA658"/>
  <sheetViews>
    <sheetView workbookViewId="0">
      <pane xSplit="5" ySplit="1" topLeftCell="J2" activePane="bottomRight" state="frozen"/>
      <selection pane="topRight" activeCell="A17" sqref="A17:G17"/>
      <selection pane="bottomLeft" activeCell="A17" sqref="A17:G17"/>
      <selection pane="bottomRight"/>
    </sheetView>
  </sheetViews>
  <sheetFormatPr defaultColWidth="9.140625" defaultRowHeight="15" customHeight="1" x14ac:dyDescent="0.25"/>
  <cols>
    <col min="1" max="1" width="19.85546875" style="175" customWidth="1"/>
    <col min="2" max="2" width="30.5703125" customWidth="1"/>
    <col min="3" max="3" width="9.140625" customWidth="1"/>
    <col min="4" max="4" width="14.5703125" customWidth="1"/>
    <col min="5" max="5" width="9.140625" customWidth="1"/>
    <col min="6" max="6" width="17.42578125" customWidth="1"/>
    <col min="7" max="7" width="19" customWidth="1"/>
    <col min="8" max="8" width="16.5703125" customWidth="1"/>
    <col min="9" max="9" width="14.5703125" style="183" customWidth="1"/>
    <col min="10" max="10" width="17.42578125" style="175" customWidth="1"/>
    <col min="11" max="11" width="35.5703125" customWidth="1"/>
    <col min="12" max="12" width="7.42578125" style="7" customWidth="1"/>
    <col min="13" max="13" width="29" style="7" customWidth="1"/>
    <col min="14" max="14" width="8.7109375" customWidth="1"/>
    <col min="15" max="15" width="38.140625" style="7" customWidth="1"/>
    <col min="16" max="16" width="29.5703125" style="7" hidden="1" customWidth="1"/>
    <col min="17" max="17" width="44.140625" style="7" hidden="1" customWidth="1"/>
    <col min="18" max="18" width="21.28515625" style="7" customWidth="1"/>
    <col min="19" max="19" width="38.7109375" style="249" customWidth="1"/>
    <col min="20" max="20" width="38.140625" style="249" customWidth="1"/>
    <col min="21" max="21" width="16.28515625" style="8" bestFit="1" customWidth="1"/>
    <col min="22" max="22" width="12" style="8" bestFit="1" customWidth="1"/>
    <col min="23" max="23" width="25.85546875" style="7" customWidth="1"/>
    <col min="24" max="24" width="23.7109375" style="175" bestFit="1" customWidth="1"/>
    <col min="25" max="25" width="66.5703125" bestFit="1" customWidth="1"/>
    <col min="26" max="26" width="17.85546875" style="1" customWidth="1"/>
    <col min="27" max="27" width="25.85546875" style="8" bestFit="1" customWidth="1"/>
    <col min="30" max="30" width="30.140625" bestFit="1" customWidth="1"/>
  </cols>
  <sheetData>
    <row r="1" spans="1:26" s="18" customFormat="1" ht="23.25" customHeight="1" x14ac:dyDescent="0.25">
      <c r="A1" s="137" t="s">
        <v>539</v>
      </c>
      <c r="B1" s="137" t="s">
        <v>83</v>
      </c>
      <c r="C1" s="137" t="s">
        <v>84</v>
      </c>
      <c r="D1" s="137" t="s">
        <v>540</v>
      </c>
      <c r="E1" s="137" t="s">
        <v>85</v>
      </c>
      <c r="F1" s="137" t="s">
        <v>126</v>
      </c>
      <c r="G1" s="137" t="s">
        <v>127</v>
      </c>
      <c r="H1" s="137" t="s">
        <v>86</v>
      </c>
      <c r="I1" s="138" t="s">
        <v>87</v>
      </c>
      <c r="J1" s="137" t="s">
        <v>541</v>
      </c>
      <c r="K1" s="274" t="s">
        <v>542</v>
      </c>
      <c r="L1" s="275" t="s">
        <v>543</v>
      </c>
      <c r="M1" s="275" t="s">
        <v>544</v>
      </c>
      <c r="N1" s="274" t="s">
        <v>545</v>
      </c>
      <c r="O1" s="275" t="s">
        <v>546</v>
      </c>
      <c r="P1" s="209" t="s">
        <v>547</v>
      </c>
      <c r="Q1" s="209"/>
      <c r="R1" s="275" t="s">
        <v>548</v>
      </c>
      <c r="S1" s="248" t="s">
        <v>51</v>
      </c>
      <c r="T1" s="248" t="s">
        <v>82</v>
      </c>
      <c r="U1" s="276" t="s">
        <v>549</v>
      </c>
      <c r="V1" s="276" t="s">
        <v>550</v>
      </c>
      <c r="W1" s="139" t="s">
        <v>551</v>
      </c>
      <c r="X1" s="137" t="s">
        <v>552</v>
      </c>
      <c r="Y1" s="137" t="s">
        <v>553</v>
      </c>
      <c r="Z1" s="138" t="s">
        <v>90</v>
      </c>
    </row>
    <row r="2" spans="1:26" ht="15" customHeight="1" x14ac:dyDescent="0.25">
      <c r="A2">
        <v>2019</v>
      </c>
      <c r="B2" t="s">
        <v>167</v>
      </c>
      <c r="C2" t="s">
        <v>157</v>
      </c>
      <c r="D2" t="s">
        <v>554</v>
      </c>
      <c r="E2" t="s">
        <v>158</v>
      </c>
      <c r="F2">
        <v>36.116160999999998</v>
      </c>
      <c r="G2">
        <v>-115.172741</v>
      </c>
      <c r="I2" s="1">
        <v>110015972562</v>
      </c>
      <c r="J2">
        <v>7011</v>
      </c>
      <c r="K2" s="175" t="str">
        <f>INDEX('2022 SIC to NAICS'!B:B, MATCH('Processed Non-zero DMR Data'!$J2, '2022 SIC to NAICS'!$A:$A, 0))</f>
        <v>Hotels and Motels</v>
      </c>
      <c r="L2" s="175">
        <f>INDEX('2022 SIC to NAICS'!C:C, MATCH('Processed Non-zero DMR Data'!$J2, '2022 SIC to NAICS'!$A:$A, 0))</f>
        <v>721110</v>
      </c>
      <c r="M2" s="175" t="str">
        <f>INDEX('2022 SIC to NAICS'!D:D, MATCH('Processed Non-zero DMR Data'!$J2, '2022 SIC to NAICS'!$A:$A, 0))</f>
        <v xml:space="preserve">Hotels (except Casino Hotels) and Motels </v>
      </c>
      <c r="N2" s="90" t="str">
        <f>IFERROR(INDEX('NAICS Code to IS CDR Code'!B:B, MATCH('Processed Non-zero DMR Data'!L2,'NAICS Code to IS CDR Code'!A:A,0)), "NAICS/SIC Not Provided")</f>
        <v>IS47</v>
      </c>
      <c r="O2" s="91" t="str">
        <f>IFERROR(INDEX('NAICS Code to IS CDR Code'!C:C, MATCH('Processed Non-zero DMR Data'!L2,'NAICS Code to IS CDR Code'!A:A,0)), "NAICS/SIC Not Provided")</f>
        <v>Services</v>
      </c>
      <c r="P2" s="91" t="str">
        <f>INDEX('11DCA Mapping'!$K:$K, MATCH('Processed Non-zero DMR Data'!I73,'11DCA Mapping'!$J:$J,0))</f>
        <v>Fuels and Related Products</v>
      </c>
      <c r="Q2" s="91" t="str">
        <f>INDEX('11DCA Mapping'!$L:$L, MATCH('Processed Non-zero DMR Data'!I73,'11DCA Mapping'!$J:$J,0))</f>
        <v xml:space="preserve">The site is a coal power plant. 1,1 DCA has been known to be released into the environment at coal powered power plants (https://www.atsdr.cdc.gov/toxprofiles/tp133-c6.pdf). The site is using coal to generate electricity. ERG is suggesting fuel use (coal) as the recommended OES.  </v>
      </c>
      <c r="R2" s="91" t="str">
        <f>VLOOKUP(I2,'DMR POTW Flag'!$A$2:$B$960,2,FALSE)</f>
        <v>NON-POTW</v>
      </c>
      <c r="S2" s="7" t="s">
        <v>72</v>
      </c>
      <c r="T2" s="244" t="s">
        <v>555</v>
      </c>
      <c r="U2" s="8">
        <f>COUNTIFS('Raw Non-zero DMR Data'!$A:$A, 'Processed Non-zero DMR Data'!A2, 'Raw Non-zero DMR Data'!$C:$C, X2, 'Raw Non-zero DMR Data'!$U:$U,'Processed Non-zero DMR Data'!Y2)</f>
        <v>2</v>
      </c>
      <c r="V2" s="8">
        <f>COUNTIFS('Raw Non-zero DMR Data'!$A:$A, 'Processed Non-zero DMR Data'!A2, 'Raw Non-zero DMR Data'!$C:$C, X2, 'Raw Non-zero DMR Data'!$U:$U,'Processed Non-zero DMR Data'!Y2,'Raw Non-zero DMR Data'!$Z:$Z,"Yes")</f>
        <v>2</v>
      </c>
      <c r="W2">
        <v>5.8473452512500003E-2</v>
      </c>
      <c r="X2" t="s">
        <v>556</v>
      </c>
      <c r="Y2" t="s">
        <v>557</v>
      </c>
      <c r="Z2" s="257">
        <v>150100150505</v>
      </c>
    </row>
    <row r="3" spans="1:26" ht="15" customHeight="1" x14ac:dyDescent="0.25">
      <c r="A3">
        <v>2019</v>
      </c>
      <c r="B3" t="s">
        <v>167</v>
      </c>
      <c r="C3" t="s">
        <v>157</v>
      </c>
      <c r="D3" t="s">
        <v>554</v>
      </c>
      <c r="E3" t="s">
        <v>158</v>
      </c>
      <c r="F3">
        <v>36.116160999999998</v>
      </c>
      <c r="G3">
        <v>-115.172741</v>
      </c>
      <c r="I3" s="1">
        <v>110015972562</v>
      </c>
      <c r="J3">
        <v>7011</v>
      </c>
      <c r="K3" s="175" t="str">
        <f>INDEX('2022 SIC to NAICS'!B:B, MATCH('Processed Non-zero DMR Data'!$J3, '2022 SIC to NAICS'!$A:$A, 0))</f>
        <v>Hotels and Motels</v>
      </c>
      <c r="L3" s="175">
        <f>INDEX('2022 SIC to NAICS'!C:C, MATCH('Processed Non-zero DMR Data'!$J3, '2022 SIC to NAICS'!$A:$A, 0))</f>
        <v>721110</v>
      </c>
      <c r="M3" s="175" t="str">
        <f>INDEX('2022 SIC to NAICS'!D:D, MATCH('Processed Non-zero DMR Data'!$J3, '2022 SIC to NAICS'!$A:$A, 0))</f>
        <v xml:space="preserve">Hotels (except Casino Hotels) and Motels </v>
      </c>
      <c r="N3" s="90" t="str">
        <f>IFERROR(INDEX('NAICS Code to IS CDR Code'!B:B, MATCH('Processed Non-zero DMR Data'!L3,'NAICS Code to IS CDR Code'!A:A,0)), "NAICS/SIC Not Provided")</f>
        <v>IS47</v>
      </c>
      <c r="O3" s="91" t="str">
        <f>IFERROR(INDEX('NAICS Code to IS CDR Code'!C:C, MATCH('Processed Non-zero DMR Data'!L3,'NAICS Code to IS CDR Code'!A:A,0)), "NAICS/SIC Not Provided")</f>
        <v>Services</v>
      </c>
      <c r="P3" s="91" t="str">
        <f>INDEX('11DCA Mapping'!$K:$K, MATCH('Processed Non-zero DMR Data'!I74,'11DCA Mapping'!$J:$J,0))</f>
        <v>Unknown</v>
      </c>
      <c r="Q3" s="91" t="str">
        <f>INDEX('11DCA Mapping'!$L:$L, MATCH('Processed Non-zero DMR Data'!I74,'11DCA Mapping'!$J:$J,0))</f>
        <v>Unknown - seems like this would be something like "distribution in commerce"</v>
      </c>
      <c r="R3" s="91" t="str">
        <f>VLOOKUP(I3,'DMR POTW Flag'!$A$2:$B$960,2,FALSE)</f>
        <v>NON-POTW</v>
      </c>
      <c r="S3" s="7" t="s">
        <v>72</v>
      </c>
      <c r="T3" s="244" t="s">
        <v>555</v>
      </c>
      <c r="U3" s="8">
        <f>COUNTIFS('Raw Non-zero DMR Data'!$A:$A, 'Processed Non-zero DMR Data'!A3, 'Raw Non-zero DMR Data'!$C:$C, X3, 'Raw Non-zero DMR Data'!$U:$U,'Processed Non-zero DMR Data'!Y3)</f>
        <v>2</v>
      </c>
      <c r="V3" s="8">
        <f>COUNTIFS('Raw Non-zero DMR Data'!$A:$A, 'Processed Non-zero DMR Data'!A3, 'Raw Non-zero DMR Data'!$C:$C, X3, 'Raw Non-zero DMR Data'!$U:$U,'Processed Non-zero DMR Data'!Y3,'Raw Non-zero DMR Data'!$Z:$Z,"Yes")</f>
        <v>2</v>
      </c>
      <c r="W3">
        <v>0.25301521370000002</v>
      </c>
      <c r="X3" t="s">
        <v>556</v>
      </c>
      <c r="Y3" t="s">
        <v>557</v>
      </c>
      <c r="Z3" s="257">
        <v>150100150505</v>
      </c>
    </row>
    <row r="4" spans="1:26" ht="15" customHeight="1" x14ac:dyDescent="0.25">
      <c r="A4">
        <v>2019</v>
      </c>
      <c r="B4" t="s">
        <v>221</v>
      </c>
      <c r="C4" t="s">
        <v>222</v>
      </c>
      <c r="D4" t="s">
        <v>558</v>
      </c>
      <c r="E4" t="s">
        <v>158</v>
      </c>
      <c r="F4">
        <v>39.526260000000001</v>
      </c>
      <c r="G4">
        <v>-119.81308</v>
      </c>
      <c r="I4" s="1">
        <v>110009830273</v>
      </c>
      <c r="J4">
        <v>7011</v>
      </c>
      <c r="K4" s="175" t="str">
        <f>INDEX('2022 SIC to NAICS'!B:B, MATCH('Processed Non-zero DMR Data'!$J4, '2022 SIC to NAICS'!$A:$A, 0))</f>
        <v>Hotels and Motels</v>
      </c>
      <c r="L4" s="175">
        <f>INDEX('2022 SIC to NAICS'!C:C, MATCH('Processed Non-zero DMR Data'!$J4, '2022 SIC to NAICS'!$A:$A, 0))</f>
        <v>721110</v>
      </c>
      <c r="M4" s="175" t="str">
        <f>INDEX('2022 SIC to NAICS'!D:D, MATCH('Processed Non-zero DMR Data'!$J4, '2022 SIC to NAICS'!$A:$A, 0))</f>
        <v xml:space="preserve">Hotels (except Casino Hotels) and Motels </v>
      </c>
      <c r="N4" s="90" t="str">
        <f>IFERROR(INDEX('NAICS Code to IS CDR Code'!B:B, MATCH('Processed Non-zero DMR Data'!L4,'NAICS Code to IS CDR Code'!A:A,0)), "NAICS/SIC Not Provided")</f>
        <v>IS47</v>
      </c>
      <c r="O4" s="91" t="str">
        <f>IFERROR(INDEX('NAICS Code to IS CDR Code'!C:C, MATCH('Processed Non-zero DMR Data'!L4,'NAICS Code to IS CDR Code'!A:A,0)), "NAICS/SIC Not Provided")</f>
        <v>Services</v>
      </c>
      <c r="P4" s="91" t="str">
        <f>INDEX('11DCA Mapping'!$K:$K, MATCH('Processed Non-zero DMR Data'!I129,'11DCA Mapping'!$J:$J,0))</f>
        <v>POTW</v>
      </c>
      <c r="Q4" s="91" t="str">
        <f>INDEX('11DCA Mapping'!$L:$L, MATCH('Processed Non-zero DMR Data'!I129,'11DCA Mapping'!$J:$J,0))</f>
        <v>Assigned POTW per "Facility Type Indicator"</v>
      </c>
      <c r="R4" s="91" t="str">
        <f>VLOOKUP(I4,'DMR POTW Flag'!$A$2:$B$960,2,FALSE)</f>
        <v>NON-POTW</v>
      </c>
      <c r="S4" s="7" t="s">
        <v>72</v>
      </c>
      <c r="T4" s="244" t="s">
        <v>559</v>
      </c>
      <c r="U4" s="8">
        <f>COUNTIFS('Raw Non-zero DMR Data'!$A:$A, 'Processed Non-zero DMR Data'!A4, 'Raw Non-zero DMR Data'!$C:$C, X4, 'Raw Non-zero DMR Data'!$U:$U,'Processed Non-zero DMR Data'!Y4)</f>
        <v>1</v>
      </c>
      <c r="V4" s="8">
        <f>COUNTIFS('Raw Non-zero DMR Data'!$A:$A, 'Processed Non-zero DMR Data'!A4, 'Raw Non-zero DMR Data'!$C:$C, X4, 'Raw Non-zero DMR Data'!$U:$U,'Processed Non-zero DMR Data'!Y4,'Raw Non-zero DMR Data'!$Z:$Z,"Yes")</f>
        <v>0</v>
      </c>
      <c r="W4">
        <v>0.481522525905</v>
      </c>
      <c r="X4" t="s">
        <v>560</v>
      </c>
      <c r="Y4" t="s">
        <v>561</v>
      </c>
      <c r="Z4" s="257">
        <v>160501020506</v>
      </c>
    </row>
    <row r="5" spans="1:26" ht="15" customHeight="1" x14ac:dyDescent="0.25">
      <c r="A5">
        <v>2019</v>
      </c>
      <c r="B5" t="s">
        <v>168</v>
      </c>
      <c r="C5" t="s">
        <v>169</v>
      </c>
      <c r="D5" t="s">
        <v>562</v>
      </c>
      <c r="E5" t="s">
        <v>170</v>
      </c>
      <c r="F5">
        <v>37.188566000000002</v>
      </c>
      <c r="G5">
        <v>-93.325920999999994</v>
      </c>
      <c r="I5" s="1">
        <v>110045547547</v>
      </c>
      <c r="J5">
        <v>2833</v>
      </c>
      <c r="K5" s="175" t="str">
        <f>INDEX('2022 SIC to NAICS'!B:B, MATCH('Processed Non-zero DMR Data'!$J5, '2022 SIC to NAICS'!$A:$A, 0))</f>
        <v>Medicinals and Botanicals</v>
      </c>
      <c r="L5" s="175">
        <f>INDEX('2022 SIC to NAICS'!C:C, MATCH('Processed Non-zero DMR Data'!$J5, '2022 SIC to NAICS'!$A:$A, 0))</f>
        <v>325411</v>
      </c>
      <c r="M5" s="175" t="str">
        <f>INDEX('2022 SIC to NAICS'!D:D, MATCH('Processed Non-zero DMR Data'!$J5, '2022 SIC to NAICS'!$A:$A, 0))</f>
        <v xml:space="preserve">Medicinal and Botanical Manufacturing </v>
      </c>
      <c r="N5" s="90" t="str">
        <f>IFERROR(INDEX('NAICS Code to IS CDR Code'!B:B, MATCH('Processed Non-zero DMR Data'!L5,'NAICS Code to IS CDR Code'!A:A,0)), "NAICS/SIC Not Provided")</f>
        <v>IS26</v>
      </c>
      <c r="O5" s="91" t="str">
        <f>IFERROR(INDEX('NAICS Code to IS CDR Code'!C:C, MATCH('Processed Non-zero DMR Data'!L5,'NAICS Code to IS CDR Code'!A:A,0)), "NAICS/SIC Not Provided")</f>
        <v>Pharmaceutical and Medicine Manufacturing</v>
      </c>
      <c r="P5" s="91" t="str">
        <f>INDEX('11DCA Mapping'!$K:$K, MATCH('Processed Non-zero DMR Data'!I141,'11DCA Mapping'!$J:$J,0))</f>
        <v>Fuels and Related Products</v>
      </c>
      <c r="Q5" s="91" t="str">
        <f>INDEX('11DCA Mapping'!$L:$L, MATCH('Processed Non-zero DMR Data'!I141,'11DCA Mapping'!$J:$J,0))</f>
        <v xml:space="preserve">The site is a coal power plant. 1,1 DCA has been known to be released into the environment at coal powered power plants (https://www.atsdr.cdc.gov/toxprofiles/tp133-c6.pdf). The site is using coal to generate electricity. ERG is suggesting fuel use (coal) as the recommended OES.  </v>
      </c>
      <c r="R5" s="91" t="str">
        <f>VLOOKUP(I5,'DMR POTW Flag'!$A$2:$B$960,2,FALSE)</f>
        <v>NON-POTW</v>
      </c>
      <c r="S5" s="7" t="s">
        <v>62</v>
      </c>
      <c r="T5" s="7" t="s">
        <v>563</v>
      </c>
      <c r="U5" s="8">
        <f>COUNTIFS('Raw Non-zero DMR Data'!$A:$A, 'Processed Non-zero DMR Data'!A5, 'Raw Non-zero DMR Data'!$C:$C, X5, 'Raw Non-zero DMR Data'!$U:$U,'Processed Non-zero DMR Data'!Y5)</f>
        <v>1</v>
      </c>
      <c r="V5" s="8">
        <f>COUNTIFS('Raw Non-zero DMR Data'!$A:$A, 'Processed Non-zero DMR Data'!A5, 'Raw Non-zero DMR Data'!$C:$C, X5, 'Raw Non-zero DMR Data'!$U:$U,'Processed Non-zero DMR Data'!Y5,'Raw Non-zero DMR Data'!$Z:$Z,"Yes")</f>
        <v>1</v>
      </c>
      <c r="W5">
        <v>0.20356865499999999</v>
      </c>
      <c r="X5" t="s">
        <v>564</v>
      </c>
      <c r="Y5" t="s">
        <v>565</v>
      </c>
      <c r="Z5" s="257">
        <v>110100020301</v>
      </c>
    </row>
    <row r="6" spans="1:26" ht="15" customHeight="1" x14ac:dyDescent="0.25">
      <c r="A6">
        <v>2019</v>
      </c>
      <c r="B6" t="s">
        <v>189</v>
      </c>
      <c r="C6" t="s">
        <v>190</v>
      </c>
      <c r="D6" t="s">
        <v>566</v>
      </c>
      <c r="E6" t="s">
        <v>146</v>
      </c>
      <c r="F6">
        <v>32.803809999999999</v>
      </c>
      <c r="G6">
        <v>-115.53973999999999</v>
      </c>
      <c r="I6" s="1">
        <v>110002672484</v>
      </c>
      <c r="J6" s="186" t="s">
        <v>567</v>
      </c>
      <c r="K6" s="175" t="str">
        <f>INDEX('2022 SIC to NAICS'!B:B, MATCH('Processed Non-zero DMR Data'!$J6, '2022 SIC to NAICS'!$A:$A, 0))</f>
        <v>Fish Hatcheries and Preserves</v>
      </c>
      <c r="L6" s="175">
        <f>INDEX('2022 SIC to NAICS'!C:C, MATCH('Processed Non-zero DMR Data'!$J6, '2022 SIC to NAICS'!$A:$A, 0))</f>
        <v>112511</v>
      </c>
      <c r="M6" s="175" t="str">
        <f>INDEX('2022 SIC to NAICS'!D:D, MATCH('Processed Non-zero DMR Data'!$J6, '2022 SIC to NAICS'!$A:$A, 0))</f>
        <v xml:space="preserve">Finfish Farming and Fish Hatcheries </v>
      </c>
      <c r="N6" s="90" t="str">
        <f>IFERROR(INDEX('NAICS Code to IS CDR Code'!B:B, MATCH('Processed Non-zero DMR Data'!L6,'NAICS Code to IS CDR Code'!A:A,0)), "NAICS/SIC Not Provided")</f>
        <v>IS1</v>
      </c>
      <c r="O6" s="91" t="str">
        <f>IFERROR(INDEX('NAICS Code to IS CDR Code'!C:C, MATCH('Processed Non-zero DMR Data'!L6,'NAICS Code to IS CDR Code'!A:A,0)), "NAICS/SIC Not Provided")</f>
        <v>Agriculture, Forestry, Fishing and Hunting</v>
      </c>
      <c r="P6" s="91" t="e">
        <f>INDEX('11DCA Mapping'!$K:$K, MATCH('Processed Non-zero DMR Data'!I178,'11DCA Mapping'!$J:$J,0))</f>
        <v>#N/A</v>
      </c>
      <c r="Q6" s="91" t="e">
        <f>INDEX('11DCA Mapping'!$L:$L, MATCH('Processed Non-zero DMR Data'!I178,'11DCA Mapping'!$J:$J,0))</f>
        <v>#N/A</v>
      </c>
      <c r="R6" s="91" t="str">
        <f>VLOOKUP(I6,'DMR POTW Flag'!$A$2:$B$960,2,FALSE)</f>
        <v>NON-POTW</v>
      </c>
      <c r="S6" s="7" t="s">
        <v>72</v>
      </c>
      <c r="T6" s="244" t="s">
        <v>568</v>
      </c>
      <c r="U6" s="8">
        <f>COUNTIFS('Raw Non-zero DMR Data'!$A:$A, 'Processed Non-zero DMR Data'!A6, 'Raw Non-zero DMR Data'!$C:$C, X6, 'Raw Non-zero DMR Data'!$U:$U,'Processed Non-zero DMR Data'!Y6)</f>
        <v>2</v>
      </c>
      <c r="V6" s="8">
        <f>COUNTIFS('Raw Non-zero DMR Data'!$A:$A, 'Processed Non-zero DMR Data'!A6, 'Raw Non-zero DMR Data'!$C:$C, X6, 'Raw Non-zero DMR Data'!$U:$U,'Processed Non-zero DMR Data'!Y6,'Raw Non-zero DMR Data'!$Z:$Z,"Yes")</f>
        <v>2</v>
      </c>
      <c r="W6">
        <v>5.0149357500000004E-3</v>
      </c>
      <c r="X6" t="s">
        <v>569</v>
      </c>
      <c r="Y6" t="s">
        <v>570</v>
      </c>
      <c r="Z6" s="257">
        <v>181002040701</v>
      </c>
    </row>
    <row r="7" spans="1:26" ht="15" customHeight="1" x14ac:dyDescent="0.25">
      <c r="A7">
        <v>2019</v>
      </c>
      <c r="B7" t="s">
        <v>216</v>
      </c>
      <c r="C7" t="s">
        <v>217</v>
      </c>
      <c r="D7" t="s">
        <v>571</v>
      </c>
      <c r="E7" t="s">
        <v>218</v>
      </c>
      <c r="F7">
        <v>40.393799999999999</v>
      </c>
      <c r="G7">
        <v>-105.074</v>
      </c>
      <c r="I7" s="1">
        <v>110070053140</v>
      </c>
      <c r="J7">
        <v>7521</v>
      </c>
      <c r="K7" s="175" t="str">
        <f>INDEX('2022 SIC to NAICS'!B:B, MATCH('Processed Non-zero DMR Data'!$J7, '2022 SIC to NAICS'!$A:$A, 0))</f>
        <v>Automobile Parking</v>
      </c>
      <c r="L7" s="175">
        <f>INDEX('2022 SIC to NAICS'!C:C, MATCH('Processed Non-zero DMR Data'!$J7, '2022 SIC to NAICS'!$A:$A, 0))</f>
        <v>812930</v>
      </c>
      <c r="M7" s="175" t="str">
        <f>INDEX('2022 SIC to NAICS'!D:D, MATCH('Processed Non-zero DMR Data'!$J7, '2022 SIC to NAICS'!$A:$A, 0))</f>
        <v xml:space="preserve">Parking Lots and Garages </v>
      </c>
      <c r="N7" s="90" t="str">
        <f>IFERROR(INDEX('NAICS Code to IS CDR Code'!B:B, MATCH('Processed Non-zero DMR Data'!L7,'NAICS Code to IS CDR Code'!A:A,0)), "NAICS/SIC Not Provided")</f>
        <v>IS47</v>
      </c>
      <c r="O7" s="91" t="str">
        <f>IFERROR(INDEX('NAICS Code to IS CDR Code'!C:C, MATCH('Processed Non-zero DMR Data'!L7,'NAICS Code to IS CDR Code'!A:A,0)), "NAICS/SIC Not Provided")</f>
        <v>Services</v>
      </c>
      <c r="P7" s="91" t="e">
        <f>INDEX('11DCA Mapping'!$K:$K, MATCH('Processed Non-zero DMR Data'!I235,'11DCA Mapping'!$J:$J,0))</f>
        <v>#N/A</v>
      </c>
      <c r="Q7" s="91" t="e">
        <f>INDEX('11DCA Mapping'!$L:$L, MATCH('Processed Non-zero DMR Data'!I235,'11DCA Mapping'!$J:$J,0))</f>
        <v>#N/A</v>
      </c>
      <c r="R7" s="91" t="str">
        <f>VLOOKUP(I7,'DMR POTW Flag'!$A$2:$B$960,2,FALSE)</f>
        <v>NON-POTW</v>
      </c>
      <c r="S7" s="7" t="s">
        <v>72</v>
      </c>
      <c r="T7" s="244" t="s">
        <v>572</v>
      </c>
      <c r="U7" s="8">
        <f>COUNTIFS('Raw Non-zero DMR Data'!$A:$A, 'Processed Non-zero DMR Data'!A7, 'Raw Non-zero DMR Data'!$C:$C, X7, 'Raw Non-zero DMR Data'!$U:$U,'Processed Non-zero DMR Data'!Y7)</f>
        <v>1</v>
      </c>
      <c r="V7" s="8">
        <f>COUNTIFS('Raw Non-zero DMR Data'!$A:$A, 'Processed Non-zero DMR Data'!A7, 'Raw Non-zero DMR Data'!$C:$C, X7, 'Raw Non-zero DMR Data'!$U:$U,'Processed Non-zero DMR Data'!Y7,'Raw Non-zero DMR Data'!$Z:$Z,"Yes")</f>
        <v>1</v>
      </c>
      <c r="W7">
        <v>5.0143680000000003E-2</v>
      </c>
      <c r="X7" t="s">
        <v>573</v>
      </c>
      <c r="Y7" t="s">
        <v>574</v>
      </c>
      <c r="Z7" s="257">
        <v>101900060605</v>
      </c>
    </row>
    <row r="8" spans="1:26" ht="15" customHeight="1" x14ac:dyDescent="0.25">
      <c r="A8">
        <v>2019</v>
      </c>
      <c r="B8" t="s">
        <v>301</v>
      </c>
      <c r="C8" t="s">
        <v>157</v>
      </c>
      <c r="D8" t="s">
        <v>575</v>
      </c>
      <c r="E8" t="s">
        <v>158</v>
      </c>
      <c r="F8">
        <v>36.176639999999999</v>
      </c>
      <c r="G8">
        <v>-115.12891999999999</v>
      </c>
      <c r="I8" s="1">
        <v>110008995490</v>
      </c>
      <c r="J8">
        <v>6513</v>
      </c>
      <c r="K8" s="175" t="str">
        <f>INDEX('2022 SIC to NAICS'!B:B, MATCH('Processed Non-zero DMR Data'!$J8, '2022 SIC to NAICS'!$A:$A, 0))</f>
        <v>Apartment Building Operators</v>
      </c>
      <c r="L8" s="175">
        <f>INDEX('2022 SIC to NAICS'!C:C, MATCH('Processed Non-zero DMR Data'!$J8, '2022 SIC to NAICS'!$A:$A, 0))</f>
        <v>531110</v>
      </c>
      <c r="M8" s="175" t="str">
        <f>INDEX('2022 SIC to NAICS'!D:D, MATCH('Processed Non-zero DMR Data'!$J8, '2022 SIC to NAICS'!$A:$A, 0))</f>
        <v xml:space="preserve">Lessors of Residential Buildings and Dwellings </v>
      </c>
      <c r="N8" s="90" t="str">
        <f>IFERROR(INDEX('NAICS Code to IS CDR Code'!B:B, MATCH('Processed Non-zero DMR Data'!L8,'NAICS Code to IS CDR Code'!A:A,0)), "NAICS/SIC Not Provided")</f>
        <v>IS47</v>
      </c>
      <c r="O8" s="91" t="str">
        <f>IFERROR(INDEX('NAICS Code to IS CDR Code'!C:C, MATCH('Processed Non-zero DMR Data'!L8,'NAICS Code to IS CDR Code'!A:A,0)), "NAICS/SIC Not Provided")</f>
        <v>Services</v>
      </c>
      <c r="P8" s="91" t="e">
        <f>INDEX('11DCA Mapping'!$K:$K, MATCH('Processed Non-zero DMR Data'!I377,'11DCA Mapping'!$J:$J,0))</f>
        <v>#N/A</v>
      </c>
      <c r="Q8" s="91" t="e">
        <f>INDEX('11DCA Mapping'!$L:$L, MATCH('Processed Non-zero DMR Data'!I377,'11DCA Mapping'!$J:$J,0))</f>
        <v>#N/A</v>
      </c>
      <c r="R8" s="91" t="str">
        <f>VLOOKUP(I8,'DMR POTW Flag'!$A$2:$B$960,2,FALSE)</f>
        <v>NON-POTW</v>
      </c>
      <c r="S8" s="7" t="s">
        <v>72</v>
      </c>
      <c r="T8" s="244" t="s">
        <v>576</v>
      </c>
      <c r="U8" s="8">
        <f>COUNTIFS('Raw Non-zero DMR Data'!$A:$A, 'Processed Non-zero DMR Data'!A8, 'Raw Non-zero DMR Data'!$C:$C, X8, 'Raw Non-zero DMR Data'!$U:$U,'Processed Non-zero DMR Data'!Y8)</f>
        <v>1</v>
      </c>
      <c r="V8" s="8">
        <f>COUNTIFS('Raw Non-zero DMR Data'!$A:$A, 'Processed Non-zero DMR Data'!A8, 'Raw Non-zero DMR Data'!$C:$C, X8, 'Raw Non-zero DMR Data'!$U:$U,'Processed Non-zero DMR Data'!Y8,'Raw Non-zero DMR Data'!$Z:$Z,"Yes")</f>
        <v>1</v>
      </c>
      <c r="W8">
        <v>5.9291599187500002E-2</v>
      </c>
      <c r="X8" t="s">
        <v>577</v>
      </c>
      <c r="Y8" t="s">
        <v>578</v>
      </c>
      <c r="Z8" s="257">
        <v>150100150604</v>
      </c>
    </row>
    <row r="9" spans="1:26" ht="15" customHeight="1" x14ac:dyDescent="0.25">
      <c r="A9">
        <v>2019</v>
      </c>
      <c r="B9" t="s">
        <v>233</v>
      </c>
      <c r="C9" t="s">
        <v>157</v>
      </c>
      <c r="D9" t="s">
        <v>554</v>
      </c>
      <c r="E9" t="s">
        <v>158</v>
      </c>
      <c r="F9">
        <v>36.075400000000002</v>
      </c>
      <c r="G9">
        <v>-115.1669</v>
      </c>
      <c r="I9" s="1">
        <v>110064134459</v>
      </c>
      <c r="J9">
        <v>4581</v>
      </c>
      <c r="K9" s="175" t="str">
        <f>INDEX('2022 SIC to NAICS'!B:B, MATCH('Processed Non-zero DMR Data'!$J9, '2022 SIC to NAICS'!$A:$A, 0))</f>
        <v>Airports, Flying Fields, and Services</v>
      </c>
      <c r="L9" s="175">
        <f>INDEX('2022 SIC to NAICS'!C:C, MATCH('Processed Non-zero DMR Data'!$J9, '2022 SIC to NAICS'!$A:$A, 0))</f>
        <v>488111</v>
      </c>
      <c r="M9" s="175" t="str">
        <f>INDEX('2022 SIC to NAICS'!D:D, MATCH('Processed Non-zero DMR Data'!$J9, '2022 SIC to NAICS'!$A:$A, 0))</f>
        <v>Air Traffic Control</v>
      </c>
      <c r="N9" s="90" t="str">
        <f>IFERROR(INDEX('NAICS Code to IS CDR Code'!B:B, MATCH('Processed Non-zero DMR Data'!L9,'NAICS Code to IS CDR Code'!A:A,0)), "NAICS/SIC Not Provided")</f>
        <v>IS46</v>
      </c>
      <c r="O9" s="91" t="str">
        <f>IFERROR(INDEX('NAICS Code to IS CDR Code'!C:C, MATCH('Processed Non-zero DMR Data'!L9,'NAICS Code to IS CDR Code'!A:A,0)), "NAICS/SIC Not Provided")</f>
        <v>Wholesale and Retail Trade</v>
      </c>
      <c r="P9" s="91" t="e">
        <f>INDEX('11DCA Mapping'!$K:$K, MATCH('Processed Non-zero DMR Data'!I381,'11DCA Mapping'!$J:$J,0))</f>
        <v>#N/A</v>
      </c>
      <c r="Q9" s="91" t="e">
        <f>INDEX('11DCA Mapping'!$L:$L, MATCH('Processed Non-zero DMR Data'!I381,'11DCA Mapping'!$J:$J,0))</f>
        <v>#N/A</v>
      </c>
      <c r="R9" s="91" t="str">
        <f>VLOOKUP(I9,'DMR POTW Flag'!$A$2:$B$960,2,FALSE)</f>
        <v>NON-POTW</v>
      </c>
      <c r="S9" s="7" t="s">
        <v>72</v>
      </c>
      <c r="T9" s="244" t="s">
        <v>579</v>
      </c>
      <c r="U9" s="8">
        <f>COUNTIFS('Raw Non-zero DMR Data'!$A:$A, 'Processed Non-zero DMR Data'!A9, 'Raw Non-zero DMR Data'!$C:$C, X9, 'Raw Non-zero DMR Data'!$U:$U,'Processed Non-zero DMR Data'!Y9)</f>
        <v>2</v>
      </c>
      <c r="V9" s="8">
        <f>COUNTIFS('Raw Non-zero DMR Data'!$A:$A, 'Processed Non-zero DMR Data'!A9, 'Raw Non-zero DMR Data'!$C:$C, X9, 'Raw Non-zero DMR Data'!$U:$U,'Processed Non-zero DMR Data'!Y9,'Raw Non-zero DMR Data'!$Z:$Z,"Yes")</f>
        <v>2</v>
      </c>
      <c r="W9">
        <v>7.5289327499999999E-3</v>
      </c>
      <c r="X9" t="s">
        <v>580</v>
      </c>
      <c r="Y9" t="s">
        <v>581</v>
      </c>
      <c r="Z9" s="257">
        <v>150100150704</v>
      </c>
    </row>
    <row r="10" spans="1:26" ht="15" customHeight="1" x14ac:dyDescent="0.25">
      <c r="A10">
        <v>2020</v>
      </c>
      <c r="B10" t="s">
        <v>401</v>
      </c>
      <c r="C10" t="s">
        <v>402</v>
      </c>
      <c r="D10" t="s">
        <v>402</v>
      </c>
      <c r="E10" t="s">
        <v>106</v>
      </c>
      <c r="F10">
        <v>30.27083</v>
      </c>
      <c r="G10">
        <v>-92.037279999999996</v>
      </c>
      <c r="I10" s="1">
        <v>110000846602</v>
      </c>
      <c r="J10">
        <v>2821</v>
      </c>
      <c r="K10" s="175" t="str">
        <f>INDEX('2022 SIC to NAICS'!B:B, MATCH('Processed Non-zero DMR Data'!$J10, '2022 SIC to NAICS'!$A:$A, 0))</f>
        <v>Plastics Materials and Resins</v>
      </c>
      <c r="L10" s="175">
        <f>INDEX('2022 SIC to NAICS'!C:C, MATCH('Processed Non-zero DMR Data'!$J10, '2022 SIC to NAICS'!$A:$A, 0))</f>
        <v>325211</v>
      </c>
      <c r="M10" s="175" t="str">
        <f>INDEX('2022 SIC to NAICS'!D:D, MATCH('Processed Non-zero DMR Data'!$J10, '2022 SIC to NAICS'!$A:$A, 0))</f>
        <v xml:space="preserve">Plastics Material and Resin Manufacturing </v>
      </c>
      <c r="N10" s="90" t="str">
        <f>IFERROR(INDEX('NAICS Code to IS CDR Code'!B:B, MATCH('Processed Non-zero DMR Data'!L10,'NAICS Code to IS CDR Code'!A:A,0)), "NAICS/SIC Not Provided")</f>
        <v>IS22</v>
      </c>
      <c r="O10" s="91" t="str">
        <f>IFERROR(INDEX('NAICS Code to IS CDR Code'!C:C, MATCH('Processed Non-zero DMR Data'!L10,'NAICS Code to IS CDR Code'!A:A,0)), "NAICS/SIC Not Provided")</f>
        <v>Plastic Material and Resin Manufacturing</v>
      </c>
      <c r="P10" s="91" t="str">
        <f>INDEX('11DCA Mapping'!$K:$K, MATCH('Processed Non-zero DMR Data'!I11,'11DCA Mapping'!$J:$J,0))</f>
        <v>Laboratory Use</v>
      </c>
      <c r="Q10" s="91" t="str">
        <f>INDEX('11DCA Mapping'!$L:$L, MATCH('Processed Non-zero DMR Data'!I11,'11DCA Mapping'!$J:$J,0))</f>
        <v>Based on SIC code</v>
      </c>
      <c r="R10" s="250" t="str">
        <f>VLOOKUP(I10,'DMR POTW Flag'!$A$2:$B$960,2,FALSE)</f>
        <v>NON-POTW</v>
      </c>
      <c r="S10" s="7" t="s">
        <v>66</v>
      </c>
      <c r="T10" s="7" t="s">
        <v>582</v>
      </c>
      <c r="U10" s="8">
        <f>COUNTIFS('Raw Non-zero DMR Data'!$A:$A, 'Processed Non-zero DMR Data'!A10, 'Raw Non-zero DMR Data'!$C:$C, X10, 'Raw Non-zero DMR Data'!$U:$U,'Processed Non-zero DMR Data'!Y10)</f>
        <v>1</v>
      </c>
      <c r="V10" s="8">
        <f>COUNTIFS('Raw Non-zero DMR Data'!$A:$A, 'Processed Non-zero DMR Data'!A10, 'Raw Non-zero DMR Data'!$C:$C, X10, 'Raw Non-zero DMR Data'!$U:$U,'Processed Non-zero DMR Data'!Y10,'Raw Non-zero DMR Data'!$Z:$Z,"Yes")</f>
        <v>0</v>
      </c>
      <c r="W10">
        <v>2.6525279999999999E-3</v>
      </c>
      <c r="X10" t="s">
        <v>583</v>
      </c>
      <c r="Y10" t="s">
        <v>584</v>
      </c>
      <c r="Z10" s="257">
        <v>80801030105</v>
      </c>
    </row>
    <row r="11" spans="1:26" ht="15" customHeight="1" x14ac:dyDescent="0.25">
      <c r="A11">
        <v>2022</v>
      </c>
      <c r="B11" t="s">
        <v>401</v>
      </c>
      <c r="C11" t="s">
        <v>402</v>
      </c>
      <c r="D11" t="s">
        <v>402</v>
      </c>
      <c r="E11" t="s">
        <v>106</v>
      </c>
      <c r="F11">
        <v>30.27083</v>
      </c>
      <c r="G11">
        <v>-92.037279999999996</v>
      </c>
      <c r="I11" s="1">
        <v>110000846602</v>
      </c>
      <c r="J11">
        <v>2821</v>
      </c>
      <c r="K11" s="175" t="str">
        <f>INDEX('2022 SIC to NAICS'!B:B, MATCH('Processed Non-zero DMR Data'!$J11, '2022 SIC to NAICS'!$A:$A, 0))</f>
        <v>Plastics Materials and Resins</v>
      </c>
      <c r="L11" s="175">
        <f>INDEX('2022 SIC to NAICS'!C:C, MATCH('Processed Non-zero DMR Data'!$J11, '2022 SIC to NAICS'!$A:$A, 0))</f>
        <v>325211</v>
      </c>
      <c r="M11" s="175" t="str">
        <f>INDEX('2022 SIC to NAICS'!D:D, MATCH('Processed Non-zero DMR Data'!$J11, '2022 SIC to NAICS'!$A:$A, 0))</f>
        <v xml:space="preserve">Plastics Material and Resin Manufacturing </v>
      </c>
      <c r="N11" s="90" t="str">
        <f>IFERROR(INDEX('NAICS Code to IS CDR Code'!B:B, MATCH('Processed Non-zero DMR Data'!L11,'NAICS Code to IS CDR Code'!A:A,0)), "NAICS/SIC Not Provided")</f>
        <v>IS22</v>
      </c>
      <c r="O11" s="91" t="str">
        <f>IFERROR(INDEX('NAICS Code to IS CDR Code'!C:C, MATCH('Processed Non-zero DMR Data'!L11,'NAICS Code to IS CDR Code'!A:A,0)), "NAICS/SIC Not Provided")</f>
        <v>Plastic Material and Resin Manufacturing</v>
      </c>
      <c r="P11" s="91" t="str">
        <f>INDEX('11DCA Mapping'!$K:$K, MATCH('Processed Non-zero DMR Data'!I12,'11DCA Mapping'!$J:$J,0))</f>
        <v>Laboratory Use</v>
      </c>
      <c r="Q11" s="91" t="str">
        <f>INDEX('11DCA Mapping'!$L:$L, MATCH('Processed Non-zero DMR Data'!I12,'11DCA Mapping'!$J:$J,0))</f>
        <v>Based on SIC code</v>
      </c>
      <c r="R11" s="250" t="str">
        <f>VLOOKUP(I11,'DMR POTW Flag'!$A$2:$B$960,2,FALSE)</f>
        <v>NON-POTW</v>
      </c>
      <c r="S11" s="7" t="s">
        <v>66</v>
      </c>
      <c r="T11" s="7" t="s">
        <v>582</v>
      </c>
      <c r="U11" s="8">
        <f>COUNTIFS('Raw Non-zero DMR Data'!$A:$A, 'Processed Non-zero DMR Data'!A11, 'Raw Non-zero DMR Data'!$C:$C, X11, 'Raw Non-zero DMR Data'!$U:$U,'Processed Non-zero DMR Data'!Y11)</f>
        <v>1</v>
      </c>
      <c r="V11" s="8">
        <f>COUNTIFS('Raw Non-zero DMR Data'!$A:$A, 'Processed Non-zero DMR Data'!A11, 'Raw Non-zero DMR Data'!$C:$C, X11, 'Raw Non-zero DMR Data'!$U:$U,'Processed Non-zero DMR Data'!Y11,'Raw Non-zero DMR Data'!$Z:$Z,"Yes")</f>
        <v>1</v>
      </c>
      <c r="W11">
        <v>9.5877835000000005E-3</v>
      </c>
      <c r="X11" t="s">
        <v>583</v>
      </c>
      <c r="Y11" t="s">
        <v>584</v>
      </c>
      <c r="Z11" s="257">
        <v>80801030105</v>
      </c>
    </row>
    <row r="12" spans="1:26" ht="15" customHeight="1" x14ac:dyDescent="0.25">
      <c r="A12">
        <v>2023</v>
      </c>
      <c r="B12" t="s">
        <v>401</v>
      </c>
      <c r="C12" t="s">
        <v>402</v>
      </c>
      <c r="D12" t="s">
        <v>402</v>
      </c>
      <c r="E12" t="s">
        <v>106</v>
      </c>
      <c r="F12">
        <v>30.27083</v>
      </c>
      <c r="G12">
        <v>-92.037279999999996</v>
      </c>
      <c r="I12" s="1">
        <v>110000846602</v>
      </c>
      <c r="J12">
        <v>2821</v>
      </c>
      <c r="K12" s="175" t="str">
        <f>INDEX('2022 SIC to NAICS'!B:B, MATCH('Processed Non-zero DMR Data'!$J12, '2022 SIC to NAICS'!$A:$A, 0))</f>
        <v>Plastics Materials and Resins</v>
      </c>
      <c r="L12" s="175">
        <f>INDEX('2022 SIC to NAICS'!C:C, MATCH('Processed Non-zero DMR Data'!$J12, '2022 SIC to NAICS'!$A:$A, 0))</f>
        <v>325211</v>
      </c>
      <c r="M12" s="175" t="str">
        <f>INDEX('2022 SIC to NAICS'!D:D, MATCH('Processed Non-zero DMR Data'!$J12, '2022 SIC to NAICS'!$A:$A, 0))</f>
        <v xml:space="preserve">Plastics Material and Resin Manufacturing </v>
      </c>
      <c r="N12" s="90" t="str">
        <f>IFERROR(INDEX('NAICS Code to IS CDR Code'!B:B, MATCH('Processed Non-zero DMR Data'!L12,'NAICS Code to IS CDR Code'!A:A,0)), "NAICS/SIC Not Provided")</f>
        <v>IS22</v>
      </c>
      <c r="O12" s="91" t="str">
        <f>IFERROR(INDEX('NAICS Code to IS CDR Code'!C:C, MATCH('Processed Non-zero DMR Data'!L12,'NAICS Code to IS CDR Code'!A:A,0)), "NAICS/SIC Not Provided")</f>
        <v>Plastic Material and Resin Manufacturing</v>
      </c>
      <c r="P12" s="91" t="str">
        <f>INDEX('11DCA Mapping'!$K:$K, MATCH('Processed Non-zero DMR Data'!I13,'11DCA Mapping'!$J:$J,0))</f>
        <v>Natural Gas Engines</v>
      </c>
      <c r="Q12" s="91" t="str">
        <f>INDEX('11DCA Mapping'!$L:$L, MATCH('Processed Non-zero DMR Data'!I13,'11DCA Mapping'!$J:$J,0))</f>
        <v>Suggested OES, “Natural Gas Engines.” Other airports and air traffic control sites were mapped to this OES.</v>
      </c>
      <c r="R12" s="250" t="str">
        <f>VLOOKUP(I12,'DMR POTW Flag'!$A$2:$B$960,2,FALSE)</f>
        <v>NON-POTW</v>
      </c>
      <c r="S12" s="7" t="s">
        <v>66</v>
      </c>
      <c r="T12" s="7" t="s">
        <v>582</v>
      </c>
      <c r="U12" s="8">
        <f>COUNTIFS('Raw Non-zero DMR Data'!$A:$A, 'Processed Non-zero DMR Data'!A12, 'Raw Non-zero DMR Data'!$C:$C, X12, 'Raw Non-zero DMR Data'!$U:$U,'Processed Non-zero DMR Data'!Y12)</f>
        <v>1</v>
      </c>
      <c r="V12" s="8">
        <f>COUNTIFS('Raw Non-zero DMR Data'!$A:$A, 'Processed Non-zero DMR Data'!A12, 'Raw Non-zero DMR Data'!$C:$C, X12, 'Raw Non-zero DMR Data'!$U:$U,'Processed Non-zero DMR Data'!Y12,'Raw Non-zero DMR Data'!$Z:$Z,"Yes")</f>
        <v>1</v>
      </c>
      <c r="W12">
        <v>4.0637557874999997E-3</v>
      </c>
      <c r="X12" t="s">
        <v>583</v>
      </c>
      <c r="Y12" t="s">
        <v>584</v>
      </c>
      <c r="Z12" s="257">
        <v>80801030105</v>
      </c>
    </row>
    <row r="13" spans="1:26" ht="15" customHeight="1" x14ac:dyDescent="0.25">
      <c r="A13">
        <v>2019</v>
      </c>
      <c r="B13" t="s">
        <v>233</v>
      </c>
      <c r="C13" t="s">
        <v>157</v>
      </c>
      <c r="D13" t="s">
        <v>554</v>
      </c>
      <c r="E13" t="s">
        <v>158</v>
      </c>
      <c r="F13">
        <v>36.075400000000002</v>
      </c>
      <c r="G13">
        <v>-115.1669</v>
      </c>
      <c r="I13" s="1">
        <v>110064134459</v>
      </c>
      <c r="J13">
        <v>4581</v>
      </c>
      <c r="K13" s="175" t="str">
        <f>INDEX('2022 SIC to NAICS'!B:B, MATCH('Processed Non-zero DMR Data'!$J13, '2022 SIC to NAICS'!$A:$A, 0))</f>
        <v>Airports, Flying Fields, and Services</v>
      </c>
      <c r="L13" s="175">
        <f>INDEX('2022 SIC to NAICS'!C:C, MATCH('Processed Non-zero DMR Data'!$J13, '2022 SIC to NAICS'!$A:$A, 0))</f>
        <v>488111</v>
      </c>
      <c r="M13" s="175" t="str">
        <f>INDEX('2022 SIC to NAICS'!D:D, MATCH('Processed Non-zero DMR Data'!$J13, '2022 SIC to NAICS'!$A:$A, 0))</f>
        <v>Air Traffic Control</v>
      </c>
      <c r="N13" s="90" t="str">
        <f>IFERROR(INDEX('NAICS Code to IS CDR Code'!B:B, MATCH('Processed Non-zero DMR Data'!L13,'NAICS Code to IS CDR Code'!A:A,0)), "NAICS/SIC Not Provided")</f>
        <v>IS46</v>
      </c>
      <c r="O13" s="91" t="str">
        <f>IFERROR(INDEX('NAICS Code to IS CDR Code'!C:C, MATCH('Processed Non-zero DMR Data'!L13,'NAICS Code to IS CDR Code'!A:A,0)), "NAICS/SIC Not Provided")</f>
        <v>Wholesale and Retail Trade</v>
      </c>
      <c r="P13" s="91" t="e">
        <f>INDEX('11DCA Mapping'!$K:$K, MATCH('Processed Non-zero DMR Data'!I382,'11DCA Mapping'!$J:$J,0))</f>
        <v>#N/A</v>
      </c>
      <c r="Q13" s="91" t="e">
        <f>INDEX('11DCA Mapping'!$L:$L, MATCH('Processed Non-zero DMR Data'!I382,'11DCA Mapping'!$J:$J,0))</f>
        <v>#N/A</v>
      </c>
      <c r="R13" s="91" t="str">
        <f>VLOOKUP(I13,'DMR POTW Flag'!$A$2:$B$960,2,FALSE)</f>
        <v>NON-POTW</v>
      </c>
      <c r="S13" s="7" t="s">
        <v>72</v>
      </c>
      <c r="T13" s="244" t="s">
        <v>579</v>
      </c>
      <c r="U13" s="8">
        <f>COUNTIFS('Raw Non-zero DMR Data'!$A:$A, 'Processed Non-zero DMR Data'!A13, 'Raw Non-zero DMR Data'!$C:$C, X13, 'Raw Non-zero DMR Data'!$U:$U,'Processed Non-zero DMR Data'!Y13)</f>
        <v>2</v>
      </c>
      <c r="V13" s="8">
        <f>COUNTIFS('Raw Non-zero DMR Data'!$A:$A, 'Processed Non-zero DMR Data'!A13, 'Raw Non-zero DMR Data'!$C:$C, X13, 'Raw Non-zero DMR Data'!$U:$U,'Processed Non-zero DMR Data'!Y13,'Raw Non-zero DMR Data'!$Z:$Z,"Yes")</f>
        <v>2</v>
      </c>
      <c r="W13">
        <v>1.4024844375E-2</v>
      </c>
      <c r="X13" t="s">
        <v>580</v>
      </c>
      <c r="Y13" t="s">
        <v>581</v>
      </c>
      <c r="Z13" s="257">
        <v>150100150704</v>
      </c>
    </row>
    <row r="14" spans="1:26" ht="15" customHeight="1" x14ac:dyDescent="0.25">
      <c r="A14">
        <v>2019</v>
      </c>
      <c r="B14" t="s">
        <v>271</v>
      </c>
      <c r="C14" t="s">
        <v>272</v>
      </c>
      <c r="D14" t="s">
        <v>585</v>
      </c>
      <c r="E14" t="s">
        <v>138</v>
      </c>
      <c r="F14">
        <v>38.474601999999997</v>
      </c>
      <c r="G14">
        <v>-82.623778999999999</v>
      </c>
      <c r="I14" s="1">
        <v>110000732244</v>
      </c>
      <c r="J14">
        <v>4952</v>
      </c>
      <c r="K14" s="175" t="str">
        <f>INDEX('2022 SIC to NAICS'!B:B, MATCH('Processed Non-zero DMR Data'!$J14, '2022 SIC to NAICS'!$A:$A, 0))</f>
        <v>Sewerage Systems</v>
      </c>
      <c r="L14" s="175">
        <f>INDEX('2022 SIC to NAICS'!C:C, MATCH('Processed Non-zero DMR Data'!$J14, '2022 SIC to NAICS'!$A:$A, 0))</f>
        <v>221320</v>
      </c>
      <c r="M14" s="175" t="str">
        <f>INDEX('2022 SIC to NAICS'!D:D, MATCH('Processed Non-zero DMR Data'!$J14, '2022 SIC to NAICS'!$A:$A, 0))</f>
        <v xml:space="preserve">Sewage Treatment Facilities </v>
      </c>
      <c r="N14" s="90" t="str">
        <f>IFERROR(INDEX('NAICS Code to IS CDR Code'!B:B, MATCH('Processed Non-zero DMR Data'!L14,'NAICS Code to IS CDR Code'!A:A,0)), "NAICS/SIC Not Provided")</f>
        <v>IS4</v>
      </c>
      <c r="O14" s="91" t="str">
        <f>IFERROR(INDEX('NAICS Code to IS CDR Code'!C:C, MATCH('Processed Non-zero DMR Data'!L14,'NAICS Code to IS CDR Code'!A:A,0)), "NAICS/SIC Not Provided")</f>
        <v>Utilities</v>
      </c>
      <c r="P14" s="91" t="str">
        <f>INDEX('11DCA Mapping'!$K:$K, MATCH('Processed Non-zero DMR Data'!I15,'11DCA Mapping'!$J:$J,0))</f>
        <v>POTW</v>
      </c>
      <c r="Q14" s="91" t="str">
        <f>INDEX('11DCA Mapping'!$L:$L, MATCH('Processed Non-zero DMR Data'!I15,'11DCA Mapping'!$J:$J,0))</f>
        <v>Assigned POTW per "Facility Type Indicator"</v>
      </c>
      <c r="R14" s="250" t="str">
        <f>VLOOKUP(I14,'DMR POTW Flag'!$A$2:$B$960,2,FALSE)</f>
        <v>POTW</v>
      </c>
      <c r="S14" s="7" t="s">
        <v>67</v>
      </c>
      <c r="T14" s="249" t="s">
        <v>586</v>
      </c>
      <c r="U14" s="8">
        <f>COUNTIFS('Raw Non-zero DMR Data'!$A:$A, 'Processed Non-zero DMR Data'!A14, 'Raw Non-zero DMR Data'!$C:$C, X14, 'Raw Non-zero DMR Data'!$U:$U,'Processed Non-zero DMR Data'!Y14)</f>
        <v>1</v>
      </c>
      <c r="V14" s="8">
        <f>COUNTIFS('Raw Non-zero DMR Data'!$A:$A, 'Processed Non-zero DMR Data'!A14, 'Raw Non-zero DMR Data'!$C:$C, X14, 'Raw Non-zero DMR Data'!$U:$U,'Processed Non-zero DMR Data'!Y14,'Raw Non-zero DMR Data'!$Z:$Z,"Yes")</f>
        <v>1</v>
      </c>
      <c r="W14">
        <v>24.038535</v>
      </c>
      <c r="X14" t="s">
        <v>587</v>
      </c>
      <c r="Y14" t="s">
        <v>588</v>
      </c>
      <c r="Z14" s="257">
        <v>50901030101</v>
      </c>
    </row>
    <row r="15" spans="1:26" ht="15" customHeight="1" x14ac:dyDescent="0.25">
      <c r="A15">
        <v>2019</v>
      </c>
      <c r="B15" t="s">
        <v>253</v>
      </c>
      <c r="C15" t="s">
        <v>254</v>
      </c>
      <c r="D15" t="s">
        <v>589</v>
      </c>
      <c r="E15" t="s">
        <v>138</v>
      </c>
      <c r="F15">
        <v>36.864350000000002</v>
      </c>
      <c r="G15">
        <v>-86.705910000000003</v>
      </c>
      <c r="I15" s="1">
        <v>110003250277</v>
      </c>
      <c r="J15">
        <v>4952</v>
      </c>
      <c r="K15" s="175" t="str">
        <f>INDEX('2022 SIC to NAICS'!B:B, MATCH('Processed Non-zero DMR Data'!$J15, '2022 SIC to NAICS'!$A:$A, 0))</f>
        <v>Sewerage Systems</v>
      </c>
      <c r="L15" s="175">
        <f>INDEX('2022 SIC to NAICS'!C:C, MATCH('Processed Non-zero DMR Data'!$J15, '2022 SIC to NAICS'!$A:$A, 0))</f>
        <v>221320</v>
      </c>
      <c r="M15" s="175" t="str">
        <f>INDEX('2022 SIC to NAICS'!D:D, MATCH('Processed Non-zero DMR Data'!$J15, '2022 SIC to NAICS'!$A:$A, 0))</f>
        <v xml:space="preserve">Sewage Treatment Facilities </v>
      </c>
      <c r="N15" s="90" t="str">
        <f>IFERROR(INDEX('NAICS Code to IS CDR Code'!B:B, MATCH('Processed Non-zero DMR Data'!L15,'NAICS Code to IS CDR Code'!A:A,0)), "NAICS/SIC Not Provided")</f>
        <v>IS4</v>
      </c>
      <c r="O15" s="91" t="str">
        <f>IFERROR(INDEX('NAICS Code to IS CDR Code'!C:C, MATCH('Processed Non-zero DMR Data'!L15,'NAICS Code to IS CDR Code'!A:A,0)), "NAICS/SIC Not Provided")</f>
        <v>Utilities</v>
      </c>
      <c r="P15" s="91" t="e">
        <f>INDEX('11DCA Mapping'!$K:$K, MATCH('Processed Non-zero DMR Data'!I16,'11DCA Mapping'!$J:$J,0))</f>
        <v>#N/A</v>
      </c>
      <c r="Q15" s="91" t="e">
        <f>INDEX('11DCA Mapping'!$L:$L, MATCH('Processed Non-zero DMR Data'!I16,'11DCA Mapping'!$J:$J,0))</f>
        <v>#N/A</v>
      </c>
      <c r="R15" s="250" t="str">
        <f>VLOOKUP(I15,'DMR POTW Flag'!$A$2:$B$960,2,FALSE)</f>
        <v>POTW</v>
      </c>
      <c r="S15" s="7" t="s">
        <v>67</v>
      </c>
      <c r="T15" s="249" t="s">
        <v>586</v>
      </c>
      <c r="U15" s="8">
        <f>COUNTIFS('Raw Non-zero DMR Data'!$A:$A, 'Processed Non-zero DMR Data'!A15, 'Raw Non-zero DMR Data'!$C:$C, X15, 'Raw Non-zero DMR Data'!$U:$U,'Processed Non-zero DMR Data'!Y15)</f>
        <v>1</v>
      </c>
      <c r="V15" s="8">
        <f>COUNTIFS('Raw Non-zero DMR Data'!$A:$A, 'Processed Non-zero DMR Data'!A15, 'Raw Non-zero DMR Data'!$C:$C, X15, 'Raw Non-zero DMR Data'!$U:$U,'Processed Non-zero DMR Data'!Y15,'Raw Non-zero DMR Data'!$Z:$Z,"Yes")</f>
        <v>1</v>
      </c>
      <c r="W15">
        <v>0.22104399999999999</v>
      </c>
      <c r="X15" t="s">
        <v>590</v>
      </c>
      <c r="Y15" t="s">
        <v>591</v>
      </c>
      <c r="Z15" s="257">
        <v>51100020802</v>
      </c>
    </row>
    <row r="16" spans="1:26" ht="15" customHeight="1" x14ac:dyDescent="0.25">
      <c r="A16">
        <v>2023</v>
      </c>
      <c r="B16" t="s">
        <v>521</v>
      </c>
      <c r="C16" t="s">
        <v>522</v>
      </c>
      <c r="D16" t="s">
        <v>592</v>
      </c>
      <c r="E16" t="s">
        <v>153</v>
      </c>
      <c r="F16">
        <v>40.703099000000002</v>
      </c>
      <c r="G16">
        <v>-75.197676000000001</v>
      </c>
      <c r="I16" s="1">
        <v>110000322311</v>
      </c>
      <c r="J16">
        <v>2819</v>
      </c>
      <c r="K16" s="175" t="str">
        <f>INDEX('2022 SIC to NAICS'!B:B, MATCH('Processed Non-zero DMR Data'!$J16, '2022 SIC to NAICS'!$A:$A, 0))</f>
        <v>Industrial Inorganic Chemicals, Nec</v>
      </c>
      <c r="L16" s="175">
        <f>INDEX('2022 SIC to NAICS'!C:C, MATCH('Processed Non-zero DMR Data'!$J16, '2022 SIC to NAICS'!$A:$A, 0))</f>
        <v>211130</v>
      </c>
      <c r="M16" s="175" t="str">
        <f>INDEX('2022 SIC to NAICS'!D:D, MATCH('Processed Non-zero DMR Data'!$J16, '2022 SIC to NAICS'!$A:$A, 0))</f>
        <v xml:space="preserve">Natural Gas Extraction </v>
      </c>
      <c r="N16" s="90" t="str">
        <f>IFERROR(INDEX('NAICS Code to IS CDR Code'!B:B, MATCH('Processed Non-zero DMR Data'!L16,'NAICS Code to IS CDR Code'!A:A,0)), "NAICS/SIC Not Provided")</f>
        <v>IS2</v>
      </c>
      <c r="O16" s="91" t="str">
        <f>IFERROR(INDEX('NAICS Code to IS CDR Code'!C:C, MATCH('Processed Non-zero DMR Data'!L16,'NAICS Code to IS CDR Code'!A:A,0)), "NAICS/SIC Not Provided")</f>
        <v>Oil and Gas Drilling, Extraction, and Support Activities</v>
      </c>
      <c r="P16" s="91" t="str">
        <f>INDEX('11DCA Mapping'!$K:$K, MATCH('Processed Non-zero DMR Data'!I17,'11DCA Mapping'!$J:$J,0))</f>
        <v>Processing as a Reactant</v>
      </c>
      <c r="Q16" s="91" t="str">
        <f>INDEX('11DCA Mapping'!$L:$L, MATCH('Processed Non-zero DMR Data'!I17,'11DCA Mapping'!$J:$J,0))</f>
        <v>Assumed processing as a reactant based on SIC description and brief internet search (https://www.baesystems.com/en-us/what-we-do/land), but could also potentially be laboratory use</v>
      </c>
      <c r="R16" s="250" t="str">
        <f>VLOOKUP(I16,'DMR POTW Flag'!$A$2:$B$960,2,FALSE)</f>
        <v>NON-POTW</v>
      </c>
      <c r="S16" s="7" t="s">
        <v>62</v>
      </c>
      <c r="T16" s="7" t="s">
        <v>593</v>
      </c>
      <c r="U16" s="8">
        <f>COUNTIFS('Raw Non-zero DMR Data'!$A:$A, 'Processed Non-zero DMR Data'!A16, 'Raw Non-zero DMR Data'!$C:$C, X16, 'Raw Non-zero DMR Data'!$U:$U,'Processed Non-zero DMR Data'!Y16)</f>
        <v>1</v>
      </c>
      <c r="V16" s="8">
        <f>COUNTIFS('Raw Non-zero DMR Data'!$A:$A, 'Processed Non-zero DMR Data'!A16, 'Raw Non-zero DMR Data'!$C:$C, X16, 'Raw Non-zero DMR Data'!$U:$U,'Processed Non-zero DMR Data'!Y16,'Raw Non-zero DMR Data'!$Z:$Z,"Yes")</f>
        <v>1</v>
      </c>
      <c r="W16">
        <v>0.15440000000000001</v>
      </c>
      <c r="X16" t="s">
        <v>594</v>
      </c>
      <c r="Y16" t="s">
        <v>595</v>
      </c>
      <c r="Z16" s="257">
        <v>20401050603</v>
      </c>
    </row>
    <row r="17" spans="1:26" ht="15" customHeight="1" x14ac:dyDescent="0.25">
      <c r="A17">
        <v>2019</v>
      </c>
      <c r="B17" t="s">
        <v>328</v>
      </c>
      <c r="C17" t="s">
        <v>308</v>
      </c>
      <c r="D17" t="s">
        <v>596</v>
      </c>
      <c r="E17" t="s">
        <v>309</v>
      </c>
      <c r="F17">
        <v>36.550454999999999</v>
      </c>
      <c r="G17">
        <v>-82.634793999999999</v>
      </c>
      <c r="I17" s="1">
        <v>110070828339</v>
      </c>
      <c r="J17">
        <v>2892</v>
      </c>
      <c r="K17" s="175" t="str">
        <f>INDEX('2022 SIC to NAICS'!B:B, MATCH('Processed Non-zero DMR Data'!$J17, '2022 SIC to NAICS'!$A:$A, 0))</f>
        <v>Explosives</v>
      </c>
      <c r="L17" s="175">
        <f>INDEX('2022 SIC to NAICS'!C:C, MATCH('Processed Non-zero DMR Data'!$J17, '2022 SIC to NAICS'!$A:$A, 0))</f>
        <v>325920</v>
      </c>
      <c r="M17" s="175" t="str">
        <f>INDEX('2022 SIC to NAICS'!D:D, MATCH('Processed Non-zero DMR Data'!$J17, '2022 SIC to NAICS'!$A:$A, 0))</f>
        <v>Explosives Manufacturing</v>
      </c>
      <c r="N17" s="90" t="str">
        <f>IFERROR(INDEX('NAICS Code to IS CDR Code'!B:B, MATCH('Processed Non-zero DMR Data'!L17,'NAICS Code to IS CDR Code'!A:A,0)), "NAICS/SIC Not Provided")</f>
        <v>IS31</v>
      </c>
      <c r="O17" s="91" t="str">
        <f>IFERROR(INDEX('NAICS Code to IS CDR Code'!C:C, MATCH('Processed Non-zero DMR Data'!L17,'NAICS Code to IS CDR Code'!A:A,0)), "NAICS/SIC Not Provided")</f>
        <v>Explosives Manufacturing</v>
      </c>
      <c r="P17" s="91" t="str">
        <f>INDEX('11DCA Mapping'!$K:$K, MATCH('Processed Non-zero DMR Data'!I18,'11DCA Mapping'!$J:$J,0))</f>
        <v>Processing as a Reactant</v>
      </c>
      <c r="Q17" s="91" t="str">
        <f>INDEX('11DCA Mapping'!$L:$L, MATCH('Processed Non-zero DMR Data'!I18,'11DCA Mapping'!$J:$J,0))</f>
        <v>Assumed processing as a reactant based on SIC description and brief internet search (https://www.baesystems.com/en-us/what-we-do/land), but could also potentially be laboratory use</v>
      </c>
      <c r="R17" s="250" t="str">
        <f>VLOOKUP(I17,'DMR POTW Flag'!$A$2:$B$960,2,FALSE)</f>
        <v>FEDERAL</v>
      </c>
      <c r="S17" s="7" t="s">
        <v>62</v>
      </c>
      <c r="T17" s="7" t="s">
        <v>597</v>
      </c>
      <c r="U17" s="8">
        <f>COUNTIFS('Raw Non-zero DMR Data'!$A:$A, 'Processed Non-zero DMR Data'!A17, 'Raw Non-zero DMR Data'!$C:$C, X17, 'Raw Non-zero DMR Data'!$U:$U,'Processed Non-zero DMR Data'!Y17)</f>
        <v>1</v>
      </c>
      <c r="V17" s="8">
        <f>COUNTIFS('Raw Non-zero DMR Data'!$A:$A, 'Processed Non-zero DMR Data'!A17, 'Raw Non-zero DMR Data'!$C:$C, X17, 'Raw Non-zero DMR Data'!$U:$U,'Processed Non-zero DMR Data'!Y17,'Raw Non-zero DMR Data'!$Z:$Z,"Yes")</f>
        <v>1</v>
      </c>
      <c r="W17">
        <v>4.5570250000000003</v>
      </c>
      <c r="X17" t="s">
        <v>598</v>
      </c>
      <c r="Y17" t="s">
        <v>599</v>
      </c>
      <c r="Z17" s="257">
        <v>60101040101</v>
      </c>
    </row>
    <row r="18" spans="1:26" ht="15" customHeight="1" x14ac:dyDescent="0.25">
      <c r="A18">
        <v>2020</v>
      </c>
      <c r="B18" t="s">
        <v>328</v>
      </c>
      <c r="C18" t="s">
        <v>308</v>
      </c>
      <c r="D18" t="s">
        <v>596</v>
      </c>
      <c r="E18" t="s">
        <v>309</v>
      </c>
      <c r="F18">
        <v>36.550454999999999</v>
      </c>
      <c r="G18">
        <v>-82.634793999999999</v>
      </c>
      <c r="I18" s="1">
        <v>110070828339</v>
      </c>
      <c r="J18">
        <v>2892</v>
      </c>
      <c r="K18" s="175" t="str">
        <f>INDEX('2022 SIC to NAICS'!B:B, MATCH('Processed Non-zero DMR Data'!$J18, '2022 SIC to NAICS'!$A:$A, 0))</f>
        <v>Explosives</v>
      </c>
      <c r="L18" s="175">
        <f>INDEX('2022 SIC to NAICS'!C:C, MATCH('Processed Non-zero DMR Data'!$J18, '2022 SIC to NAICS'!$A:$A, 0))</f>
        <v>325920</v>
      </c>
      <c r="M18" s="175" t="str">
        <f>INDEX('2022 SIC to NAICS'!D:D, MATCH('Processed Non-zero DMR Data'!$J18, '2022 SIC to NAICS'!$A:$A, 0))</f>
        <v>Explosives Manufacturing</v>
      </c>
      <c r="N18" s="90" t="str">
        <f>IFERROR(INDEX('NAICS Code to IS CDR Code'!B:B, MATCH('Processed Non-zero DMR Data'!L18,'NAICS Code to IS CDR Code'!A:A,0)), "NAICS/SIC Not Provided")</f>
        <v>IS31</v>
      </c>
      <c r="O18" s="91" t="str">
        <f>IFERROR(INDEX('NAICS Code to IS CDR Code'!C:C, MATCH('Processed Non-zero DMR Data'!L18,'NAICS Code to IS CDR Code'!A:A,0)), "NAICS/SIC Not Provided")</f>
        <v>Explosives Manufacturing</v>
      </c>
      <c r="P18" s="91" t="str">
        <f>INDEX('11DCA Mapping'!$K:$K, MATCH('Processed Non-zero DMR Data'!I19,'11DCA Mapping'!$J:$J,0))</f>
        <v>Processing as a Reactant</v>
      </c>
      <c r="Q18" s="91" t="str">
        <f>INDEX('11DCA Mapping'!$L:$L, MATCH('Processed Non-zero DMR Data'!I19,'11DCA Mapping'!$J:$J,0))</f>
        <v>Assumed processing as a reactant based on SIC description and brief internet search (https://www.baesystems.com/en-us/what-we-do/land), but could also potentially be laboratory use</v>
      </c>
      <c r="R18" s="250" t="str">
        <f>VLOOKUP(I18,'DMR POTW Flag'!$A$2:$B$960,2,FALSE)</f>
        <v>FEDERAL</v>
      </c>
      <c r="S18" s="7" t="s">
        <v>62</v>
      </c>
      <c r="T18" s="7" t="s">
        <v>597</v>
      </c>
      <c r="U18" s="8">
        <f>COUNTIFS('Raw Non-zero DMR Data'!$A:$A, 'Processed Non-zero DMR Data'!A18, 'Raw Non-zero DMR Data'!$C:$C, X18, 'Raw Non-zero DMR Data'!$U:$U,'Processed Non-zero DMR Data'!Y18)</f>
        <v>1</v>
      </c>
      <c r="V18" s="8">
        <f>COUNTIFS('Raw Non-zero DMR Data'!$A:$A, 'Processed Non-zero DMR Data'!A18, 'Raw Non-zero DMR Data'!$C:$C, X18, 'Raw Non-zero DMR Data'!$U:$U,'Processed Non-zero DMR Data'!Y18,'Raw Non-zero DMR Data'!$Z:$Z,"Yes")</f>
        <v>1</v>
      </c>
      <c r="W18">
        <v>1.077115</v>
      </c>
      <c r="X18" t="s">
        <v>598</v>
      </c>
      <c r="Y18" t="s">
        <v>599</v>
      </c>
      <c r="Z18" s="257">
        <v>60101040101</v>
      </c>
    </row>
    <row r="19" spans="1:26" ht="15" customHeight="1" x14ac:dyDescent="0.25">
      <c r="A19">
        <v>2021</v>
      </c>
      <c r="B19" t="s">
        <v>328</v>
      </c>
      <c r="C19" t="s">
        <v>308</v>
      </c>
      <c r="D19" t="s">
        <v>596</v>
      </c>
      <c r="E19" t="s">
        <v>309</v>
      </c>
      <c r="F19">
        <v>36.550454999999999</v>
      </c>
      <c r="G19">
        <v>-82.634793999999999</v>
      </c>
      <c r="I19" s="1">
        <v>110070828339</v>
      </c>
      <c r="J19">
        <v>2892</v>
      </c>
      <c r="K19" s="175" t="str">
        <f>INDEX('2022 SIC to NAICS'!B:B, MATCH('Processed Non-zero DMR Data'!$J19, '2022 SIC to NAICS'!$A:$A, 0))</f>
        <v>Explosives</v>
      </c>
      <c r="L19" s="175">
        <f>INDEX('2022 SIC to NAICS'!C:C, MATCH('Processed Non-zero DMR Data'!$J19, '2022 SIC to NAICS'!$A:$A, 0))</f>
        <v>325920</v>
      </c>
      <c r="M19" s="175" t="str">
        <f>INDEX('2022 SIC to NAICS'!D:D, MATCH('Processed Non-zero DMR Data'!$J19, '2022 SIC to NAICS'!$A:$A, 0))</f>
        <v>Explosives Manufacturing</v>
      </c>
      <c r="N19" s="90" t="str">
        <f>IFERROR(INDEX('NAICS Code to IS CDR Code'!B:B, MATCH('Processed Non-zero DMR Data'!L19,'NAICS Code to IS CDR Code'!A:A,0)), "NAICS/SIC Not Provided")</f>
        <v>IS31</v>
      </c>
      <c r="O19" s="91" t="str">
        <f>IFERROR(INDEX('NAICS Code to IS CDR Code'!C:C, MATCH('Processed Non-zero DMR Data'!L19,'NAICS Code to IS CDR Code'!A:A,0)), "NAICS/SIC Not Provided")</f>
        <v>Explosives Manufacturing</v>
      </c>
      <c r="P19" s="91" t="str">
        <f>INDEX('11DCA Mapping'!$K:$K, MATCH('Processed Non-zero DMR Data'!I20,'11DCA Mapping'!$J:$J,0))</f>
        <v>Processing as a Reactant</v>
      </c>
      <c r="Q19" s="91" t="str">
        <f>INDEX('11DCA Mapping'!$L:$L, MATCH('Processed Non-zero DMR Data'!I20,'11DCA Mapping'!$J:$J,0))</f>
        <v>Used mapping of other site with similar SIC description (Industrial Organic Chemicals)</v>
      </c>
      <c r="R19" s="250" t="str">
        <f>VLOOKUP(I19,'DMR POTW Flag'!$A$2:$B$960,2,FALSE)</f>
        <v>FEDERAL</v>
      </c>
      <c r="S19" s="7" t="s">
        <v>62</v>
      </c>
      <c r="T19" s="7" t="s">
        <v>597</v>
      </c>
      <c r="U19" s="8">
        <f>COUNTIFS('Raw Non-zero DMR Data'!$A:$A, 'Processed Non-zero DMR Data'!A19, 'Raw Non-zero DMR Data'!$C:$C, X19, 'Raw Non-zero DMR Data'!$U:$U,'Processed Non-zero DMR Data'!Y19)</f>
        <v>1</v>
      </c>
      <c r="V19" s="8">
        <f>COUNTIFS('Raw Non-zero DMR Data'!$A:$A, 'Processed Non-zero DMR Data'!A19, 'Raw Non-zero DMR Data'!$C:$C, X19, 'Raw Non-zero DMR Data'!$U:$U,'Processed Non-zero DMR Data'!Y19,'Raw Non-zero DMR Data'!$Z:$Z,"Yes")</f>
        <v>1</v>
      </c>
      <c r="W19">
        <v>0.45570250000000001</v>
      </c>
      <c r="X19" t="s">
        <v>598</v>
      </c>
      <c r="Y19" t="s">
        <v>599</v>
      </c>
      <c r="Z19" s="257">
        <v>60101040101</v>
      </c>
    </row>
    <row r="20" spans="1:26" ht="15" customHeight="1" x14ac:dyDescent="0.25">
      <c r="A20">
        <v>2019</v>
      </c>
      <c r="B20" t="s">
        <v>234</v>
      </c>
      <c r="C20" t="s">
        <v>235</v>
      </c>
      <c r="D20" t="s">
        <v>600</v>
      </c>
      <c r="E20" t="s">
        <v>138</v>
      </c>
      <c r="F20">
        <v>38.195278000000002</v>
      </c>
      <c r="G20">
        <v>-85.872221999999994</v>
      </c>
      <c r="I20" s="1">
        <v>110000378467</v>
      </c>
      <c r="J20">
        <v>2869</v>
      </c>
      <c r="K20" s="175" t="str">
        <f>INDEX('2022 SIC to NAICS'!B:B, MATCH('Processed Non-zero DMR Data'!$J20, '2022 SIC to NAICS'!$A:$A, 0))</f>
        <v>Industrial Organic Chemicals, Nec</v>
      </c>
      <c r="L20" s="175">
        <f>INDEX('2022 SIC to NAICS'!C:C, MATCH('Processed Non-zero DMR Data'!$J20, '2022 SIC to NAICS'!$A:$A, 0))</f>
        <v>325110</v>
      </c>
      <c r="M20" s="175" t="str">
        <f>INDEX('2022 SIC to NAICS'!D:D, MATCH('Processed Non-zero DMR Data'!$J20, '2022 SIC to NAICS'!$A:$A, 0))</f>
        <v>Petrochemical Manufacturing</v>
      </c>
      <c r="N20" s="90" t="str">
        <f>IFERROR(INDEX('NAICS Code to IS CDR Code'!B:B, MATCH('Processed Non-zero DMR Data'!L20,'NAICS Code to IS CDR Code'!A:A,0)), "NAICS/SIC Not Provided")</f>
        <v>IS15</v>
      </c>
      <c r="O20" s="91" t="str">
        <f>IFERROR(INDEX('NAICS Code to IS CDR Code'!C:C, MATCH('Processed Non-zero DMR Data'!L20,'NAICS Code to IS CDR Code'!A:A,0)), "NAICS/SIC Not Provided")</f>
        <v>Petrochemical Manufacturing</v>
      </c>
      <c r="P20" s="91" t="str">
        <f>INDEX('11DCA Mapping'!$K:$K, MATCH('Processed Non-zero DMR Data'!I21,'11DCA Mapping'!$J:$J,0))</f>
        <v>Processing as a Reactant</v>
      </c>
      <c r="Q20" s="91" t="str">
        <f>INDEX('11DCA Mapping'!$L:$L, MATCH('Processed Non-zero DMR Data'!I21,'11DCA Mapping'!$J:$J,0))</f>
        <v>Used mapping of other site with similar SIC description (Industrial Organic Chemicals)</v>
      </c>
      <c r="R20" s="250" t="str">
        <f>VLOOKUP(I20,'DMR POTW Flag'!$A$2:$B$960,2,FALSE)</f>
        <v>NON-POTW</v>
      </c>
      <c r="S20" s="7" t="s">
        <v>62</v>
      </c>
      <c r="T20" s="7" t="s">
        <v>601</v>
      </c>
      <c r="U20" s="8">
        <f>COUNTIFS('Raw Non-zero DMR Data'!$A:$A, 'Processed Non-zero DMR Data'!A20, 'Raw Non-zero DMR Data'!$C:$C, X20, 'Raw Non-zero DMR Data'!$U:$U,'Processed Non-zero DMR Data'!Y20)</f>
        <v>1</v>
      </c>
      <c r="V20" s="8">
        <f>COUNTIFS('Raw Non-zero DMR Data'!$A:$A, 'Processed Non-zero DMR Data'!A20, 'Raw Non-zero DMR Data'!$C:$C, X20, 'Raw Non-zero DMR Data'!$U:$U,'Processed Non-zero DMR Data'!Y20,'Raw Non-zero DMR Data'!$Z:$Z,"Yes")</f>
        <v>1</v>
      </c>
      <c r="W20">
        <v>0.72526500000000005</v>
      </c>
      <c r="X20" t="s">
        <v>602</v>
      </c>
      <c r="Y20" t="s">
        <v>603</v>
      </c>
      <c r="Z20" s="257">
        <v>51401010903</v>
      </c>
    </row>
    <row r="21" spans="1:26" ht="15" customHeight="1" x14ac:dyDescent="0.25">
      <c r="A21">
        <v>2020</v>
      </c>
      <c r="B21" t="s">
        <v>234</v>
      </c>
      <c r="C21" t="s">
        <v>235</v>
      </c>
      <c r="D21" t="s">
        <v>600</v>
      </c>
      <c r="E21" t="s">
        <v>138</v>
      </c>
      <c r="F21">
        <v>38.195278000000002</v>
      </c>
      <c r="G21">
        <v>-85.872221999999994</v>
      </c>
      <c r="I21" s="1">
        <v>110000378467</v>
      </c>
      <c r="J21">
        <v>2869</v>
      </c>
      <c r="K21" s="175" t="str">
        <f>INDEX('2022 SIC to NAICS'!B:B, MATCH('Processed Non-zero DMR Data'!$J21, '2022 SIC to NAICS'!$A:$A, 0))</f>
        <v>Industrial Organic Chemicals, Nec</v>
      </c>
      <c r="L21" s="175">
        <f>INDEX('2022 SIC to NAICS'!C:C, MATCH('Processed Non-zero DMR Data'!$J21, '2022 SIC to NAICS'!$A:$A, 0))</f>
        <v>325110</v>
      </c>
      <c r="M21" s="175" t="str">
        <f>INDEX('2022 SIC to NAICS'!D:D, MATCH('Processed Non-zero DMR Data'!$J21, '2022 SIC to NAICS'!$A:$A, 0))</f>
        <v>Petrochemical Manufacturing</v>
      </c>
      <c r="N21" s="90" t="str">
        <f>IFERROR(INDEX('NAICS Code to IS CDR Code'!B:B, MATCH('Processed Non-zero DMR Data'!L21,'NAICS Code to IS CDR Code'!A:A,0)), "NAICS/SIC Not Provided")</f>
        <v>IS15</v>
      </c>
      <c r="O21" s="91" t="str">
        <f>IFERROR(INDEX('NAICS Code to IS CDR Code'!C:C, MATCH('Processed Non-zero DMR Data'!L21,'NAICS Code to IS CDR Code'!A:A,0)), "NAICS/SIC Not Provided")</f>
        <v>Petrochemical Manufacturing</v>
      </c>
      <c r="P21" s="91" t="str">
        <f>INDEX('11DCA Mapping'!$K:$K, MATCH('Processed Non-zero DMR Data'!I22,'11DCA Mapping'!$J:$J,0))</f>
        <v>Processing as a Reactant</v>
      </c>
      <c r="Q21" s="91" t="str">
        <f>INDEX('11DCA Mapping'!$L:$L, MATCH('Processed Non-zero DMR Data'!I22,'11DCA Mapping'!$J:$J,0))</f>
        <v>Used mapping of other site with similar SIC description (Industrial Organic Chemicals)</v>
      </c>
      <c r="R21" s="250" t="str">
        <f>VLOOKUP(I21,'DMR POTW Flag'!$A$2:$B$960,2,FALSE)</f>
        <v>NON-POTW</v>
      </c>
      <c r="S21" s="7" t="s">
        <v>62</v>
      </c>
      <c r="T21" s="7" t="s">
        <v>601</v>
      </c>
      <c r="U21" s="8">
        <f>COUNTIFS('Raw Non-zero DMR Data'!$A:$A, 'Processed Non-zero DMR Data'!A21, 'Raw Non-zero DMR Data'!$C:$C, X21, 'Raw Non-zero DMR Data'!$U:$U,'Processed Non-zero DMR Data'!Y21)</f>
        <v>2</v>
      </c>
      <c r="V21" s="8">
        <f>COUNTIFS('Raw Non-zero DMR Data'!$A:$A, 'Processed Non-zero DMR Data'!A21, 'Raw Non-zero DMR Data'!$C:$C, X21, 'Raw Non-zero DMR Data'!$U:$U,'Processed Non-zero DMR Data'!Y21,'Raw Non-zero DMR Data'!$Z:$Z,"Yes")</f>
        <v>2</v>
      </c>
      <c r="W21">
        <v>0.49031999999999998</v>
      </c>
      <c r="X21" t="s">
        <v>602</v>
      </c>
      <c r="Y21" t="s">
        <v>603</v>
      </c>
      <c r="Z21" s="257">
        <v>51401010903</v>
      </c>
    </row>
    <row r="22" spans="1:26" ht="15" customHeight="1" x14ac:dyDescent="0.25">
      <c r="A22">
        <v>2020</v>
      </c>
      <c r="B22" t="s">
        <v>234</v>
      </c>
      <c r="C22" t="s">
        <v>235</v>
      </c>
      <c r="D22" t="s">
        <v>600</v>
      </c>
      <c r="E22" t="s">
        <v>138</v>
      </c>
      <c r="F22">
        <v>38.195278000000002</v>
      </c>
      <c r="G22">
        <v>-85.872221999999994</v>
      </c>
      <c r="I22" s="1">
        <v>110000378467</v>
      </c>
      <c r="J22">
        <v>2869</v>
      </c>
      <c r="K22" s="175" t="str">
        <f>INDEX('2022 SIC to NAICS'!B:B, MATCH('Processed Non-zero DMR Data'!$J22, '2022 SIC to NAICS'!$A:$A, 0))</f>
        <v>Industrial Organic Chemicals, Nec</v>
      </c>
      <c r="L22" s="175">
        <f>INDEX('2022 SIC to NAICS'!C:C, MATCH('Processed Non-zero DMR Data'!$J22, '2022 SIC to NAICS'!$A:$A, 0))</f>
        <v>325110</v>
      </c>
      <c r="M22" s="175" t="str">
        <f>INDEX('2022 SIC to NAICS'!D:D, MATCH('Processed Non-zero DMR Data'!$J22, '2022 SIC to NAICS'!$A:$A, 0))</f>
        <v>Petrochemical Manufacturing</v>
      </c>
      <c r="N22" s="90" t="str">
        <f>IFERROR(INDEX('NAICS Code to IS CDR Code'!B:B, MATCH('Processed Non-zero DMR Data'!L22,'NAICS Code to IS CDR Code'!A:A,0)), "NAICS/SIC Not Provided")</f>
        <v>IS15</v>
      </c>
      <c r="O22" s="91" t="str">
        <f>IFERROR(INDEX('NAICS Code to IS CDR Code'!C:C, MATCH('Processed Non-zero DMR Data'!L22,'NAICS Code to IS CDR Code'!A:A,0)), "NAICS/SIC Not Provided")</f>
        <v>Petrochemical Manufacturing</v>
      </c>
      <c r="P22" s="91" t="str">
        <f>INDEX('11DCA Mapping'!$K:$K, MATCH('Processed Non-zero DMR Data'!I23,'11DCA Mapping'!$J:$J,0))</f>
        <v>Processing as a Reactant</v>
      </c>
      <c r="Q22" s="91" t="str">
        <f>INDEX('11DCA Mapping'!$L:$L, MATCH('Processed Non-zero DMR Data'!I23,'11DCA Mapping'!$J:$J,0))</f>
        <v>Used mapping of other site with similar SIC description (Industrial Organic Chemicals)</v>
      </c>
      <c r="R22" s="250" t="str">
        <f>VLOOKUP(I22,'DMR POTW Flag'!$A$2:$B$960,2,FALSE)</f>
        <v>NON-POTW</v>
      </c>
      <c r="S22" s="7" t="s">
        <v>62</v>
      </c>
      <c r="T22" s="7" t="s">
        <v>601</v>
      </c>
      <c r="U22" s="8">
        <f>COUNTIFS('Raw Non-zero DMR Data'!$A:$A, 'Processed Non-zero DMR Data'!A22, 'Raw Non-zero DMR Data'!$C:$C, X22, 'Raw Non-zero DMR Data'!$U:$U,'Processed Non-zero DMR Data'!Y22)</f>
        <v>2</v>
      </c>
      <c r="V22" s="8">
        <f>COUNTIFS('Raw Non-zero DMR Data'!$A:$A, 'Processed Non-zero DMR Data'!A22, 'Raw Non-zero DMR Data'!$C:$C, X22, 'Raw Non-zero DMR Data'!$U:$U,'Processed Non-zero DMR Data'!Y22,'Raw Non-zero DMR Data'!$Z:$Z,"Yes")</f>
        <v>2</v>
      </c>
      <c r="W22">
        <v>0.57998499999999997</v>
      </c>
      <c r="X22" t="s">
        <v>602</v>
      </c>
      <c r="Y22" t="s">
        <v>603</v>
      </c>
      <c r="Z22" s="257">
        <v>51401010903</v>
      </c>
    </row>
    <row r="23" spans="1:26" ht="15" customHeight="1" x14ac:dyDescent="0.25">
      <c r="A23">
        <v>2021</v>
      </c>
      <c r="B23" t="s">
        <v>234</v>
      </c>
      <c r="C23" t="s">
        <v>235</v>
      </c>
      <c r="D23" t="s">
        <v>600</v>
      </c>
      <c r="E23" t="s">
        <v>138</v>
      </c>
      <c r="F23">
        <v>38.195278000000002</v>
      </c>
      <c r="G23">
        <v>-85.872221999999994</v>
      </c>
      <c r="I23" s="1">
        <v>110000378467</v>
      </c>
      <c r="J23">
        <v>2869</v>
      </c>
      <c r="K23" s="175" t="str">
        <f>INDEX('2022 SIC to NAICS'!B:B, MATCH('Processed Non-zero DMR Data'!$J23, '2022 SIC to NAICS'!$A:$A, 0))</f>
        <v>Industrial Organic Chemicals, Nec</v>
      </c>
      <c r="L23" s="175">
        <f>INDEX('2022 SIC to NAICS'!C:C, MATCH('Processed Non-zero DMR Data'!$J23, '2022 SIC to NAICS'!$A:$A, 0))</f>
        <v>325110</v>
      </c>
      <c r="M23" s="175" t="str">
        <f>INDEX('2022 SIC to NAICS'!D:D, MATCH('Processed Non-zero DMR Data'!$J23, '2022 SIC to NAICS'!$A:$A, 0))</f>
        <v>Petrochemical Manufacturing</v>
      </c>
      <c r="N23" s="90" t="str">
        <f>IFERROR(INDEX('NAICS Code to IS CDR Code'!B:B, MATCH('Processed Non-zero DMR Data'!L23,'NAICS Code to IS CDR Code'!A:A,0)), "NAICS/SIC Not Provided")</f>
        <v>IS15</v>
      </c>
      <c r="O23" s="91" t="str">
        <f>IFERROR(INDEX('NAICS Code to IS CDR Code'!C:C, MATCH('Processed Non-zero DMR Data'!L23,'NAICS Code to IS CDR Code'!A:A,0)), "NAICS/SIC Not Provided")</f>
        <v>Petrochemical Manufacturing</v>
      </c>
      <c r="P23" s="91" t="str">
        <f>INDEX('11DCA Mapping'!$K:$K, MATCH('Processed Non-zero DMR Data'!I24,'11DCA Mapping'!$J:$J,0))</f>
        <v>Processing as a Reactant</v>
      </c>
      <c r="Q23" s="91" t="str">
        <f>INDEX('11DCA Mapping'!$L:$L, MATCH('Processed Non-zero DMR Data'!I24,'11DCA Mapping'!$J:$J,0))</f>
        <v>Used mapping of other site with similar SIC description (Industrial Organic Chemicals)</v>
      </c>
      <c r="R23" s="250" t="str">
        <f>VLOOKUP(I23,'DMR POTW Flag'!$A$2:$B$960,2,FALSE)</f>
        <v>NON-POTW</v>
      </c>
      <c r="S23" s="7" t="s">
        <v>62</v>
      </c>
      <c r="T23" s="7" t="s">
        <v>601</v>
      </c>
      <c r="U23" s="8">
        <f>COUNTIFS('Raw Non-zero DMR Data'!$A:$A, 'Processed Non-zero DMR Data'!A23, 'Raw Non-zero DMR Data'!$C:$C, X23, 'Raw Non-zero DMR Data'!$U:$U,'Processed Non-zero DMR Data'!Y23)</f>
        <v>1</v>
      </c>
      <c r="V23" s="8">
        <f>COUNTIFS('Raw Non-zero DMR Data'!$A:$A, 'Processed Non-zero DMR Data'!A23, 'Raw Non-zero DMR Data'!$C:$C, X23, 'Raw Non-zero DMR Data'!$U:$U,'Processed Non-zero DMR Data'!Y23,'Raw Non-zero DMR Data'!$Z:$Z,"Yes")</f>
        <v>1</v>
      </c>
      <c r="W23">
        <v>0.24856500000000001</v>
      </c>
      <c r="X23" t="s">
        <v>602</v>
      </c>
      <c r="Y23" t="s">
        <v>603</v>
      </c>
      <c r="Z23" s="257">
        <v>51401010903</v>
      </c>
    </row>
    <row r="24" spans="1:26" ht="15" customHeight="1" x14ac:dyDescent="0.25">
      <c r="A24">
        <v>2022</v>
      </c>
      <c r="B24" t="s">
        <v>234</v>
      </c>
      <c r="C24" t="s">
        <v>235</v>
      </c>
      <c r="D24" t="s">
        <v>600</v>
      </c>
      <c r="E24" t="s">
        <v>138</v>
      </c>
      <c r="F24">
        <v>38.195278000000002</v>
      </c>
      <c r="G24">
        <v>-85.872221999999994</v>
      </c>
      <c r="I24" s="1">
        <v>110000378467</v>
      </c>
      <c r="J24">
        <v>2869</v>
      </c>
      <c r="K24" s="175" t="str">
        <f>INDEX('2022 SIC to NAICS'!B:B, MATCH('Processed Non-zero DMR Data'!$J24, '2022 SIC to NAICS'!$A:$A, 0))</f>
        <v>Industrial Organic Chemicals, Nec</v>
      </c>
      <c r="L24" s="175">
        <f>INDEX('2022 SIC to NAICS'!C:C, MATCH('Processed Non-zero DMR Data'!$J24, '2022 SIC to NAICS'!$A:$A, 0))</f>
        <v>325110</v>
      </c>
      <c r="M24" s="175" t="str">
        <f>INDEX('2022 SIC to NAICS'!D:D, MATCH('Processed Non-zero DMR Data'!$J24, '2022 SIC to NAICS'!$A:$A, 0))</f>
        <v>Petrochemical Manufacturing</v>
      </c>
      <c r="N24" s="90" t="str">
        <f>IFERROR(INDEX('NAICS Code to IS CDR Code'!B:B, MATCH('Processed Non-zero DMR Data'!L24,'NAICS Code to IS CDR Code'!A:A,0)), "NAICS/SIC Not Provided")</f>
        <v>IS15</v>
      </c>
      <c r="O24" s="91" t="str">
        <f>IFERROR(INDEX('NAICS Code to IS CDR Code'!C:C, MATCH('Processed Non-zero DMR Data'!L24,'NAICS Code to IS CDR Code'!A:A,0)), "NAICS/SIC Not Provided")</f>
        <v>Petrochemical Manufacturing</v>
      </c>
      <c r="P24" s="91" t="str">
        <f>INDEX('11DCA Mapping'!$K:$K, MATCH('Processed Non-zero DMR Data'!I25,'11DCA Mapping'!$J:$J,0))</f>
        <v>Processing as a Reactant</v>
      </c>
      <c r="Q24" s="91" t="str">
        <f>INDEX('11DCA Mapping'!$L:$L, MATCH('Processed Non-zero DMR Data'!I25,'11DCA Mapping'!$J:$J,0))</f>
        <v>Used mapping of other site with similar SIC description (Industrial Organic Chemicals)</v>
      </c>
      <c r="R24" s="250" t="str">
        <f>VLOOKUP(I24,'DMR POTW Flag'!$A$2:$B$960,2,FALSE)</f>
        <v>NON-POTW</v>
      </c>
      <c r="S24" s="7" t="s">
        <v>62</v>
      </c>
      <c r="T24" s="7" t="s">
        <v>601</v>
      </c>
      <c r="U24" s="8">
        <f>COUNTIFS('Raw Non-zero DMR Data'!$A:$A, 'Processed Non-zero DMR Data'!A24, 'Raw Non-zero DMR Data'!$C:$C, X24, 'Raw Non-zero DMR Data'!$U:$U,'Processed Non-zero DMR Data'!Y24)</f>
        <v>1</v>
      </c>
      <c r="V24" s="8">
        <f>COUNTIFS('Raw Non-zero DMR Data'!$A:$A, 'Processed Non-zero DMR Data'!A24, 'Raw Non-zero DMR Data'!$C:$C, X24, 'Raw Non-zero DMR Data'!$U:$U,'Processed Non-zero DMR Data'!Y24,'Raw Non-zero DMR Data'!$Z:$Z,"Yes")</f>
        <v>1</v>
      </c>
      <c r="W24">
        <v>0.16571</v>
      </c>
      <c r="X24" t="s">
        <v>602</v>
      </c>
      <c r="Y24" t="s">
        <v>603</v>
      </c>
      <c r="Z24" s="257">
        <v>51401010903</v>
      </c>
    </row>
    <row r="25" spans="1:26" ht="15" customHeight="1" x14ac:dyDescent="0.25">
      <c r="A25">
        <v>2023</v>
      </c>
      <c r="B25" t="s">
        <v>234</v>
      </c>
      <c r="C25" t="s">
        <v>235</v>
      </c>
      <c r="D25" t="s">
        <v>600</v>
      </c>
      <c r="E25" t="s">
        <v>138</v>
      </c>
      <c r="F25">
        <v>38.195278000000002</v>
      </c>
      <c r="G25">
        <v>-85.872221999999994</v>
      </c>
      <c r="I25" s="1">
        <v>110000378467</v>
      </c>
      <c r="J25">
        <v>2869</v>
      </c>
      <c r="K25" s="175" t="str">
        <f>INDEX('2022 SIC to NAICS'!B:B, MATCH('Processed Non-zero DMR Data'!$J25, '2022 SIC to NAICS'!$A:$A, 0))</f>
        <v>Industrial Organic Chemicals, Nec</v>
      </c>
      <c r="L25" s="175">
        <f>INDEX('2022 SIC to NAICS'!C:C, MATCH('Processed Non-zero DMR Data'!$J25, '2022 SIC to NAICS'!$A:$A, 0))</f>
        <v>325110</v>
      </c>
      <c r="M25" s="175" t="str">
        <f>INDEX('2022 SIC to NAICS'!D:D, MATCH('Processed Non-zero DMR Data'!$J25, '2022 SIC to NAICS'!$A:$A, 0))</f>
        <v>Petrochemical Manufacturing</v>
      </c>
      <c r="N25" s="90" t="str">
        <f>IFERROR(INDEX('NAICS Code to IS CDR Code'!B:B, MATCH('Processed Non-zero DMR Data'!L25,'NAICS Code to IS CDR Code'!A:A,0)), "NAICS/SIC Not Provided")</f>
        <v>IS15</v>
      </c>
      <c r="O25" s="91" t="str">
        <f>IFERROR(INDEX('NAICS Code to IS CDR Code'!C:C, MATCH('Processed Non-zero DMR Data'!L25,'NAICS Code to IS CDR Code'!A:A,0)), "NAICS/SIC Not Provided")</f>
        <v>Petrochemical Manufacturing</v>
      </c>
      <c r="P25" s="91" t="str">
        <f>INDEX('11DCA Mapping'!$K:$K, MATCH('Processed Non-zero DMR Data'!I26,'11DCA Mapping'!$J:$J,0))</f>
        <v>Processing as a Reactant</v>
      </c>
      <c r="Q25" s="91" t="str">
        <f>INDEX('11DCA Mapping'!$L:$L, MATCH('Processed Non-zero DMR Data'!I26,'11DCA Mapping'!$J:$J,0))</f>
        <v>Assumed processing as an intermediate based on NAICS code</v>
      </c>
      <c r="R25" s="250" t="str">
        <f>VLOOKUP(I25,'DMR POTW Flag'!$A$2:$B$960,2,FALSE)</f>
        <v>NON-POTW</v>
      </c>
      <c r="S25" s="7" t="s">
        <v>62</v>
      </c>
      <c r="T25" s="7" t="s">
        <v>601</v>
      </c>
      <c r="U25" s="8">
        <f>COUNTIFS('Raw Non-zero DMR Data'!$A:$A, 'Processed Non-zero DMR Data'!A25, 'Raw Non-zero DMR Data'!$C:$C, X25, 'Raw Non-zero DMR Data'!$U:$U,'Processed Non-zero DMR Data'!Y25)</f>
        <v>1</v>
      </c>
      <c r="V25" s="8">
        <f>COUNTIFS('Raw Non-zero DMR Data'!$A:$A, 'Processed Non-zero DMR Data'!A25, 'Raw Non-zero DMR Data'!$C:$C, X25, 'Raw Non-zero DMR Data'!$U:$U,'Processed Non-zero DMR Data'!Y25,'Raw Non-zero DMR Data'!$Z:$Z,"Yes")</f>
        <v>1</v>
      </c>
      <c r="W25">
        <v>0.91140500000000002</v>
      </c>
      <c r="X25" t="s">
        <v>602</v>
      </c>
      <c r="Y25" t="s">
        <v>603</v>
      </c>
      <c r="Z25" s="257">
        <v>51401010903</v>
      </c>
    </row>
    <row r="26" spans="1:26" ht="15" customHeight="1" x14ac:dyDescent="0.25">
      <c r="A26">
        <v>2019</v>
      </c>
      <c r="B26" t="s">
        <v>203</v>
      </c>
      <c r="C26" t="s">
        <v>204</v>
      </c>
      <c r="D26" t="s">
        <v>604</v>
      </c>
      <c r="E26" t="s">
        <v>205</v>
      </c>
      <c r="F26">
        <v>35.136057000000001</v>
      </c>
      <c r="G26">
        <v>-90.096892999999994</v>
      </c>
      <c r="I26" s="1">
        <v>110000452082</v>
      </c>
      <c r="J26">
        <v>2869</v>
      </c>
      <c r="K26" s="175" t="str">
        <f>INDEX('2022 SIC to NAICS'!B:B, MATCH('Processed Non-zero DMR Data'!$J26, '2022 SIC to NAICS'!$A:$A, 0))</f>
        <v>Industrial Organic Chemicals, Nec</v>
      </c>
      <c r="L26" s="175">
        <f>INDEX('2022 SIC to NAICS'!C:C, MATCH('Processed Non-zero DMR Data'!$J26, '2022 SIC to NAICS'!$A:$A, 0))</f>
        <v>325110</v>
      </c>
      <c r="M26" s="175" t="str">
        <f>INDEX('2022 SIC to NAICS'!D:D, MATCH('Processed Non-zero DMR Data'!$J26, '2022 SIC to NAICS'!$A:$A, 0))</f>
        <v>Petrochemical Manufacturing</v>
      </c>
      <c r="N26" s="90" t="str">
        <f>IFERROR(INDEX('NAICS Code to IS CDR Code'!B:B, MATCH('Processed Non-zero DMR Data'!L26,'NAICS Code to IS CDR Code'!A:A,0)), "NAICS/SIC Not Provided")</f>
        <v>IS15</v>
      </c>
      <c r="O26" s="91" t="str">
        <f>IFERROR(INDEX('NAICS Code to IS CDR Code'!C:C, MATCH('Processed Non-zero DMR Data'!L26,'NAICS Code to IS CDR Code'!A:A,0)), "NAICS/SIC Not Provided")</f>
        <v>Petrochemical Manufacturing</v>
      </c>
      <c r="P26" s="91" t="str">
        <f>INDEX('11DCA Mapping'!$K:$K, MATCH('Processed Non-zero DMR Data'!I27,'11DCA Mapping'!$J:$J,0))</f>
        <v>Processing as a Reactant</v>
      </c>
      <c r="Q26" s="91" t="str">
        <f>INDEX('11DCA Mapping'!$L:$L, MATCH('Processed Non-zero DMR Data'!I27,'11DCA Mapping'!$J:$J,0))</f>
        <v>Assumed processing as an intermediate based on NAICS code</v>
      </c>
      <c r="R26" s="250" t="str">
        <f>VLOOKUP(I26,'DMR POTW Flag'!$A$2:$B$960,2,FALSE)</f>
        <v>NON-POTW</v>
      </c>
      <c r="S26" s="7" t="s">
        <v>62</v>
      </c>
      <c r="T26" s="7" t="s">
        <v>601</v>
      </c>
      <c r="U26" s="8">
        <f>COUNTIFS('Raw Non-zero DMR Data'!$A:$A, 'Processed Non-zero DMR Data'!A26, 'Raw Non-zero DMR Data'!$C:$C, X26, 'Raw Non-zero DMR Data'!$U:$U,'Processed Non-zero DMR Data'!Y26)</f>
        <v>1</v>
      </c>
      <c r="V26" s="8">
        <f>COUNTIFS('Raw Non-zero DMR Data'!$A:$A, 'Processed Non-zero DMR Data'!A26, 'Raw Non-zero DMR Data'!$C:$C, X26, 'Raw Non-zero DMR Data'!$U:$U,'Processed Non-zero DMR Data'!Y26,'Raw Non-zero DMR Data'!$Z:$Z,"Yes")</f>
        <v>1</v>
      </c>
      <c r="W26">
        <v>3.10309E-2</v>
      </c>
      <c r="X26" t="s">
        <v>605</v>
      </c>
      <c r="Y26" t="s">
        <v>606</v>
      </c>
      <c r="Z26" s="257">
        <v>80101000703</v>
      </c>
    </row>
    <row r="27" spans="1:26" ht="15" customHeight="1" x14ac:dyDescent="0.25">
      <c r="A27">
        <v>2020</v>
      </c>
      <c r="B27" t="s">
        <v>203</v>
      </c>
      <c r="C27" t="s">
        <v>204</v>
      </c>
      <c r="D27" t="s">
        <v>604</v>
      </c>
      <c r="E27" t="s">
        <v>205</v>
      </c>
      <c r="F27">
        <v>35.136057000000001</v>
      </c>
      <c r="G27">
        <v>-90.096892999999994</v>
      </c>
      <c r="I27" s="1">
        <v>110000452082</v>
      </c>
      <c r="J27">
        <v>2869</v>
      </c>
      <c r="K27" s="175" t="str">
        <f>INDEX('2022 SIC to NAICS'!B:B, MATCH('Processed Non-zero DMR Data'!$J27, '2022 SIC to NAICS'!$A:$A, 0))</f>
        <v>Industrial Organic Chemicals, Nec</v>
      </c>
      <c r="L27" s="175">
        <f>INDEX('2022 SIC to NAICS'!C:C, MATCH('Processed Non-zero DMR Data'!$J27, '2022 SIC to NAICS'!$A:$A, 0))</f>
        <v>325110</v>
      </c>
      <c r="M27" s="175" t="str">
        <f>INDEX('2022 SIC to NAICS'!D:D, MATCH('Processed Non-zero DMR Data'!$J27, '2022 SIC to NAICS'!$A:$A, 0))</f>
        <v>Petrochemical Manufacturing</v>
      </c>
      <c r="N27" s="90" t="str">
        <f>IFERROR(INDEX('NAICS Code to IS CDR Code'!B:B, MATCH('Processed Non-zero DMR Data'!L27,'NAICS Code to IS CDR Code'!A:A,0)), "NAICS/SIC Not Provided")</f>
        <v>IS15</v>
      </c>
      <c r="O27" s="91" t="str">
        <f>IFERROR(INDEX('NAICS Code to IS CDR Code'!C:C, MATCH('Processed Non-zero DMR Data'!L27,'NAICS Code to IS CDR Code'!A:A,0)), "NAICS/SIC Not Provided")</f>
        <v>Petrochemical Manufacturing</v>
      </c>
      <c r="P27" s="91" t="str">
        <f>INDEX('11DCA Mapping'!$K:$K, MATCH('Processed Non-zero DMR Data'!I28,'11DCA Mapping'!$J:$J,0))</f>
        <v>Processing as a Reactant</v>
      </c>
      <c r="Q27" s="91" t="str">
        <f>INDEX('11DCA Mapping'!$L:$L, MATCH('Processed Non-zero DMR Data'!I28,'11DCA Mapping'!$J:$J,0))</f>
        <v>Assumed processing as an intermediate based on NAICS code</v>
      </c>
      <c r="R27" s="250" t="str">
        <f>VLOOKUP(I27,'DMR POTW Flag'!$A$2:$B$960,2,FALSE)</f>
        <v>NON-POTW</v>
      </c>
      <c r="S27" s="7" t="s">
        <v>62</v>
      </c>
      <c r="T27" s="7" t="s">
        <v>601</v>
      </c>
      <c r="U27" s="8">
        <f>COUNTIFS('Raw Non-zero DMR Data'!$A:$A, 'Processed Non-zero DMR Data'!A27, 'Raw Non-zero DMR Data'!$C:$C, X27, 'Raw Non-zero DMR Data'!$U:$U,'Processed Non-zero DMR Data'!Y27)</f>
        <v>1</v>
      </c>
      <c r="V27" s="8">
        <f>COUNTIFS('Raw Non-zero DMR Data'!$A:$A, 'Processed Non-zero DMR Data'!A27, 'Raw Non-zero DMR Data'!$C:$C, X27, 'Raw Non-zero DMR Data'!$U:$U,'Processed Non-zero DMR Data'!Y27,'Raw Non-zero DMR Data'!$Z:$Z,"Yes")</f>
        <v>1</v>
      </c>
      <c r="W27">
        <v>4.1563700000000002E-2</v>
      </c>
      <c r="X27" t="s">
        <v>605</v>
      </c>
      <c r="Y27" t="s">
        <v>606</v>
      </c>
      <c r="Z27" s="257">
        <v>80101000703</v>
      </c>
    </row>
    <row r="28" spans="1:26" ht="15" customHeight="1" x14ac:dyDescent="0.25">
      <c r="A28">
        <v>2021</v>
      </c>
      <c r="B28" t="s">
        <v>203</v>
      </c>
      <c r="C28" t="s">
        <v>204</v>
      </c>
      <c r="D28" t="s">
        <v>604</v>
      </c>
      <c r="E28" t="s">
        <v>205</v>
      </c>
      <c r="F28">
        <v>35.136057000000001</v>
      </c>
      <c r="G28">
        <v>-90.096892999999994</v>
      </c>
      <c r="I28" s="1">
        <v>110000452082</v>
      </c>
      <c r="J28">
        <v>2869</v>
      </c>
      <c r="K28" s="175" t="str">
        <f>INDEX('2022 SIC to NAICS'!B:B, MATCH('Processed Non-zero DMR Data'!$J28, '2022 SIC to NAICS'!$A:$A, 0))</f>
        <v>Industrial Organic Chemicals, Nec</v>
      </c>
      <c r="L28" s="175">
        <f>INDEX('2022 SIC to NAICS'!C:C, MATCH('Processed Non-zero DMR Data'!$J28, '2022 SIC to NAICS'!$A:$A, 0))</f>
        <v>325110</v>
      </c>
      <c r="M28" s="175" t="str">
        <f>INDEX('2022 SIC to NAICS'!D:D, MATCH('Processed Non-zero DMR Data'!$J28, '2022 SIC to NAICS'!$A:$A, 0))</f>
        <v>Petrochemical Manufacturing</v>
      </c>
      <c r="N28" s="90" t="str">
        <f>IFERROR(INDEX('NAICS Code to IS CDR Code'!B:B, MATCH('Processed Non-zero DMR Data'!L28,'NAICS Code to IS CDR Code'!A:A,0)), "NAICS/SIC Not Provided")</f>
        <v>IS15</v>
      </c>
      <c r="O28" s="91" t="str">
        <f>IFERROR(INDEX('NAICS Code to IS CDR Code'!C:C, MATCH('Processed Non-zero DMR Data'!L28,'NAICS Code to IS CDR Code'!A:A,0)), "NAICS/SIC Not Provided")</f>
        <v>Petrochemical Manufacturing</v>
      </c>
      <c r="P28" s="91" t="str">
        <f>INDEX('11DCA Mapping'!$K:$K, MATCH('Processed Non-zero DMR Data'!I29,'11DCA Mapping'!$J:$J,0))</f>
        <v>Processing as a Reactant</v>
      </c>
      <c r="Q28" s="91" t="str">
        <f>INDEX('11DCA Mapping'!$L:$L, MATCH('Processed Non-zero DMR Data'!I29,'11DCA Mapping'!$J:$J,0))</f>
        <v>Assumed processing as an intermediate based on NAICS code</v>
      </c>
      <c r="R28" s="250" t="str">
        <f>VLOOKUP(I28,'DMR POTW Flag'!$A$2:$B$960,2,FALSE)</f>
        <v>NON-POTW</v>
      </c>
      <c r="S28" s="7" t="s">
        <v>62</v>
      </c>
      <c r="T28" s="7" t="s">
        <v>601</v>
      </c>
      <c r="U28" s="8">
        <f>COUNTIFS('Raw Non-zero DMR Data'!$A:$A, 'Processed Non-zero DMR Data'!A28, 'Raw Non-zero DMR Data'!$C:$C, X28, 'Raw Non-zero DMR Data'!$U:$U,'Processed Non-zero DMR Data'!Y28)</f>
        <v>1</v>
      </c>
      <c r="V28" s="8">
        <f>COUNTIFS('Raw Non-zero DMR Data'!$A:$A, 'Processed Non-zero DMR Data'!A28, 'Raw Non-zero DMR Data'!$C:$C, X28, 'Raw Non-zero DMR Data'!$U:$U,'Processed Non-zero DMR Data'!Y28,'Raw Non-zero DMR Data'!$Z:$Z,"Yes")</f>
        <v>1</v>
      </c>
      <c r="W28">
        <v>5.9301479999999997E-2</v>
      </c>
      <c r="X28" t="s">
        <v>605</v>
      </c>
      <c r="Y28" t="s">
        <v>606</v>
      </c>
      <c r="Z28" s="257">
        <v>80101000703</v>
      </c>
    </row>
    <row r="29" spans="1:26" ht="15" customHeight="1" x14ac:dyDescent="0.25">
      <c r="A29">
        <v>2022</v>
      </c>
      <c r="B29" t="s">
        <v>203</v>
      </c>
      <c r="C29" t="s">
        <v>204</v>
      </c>
      <c r="D29" t="s">
        <v>604</v>
      </c>
      <c r="E29" t="s">
        <v>205</v>
      </c>
      <c r="F29">
        <v>35.136057000000001</v>
      </c>
      <c r="G29">
        <v>-90.096892999999994</v>
      </c>
      <c r="I29" s="1">
        <v>110000452082</v>
      </c>
      <c r="J29">
        <v>2869</v>
      </c>
      <c r="K29" s="175" t="str">
        <f>INDEX('2022 SIC to NAICS'!B:B, MATCH('Processed Non-zero DMR Data'!$J29, '2022 SIC to NAICS'!$A:$A, 0))</f>
        <v>Industrial Organic Chemicals, Nec</v>
      </c>
      <c r="L29" s="175">
        <f>INDEX('2022 SIC to NAICS'!C:C, MATCH('Processed Non-zero DMR Data'!$J29, '2022 SIC to NAICS'!$A:$A, 0))</f>
        <v>325110</v>
      </c>
      <c r="M29" s="175" t="str">
        <f>INDEX('2022 SIC to NAICS'!D:D, MATCH('Processed Non-zero DMR Data'!$J29, '2022 SIC to NAICS'!$A:$A, 0))</f>
        <v>Petrochemical Manufacturing</v>
      </c>
      <c r="N29" s="90" t="str">
        <f>IFERROR(INDEX('NAICS Code to IS CDR Code'!B:B, MATCH('Processed Non-zero DMR Data'!L29,'NAICS Code to IS CDR Code'!A:A,0)), "NAICS/SIC Not Provided")</f>
        <v>IS15</v>
      </c>
      <c r="O29" s="91" t="str">
        <f>IFERROR(INDEX('NAICS Code to IS CDR Code'!C:C, MATCH('Processed Non-zero DMR Data'!L29,'NAICS Code to IS CDR Code'!A:A,0)), "NAICS/SIC Not Provided")</f>
        <v>Petrochemical Manufacturing</v>
      </c>
      <c r="P29" s="91" t="str">
        <f>INDEX('11DCA Mapping'!$K:$K, MATCH('Processed Non-zero DMR Data'!I30,'11DCA Mapping'!$J:$J,0))</f>
        <v>POTW</v>
      </c>
      <c r="Q29" s="91" t="str">
        <f>INDEX('11DCA Mapping'!$L:$L, MATCH('Processed Non-zero DMR Data'!I30,'11DCA Mapping'!$J:$J,0))</f>
        <v>Assigned POTW per "Facility Type Indicator"</v>
      </c>
      <c r="R29" s="250" t="str">
        <f>VLOOKUP(I29,'DMR POTW Flag'!$A$2:$B$960,2,FALSE)</f>
        <v>NON-POTW</v>
      </c>
      <c r="S29" s="7" t="s">
        <v>62</v>
      </c>
      <c r="T29" s="7" t="s">
        <v>601</v>
      </c>
      <c r="U29" s="8">
        <f>COUNTIFS('Raw Non-zero DMR Data'!$A:$A, 'Processed Non-zero DMR Data'!A29, 'Raw Non-zero DMR Data'!$C:$C, X29, 'Raw Non-zero DMR Data'!$U:$U,'Processed Non-zero DMR Data'!Y29)</f>
        <v>1</v>
      </c>
      <c r="V29" s="8">
        <f>COUNTIFS('Raw Non-zero DMR Data'!$A:$A, 'Processed Non-zero DMR Data'!A29, 'Raw Non-zero DMR Data'!$C:$C, X29, 'Raw Non-zero DMR Data'!$U:$U,'Processed Non-zero DMR Data'!Y29,'Raw Non-zero DMR Data'!$Z:$Z,"Yes")</f>
        <v>1</v>
      </c>
      <c r="W29">
        <v>1.2053700000000001E-2</v>
      </c>
      <c r="X29" t="s">
        <v>605</v>
      </c>
      <c r="Y29" t="s">
        <v>606</v>
      </c>
      <c r="Z29" s="257">
        <v>80101000703</v>
      </c>
    </row>
    <row r="30" spans="1:26" ht="15" customHeight="1" x14ac:dyDescent="0.25">
      <c r="A30">
        <v>2020</v>
      </c>
      <c r="B30" t="s">
        <v>389</v>
      </c>
      <c r="C30" t="s">
        <v>390</v>
      </c>
      <c r="D30" t="s">
        <v>607</v>
      </c>
      <c r="E30" t="s">
        <v>138</v>
      </c>
      <c r="F30">
        <v>38.127222000000003</v>
      </c>
      <c r="G30">
        <v>-83.769443999999993</v>
      </c>
      <c r="I30" s="1">
        <v>110030443544</v>
      </c>
      <c r="J30">
        <v>4952</v>
      </c>
      <c r="K30" s="175" t="str">
        <f>INDEX('2022 SIC to NAICS'!B:B, MATCH('Processed Non-zero DMR Data'!$J30, '2022 SIC to NAICS'!$A:$A, 0))</f>
        <v>Sewerage Systems</v>
      </c>
      <c r="L30" s="175">
        <f>INDEX('2022 SIC to NAICS'!C:C, MATCH('Processed Non-zero DMR Data'!$J30, '2022 SIC to NAICS'!$A:$A, 0))</f>
        <v>221320</v>
      </c>
      <c r="M30" s="175" t="str">
        <f>INDEX('2022 SIC to NAICS'!D:D, MATCH('Processed Non-zero DMR Data'!$J30, '2022 SIC to NAICS'!$A:$A, 0))</f>
        <v xml:space="preserve">Sewage Treatment Facilities </v>
      </c>
      <c r="N30" s="90" t="str">
        <f>IFERROR(INDEX('NAICS Code to IS CDR Code'!B:B, MATCH('Processed Non-zero DMR Data'!L30,'NAICS Code to IS CDR Code'!A:A,0)), "NAICS/SIC Not Provided")</f>
        <v>IS4</v>
      </c>
      <c r="O30" s="91" t="str">
        <f>IFERROR(INDEX('NAICS Code to IS CDR Code'!C:C, MATCH('Processed Non-zero DMR Data'!L30,'NAICS Code to IS CDR Code'!A:A,0)), "NAICS/SIC Not Provided")</f>
        <v>Utilities</v>
      </c>
      <c r="P30" s="91" t="e">
        <f>INDEX('11DCA Mapping'!$K:$K, MATCH('Processed Non-zero DMR Data'!I31,'11DCA Mapping'!$J:$J,0))</f>
        <v>#N/A</v>
      </c>
      <c r="Q30" s="91" t="e">
        <f>INDEX('11DCA Mapping'!$L:$L, MATCH('Processed Non-zero DMR Data'!I31,'11DCA Mapping'!$J:$J,0))</f>
        <v>#N/A</v>
      </c>
      <c r="R30" s="250" t="str">
        <f>VLOOKUP(I30,'DMR POTW Flag'!$A$2:$B$960,2,FALSE)</f>
        <v>POTW</v>
      </c>
      <c r="S30" s="7" t="s">
        <v>67</v>
      </c>
      <c r="T30" s="249" t="s">
        <v>586</v>
      </c>
      <c r="U30" s="8">
        <f>COUNTIFS('Raw Non-zero DMR Data'!$A:$A, 'Processed Non-zero DMR Data'!A30, 'Raw Non-zero DMR Data'!$C:$C, X30, 'Raw Non-zero DMR Data'!$U:$U,'Processed Non-zero DMR Data'!Y30)</f>
        <v>1</v>
      </c>
      <c r="V30" s="8">
        <f>COUNTIFS('Raw Non-zero DMR Data'!$A:$A, 'Processed Non-zero DMR Data'!A30, 'Raw Non-zero DMR Data'!$C:$C, X30, 'Raw Non-zero DMR Data'!$U:$U,'Processed Non-zero DMR Data'!Y30,'Raw Non-zero DMR Data'!$Z:$Z,"Yes")</f>
        <v>1</v>
      </c>
      <c r="W30">
        <v>8.6345312499999993E-2</v>
      </c>
      <c r="X30" t="s">
        <v>608</v>
      </c>
      <c r="Y30" t="s">
        <v>609</v>
      </c>
      <c r="Z30" s="257">
        <v>51001010704</v>
      </c>
    </row>
    <row r="31" spans="1:26" ht="15" customHeight="1" x14ac:dyDescent="0.25">
      <c r="A31">
        <v>2020</v>
      </c>
      <c r="B31" t="s">
        <v>425</v>
      </c>
      <c r="C31" t="s">
        <v>426</v>
      </c>
      <c r="D31" t="s">
        <v>454</v>
      </c>
      <c r="E31" t="s">
        <v>170</v>
      </c>
      <c r="F31">
        <v>39.121471999999997</v>
      </c>
      <c r="G31">
        <v>-94.473416999999998</v>
      </c>
      <c r="I31" s="1">
        <v>110000443226</v>
      </c>
      <c r="J31">
        <v>2879</v>
      </c>
      <c r="K31" s="175" t="str">
        <f>INDEX('2022 SIC to NAICS'!B:B, MATCH('Processed Non-zero DMR Data'!$J31, '2022 SIC to NAICS'!$A:$A, 0))</f>
        <v>Agricultural Chemicals, Nec</v>
      </c>
      <c r="L31" s="175">
        <f>INDEX('2022 SIC to NAICS'!C:C, MATCH('Processed Non-zero DMR Data'!$J31, '2022 SIC to NAICS'!$A:$A, 0))</f>
        <v>325320</v>
      </c>
      <c r="M31" s="175" t="str">
        <f>INDEX('2022 SIC to NAICS'!D:D, MATCH('Processed Non-zero DMR Data'!$J31, '2022 SIC to NAICS'!$A:$A, 0))</f>
        <v>Pesticide and Other Agricultural Chemical Manufacturing</v>
      </c>
      <c r="N31" s="90" t="str">
        <f>IFERROR(INDEX('NAICS Code to IS CDR Code'!B:B, MATCH('Processed Non-zero DMR Data'!L31,'NAICS Code to IS CDR Code'!A:A,0)), "NAICS/SIC Not Provided")</f>
        <v>IS25</v>
      </c>
      <c r="O31" s="91" t="str">
        <f>IFERROR(INDEX('NAICS Code to IS CDR Code'!C:C, MATCH('Processed Non-zero DMR Data'!L31,'NAICS Code to IS CDR Code'!A:A,0)), "NAICS/SIC Not Provided")</f>
        <v>Pesticide, Fertilizer, and Other Agricultural Chemical Manufacturing</v>
      </c>
      <c r="P31" s="91" t="e">
        <f>INDEX('11DCA Mapping'!$K:$K, MATCH('Processed Non-zero DMR Data'!I32,'11DCA Mapping'!$J:$J,0))</f>
        <v>#N/A</v>
      </c>
      <c r="Q31" s="91" t="e">
        <f>INDEX('11DCA Mapping'!$L:$L, MATCH('Processed Non-zero DMR Data'!I32,'11DCA Mapping'!$J:$J,0))</f>
        <v>#N/A</v>
      </c>
      <c r="R31" s="250" t="str">
        <f>VLOOKUP(I31,'DMR POTW Flag'!$A$2:$B$960,2,FALSE)</f>
        <v>NON-POTW</v>
      </c>
      <c r="S31" s="7" t="s">
        <v>62</v>
      </c>
      <c r="T31" s="7" t="s">
        <v>610</v>
      </c>
      <c r="U31" s="8">
        <f>COUNTIFS('Raw Non-zero DMR Data'!$A:$A, 'Processed Non-zero DMR Data'!A31, 'Raw Non-zero DMR Data'!$C:$C, X31, 'Raw Non-zero DMR Data'!$U:$U,'Processed Non-zero DMR Data'!Y31)</f>
        <v>1</v>
      </c>
      <c r="V31" s="8">
        <f>COUNTIFS('Raw Non-zero DMR Data'!$A:$A, 'Processed Non-zero DMR Data'!A31, 'Raw Non-zero DMR Data'!$C:$C, X31, 'Raw Non-zero DMR Data'!$U:$U,'Processed Non-zero DMR Data'!Y31,'Raw Non-zero DMR Data'!$Z:$Z,"Yes")</f>
        <v>0</v>
      </c>
      <c r="W31">
        <v>3.3142</v>
      </c>
      <c r="X31" t="s">
        <v>611</v>
      </c>
      <c r="Y31" t="s">
        <v>612</v>
      </c>
      <c r="Z31" s="257">
        <v>103001010301</v>
      </c>
    </row>
    <row r="32" spans="1:26" ht="15" customHeight="1" x14ac:dyDescent="0.25">
      <c r="A32">
        <v>2021</v>
      </c>
      <c r="B32" t="s">
        <v>425</v>
      </c>
      <c r="C32" t="s">
        <v>426</v>
      </c>
      <c r="D32" t="s">
        <v>454</v>
      </c>
      <c r="E32" t="s">
        <v>170</v>
      </c>
      <c r="F32">
        <v>39.121471999999997</v>
      </c>
      <c r="G32">
        <v>-94.473416999999998</v>
      </c>
      <c r="I32" s="1">
        <v>110000443226</v>
      </c>
      <c r="J32">
        <v>2879</v>
      </c>
      <c r="K32" s="175" t="str">
        <f>INDEX('2022 SIC to NAICS'!B:B, MATCH('Processed Non-zero DMR Data'!$J32, '2022 SIC to NAICS'!$A:$A, 0))</f>
        <v>Agricultural Chemicals, Nec</v>
      </c>
      <c r="L32" s="175">
        <f>INDEX('2022 SIC to NAICS'!C:C, MATCH('Processed Non-zero DMR Data'!$J32, '2022 SIC to NAICS'!$A:$A, 0))</f>
        <v>325320</v>
      </c>
      <c r="M32" s="175" t="str">
        <f>INDEX('2022 SIC to NAICS'!D:D, MATCH('Processed Non-zero DMR Data'!$J32, '2022 SIC to NAICS'!$A:$A, 0))</f>
        <v>Pesticide and Other Agricultural Chemical Manufacturing</v>
      </c>
      <c r="N32" s="90" t="str">
        <f>IFERROR(INDEX('NAICS Code to IS CDR Code'!B:B, MATCH('Processed Non-zero DMR Data'!L32,'NAICS Code to IS CDR Code'!A:A,0)), "NAICS/SIC Not Provided")</f>
        <v>IS25</v>
      </c>
      <c r="O32" s="91" t="str">
        <f>IFERROR(INDEX('NAICS Code to IS CDR Code'!C:C, MATCH('Processed Non-zero DMR Data'!L32,'NAICS Code to IS CDR Code'!A:A,0)), "NAICS/SIC Not Provided")</f>
        <v>Pesticide, Fertilizer, and Other Agricultural Chemical Manufacturing</v>
      </c>
      <c r="P32" s="91" t="e">
        <f>INDEX('11DCA Mapping'!$K:$K, MATCH('Processed Non-zero DMR Data'!I33,'11DCA Mapping'!$J:$J,0))</f>
        <v>#N/A</v>
      </c>
      <c r="Q32" s="91" t="e">
        <f>INDEX('11DCA Mapping'!$L:$L, MATCH('Processed Non-zero DMR Data'!I33,'11DCA Mapping'!$J:$J,0))</f>
        <v>#N/A</v>
      </c>
      <c r="R32" s="250" t="str">
        <f>VLOOKUP(I32,'DMR POTW Flag'!$A$2:$B$960,2,FALSE)</f>
        <v>NON-POTW</v>
      </c>
      <c r="S32" s="7" t="s">
        <v>62</v>
      </c>
      <c r="T32" s="7" t="s">
        <v>610</v>
      </c>
      <c r="U32" s="8">
        <f>COUNTIFS('Raw Non-zero DMR Data'!$A:$A, 'Processed Non-zero DMR Data'!A32, 'Raw Non-zero DMR Data'!$C:$C, X32, 'Raw Non-zero DMR Data'!$U:$U,'Processed Non-zero DMR Data'!Y32)</f>
        <v>1</v>
      </c>
      <c r="V32" s="8">
        <f>COUNTIFS('Raw Non-zero DMR Data'!$A:$A, 'Processed Non-zero DMR Data'!A32, 'Raw Non-zero DMR Data'!$C:$C, X32, 'Raw Non-zero DMR Data'!$U:$U,'Processed Non-zero DMR Data'!Y32,'Raw Non-zero DMR Data'!$Z:$Z,"Yes")</f>
        <v>0</v>
      </c>
      <c r="W32">
        <v>9.9426000000000005</v>
      </c>
      <c r="X32" t="s">
        <v>611</v>
      </c>
      <c r="Y32" t="s">
        <v>612</v>
      </c>
      <c r="Z32" s="257">
        <v>103001010301</v>
      </c>
    </row>
    <row r="33" spans="1:26" ht="15" customHeight="1" x14ac:dyDescent="0.25">
      <c r="A33">
        <v>2022</v>
      </c>
      <c r="B33" t="s">
        <v>425</v>
      </c>
      <c r="C33" t="s">
        <v>426</v>
      </c>
      <c r="D33" t="s">
        <v>454</v>
      </c>
      <c r="E33" t="s">
        <v>170</v>
      </c>
      <c r="F33">
        <v>39.121471999999997</v>
      </c>
      <c r="G33">
        <v>-94.473416999999998</v>
      </c>
      <c r="I33" s="1">
        <v>110000443226</v>
      </c>
      <c r="J33">
        <v>2879</v>
      </c>
      <c r="K33" s="175" t="str">
        <f>INDEX('2022 SIC to NAICS'!B:B, MATCH('Processed Non-zero DMR Data'!$J33, '2022 SIC to NAICS'!$A:$A, 0))</f>
        <v>Agricultural Chemicals, Nec</v>
      </c>
      <c r="L33" s="175">
        <f>INDEX('2022 SIC to NAICS'!C:C, MATCH('Processed Non-zero DMR Data'!$J33, '2022 SIC to NAICS'!$A:$A, 0))</f>
        <v>325320</v>
      </c>
      <c r="M33" s="175" t="str">
        <f>INDEX('2022 SIC to NAICS'!D:D, MATCH('Processed Non-zero DMR Data'!$J33, '2022 SIC to NAICS'!$A:$A, 0))</f>
        <v>Pesticide and Other Agricultural Chemical Manufacturing</v>
      </c>
      <c r="N33" s="90" t="str">
        <f>IFERROR(INDEX('NAICS Code to IS CDR Code'!B:B, MATCH('Processed Non-zero DMR Data'!L33,'NAICS Code to IS CDR Code'!A:A,0)), "NAICS/SIC Not Provided")</f>
        <v>IS25</v>
      </c>
      <c r="O33" s="91" t="str">
        <f>IFERROR(INDEX('NAICS Code to IS CDR Code'!C:C, MATCH('Processed Non-zero DMR Data'!L33,'NAICS Code to IS CDR Code'!A:A,0)), "NAICS/SIC Not Provided")</f>
        <v>Pesticide, Fertilizer, and Other Agricultural Chemical Manufacturing</v>
      </c>
      <c r="P33" s="91" t="e">
        <f>INDEX('11DCA Mapping'!$K:$K, MATCH('Processed Non-zero DMR Data'!I34,'11DCA Mapping'!$J:$J,0))</f>
        <v>#N/A</v>
      </c>
      <c r="Q33" s="91" t="e">
        <f>INDEX('11DCA Mapping'!$L:$L, MATCH('Processed Non-zero DMR Data'!I34,'11DCA Mapping'!$J:$J,0))</f>
        <v>#N/A</v>
      </c>
      <c r="R33" s="250" t="str">
        <f>VLOOKUP(I33,'DMR POTW Flag'!$A$2:$B$960,2,FALSE)</f>
        <v>NON-POTW</v>
      </c>
      <c r="S33" s="7" t="s">
        <v>62</v>
      </c>
      <c r="T33" s="7" t="s">
        <v>610</v>
      </c>
      <c r="U33" s="8">
        <f>COUNTIFS('Raw Non-zero DMR Data'!$A:$A, 'Processed Non-zero DMR Data'!A33, 'Raw Non-zero DMR Data'!$C:$C, X33, 'Raw Non-zero DMR Data'!$U:$U,'Processed Non-zero DMR Data'!Y33)</f>
        <v>1</v>
      </c>
      <c r="V33" s="8">
        <f>COUNTIFS('Raw Non-zero DMR Data'!$A:$A, 'Processed Non-zero DMR Data'!A33, 'Raw Non-zero DMR Data'!$C:$C, X33, 'Raw Non-zero DMR Data'!$U:$U,'Processed Non-zero DMR Data'!Y33,'Raw Non-zero DMR Data'!$Z:$Z,"Yes")</f>
        <v>0</v>
      </c>
      <c r="W33">
        <v>1.6571</v>
      </c>
      <c r="X33" t="s">
        <v>611</v>
      </c>
      <c r="Y33" t="s">
        <v>612</v>
      </c>
      <c r="Z33" s="257">
        <v>103001010301</v>
      </c>
    </row>
    <row r="34" spans="1:26" ht="15" customHeight="1" x14ac:dyDescent="0.25">
      <c r="A34">
        <v>2023</v>
      </c>
      <c r="B34" t="s">
        <v>425</v>
      </c>
      <c r="C34" t="s">
        <v>426</v>
      </c>
      <c r="D34" t="s">
        <v>454</v>
      </c>
      <c r="E34" t="s">
        <v>170</v>
      </c>
      <c r="F34">
        <v>39.121471999999997</v>
      </c>
      <c r="G34">
        <v>-94.473416999999998</v>
      </c>
      <c r="I34" s="1">
        <v>110000443226</v>
      </c>
      <c r="J34">
        <v>2879</v>
      </c>
      <c r="K34" s="175" t="str">
        <f>INDEX('2022 SIC to NAICS'!B:B, MATCH('Processed Non-zero DMR Data'!$J34, '2022 SIC to NAICS'!$A:$A, 0))</f>
        <v>Agricultural Chemicals, Nec</v>
      </c>
      <c r="L34" s="175">
        <f>INDEX('2022 SIC to NAICS'!C:C, MATCH('Processed Non-zero DMR Data'!$J34, '2022 SIC to NAICS'!$A:$A, 0))</f>
        <v>325320</v>
      </c>
      <c r="M34" s="175" t="str">
        <f>INDEX('2022 SIC to NAICS'!D:D, MATCH('Processed Non-zero DMR Data'!$J34, '2022 SIC to NAICS'!$A:$A, 0))</f>
        <v>Pesticide and Other Agricultural Chemical Manufacturing</v>
      </c>
      <c r="N34" s="90" t="str">
        <f>IFERROR(INDEX('NAICS Code to IS CDR Code'!B:B, MATCH('Processed Non-zero DMR Data'!L34,'NAICS Code to IS CDR Code'!A:A,0)), "NAICS/SIC Not Provided")</f>
        <v>IS25</v>
      </c>
      <c r="O34" s="91" t="str">
        <f>IFERROR(INDEX('NAICS Code to IS CDR Code'!C:C, MATCH('Processed Non-zero DMR Data'!L34,'NAICS Code to IS CDR Code'!A:A,0)), "NAICS/SIC Not Provided")</f>
        <v>Pesticide, Fertilizer, and Other Agricultural Chemical Manufacturing</v>
      </c>
      <c r="P34" s="91" t="str">
        <f>INDEX('11DCA Mapping'!$K:$K, MATCH('Processed Non-zero DMR Data'!I35,'11DCA Mapping'!$J:$J,0))</f>
        <v>POTW</v>
      </c>
      <c r="Q34" s="91" t="str">
        <f>INDEX('11DCA Mapping'!$L:$L, MATCH('Processed Non-zero DMR Data'!I35,'11DCA Mapping'!$J:$J,0))</f>
        <v>Assigned POTW per "Facility Type Indicator"</v>
      </c>
      <c r="R34" s="250" t="str">
        <f>VLOOKUP(I34,'DMR POTW Flag'!$A$2:$B$960,2,FALSE)</f>
        <v>NON-POTW</v>
      </c>
      <c r="S34" s="7" t="s">
        <v>62</v>
      </c>
      <c r="T34" s="7" t="s">
        <v>610</v>
      </c>
      <c r="U34" s="8">
        <f>COUNTIFS('Raw Non-zero DMR Data'!$A:$A, 'Processed Non-zero DMR Data'!A34, 'Raw Non-zero DMR Data'!$C:$C, X34, 'Raw Non-zero DMR Data'!$U:$U,'Processed Non-zero DMR Data'!Y34)</f>
        <v>1</v>
      </c>
      <c r="V34" s="8">
        <f>COUNTIFS('Raw Non-zero DMR Data'!$A:$A, 'Processed Non-zero DMR Data'!A34, 'Raw Non-zero DMR Data'!$C:$C, X34, 'Raw Non-zero DMR Data'!$U:$U,'Processed Non-zero DMR Data'!Y34,'Raw Non-zero DMR Data'!$Z:$Z,"Yes")</f>
        <v>0</v>
      </c>
      <c r="W34">
        <v>13.2568</v>
      </c>
      <c r="X34" t="s">
        <v>611</v>
      </c>
      <c r="Y34" t="s">
        <v>612</v>
      </c>
      <c r="Z34" s="257">
        <v>103001010301</v>
      </c>
    </row>
    <row r="35" spans="1:26" ht="15" customHeight="1" x14ac:dyDescent="0.25">
      <c r="A35">
        <v>2020</v>
      </c>
      <c r="B35" t="s">
        <v>416</v>
      </c>
      <c r="C35" t="s">
        <v>417</v>
      </c>
      <c r="D35" t="s">
        <v>613</v>
      </c>
      <c r="E35" t="s">
        <v>146</v>
      </c>
      <c r="F35">
        <v>33.926245999999999</v>
      </c>
      <c r="G35">
        <v>-116.992552</v>
      </c>
      <c r="I35" s="1">
        <v>110055992993</v>
      </c>
      <c r="J35">
        <v>4952</v>
      </c>
      <c r="K35" s="175" t="str">
        <f>INDEX('2022 SIC to NAICS'!B:B, MATCH('Processed Non-zero DMR Data'!$J35, '2022 SIC to NAICS'!$A:$A, 0))</f>
        <v>Sewerage Systems</v>
      </c>
      <c r="L35" s="175">
        <f>INDEX('2022 SIC to NAICS'!C:C, MATCH('Processed Non-zero DMR Data'!$J35, '2022 SIC to NAICS'!$A:$A, 0))</f>
        <v>221320</v>
      </c>
      <c r="M35" s="175" t="str">
        <f>INDEX('2022 SIC to NAICS'!D:D, MATCH('Processed Non-zero DMR Data'!$J35, '2022 SIC to NAICS'!$A:$A, 0))</f>
        <v xml:space="preserve">Sewage Treatment Facilities </v>
      </c>
      <c r="N35" s="90" t="str">
        <f>IFERROR(INDEX('NAICS Code to IS CDR Code'!B:B, MATCH('Processed Non-zero DMR Data'!L35,'NAICS Code to IS CDR Code'!A:A,0)), "NAICS/SIC Not Provided")</f>
        <v>IS4</v>
      </c>
      <c r="O35" s="91" t="str">
        <f>IFERROR(INDEX('NAICS Code to IS CDR Code'!C:C, MATCH('Processed Non-zero DMR Data'!L35,'NAICS Code to IS CDR Code'!A:A,0)), "NAICS/SIC Not Provided")</f>
        <v>Utilities</v>
      </c>
      <c r="P35" s="91" t="str">
        <f>INDEX('11DCA Mapping'!$K:$K, MATCH('Processed Non-zero DMR Data'!I36,'11DCA Mapping'!$J:$J,0))</f>
        <v>POTW</v>
      </c>
      <c r="Q35" s="91" t="str">
        <f>INDEX('11DCA Mapping'!$L:$L, MATCH('Processed Non-zero DMR Data'!I36,'11DCA Mapping'!$J:$J,0))</f>
        <v>Assigned POTW per "Facility Type Indicator"</v>
      </c>
      <c r="R35" s="250" t="str">
        <f>VLOOKUP(I35,'DMR POTW Flag'!$A$2:$B$960,2,FALSE)</f>
        <v>POTW</v>
      </c>
      <c r="S35" s="7" t="s">
        <v>67</v>
      </c>
      <c r="T35" s="249" t="s">
        <v>586</v>
      </c>
      <c r="U35" s="8">
        <f>COUNTIFS('Raw Non-zero DMR Data'!$A:$A, 'Processed Non-zero DMR Data'!A35, 'Raw Non-zero DMR Data'!$C:$C, X35, 'Raw Non-zero DMR Data'!$U:$U,'Processed Non-zero DMR Data'!Y35)</f>
        <v>1</v>
      </c>
      <c r="V35" s="8">
        <f>COUNTIFS('Raw Non-zero DMR Data'!$A:$A, 'Processed Non-zero DMR Data'!A35, 'Raw Non-zero DMR Data'!$C:$C, X35, 'Raw Non-zero DMR Data'!$U:$U,'Processed Non-zero DMR Data'!Y35,'Raw Non-zero DMR Data'!$Z:$Z,"Yes")</f>
        <v>1</v>
      </c>
      <c r="W35">
        <v>0.15787929547499999</v>
      </c>
      <c r="X35" t="s">
        <v>614</v>
      </c>
      <c r="Y35" t="s">
        <v>615</v>
      </c>
      <c r="Z35" s="257">
        <v>180702030401</v>
      </c>
    </row>
    <row r="36" spans="1:26" ht="15" customHeight="1" x14ac:dyDescent="0.25">
      <c r="A36">
        <v>2021</v>
      </c>
      <c r="B36" t="s">
        <v>416</v>
      </c>
      <c r="C36" t="s">
        <v>417</v>
      </c>
      <c r="D36" t="s">
        <v>613</v>
      </c>
      <c r="E36" t="s">
        <v>146</v>
      </c>
      <c r="F36">
        <v>33.926245999999999</v>
      </c>
      <c r="G36">
        <v>-116.992552</v>
      </c>
      <c r="I36" s="1">
        <v>110055992993</v>
      </c>
      <c r="J36">
        <v>4952</v>
      </c>
      <c r="K36" s="175" t="str">
        <f>INDEX('2022 SIC to NAICS'!B:B, MATCH('Processed Non-zero DMR Data'!$J36, '2022 SIC to NAICS'!$A:$A, 0))</f>
        <v>Sewerage Systems</v>
      </c>
      <c r="L36" s="175">
        <f>INDEX('2022 SIC to NAICS'!C:C, MATCH('Processed Non-zero DMR Data'!$J36, '2022 SIC to NAICS'!$A:$A, 0))</f>
        <v>221320</v>
      </c>
      <c r="M36" s="175" t="str">
        <f>INDEX('2022 SIC to NAICS'!D:D, MATCH('Processed Non-zero DMR Data'!$J36, '2022 SIC to NAICS'!$A:$A, 0))</f>
        <v xml:space="preserve">Sewage Treatment Facilities </v>
      </c>
      <c r="N36" s="90" t="str">
        <f>IFERROR(INDEX('NAICS Code to IS CDR Code'!B:B, MATCH('Processed Non-zero DMR Data'!L36,'NAICS Code to IS CDR Code'!A:A,0)), "NAICS/SIC Not Provided")</f>
        <v>IS4</v>
      </c>
      <c r="O36" s="91" t="str">
        <f>IFERROR(INDEX('NAICS Code to IS CDR Code'!C:C, MATCH('Processed Non-zero DMR Data'!L36,'NAICS Code to IS CDR Code'!A:A,0)), "NAICS/SIC Not Provided")</f>
        <v>Utilities</v>
      </c>
      <c r="P36" s="91" t="str">
        <f>INDEX('11DCA Mapping'!$K:$K, MATCH('Processed Non-zero DMR Data'!I37,'11DCA Mapping'!$J:$J,0))</f>
        <v>POTW</v>
      </c>
      <c r="Q36" s="91" t="str">
        <f>INDEX('11DCA Mapping'!$L:$L, MATCH('Processed Non-zero DMR Data'!I37,'11DCA Mapping'!$J:$J,0))</f>
        <v>Assigned POTW per "Facility Type Indicator"</v>
      </c>
      <c r="R36" s="250" t="str">
        <f>VLOOKUP(I36,'DMR POTW Flag'!$A$2:$B$960,2,FALSE)</f>
        <v>POTW</v>
      </c>
      <c r="S36" s="7" t="s">
        <v>67</v>
      </c>
      <c r="T36" s="249" t="s">
        <v>586</v>
      </c>
      <c r="U36" s="8">
        <f>COUNTIFS('Raw Non-zero DMR Data'!$A:$A, 'Processed Non-zero DMR Data'!A36, 'Raw Non-zero DMR Data'!$C:$C, X36, 'Raw Non-zero DMR Data'!$U:$U,'Processed Non-zero DMR Data'!Y36)</f>
        <v>1</v>
      </c>
      <c r="V36" s="8">
        <f>COUNTIFS('Raw Non-zero DMR Data'!$A:$A, 'Processed Non-zero DMR Data'!A36, 'Raw Non-zero DMR Data'!$C:$C, X36, 'Raw Non-zero DMR Data'!$U:$U,'Processed Non-zero DMR Data'!Y36,'Raw Non-zero DMR Data'!$Z:$Z,"Yes")</f>
        <v>0</v>
      </c>
      <c r="W36">
        <v>0.29588120925</v>
      </c>
      <c r="X36" t="s">
        <v>614</v>
      </c>
      <c r="Y36" t="s">
        <v>615</v>
      </c>
      <c r="Z36" s="257">
        <v>180702030401</v>
      </c>
    </row>
    <row r="37" spans="1:26" ht="15" customHeight="1" x14ac:dyDescent="0.25">
      <c r="A37">
        <v>2023</v>
      </c>
      <c r="B37" t="s">
        <v>416</v>
      </c>
      <c r="C37" t="s">
        <v>417</v>
      </c>
      <c r="D37" t="s">
        <v>613</v>
      </c>
      <c r="E37" t="s">
        <v>146</v>
      </c>
      <c r="F37">
        <v>33.926245999999999</v>
      </c>
      <c r="G37">
        <v>-116.992552</v>
      </c>
      <c r="I37" s="1">
        <v>110055992993</v>
      </c>
      <c r="J37">
        <v>4952</v>
      </c>
      <c r="K37" s="175" t="str">
        <f>INDEX('2022 SIC to NAICS'!B:B, MATCH('Processed Non-zero DMR Data'!$J37, '2022 SIC to NAICS'!$A:$A, 0))</f>
        <v>Sewerage Systems</v>
      </c>
      <c r="L37" s="175">
        <f>INDEX('2022 SIC to NAICS'!C:C, MATCH('Processed Non-zero DMR Data'!$J37, '2022 SIC to NAICS'!$A:$A, 0))</f>
        <v>221320</v>
      </c>
      <c r="M37" s="175" t="str">
        <f>INDEX('2022 SIC to NAICS'!D:D, MATCH('Processed Non-zero DMR Data'!$J37, '2022 SIC to NAICS'!$A:$A, 0))</f>
        <v xml:space="preserve">Sewage Treatment Facilities </v>
      </c>
      <c r="N37" s="90" t="str">
        <f>IFERROR(INDEX('NAICS Code to IS CDR Code'!B:B, MATCH('Processed Non-zero DMR Data'!L37,'NAICS Code to IS CDR Code'!A:A,0)), "NAICS/SIC Not Provided")</f>
        <v>IS4</v>
      </c>
      <c r="O37" s="91" t="str">
        <f>IFERROR(INDEX('NAICS Code to IS CDR Code'!C:C, MATCH('Processed Non-zero DMR Data'!L37,'NAICS Code to IS CDR Code'!A:A,0)), "NAICS/SIC Not Provided")</f>
        <v>Utilities</v>
      </c>
      <c r="P37" s="91" t="str">
        <f>INDEX('11DCA Mapping'!$K:$K, MATCH('Processed Non-zero DMR Data'!I38,'11DCA Mapping'!$J:$J,0))</f>
        <v>Waste handling, disposal, treatment, and recycling</v>
      </c>
      <c r="Q37" s="91" t="str">
        <f>INDEX('11DCA Mapping'!$L:$L, MATCH('Processed Non-zero DMR Data'!I38,'11DCA Mapping'!$J:$J,0))</f>
        <v>Based on site information</v>
      </c>
      <c r="R37" s="250" t="str">
        <f>VLOOKUP(I37,'DMR POTW Flag'!$A$2:$B$960,2,FALSE)</f>
        <v>POTW</v>
      </c>
      <c r="S37" s="7" t="s">
        <v>67</v>
      </c>
      <c r="T37" s="249" t="s">
        <v>586</v>
      </c>
      <c r="U37" s="8">
        <f>COUNTIFS('Raw Non-zero DMR Data'!$A:$A, 'Processed Non-zero DMR Data'!A37, 'Raw Non-zero DMR Data'!$C:$C, X37, 'Raw Non-zero DMR Data'!$U:$U,'Processed Non-zero DMR Data'!Y37)</f>
        <v>1</v>
      </c>
      <c r="V37" s="8">
        <f>COUNTIFS('Raw Non-zero DMR Data'!$A:$A, 'Processed Non-zero DMR Data'!A37, 'Raw Non-zero DMR Data'!$C:$C, X37, 'Raw Non-zero DMR Data'!$U:$U,'Processed Non-zero DMR Data'!Y37,'Raw Non-zero DMR Data'!$Z:$Z,"Yes")</f>
        <v>1</v>
      </c>
      <c r="W37">
        <v>1.178440825</v>
      </c>
      <c r="X37" t="s">
        <v>614</v>
      </c>
      <c r="Y37" t="s">
        <v>615</v>
      </c>
      <c r="Z37" s="257">
        <v>180702030401</v>
      </c>
    </row>
    <row r="38" spans="1:26" ht="15" customHeight="1" x14ac:dyDescent="0.25">
      <c r="A38">
        <v>2022</v>
      </c>
      <c r="B38" t="s">
        <v>510</v>
      </c>
      <c r="C38" t="s">
        <v>145</v>
      </c>
      <c r="D38" t="s">
        <v>616</v>
      </c>
      <c r="E38" t="s">
        <v>146</v>
      </c>
      <c r="F38">
        <v>39.915689999999998</v>
      </c>
      <c r="G38">
        <v>-122.10365</v>
      </c>
      <c r="I38" s="1">
        <v>110054272210</v>
      </c>
      <c r="J38">
        <v>2033</v>
      </c>
      <c r="K38" s="175" t="str">
        <f>INDEX('2022 SIC to NAICS'!B:B, MATCH('Processed Non-zero DMR Data'!$J38, '2022 SIC to NAICS'!$A:$A, 0))</f>
        <v>Canned Fruits and Specialties</v>
      </c>
      <c r="L38" s="175">
        <f>INDEX('2022 SIC to NAICS'!C:C, MATCH('Processed Non-zero DMR Data'!$J38, '2022 SIC to NAICS'!$A:$A, 0))</f>
        <v>311421</v>
      </c>
      <c r="M38" s="175" t="str">
        <f>INDEX('2022 SIC to NAICS'!D:D, MATCH('Processed Non-zero DMR Data'!$J38, '2022 SIC to NAICS'!$A:$A, 0))</f>
        <v xml:space="preserve">Fruit and Vegetable Canning </v>
      </c>
      <c r="N38" s="90" t="str">
        <f>IFERROR(INDEX('NAICS Code to IS CDR Code'!B:B, MATCH('Processed Non-zero DMR Data'!L38,'NAICS Code to IS CDR Code'!A:A,0)), "NAICS/SIC Not Provided")</f>
        <v>IS6</v>
      </c>
      <c r="O38" s="91" t="str">
        <f>IFERROR(INDEX('NAICS Code to IS CDR Code'!C:C, MATCH('Processed Non-zero DMR Data'!L38,'NAICS Code to IS CDR Code'!A:A,0)), "NAICS/SIC Not Provided")</f>
        <v>Food, beverage, and tobacco product manufacturing</v>
      </c>
      <c r="P38" s="91" t="str">
        <f>INDEX('11DCA Mapping'!$K:$K, MATCH('Processed Non-zero DMR Data'!I39,'11DCA Mapping'!$J:$J,0))</f>
        <v>Waste handling, disposal, treatment, and recycling</v>
      </c>
      <c r="Q38" s="91" t="str">
        <f>INDEX('11DCA Mapping'!$L:$L, MATCH('Processed Non-zero DMR Data'!I39,'11DCA Mapping'!$J:$J,0))</f>
        <v>Based on site information</v>
      </c>
      <c r="R38" s="250" t="str">
        <f>VLOOKUP(I38,'DMR POTW Flag'!$A$2:$B$960,2,FALSE)</f>
        <v>NON-POTW</v>
      </c>
      <c r="S38" s="7" t="s">
        <v>68</v>
      </c>
      <c r="T38" s="249" t="s">
        <v>617</v>
      </c>
      <c r="U38" s="8">
        <f>COUNTIFS('Raw Non-zero DMR Data'!$A:$A, 'Processed Non-zero DMR Data'!A38, 'Raw Non-zero DMR Data'!$C:$C, X38, 'Raw Non-zero DMR Data'!$U:$U,'Processed Non-zero DMR Data'!Y38)</f>
        <v>1</v>
      </c>
      <c r="V38" s="8">
        <f>COUNTIFS('Raw Non-zero DMR Data'!$A:$A, 'Processed Non-zero DMR Data'!A38, 'Raw Non-zero DMR Data'!$C:$C, X38, 'Raw Non-zero DMR Data'!$U:$U,'Processed Non-zero DMR Data'!Y38,'Raw Non-zero DMR Data'!$Z:$Z,"Yes")</f>
        <v>1</v>
      </c>
      <c r="W38">
        <v>3.9268744166666598E-2</v>
      </c>
      <c r="X38" t="s">
        <v>618</v>
      </c>
      <c r="Y38" t="s">
        <v>619</v>
      </c>
      <c r="Z38" s="257">
        <v>180201570701</v>
      </c>
    </row>
    <row r="39" spans="1:26" ht="15" customHeight="1" x14ac:dyDescent="0.25">
      <c r="A39">
        <v>2023</v>
      </c>
      <c r="B39" t="s">
        <v>510</v>
      </c>
      <c r="C39" t="s">
        <v>145</v>
      </c>
      <c r="D39" t="s">
        <v>616</v>
      </c>
      <c r="E39" t="s">
        <v>146</v>
      </c>
      <c r="F39">
        <v>39.915689999999998</v>
      </c>
      <c r="G39">
        <v>-122.10365</v>
      </c>
      <c r="I39" s="1">
        <v>110054272210</v>
      </c>
      <c r="J39">
        <v>2033</v>
      </c>
      <c r="K39" s="175" t="str">
        <f>INDEX('2022 SIC to NAICS'!B:B, MATCH('Processed Non-zero DMR Data'!$J39, '2022 SIC to NAICS'!$A:$A, 0))</f>
        <v>Canned Fruits and Specialties</v>
      </c>
      <c r="L39" s="175">
        <f>INDEX('2022 SIC to NAICS'!C:C, MATCH('Processed Non-zero DMR Data'!$J39, '2022 SIC to NAICS'!$A:$A, 0))</f>
        <v>311421</v>
      </c>
      <c r="M39" s="175" t="str">
        <f>INDEX('2022 SIC to NAICS'!D:D, MATCH('Processed Non-zero DMR Data'!$J39, '2022 SIC to NAICS'!$A:$A, 0))</f>
        <v xml:space="preserve">Fruit and Vegetable Canning </v>
      </c>
      <c r="N39" s="90" t="str">
        <f>IFERROR(INDEX('NAICS Code to IS CDR Code'!B:B, MATCH('Processed Non-zero DMR Data'!L39,'NAICS Code to IS CDR Code'!A:A,0)), "NAICS/SIC Not Provided")</f>
        <v>IS6</v>
      </c>
      <c r="O39" s="91" t="str">
        <f>IFERROR(INDEX('NAICS Code to IS CDR Code'!C:C, MATCH('Processed Non-zero DMR Data'!L39,'NAICS Code to IS CDR Code'!A:A,0)), "NAICS/SIC Not Provided")</f>
        <v>Food, beverage, and tobacco product manufacturing</v>
      </c>
      <c r="P39" s="91" t="str">
        <f>INDEX('11DCA Mapping'!$K:$K, MATCH('Processed Non-zero DMR Data'!I40,'11DCA Mapping'!$J:$J,0))</f>
        <v>POTW</v>
      </c>
      <c r="Q39" s="91" t="str">
        <f>INDEX('11DCA Mapping'!$L:$L, MATCH('Processed Non-zero DMR Data'!I40,'11DCA Mapping'!$J:$J,0))</f>
        <v>Assigned POTW per "Facility Type Indicator"</v>
      </c>
      <c r="R39" s="250" t="str">
        <f>VLOOKUP(I39,'DMR POTW Flag'!$A$2:$B$960,2,FALSE)</f>
        <v>NON-POTW</v>
      </c>
      <c r="S39" s="7" t="s">
        <v>68</v>
      </c>
      <c r="T39" s="249" t="s">
        <v>617</v>
      </c>
      <c r="U39" s="8">
        <f>COUNTIFS('Raw Non-zero DMR Data'!$A:$A, 'Processed Non-zero DMR Data'!A39, 'Raw Non-zero DMR Data'!$C:$C, X39, 'Raw Non-zero DMR Data'!$U:$U,'Processed Non-zero DMR Data'!Y39)</f>
        <v>1</v>
      </c>
      <c r="V39" s="8">
        <f>COUNTIFS('Raw Non-zero DMR Data'!$A:$A, 'Processed Non-zero DMR Data'!A39, 'Raw Non-zero DMR Data'!$C:$C, X39, 'Raw Non-zero DMR Data'!$U:$U,'Processed Non-zero DMR Data'!Y39,'Raw Non-zero DMR Data'!$Z:$Z,"Yes")</f>
        <v>1</v>
      </c>
      <c r="W39">
        <v>0.16759979999999999</v>
      </c>
      <c r="X39" t="s">
        <v>618</v>
      </c>
      <c r="Y39" t="s">
        <v>619</v>
      </c>
      <c r="Z39" s="257">
        <v>180201570701</v>
      </c>
    </row>
    <row r="40" spans="1:26" ht="15" customHeight="1" x14ac:dyDescent="0.25">
      <c r="A40">
        <v>2020</v>
      </c>
      <c r="B40" t="s">
        <v>397</v>
      </c>
      <c r="C40" t="s">
        <v>398</v>
      </c>
      <c r="D40" t="s">
        <v>620</v>
      </c>
      <c r="E40" t="s">
        <v>138</v>
      </c>
      <c r="F40">
        <v>36.866140000000001</v>
      </c>
      <c r="G40">
        <v>-88.342470000000006</v>
      </c>
      <c r="I40" s="1">
        <v>110001855635</v>
      </c>
      <c r="J40">
        <v>4952</v>
      </c>
      <c r="K40" s="175" t="str">
        <f>INDEX('2022 SIC to NAICS'!B:B, MATCH('Processed Non-zero DMR Data'!$J40, '2022 SIC to NAICS'!$A:$A, 0))</f>
        <v>Sewerage Systems</v>
      </c>
      <c r="L40" s="175">
        <f>INDEX('2022 SIC to NAICS'!C:C, MATCH('Processed Non-zero DMR Data'!$J40, '2022 SIC to NAICS'!$A:$A, 0))</f>
        <v>221320</v>
      </c>
      <c r="M40" s="175" t="str">
        <f>INDEX('2022 SIC to NAICS'!D:D, MATCH('Processed Non-zero DMR Data'!$J40, '2022 SIC to NAICS'!$A:$A, 0))</f>
        <v xml:space="preserve">Sewage Treatment Facilities </v>
      </c>
      <c r="N40" s="90" t="str">
        <f>IFERROR(INDEX('NAICS Code to IS CDR Code'!B:B, MATCH('Processed Non-zero DMR Data'!L40,'NAICS Code to IS CDR Code'!A:A,0)), "NAICS/SIC Not Provided")</f>
        <v>IS4</v>
      </c>
      <c r="O40" s="91" t="str">
        <f>IFERROR(INDEX('NAICS Code to IS CDR Code'!C:C, MATCH('Processed Non-zero DMR Data'!L40,'NAICS Code to IS CDR Code'!A:A,0)), "NAICS/SIC Not Provided")</f>
        <v>Utilities</v>
      </c>
      <c r="P40" s="91" t="str">
        <f>INDEX('11DCA Mapping'!$K:$K, MATCH('Processed Non-zero DMR Data'!I41,'11DCA Mapping'!$J:$J,0))</f>
        <v>POTW</v>
      </c>
      <c r="Q40" s="91" t="str">
        <f>INDEX('11DCA Mapping'!$L:$L, MATCH('Processed Non-zero DMR Data'!I41,'11DCA Mapping'!$J:$J,0))</f>
        <v>Assigned POTW per "Facility Type Indicator"</v>
      </c>
      <c r="R40" s="250" t="str">
        <f>VLOOKUP(I40,'DMR POTW Flag'!$A$2:$B$960,2,FALSE)</f>
        <v>POTW</v>
      </c>
      <c r="S40" s="7" t="s">
        <v>67</v>
      </c>
      <c r="T40" s="249" t="s">
        <v>586</v>
      </c>
      <c r="U40" s="8">
        <f>COUNTIFS('Raw Non-zero DMR Data'!$A:$A, 'Processed Non-zero DMR Data'!A40, 'Raw Non-zero DMR Data'!$C:$C, X40, 'Raw Non-zero DMR Data'!$U:$U,'Processed Non-zero DMR Data'!Y40)</f>
        <v>1</v>
      </c>
      <c r="V40" s="8">
        <f>COUNTIFS('Raw Non-zero DMR Data'!$A:$A, 'Processed Non-zero DMR Data'!A40, 'Raw Non-zero DMR Data'!$C:$C, X40, 'Raw Non-zero DMR Data'!$U:$U,'Processed Non-zero DMR Data'!Y40,'Raw Non-zero DMR Data'!$Z:$Z,"Yes")</f>
        <v>1</v>
      </c>
      <c r="W40">
        <v>5.7747745000000004</v>
      </c>
      <c r="X40" t="s">
        <v>621</v>
      </c>
      <c r="Y40" t="s">
        <v>622</v>
      </c>
      <c r="Z40" s="257">
        <v>60400060402</v>
      </c>
    </row>
    <row r="41" spans="1:26" ht="15" customHeight="1" x14ac:dyDescent="0.25">
      <c r="A41">
        <v>2021</v>
      </c>
      <c r="B41" t="s">
        <v>397</v>
      </c>
      <c r="C41" t="s">
        <v>398</v>
      </c>
      <c r="D41" t="s">
        <v>620</v>
      </c>
      <c r="E41" t="s">
        <v>138</v>
      </c>
      <c r="F41">
        <v>36.866140000000001</v>
      </c>
      <c r="G41">
        <v>-88.342470000000006</v>
      </c>
      <c r="I41" s="1">
        <v>110001855635</v>
      </c>
      <c r="J41">
        <v>4952</v>
      </c>
      <c r="K41" s="175" t="str">
        <f>INDEX('2022 SIC to NAICS'!B:B, MATCH('Processed Non-zero DMR Data'!$J41, '2022 SIC to NAICS'!$A:$A, 0))</f>
        <v>Sewerage Systems</v>
      </c>
      <c r="L41" s="175">
        <f>INDEX('2022 SIC to NAICS'!C:C, MATCH('Processed Non-zero DMR Data'!$J41, '2022 SIC to NAICS'!$A:$A, 0))</f>
        <v>221320</v>
      </c>
      <c r="M41" s="175" t="str">
        <f>INDEX('2022 SIC to NAICS'!D:D, MATCH('Processed Non-zero DMR Data'!$J41, '2022 SIC to NAICS'!$A:$A, 0))</f>
        <v xml:space="preserve">Sewage Treatment Facilities </v>
      </c>
      <c r="N41" s="90" t="str">
        <f>IFERROR(INDEX('NAICS Code to IS CDR Code'!B:B, MATCH('Processed Non-zero DMR Data'!L41,'NAICS Code to IS CDR Code'!A:A,0)), "NAICS/SIC Not Provided")</f>
        <v>IS4</v>
      </c>
      <c r="O41" s="91" t="str">
        <f>IFERROR(INDEX('NAICS Code to IS CDR Code'!C:C, MATCH('Processed Non-zero DMR Data'!L41,'NAICS Code to IS CDR Code'!A:A,0)), "NAICS/SIC Not Provided")</f>
        <v>Utilities</v>
      </c>
      <c r="P41" s="91" t="str">
        <f>INDEX('11DCA Mapping'!$K:$K, MATCH('Processed Non-zero DMR Data'!I42,'11DCA Mapping'!$J:$J,0))</f>
        <v>POTW</v>
      </c>
      <c r="Q41" s="91" t="str">
        <f>INDEX('11DCA Mapping'!$L:$L, MATCH('Processed Non-zero DMR Data'!I42,'11DCA Mapping'!$J:$J,0))</f>
        <v>Assigned POTW per "Facility Type Indicator"</v>
      </c>
      <c r="R41" s="250" t="str">
        <f>VLOOKUP(I41,'DMR POTW Flag'!$A$2:$B$960,2,FALSE)</f>
        <v>POTW</v>
      </c>
      <c r="S41" s="7" t="s">
        <v>67</v>
      </c>
      <c r="T41" s="249" t="s">
        <v>586</v>
      </c>
      <c r="U41" s="8">
        <f>COUNTIFS('Raw Non-zero DMR Data'!$A:$A, 'Processed Non-zero DMR Data'!A41, 'Raw Non-zero DMR Data'!$C:$C, X41, 'Raw Non-zero DMR Data'!$U:$U,'Processed Non-zero DMR Data'!Y41)</f>
        <v>1</v>
      </c>
      <c r="V41" s="8">
        <f>COUNTIFS('Raw Non-zero DMR Data'!$A:$A, 'Processed Non-zero DMR Data'!A41, 'Raw Non-zero DMR Data'!$C:$C, X41, 'Raw Non-zero DMR Data'!$U:$U,'Processed Non-zero DMR Data'!Y41,'Raw Non-zero DMR Data'!$Z:$Z,"Yes")</f>
        <v>1</v>
      </c>
      <c r="W41">
        <v>4.0568481624999997</v>
      </c>
      <c r="X41" t="s">
        <v>621</v>
      </c>
      <c r="Y41" t="s">
        <v>622</v>
      </c>
      <c r="Z41" s="257">
        <v>60400060402</v>
      </c>
    </row>
    <row r="42" spans="1:26" ht="15" customHeight="1" x14ac:dyDescent="0.25">
      <c r="A42">
        <v>2022</v>
      </c>
      <c r="B42" t="s">
        <v>397</v>
      </c>
      <c r="C42" t="s">
        <v>398</v>
      </c>
      <c r="D42" t="s">
        <v>620</v>
      </c>
      <c r="E42" t="s">
        <v>138</v>
      </c>
      <c r="F42">
        <v>36.866140000000001</v>
      </c>
      <c r="G42">
        <v>-88.342470000000006</v>
      </c>
      <c r="I42" s="1">
        <v>110001855635</v>
      </c>
      <c r="J42">
        <v>4952</v>
      </c>
      <c r="K42" s="175" t="str">
        <f>INDEX('2022 SIC to NAICS'!B:B, MATCH('Processed Non-zero DMR Data'!$J42, '2022 SIC to NAICS'!$A:$A, 0))</f>
        <v>Sewerage Systems</v>
      </c>
      <c r="L42" s="175">
        <f>INDEX('2022 SIC to NAICS'!C:C, MATCH('Processed Non-zero DMR Data'!$J42, '2022 SIC to NAICS'!$A:$A, 0))</f>
        <v>221320</v>
      </c>
      <c r="M42" s="175" t="str">
        <f>INDEX('2022 SIC to NAICS'!D:D, MATCH('Processed Non-zero DMR Data'!$J42, '2022 SIC to NAICS'!$A:$A, 0))</f>
        <v xml:space="preserve">Sewage Treatment Facilities </v>
      </c>
      <c r="N42" s="90" t="str">
        <f>IFERROR(INDEX('NAICS Code to IS CDR Code'!B:B, MATCH('Processed Non-zero DMR Data'!L42,'NAICS Code to IS CDR Code'!A:A,0)), "NAICS/SIC Not Provided")</f>
        <v>IS4</v>
      </c>
      <c r="O42" s="91" t="str">
        <f>IFERROR(INDEX('NAICS Code to IS CDR Code'!C:C, MATCH('Processed Non-zero DMR Data'!L42,'NAICS Code to IS CDR Code'!A:A,0)), "NAICS/SIC Not Provided")</f>
        <v>Utilities</v>
      </c>
      <c r="P42" s="91" t="str">
        <f>INDEX('11DCA Mapping'!$K:$K, MATCH('Processed Non-zero DMR Data'!I43,'11DCA Mapping'!$J:$J,0))</f>
        <v>Processing as a Reactant</v>
      </c>
      <c r="Q42" s="91" t="str">
        <f>INDEX('11DCA Mapping'!$L:$L, MATCH('Processed Non-zero DMR Data'!I43,'11DCA Mapping'!$J:$J,0))</f>
        <v>SIC description indicates processing as a reactant</v>
      </c>
      <c r="R42" s="250" t="str">
        <f>VLOOKUP(I42,'DMR POTW Flag'!$A$2:$B$960,2,FALSE)</f>
        <v>POTW</v>
      </c>
      <c r="S42" s="7" t="s">
        <v>67</v>
      </c>
      <c r="T42" s="249" t="s">
        <v>586</v>
      </c>
      <c r="U42" s="8">
        <f>COUNTIFS('Raw Non-zero DMR Data'!$A:$A, 'Processed Non-zero DMR Data'!A42, 'Raw Non-zero DMR Data'!$C:$C, X42, 'Raw Non-zero DMR Data'!$U:$U,'Processed Non-zero DMR Data'!Y42)</f>
        <v>1</v>
      </c>
      <c r="V42" s="8">
        <f>COUNTIFS('Raw Non-zero DMR Data'!$A:$A, 'Processed Non-zero DMR Data'!A42, 'Raw Non-zero DMR Data'!$C:$C, X42, 'Raw Non-zero DMR Data'!$U:$U,'Processed Non-zero DMR Data'!Y42,'Raw Non-zero DMR Data'!$Z:$Z,"Yes")</f>
        <v>1</v>
      </c>
      <c r="W42">
        <v>3.4641739375</v>
      </c>
      <c r="X42" t="s">
        <v>621</v>
      </c>
      <c r="Y42" t="s">
        <v>622</v>
      </c>
      <c r="Z42" s="257">
        <v>60400060402</v>
      </c>
    </row>
    <row r="43" spans="1:26" ht="15" customHeight="1" x14ac:dyDescent="0.25">
      <c r="A43">
        <v>2019</v>
      </c>
      <c r="B43" t="s">
        <v>180</v>
      </c>
      <c r="C43" t="s">
        <v>181</v>
      </c>
      <c r="D43" t="s">
        <v>623</v>
      </c>
      <c r="E43" t="s">
        <v>106</v>
      </c>
      <c r="F43">
        <v>30.486767</v>
      </c>
      <c r="G43">
        <v>-90.925479999999993</v>
      </c>
      <c r="I43" s="1">
        <v>110000597355</v>
      </c>
      <c r="J43">
        <v>2899</v>
      </c>
      <c r="K43" s="175" t="str">
        <f>INDEX('2022 SIC to NAICS'!B:B, MATCH('Processed Non-zero DMR Data'!$J43, '2022 SIC to NAICS'!$A:$A, 0))</f>
        <v>Chemical Preparations, Nec</v>
      </c>
      <c r="L43" s="175">
        <f>INDEX('2022 SIC to NAICS'!C:C, MATCH('Processed Non-zero DMR Data'!$J43, '2022 SIC to NAICS'!$A:$A, 0))</f>
        <v>311942</v>
      </c>
      <c r="M43" s="175" t="str">
        <f>INDEX('2022 SIC to NAICS'!D:D, MATCH('Processed Non-zero DMR Data'!$J43, '2022 SIC to NAICS'!$A:$A, 0))</f>
        <v xml:space="preserve">Spice and Extract Manufacturing </v>
      </c>
      <c r="N43" s="90" t="str">
        <f>IFERROR(INDEX('NAICS Code to IS CDR Code'!B:B, MATCH('Processed Non-zero DMR Data'!L43,'NAICS Code to IS CDR Code'!A:A,0)), "NAICS/SIC Not Provided")</f>
        <v>IS6</v>
      </c>
      <c r="O43" s="91" t="str">
        <f>IFERROR(INDEX('NAICS Code to IS CDR Code'!C:C, MATCH('Processed Non-zero DMR Data'!L43,'NAICS Code to IS CDR Code'!A:A,0)), "NAICS/SIC Not Provided")</f>
        <v>Food, beverage, and tobacco product manufacturing</v>
      </c>
      <c r="P43" s="91" t="str">
        <f>INDEX('11DCA Mapping'!$K:$K, MATCH('Processed Non-zero DMR Data'!I44,'11DCA Mapping'!$J:$J,0))</f>
        <v>Processing as a Reactant</v>
      </c>
      <c r="Q43" s="91" t="str">
        <f>INDEX('11DCA Mapping'!$L:$L, MATCH('Processed Non-zero DMR Data'!I44,'11DCA Mapping'!$J:$J,0))</f>
        <v>SIC description indicates processing as a reactant</v>
      </c>
      <c r="R43" s="250" t="str">
        <f>VLOOKUP(I43,'DMR POTW Flag'!$A$2:$B$960,2,FALSE)</f>
        <v>NON-POTW</v>
      </c>
      <c r="S43" s="7" t="s">
        <v>62</v>
      </c>
      <c r="T43" s="7" t="s">
        <v>624</v>
      </c>
      <c r="U43" s="8">
        <f>COUNTIFS('Raw Non-zero DMR Data'!$A:$A, 'Processed Non-zero DMR Data'!A43, 'Raw Non-zero DMR Data'!$C:$C, X43, 'Raw Non-zero DMR Data'!$U:$U,'Processed Non-zero DMR Data'!Y43)</f>
        <v>1</v>
      </c>
      <c r="V43" s="8">
        <f>COUNTIFS('Raw Non-zero DMR Data'!$A:$A, 'Processed Non-zero DMR Data'!A43, 'Raw Non-zero DMR Data'!$C:$C, X43, 'Raw Non-zero DMR Data'!$U:$U,'Processed Non-zero DMR Data'!Y43,'Raw Non-zero DMR Data'!$Z:$Z,"Yes")</f>
        <v>1</v>
      </c>
      <c r="W43">
        <v>3.3141999999999998E-2</v>
      </c>
      <c r="X43" t="s">
        <v>625</v>
      </c>
      <c r="Y43" t="s">
        <v>626</v>
      </c>
      <c r="Z43" s="257">
        <v>80702020903</v>
      </c>
    </row>
    <row r="44" spans="1:26" ht="15" customHeight="1" x14ac:dyDescent="0.25">
      <c r="A44">
        <v>2020</v>
      </c>
      <c r="B44" t="s">
        <v>180</v>
      </c>
      <c r="C44" t="s">
        <v>181</v>
      </c>
      <c r="D44" t="s">
        <v>623</v>
      </c>
      <c r="E44" t="s">
        <v>106</v>
      </c>
      <c r="F44">
        <v>30.486767</v>
      </c>
      <c r="G44">
        <v>-90.925479999999993</v>
      </c>
      <c r="I44" s="1">
        <v>110000597355</v>
      </c>
      <c r="J44">
        <v>2899</v>
      </c>
      <c r="K44" s="175" t="str">
        <f>INDEX('2022 SIC to NAICS'!B:B, MATCH('Processed Non-zero DMR Data'!$J44, '2022 SIC to NAICS'!$A:$A, 0))</f>
        <v>Chemical Preparations, Nec</v>
      </c>
      <c r="L44" s="175">
        <f>INDEX('2022 SIC to NAICS'!C:C, MATCH('Processed Non-zero DMR Data'!$J44, '2022 SIC to NAICS'!$A:$A, 0))</f>
        <v>311942</v>
      </c>
      <c r="M44" s="175" t="str">
        <f>INDEX('2022 SIC to NAICS'!D:D, MATCH('Processed Non-zero DMR Data'!$J44, '2022 SIC to NAICS'!$A:$A, 0))</f>
        <v xml:space="preserve">Spice and Extract Manufacturing </v>
      </c>
      <c r="N44" s="90" t="str">
        <f>IFERROR(INDEX('NAICS Code to IS CDR Code'!B:B, MATCH('Processed Non-zero DMR Data'!L44,'NAICS Code to IS CDR Code'!A:A,0)), "NAICS/SIC Not Provided")</f>
        <v>IS6</v>
      </c>
      <c r="O44" s="91" t="str">
        <f>IFERROR(INDEX('NAICS Code to IS CDR Code'!C:C, MATCH('Processed Non-zero DMR Data'!L44,'NAICS Code to IS CDR Code'!A:A,0)), "NAICS/SIC Not Provided")</f>
        <v>Food, beverage, and tobacco product manufacturing</v>
      </c>
      <c r="P44" s="91" t="str">
        <f>INDEX('11DCA Mapping'!$K:$K, MATCH('Processed Non-zero DMR Data'!I45,'11DCA Mapping'!$J:$J,0))</f>
        <v>Processing as a Reactant</v>
      </c>
      <c r="Q44" s="91" t="str">
        <f>INDEX('11DCA Mapping'!$L:$L, MATCH('Processed Non-zero DMR Data'!I45,'11DCA Mapping'!$J:$J,0))</f>
        <v>SIC description indicates processing as a reactant</v>
      </c>
      <c r="R44" s="250" t="str">
        <f>VLOOKUP(I44,'DMR POTW Flag'!$A$2:$B$960,2,FALSE)</f>
        <v>NON-POTW</v>
      </c>
      <c r="S44" s="7" t="s">
        <v>62</v>
      </c>
      <c r="T44" s="7" t="s">
        <v>624</v>
      </c>
      <c r="U44" s="8">
        <f>COUNTIFS('Raw Non-zero DMR Data'!$A:$A, 'Processed Non-zero DMR Data'!A44, 'Raw Non-zero DMR Data'!$C:$C, X44, 'Raw Non-zero DMR Data'!$U:$U,'Processed Non-zero DMR Data'!Y44)</f>
        <v>1</v>
      </c>
      <c r="V44" s="8">
        <f>COUNTIFS('Raw Non-zero DMR Data'!$A:$A, 'Processed Non-zero DMR Data'!A44, 'Raw Non-zero DMR Data'!$C:$C, X44, 'Raw Non-zero DMR Data'!$U:$U,'Processed Non-zero DMR Data'!Y44,'Raw Non-zero DMR Data'!$Z:$Z,"Yes")</f>
        <v>1</v>
      </c>
      <c r="W44">
        <v>3.3141999999999998E-2</v>
      </c>
      <c r="X44" t="s">
        <v>625</v>
      </c>
      <c r="Y44" t="s">
        <v>626</v>
      </c>
      <c r="Z44" s="257">
        <v>80702020903</v>
      </c>
    </row>
    <row r="45" spans="1:26" ht="15" customHeight="1" x14ac:dyDescent="0.25">
      <c r="A45">
        <v>2021</v>
      </c>
      <c r="B45" t="s">
        <v>180</v>
      </c>
      <c r="C45" t="s">
        <v>181</v>
      </c>
      <c r="D45" t="s">
        <v>623</v>
      </c>
      <c r="E45" t="s">
        <v>106</v>
      </c>
      <c r="F45">
        <v>30.486767</v>
      </c>
      <c r="G45">
        <v>-90.925479999999993</v>
      </c>
      <c r="I45" s="1">
        <v>110000597355</v>
      </c>
      <c r="J45">
        <v>2899</v>
      </c>
      <c r="K45" s="175" t="str">
        <f>INDEX('2022 SIC to NAICS'!B:B, MATCH('Processed Non-zero DMR Data'!$J45, '2022 SIC to NAICS'!$A:$A, 0))</f>
        <v>Chemical Preparations, Nec</v>
      </c>
      <c r="L45" s="175">
        <f>INDEX('2022 SIC to NAICS'!C:C, MATCH('Processed Non-zero DMR Data'!$J45, '2022 SIC to NAICS'!$A:$A, 0))</f>
        <v>311942</v>
      </c>
      <c r="M45" s="175" t="str">
        <f>INDEX('2022 SIC to NAICS'!D:D, MATCH('Processed Non-zero DMR Data'!$J45, '2022 SIC to NAICS'!$A:$A, 0))</f>
        <v xml:space="preserve">Spice and Extract Manufacturing </v>
      </c>
      <c r="N45" s="90" t="str">
        <f>IFERROR(INDEX('NAICS Code to IS CDR Code'!B:B, MATCH('Processed Non-zero DMR Data'!L45,'NAICS Code to IS CDR Code'!A:A,0)), "NAICS/SIC Not Provided")</f>
        <v>IS6</v>
      </c>
      <c r="O45" s="91" t="str">
        <f>IFERROR(INDEX('NAICS Code to IS CDR Code'!C:C, MATCH('Processed Non-zero DMR Data'!L45,'NAICS Code to IS CDR Code'!A:A,0)), "NAICS/SIC Not Provided")</f>
        <v>Food, beverage, and tobacco product manufacturing</v>
      </c>
      <c r="P45" s="91" t="str">
        <f>INDEX('11DCA Mapping'!$K:$K, MATCH('Processed Non-zero DMR Data'!I46,'11DCA Mapping'!$J:$J,0))</f>
        <v>POTW</v>
      </c>
      <c r="Q45" s="91" t="str">
        <f>INDEX('11DCA Mapping'!$L:$L, MATCH('Processed Non-zero DMR Data'!I46,'11DCA Mapping'!$J:$J,0))</f>
        <v>Assigned POTW per "Facility Type Indicator"</v>
      </c>
      <c r="R45" s="250" t="str">
        <f>VLOOKUP(I45,'DMR POTW Flag'!$A$2:$B$960,2,FALSE)</f>
        <v>NON-POTW</v>
      </c>
      <c r="S45" s="7" t="s">
        <v>62</v>
      </c>
      <c r="T45" s="7" t="s">
        <v>624</v>
      </c>
      <c r="U45" s="8">
        <f>COUNTIFS('Raw Non-zero DMR Data'!$A:$A, 'Processed Non-zero DMR Data'!A45, 'Raw Non-zero DMR Data'!$C:$C, X45, 'Raw Non-zero DMR Data'!$U:$U,'Processed Non-zero DMR Data'!Y45)</f>
        <v>1</v>
      </c>
      <c r="V45" s="8">
        <f>COUNTIFS('Raw Non-zero DMR Data'!$A:$A, 'Processed Non-zero DMR Data'!A45, 'Raw Non-zero DMR Data'!$C:$C, X45, 'Raw Non-zero DMR Data'!$U:$U,'Processed Non-zero DMR Data'!Y45,'Raw Non-zero DMR Data'!$Z:$Z,"Yes")</f>
        <v>1</v>
      </c>
      <c r="W45">
        <v>1.6570999999999999E-2</v>
      </c>
      <c r="X45" t="s">
        <v>625</v>
      </c>
      <c r="Y45" t="s">
        <v>626</v>
      </c>
      <c r="Z45" s="257">
        <v>80702020903</v>
      </c>
    </row>
    <row r="46" spans="1:26" ht="15" customHeight="1" x14ac:dyDescent="0.25">
      <c r="A46">
        <v>2020</v>
      </c>
      <c r="B46" t="s">
        <v>407</v>
      </c>
      <c r="C46" t="s">
        <v>298</v>
      </c>
      <c r="D46" t="s">
        <v>627</v>
      </c>
      <c r="E46" t="s">
        <v>138</v>
      </c>
      <c r="F46">
        <v>37.608496000000002</v>
      </c>
      <c r="G46">
        <v>-84.287074000000004</v>
      </c>
      <c r="I46" s="1">
        <v>110040000398</v>
      </c>
      <c r="J46">
        <v>4952</v>
      </c>
      <c r="K46" s="175" t="str">
        <f>INDEX('2022 SIC to NAICS'!B:B, MATCH('Processed Non-zero DMR Data'!$J46, '2022 SIC to NAICS'!$A:$A, 0))</f>
        <v>Sewerage Systems</v>
      </c>
      <c r="L46" s="175">
        <f>INDEX('2022 SIC to NAICS'!C:C, MATCH('Processed Non-zero DMR Data'!$J46, '2022 SIC to NAICS'!$A:$A, 0))</f>
        <v>221320</v>
      </c>
      <c r="M46" s="175" t="str">
        <f>INDEX('2022 SIC to NAICS'!D:D, MATCH('Processed Non-zero DMR Data'!$J46, '2022 SIC to NAICS'!$A:$A, 0))</f>
        <v xml:space="preserve">Sewage Treatment Facilities </v>
      </c>
      <c r="N46" s="90" t="str">
        <f>IFERROR(INDEX('NAICS Code to IS CDR Code'!B:B, MATCH('Processed Non-zero DMR Data'!L46,'NAICS Code to IS CDR Code'!A:A,0)), "NAICS/SIC Not Provided")</f>
        <v>IS4</v>
      </c>
      <c r="O46" s="91" t="str">
        <f>IFERROR(INDEX('NAICS Code to IS CDR Code'!C:C, MATCH('Processed Non-zero DMR Data'!L46,'NAICS Code to IS CDR Code'!A:A,0)), "NAICS/SIC Not Provided")</f>
        <v>Utilities</v>
      </c>
      <c r="P46" s="91" t="str">
        <f>INDEX('11DCA Mapping'!$K:$K, MATCH('Processed Non-zero DMR Data'!I47,'11DCA Mapping'!$J:$J,0))</f>
        <v>POTW</v>
      </c>
      <c r="Q46" s="91" t="str">
        <f>INDEX('11DCA Mapping'!$L:$L, MATCH('Processed Non-zero DMR Data'!I47,'11DCA Mapping'!$J:$J,0))</f>
        <v>Assigned POTW per "Facility Type Indicator"</v>
      </c>
      <c r="R46" s="250" t="str">
        <f>VLOOKUP(I46,'DMR POTW Flag'!$A$2:$B$960,2,FALSE)</f>
        <v>POTW</v>
      </c>
      <c r="S46" s="7" t="s">
        <v>67</v>
      </c>
      <c r="T46" s="249" t="s">
        <v>586</v>
      </c>
      <c r="U46" s="8">
        <f>COUNTIFS('Raw Non-zero DMR Data'!$A:$A, 'Processed Non-zero DMR Data'!A46, 'Raw Non-zero DMR Data'!$C:$C, X46, 'Raw Non-zero DMR Data'!$U:$U,'Processed Non-zero DMR Data'!Y46)</f>
        <v>1</v>
      </c>
      <c r="V46" s="8">
        <f>COUNTIFS('Raw Non-zero DMR Data'!$A:$A, 'Processed Non-zero DMR Data'!A46, 'Raw Non-zero DMR Data'!$C:$C, X46, 'Raw Non-zero DMR Data'!$U:$U,'Processed Non-zero DMR Data'!Y46,'Raw Non-zero DMR Data'!$Z:$Z,"Yes")</f>
        <v>1</v>
      </c>
      <c r="W46">
        <v>2.8480137874999998</v>
      </c>
      <c r="X46" t="s">
        <v>628</v>
      </c>
      <c r="Y46" t="s">
        <v>629</v>
      </c>
      <c r="Z46" s="257">
        <v>51002050202</v>
      </c>
    </row>
    <row r="47" spans="1:26" ht="15" customHeight="1" x14ac:dyDescent="0.25">
      <c r="A47">
        <v>2021</v>
      </c>
      <c r="B47" t="s">
        <v>407</v>
      </c>
      <c r="C47" t="s">
        <v>298</v>
      </c>
      <c r="D47" t="s">
        <v>627</v>
      </c>
      <c r="E47" t="s">
        <v>138</v>
      </c>
      <c r="F47">
        <v>37.608496000000002</v>
      </c>
      <c r="G47">
        <v>-84.287074000000004</v>
      </c>
      <c r="I47" s="1">
        <v>110040000398</v>
      </c>
      <c r="J47">
        <v>4952</v>
      </c>
      <c r="K47" s="175" t="str">
        <f>INDEX('2022 SIC to NAICS'!B:B, MATCH('Processed Non-zero DMR Data'!$J47, '2022 SIC to NAICS'!$A:$A, 0))</f>
        <v>Sewerage Systems</v>
      </c>
      <c r="L47" s="175">
        <f>INDEX('2022 SIC to NAICS'!C:C, MATCH('Processed Non-zero DMR Data'!$J47, '2022 SIC to NAICS'!$A:$A, 0))</f>
        <v>221320</v>
      </c>
      <c r="M47" s="175" t="str">
        <f>INDEX('2022 SIC to NAICS'!D:D, MATCH('Processed Non-zero DMR Data'!$J47, '2022 SIC to NAICS'!$A:$A, 0))</f>
        <v xml:space="preserve">Sewage Treatment Facilities </v>
      </c>
      <c r="N47" s="90" t="str">
        <f>IFERROR(INDEX('NAICS Code to IS CDR Code'!B:B, MATCH('Processed Non-zero DMR Data'!L47,'NAICS Code to IS CDR Code'!A:A,0)), "NAICS/SIC Not Provided")</f>
        <v>IS4</v>
      </c>
      <c r="O47" s="91" t="str">
        <f>IFERROR(INDEX('NAICS Code to IS CDR Code'!C:C, MATCH('Processed Non-zero DMR Data'!L47,'NAICS Code to IS CDR Code'!A:A,0)), "NAICS/SIC Not Provided")</f>
        <v>Utilities</v>
      </c>
      <c r="P47" s="91" t="str">
        <f>INDEX('11DCA Mapping'!$K:$K, MATCH('Processed Non-zero DMR Data'!I48,'11DCA Mapping'!$J:$J,0))</f>
        <v>Processing as a Reactant</v>
      </c>
      <c r="Q47" s="91" t="str">
        <f>INDEX('11DCA Mapping'!$L:$L, MATCH('Processed Non-zero DMR Data'!I48,'11DCA Mapping'!$J:$J,0))</f>
        <v xml:space="preserve">Used mapping of other site with similar SIC description </v>
      </c>
      <c r="R47" s="250" t="str">
        <f>VLOOKUP(I47,'DMR POTW Flag'!$A$2:$B$960,2,FALSE)</f>
        <v>POTW</v>
      </c>
      <c r="S47" s="7" t="s">
        <v>67</v>
      </c>
      <c r="T47" s="249" t="s">
        <v>586</v>
      </c>
      <c r="U47" s="8">
        <f>COUNTIFS('Raw Non-zero DMR Data'!$A:$A, 'Processed Non-zero DMR Data'!A47, 'Raw Non-zero DMR Data'!$C:$C, X47, 'Raw Non-zero DMR Data'!$U:$U,'Processed Non-zero DMR Data'!Y47)</f>
        <v>1</v>
      </c>
      <c r="V47" s="8">
        <f>COUNTIFS('Raw Non-zero DMR Data'!$A:$A, 'Processed Non-zero DMR Data'!A47, 'Raw Non-zero DMR Data'!$C:$C, X47, 'Raw Non-zero DMR Data'!$U:$U,'Processed Non-zero DMR Data'!Y47,'Raw Non-zero DMR Data'!$Z:$Z,"Yes")</f>
        <v>1</v>
      </c>
      <c r="W47">
        <v>2.7554516124999999</v>
      </c>
      <c r="X47" t="s">
        <v>628</v>
      </c>
      <c r="Y47" t="s">
        <v>629</v>
      </c>
      <c r="Z47" s="257">
        <v>51002050202</v>
      </c>
    </row>
    <row r="48" spans="1:26" ht="15" customHeight="1" x14ac:dyDescent="0.25">
      <c r="A48">
        <v>2019</v>
      </c>
      <c r="B48" t="s">
        <v>265</v>
      </c>
      <c r="C48" t="s">
        <v>175</v>
      </c>
      <c r="D48" t="s">
        <v>630</v>
      </c>
      <c r="E48" t="s">
        <v>106</v>
      </c>
      <c r="F48">
        <v>30.23771</v>
      </c>
      <c r="G48">
        <v>-93.258650000000003</v>
      </c>
      <c r="I48" s="1">
        <v>110064611969</v>
      </c>
      <c r="J48">
        <v>2819</v>
      </c>
      <c r="K48" s="175" t="str">
        <f>INDEX('2022 SIC to NAICS'!B:B, MATCH('Processed Non-zero DMR Data'!$J48, '2022 SIC to NAICS'!$A:$A, 0))</f>
        <v>Industrial Inorganic Chemicals, Nec</v>
      </c>
      <c r="L48" s="175">
        <f>INDEX('2022 SIC to NAICS'!C:C, MATCH('Processed Non-zero DMR Data'!$J48, '2022 SIC to NAICS'!$A:$A, 0))</f>
        <v>211130</v>
      </c>
      <c r="M48" s="175" t="str">
        <f>INDEX('2022 SIC to NAICS'!D:D, MATCH('Processed Non-zero DMR Data'!$J48, '2022 SIC to NAICS'!$A:$A, 0))</f>
        <v xml:space="preserve">Natural Gas Extraction </v>
      </c>
      <c r="N48" s="90" t="str">
        <f>IFERROR(INDEX('NAICS Code to IS CDR Code'!B:B, MATCH('Processed Non-zero DMR Data'!L48,'NAICS Code to IS CDR Code'!A:A,0)), "NAICS/SIC Not Provided")</f>
        <v>IS2</v>
      </c>
      <c r="O48" s="91" t="str">
        <f>IFERROR(INDEX('NAICS Code to IS CDR Code'!C:C, MATCH('Processed Non-zero DMR Data'!L48,'NAICS Code to IS CDR Code'!A:A,0)), "NAICS/SIC Not Provided")</f>
        <v>Oil and Gas Drilling, Extraction, and Support Activities</v>
      </c>
      <c r="P48" s="91" t="str">
        <f>INDEX('11DCA Mapping'!$K:$K, MATCH('Processed Non-zero DMR Data'!I49,'11DCA Mapping'!$J:$J,0))</f>
        <v>Processing as a Reactant</v>
      </c>
      <c r="Q48" s="91" t="str">
        <f>INDEX('11DCA Mapping'!$L:$L, MATCH('Processed Non-zero DMR Data'!I49,'11DCA Mapping'!$J:$J,0))</f>
        <v xml:space="preserve">Used mapping of other site with similar SIC description </v>
      </c>
      <c r="R48" s="250" t="str">
        <f>VLOOKUP(I48,'DMR POTW Flag'!$A$2:$B$960,2,FALSE)</f>
        <v>NON-POTW</v>
      </c>
      <c r="S48" s="7" t="s">
        <v>62</v>
      </c>
      <c r="T48" s="7" t="s">
        <v>631</v>
      </c>
      <c r="U48" s="8">
        <f>COUNTIFS('Raw Non-zero DMR Data'!$A:$A, 'Processed Non-zero DMR Data'!A48, 'Raw Non-zero DMR Data'!$C:$C, X48, 'Raw Non-zero DMR Data'!$U:$U,'Processed Non-zero DMR Data'!Y48)</f>
        <v>1</v>
      </c>
      <c r="V48" s="8">
        <f>COUNTIFS('Raw Non-zero DMR Data'!$A:$A, 'Processed Non-zero DMR Data'!A48, 'Raw Non-zero DMR Data'!$C:$C, X48, 'Raw Non-zero DMR Data'!$U:$U,'Processed Non-zero DMR Data'!Y48,'Raw Non-zero DMR Data'!$Z:$Z,"Yes")</f>
        <v>1</v>
      </c>
      <c r="W48">
        <v>2.9215658000000002</v>
      </c>
      <c r="X48" t="s">
        <v>632</v>
      </c>
      <c r="Y48" t="s">
        <v>633</v>
      </c>
      <c r="Z48" s="257">
        <v>80802060302</v>
      </c>
    </row>
    <row r="49" spans="1:26" ht="15" customHeight="1" x14ac:dyDescent="0.25">
      <c r="A49">
        <v>2020</v>
      </c>
      <c r="B49" t="s">
        <v>265</v>
      </c>
      <c r="C49" t="s">
        <v>175</v>
      </c>
      <c r="D49" t="s">
        <v>630</v>
      </c>
      <c r="E49" t="s">
        <v>106</v>
      </c>
      <c r="F49">
        <v>30.23771</v>
      </c>
      <c r="G49">
        <v>-93.258650000000003</v>
      </c>
      <c r="I49" s="1">
        <v>110064611969</v>
      </c>
      <c r="J49">
        <v>2819</v>
      </c>
      <c r="K49" s="175" t="str">
        <f>INDEX('2022 SIC to NAICS'!B:B, MATCH('Processed Non-zero DMR Data'!$J49, '2022 SIC to NAICS'!$A:$A, 0))</f>
        <v>Industrial Inorganic Chemicals, Nec</v>
      </c>
      <c r="L49" s="175">
        <f>INDEX('2022 SIC to NAICS'!C:C, MATCH('Processed Non-zero DMR Data'!$J49, '2022 SIC to NAICS'!$A:$A, 0))</f>
        <v>211130</v>
      </c>
      <c r="M49" s="175" t="str">
        <f>INDEX('2022 SIC to NAICS'!D:D, MATCH('Processed Non-zero DMR Data'!$J49, '2022 SIC to NAICS'!$A:$A, 0))</f>
        <v xml:space="preserve">Natural Gas Extraction </v>
      </c>
      <c r="N49" s="90" t="str">
        <f>IFERROR(INDEX('NAICS Code to IS CDR Code'!B:B, MATCH('Processed Non-zero DMR Data'!L49,'NAICS Code to IS CDR Code'!A:A,0)), "NAICS/SIC Not Provided")</f>
        <v>IS2</v>
      </c>
      <c r="O49" s="91" t="str">
        <f>IFERROR(INDEX('NAICS Code to IS CDR Code'!C:C, MATCH('Processed Non-zero DMR Data'!L49,'NAICS Code to IS CDR Code'!A:A,0)), "NAICS/SIC Not Provided")</f>
        <v>Oil and Gas Drilling, Extraction, and Support Activities</v>
      </c>
      <c r="P49" s="91" t="str">
        <f>INDEX('11DCA Mapping'!$K:$K, MATCH('Processed Non-zero DMR Data'!I50,'11DCA Mapping'!$J:$J,0))</f>
        <v>Processing as a Reactant</v>
      </c>
      <c r="Q49" s="91" t="str">
        <f>INDEX('11DCA Mapping'!$L:$L, MATCH('Processed Non-zero DMR Data'!I50,'11DCA Mapping'!$J:$J,0))</f>
        <v xml:space="preserve">Used mapping of other site with similar SIC description </v>
      </c>
      <c r="R49" s="250" t="str">
        <f>VLOOKUP(I49,'DMR POTW Flag'!$A$2:$B$960,2,FALSE)</f>
        <v>NON-POTW</v>
      </c>
      <c r="S49" s="7" t="s">
        <v>62</v>
      </c>
      <c r="T49" s="7" t="s">
        <v>631</v>
      </c>
      <c r="U49" s="8">
        <f>COUNTIFS('Raw Non-zero DMR Data'!$A:$A, 'Processed Non-zero DMR Data'!A49, 'Raw Non-zero DMR Data'!$C:$C, X49, 'Raw Non-zero DMR Data'!$U:$U,'Processed Non-zero DMR Data'!Y49)</f>
        <v>2</v>
      </c>
      <c r="V49" s="8">
        <f>COUNTIFS('Raw Non-zero DMR Data'!$A:$A, 'Processed Non-zero DMR Data'!A49, 'Raw Non-zero DMR Data'!$C:$C, X49, 'Raw Non-zero DMR Data'!$U:$U,'Processed Non-zero DMR Data'!Y49,'Raw Non-zero DMR Data'!$Z:$Z,"Yes")</f>
        <v>2</v>
      </c>
      <c r="W49">
        <v>0.41768</v>
      </c>
      <c r="X49" t="s">
        <v>632</v>
      </c>
      <c r="Y49" t="s">
        <v>633</v>
      </c>
      <c r="Z49" s="257">
        <v>80802060302</v>
      </c>
    </row>
    <row r="50" spans="1:26" ht="15" customHeight="1" x14ac:dyDescent="0.25">
      <c r="A50">
        <v>2020</v>
      </c>
      <c r="B50" t="s">
        <v>265</v>
      </c>
      <c r="C50" t="s">
        <v>175</v>
      </c>
      <c r="D50" t="s">
        <v>630</v>
      </c>
      <c r="E50" t="s">
        <v>106</v>
      </c>
      <c r="F50">
        <v>30.23771</v>
      </c>
      <c r="G50">
        <v>-93.258650000000003</v>
      </c>
      <c r="I50" s="1">
        <v>110064611969</v>
      </c>
      <c r="J50">
        <v>2819</v>
      </c>
      <c r="K50" s="175" t="str">
        <f>INDEX('2022 SIC to NAICS'!B:B, MATCH('Processed Non-zero DMR Data'!$J50, '2022 SIC to NAICS'!$A:$A, 0))</f>
        <v>Industrial Inorganic Chemicals, Nec</v>
      </c>
      <c r="L50" s="175">
        <f>INDEX('2022 SIC to NAICS'!C:C, MATCH('Processed Non-zero DMR Data'!$J50, '2022 SIC to NAICS'!$A:$A, 0))</f>
        <v>211130</v>
      </c>
      <c r="M50" s="175" t="str">
        <f>INDEX('2022 SIC to NAICS'!D:D, MATCH('Processed Non-zero DMR Data'!$J50, '2022 SIC to NAICS'!$A:$A, 0))</f>
        <v xml:space="preserve">Natural Gas Extraction </v>
      </c>
      <c r="N50" s="90" t="str">
        <f>IFERROR(INDEX('NAICS Code to IS CDR Code'!B:B, MATCH('Processed Non-zero DMR Data'!L50,'NAICS Code to IS CDR Code'!A:A,0)), "NAICS/SIC Not Provided")</f>
        <v>IS2</v>
      </c>
      <c r="O50" s="91" t="str">
        <f>IFERROR(INDEX('NAICS Code to IS CDR Code'!C:C, MATCH('Processed Non-zero DMR Data'!L50,'NAICS Code to IS CDR Code'!A:A,0)), "NAICS/SIC Not Provided")</f>
        <v>Oil and Gas Drilling, Extraction, and Support Activities</v>
      </c>
      <c r="P50" s="91" t="str">
        <f>INDEX('11DCA Mapping'!$K:$K, MATCH('Processed Non-zero DMR Data'!I51,'11DCA Mapping'!$J:$J,0))</f>
        <v>Processing as a Reactant</v>
      </c>
      <c r="Q50" s="91" t="str">
        <f>INDEX('11DCA Mapping'!$L:$L, MATCH('Processed Non-zero DMR Data'!I51,'11DCA Mapping'!$J:$J,0))</f>
        <v xml:space="preserve">Used mapping of other site with similar SIC description </v>
      </c>
      <c r="R50" s="250" t="str">
        <f>VLOOKUP(I50,'DMR POTW Flag'!$A$2:$B$960,2,FALSE)</f>
        <v>NON-POTW</v>
      </c>
      <c r="S50" s="7" t="s">
        <v>62</v>
      </c>
      <c r="T50" s="7" t="s">
        <v>631</v>
      </c>
      <c r="U50" s="8">
        <f>COUNTIFS('Raw Non-zero DMR Data'!$A:$A, 'Processed Non-zero DMR Data'!A50, 'Raw Non-zero DMR Data'!$C:$C, X50, 'Raw Non-zero DMR Data'!$U:$U,'Processed Non-zero DMR Data'!Y50)</f>
        <v>2</v>
      </c>
      <c r="V50" s="8">
        <f>COUNTIFS('Raw Non-zero DMR Data'!$A:$A, 'Processed Non-zero DMR Data'!A50, 'Raw Non-zero DMR Data'!$C:$C, X50, 'Raw Non-zero DMR Data'!$U:$U,'Processed Non-zero DMR Data'!Y50,'Raw Non-zero DMR Data'!$Z:$Z,"Yes")</f>
        <v>2</v>
      </c>
      <c r="W50">
        <v>1.826641</v>
      </c>
      <c r="X50" t="s">
        <v>632</v>
      </c>
      <c r="Y50" t="s">
        <v>633</v>
      </c>
      <c r="Z50" s="257">
        <v>80802060302</v>
      </c>
    </row>
    <row r="51" spans="1:26" ht="15" customHeight="1" x14ac:dyDescent="0.25">
      <c r="A51">
        <v>2021</v>
      </c>
      <c r="B51" t="s">
        <v>265</v>
      </c>
      <c r="C51" t="s">
        <v>175</v>
      </c>
      <c r="D51" t="s">
        <v>630</v>
      </c>
      <c r="E51" t="s">
        <v>106</v>
      </c>
      <c r="F51">
        <v>30.23771</v>
      </c>
      <c r="G51">
        <v>-93.258650000000003</v>
      </c>
      <c r="I51" s="1">
        <v>110064611969</v>
      </c>
      <c r="J51">
        <v>2819</v>
      </c>
      <c r="K51" s="175" t="str">
        <f>INDEX('2022 SIC to NAICS'!B:B, MATCH('Processed Non-zero DMR Data'!$J51, '2022 SIC to NAICS'!$A:$A, 0))</f>
        <v>Industrial Inorganic Chemicals, Nec</v>
      </c>
      <c r="L51" s="175">
        <f>INDEX('2022 SIC to NAICS'!C:C, MATCH('Processed Non-zero DMR Data'!$J51, '2022 SIC to NAICS'!$A:$A, 0))</f>
        <v>211130</v>
      </c>
      <c r="M51" s="175" t="str">
        <f>INDEX('2022 SIC to NAICS'!D:D, MATCH('Processed Non-zero DMR Data'!$J51, '2022 SIC to NAICS'!$A:$A, 0))</f>
        <v xml:space="preserve">Natural Gas Extraction </v>
      </c>
      <c r="N51" s="90" t="str">
        <f>IFERROR(INDEX('NAICS Code to IS CDR Code'!B:B, MATCH('Processed Non-zero DMR Data'!L51,'NAICS Code to IS CDR Code'!A:A,0)), "NAICS/SIC Not Provided")</f>
        <v>IS2</v>
      </c>
      <c r="O51" s="91" t="str">
        <f>IFERROR(INDEX('NAICS Code to IS CDR Code'!C:C, MATCH('Processed Non-zero DMR Data'!L51,'NAICS Code to IS CDR Code'!A:A,0)), "NAICS/SIC Not Provided")</f>
        <v>Oil and Gas Drilling, Extraction, and Support Activities</v>
      </c>
      <c r="P51" s="91" t="str">
        <f>INDEX('11DCA Mapping'!$K:$K, MATCH('Processed Non-zero DMR Data'!I52,'11DCA Mapping'!$J:$J,0))</f>
        <v>Processing as a Reactant</v>
      </c>
      <c r="Q51" s="91" t="str">
        <f>INDEX('11DCA Mapping'!$L:$L, MATCH('Processed Non-zero DMR Data'!I52,'11DCA Mapping'!$J:$J,0))</f>
        <v xml:space="preserve">Used mapping of other site with similar SIC description </v>
      </c>
      <c r="R51" s="250" t="str">
        <f>VLOOKUP(I51,'DMR POTW Flag'!$A$2:$B$960,2,FALSE)</f>
        <v>NON-POTW</v>
      </c>
      <c r="S51" s="7" t="s">
        <v>62</v>
      </c>
      <c r="T51" s="7" t="s">
        <v>631</v>
      </c>
      <c r="U51" s="8">
        <f>COUNTIFS('Raw Non-zero DMR Data'!$A:$A, 'Processed Non-zero DMR Data'!A51, 'Raw Non-zero DMR Data'!$C:$C, X51, 'Raw Non-zero DMR Data'!$U:$U,'Processed Non-zero DMR Data'!Y51)</f>
        <v>1</v>
      </c>
      <c r="V51" s="8">
        <f>COUNTIFS('Raw Non-zero DMR Data'!$A:$A, 'Processed Non-zero DMR Data'!A51, 'Raw Non-zero DMR Data'!$C:$C, X51, 'Raw Non-zero DMR Data'!$U:$U,'Processed Non-zero DMR Data'!Y51,'Raw Non-zero DMR Data'!$Z:$Z,"Yes")</f>
        <v>1</v>
      </c>
      <c r="W51">
        <v>3.7104355</v>
      </c>
      <c r="X51" t="s">
        <v>632</v>
      </c>
      <c r="Y51" t="s">
        <v>633</v>
      </c>
      <c r="Z51" s="257">
        <v>80802060302</v>
      </c>
    </row>
    <row r="52" spans="1:26" ht="15" customHeight="1" x14ac:dyDescent="0.25">
      <c r="A52">
        <v>2023</v>
      </c>
      <c r="B52" t="s">
        <v>265</v>
      </c>
      <c r="C52" t="s">
        <v>175</v>
      </c>
      <c r="D52" t="s">
        <v>630</v>
      </c>
      <c r="E52" t="s">
        <v>106</v>
      </c>
      <c r="F52">
        <v>30.23771</v>
      </c>
      <c r="G52">
        <v>-93.258650000000003</v>
      </c>
      <c r="I52" s="1">
        <v>110064611969</v>
      </c>
      <c r="J52">
        <v>2819</v>
      </c>
      <c r="K52" s="175" t="str">
        <f>INDEX('2022 SIC to NAICS'!B:B, MATCH('Processed Non-zero DMR Data'!$J52, '2022 SIC to NAICS'!$A:$A, 0))</f>
        <v>Industrial Inorganic Chemicals, Nec</v>
      </c>
      <c r="L52" s="175">
        <f>INDEX('2022 SIC to NAICS'!C:C, MATCH('Processed Non-zero DMR Data'!$J52, '2022 SIC to NAICS'!$A:$A, 0))</f>
        <v>211130</v>
      </c>
      <c r="M52" s="175" t="str">
        <f>INDEX('2022 SIC to NAICS'!D:D, MATCH('Processed Non-zero DMR Data'!$J52, '2022 SIC to NAICS'!$A:$A, 0))</f>
        <v xml:space="preserve">Natural Gas Extraction </v>
      </c>
      <c r="N52" s="90" t="str">
        <f>IFERROR(INDEX('NAICS Code to IS CDR Code'!B:B, MATCH('Processed Non-zero DMR Data'!L52,'NAICS Code to IS CDR Code'!A:A,0)), "NAICS/SIC Not Provided")</f>
        <v>IS2</v>
      </c>
      <c r="O52" s="91" t="str">
        <f>IFERROR(INDEX('NAICS Code to IS CDR Code'!C:C, MATCH('Processed Non-zero DMR Data'!L52,'NAICS Code to IS CDR Code'!A:A,0)), "NAICS/SIC Not Provided")</f>
        <v>Oil and Gas Drilling, Extraction, and Support Activities</v>
      </c>
      <c r="P52" s="91" t="e">
        <f>INDEX('11DCA Mapping'!$K:$K, MATCH('Processed Non-zero DMR Data'!I53,'11DCA Mapping'!$J:$J,0))</f>
        <v>#N/A</v>
      </c>
      <c r="Q52" s="91" t="e">
        <f>INDEX('11DCA Mapping'!$L:$L, MATCH('Processed Non-zero DMR Data'!I53,'11DCA Mapping'!$J:$J,0))</f>
        <v>#N/A</v>
      </c>
      <c r="R52" s="250" t="str">
        <f>VLOOKUP(I52,'DMR POTW Flag'!$A$2:$B$960,2,FALSE)</f>
        <v>NON-POTW</v>
      </c>
      <c r="S52" s="7" t="s">
        <v>62</v>
      </c>
      <c r="T52" s="7" t="s">
        <v>631</v>
      </c>
      <c r="U52" s="8">
        <f>COUNTIFS('Raw Non-zero DMR Data'!$A:$A, 'Processed Non-zero DMR Data'!A52, 'Raw Non-zero DMR Data'!$C:$C, X52, 'Raw Non-zero DMR Data'!$U:$U,'Processed Non-zero DMR Data'!Y52)</f>
        <v>1</v>
      </c>
      <c r="V52" s="8">
        <f>COUNTIFS('Raw Non-zero DMR Data'!$A:$A, 'Processed Non-zero DMR Data'!A52, 'Raw Non-zero DMR Data'!$C:$C, X52, 'Raw Non-zero DMR Data'!$U:$U,'Processed Non-zero DMR Data'!Y52,'Raw Non-zero DMR Data'!$Z:$Z,"Yes")</f>
        <v>1</v>
      </c>
      <c r="W52">
        <v>5.10975</v>
      </c>
      <c r="X52" t="s">
        <v>632</v>
      </c>
      <c r="Y52" t="s">
        <v>633</v>
      </c>
      <c r="Z52" s="257">
        <v>80802060302</v>
      </c>
    </row>
    <row r="53" spans="1:26" ht="15" customHeight="1" x14ac:dyDescent="0.25">
      <c r="A53">
        <v>2019</v>
      </c>
      <c r="B53" t="s">
        <v>195</v>
      </c>
      <c r="C53" t="s">
        <v>196</v>
      </c>
      <c r="D53" t="s">
        <v>634</v>
      </c>
      <c r="E53" t="s">
        <v>197</v>
      </c>
      <c r="F53">
        <v>45.543847</v>
      </c>
      <c r="G53">
        <v>-122.46656299999999</v>
      </c>
      <c r="I53" s="1">
        <v>110000487633</v>
      </c>
      <c r="J53">
        <v>3728</v>
      </c>
      <c r="K53" s="175" t="str">
        <f>INDEX('2022 SIC to NAICS'!B:B, MATCH('Processed Non-zero DMR Data'!$J53, '2022 SIC to NAICS'!$A:$A, 0))</f>
        <v>Aircraft Parts and Equipment, Nec</v>
      </c>
      <c r="L53" s="175">
        <f>INDEX('2022 SIC to NAICS'!C:C, MATCH('Processed Non-zero DMR Data'!$J53, '2022 SIC to NAICS'!$A:$A, 0))</f>
        <v>332912</v>
      </c>
      <c r="M53" s="175" t="str">
        <f>INDEX('2022 SIC to NAICS'!D:D, MATCH('Processed Non-zero DMR Data'!$J53, '2022 SIC to NAICS'!$A:$A, 0))</f>
        <v xml:space="preserve">Fluid Power Valve and Hose Fitting Manufacturing </v>
      </c>
      <c r="N53" s="90" t="str">
        <f>IFERROR(INDEX('NAICS Code to IS CDR Code'!B:B, MATCH('Processed Non-zero DMR Data'!L53,'NAICS Code to IS CDR Code'!A:A,0)), "NAICS/SIC Not Provided")</f>
        <v>IS39</v>
      </c>
      <c r="O53" s="91" t="str">
        <f>IFERROR(INDEX('NAICS Code to IS CDR Code'!C:C, MATCH('Processed Non-zero DMR Data'!L53,'NAICS Code to IS CDR Code'!A:A,0)), "NAICS/SIC Not Provided")</f>
        <v>Fabricated Metal Product Manufacturing</v>
      </c>
      <c r="P53" s="91" t="e">
        <f>INDEX('11DCA Mapping'!$K:$K, MATCH('Processed Non-zero DMR Data'!I54,'11DCA Mapping'!$J:$J,0))</f>
        <v>#N/A</v>
      </c>
      <c r="Q53" s="91" t="e">
        <f>INDEX('11DCA Mapping'!$L:$L, MATCH('Processed Non-zero DMR Data'!I54,'11DCA Mapping'!$J:$J,0))</f>
        <v>#N/A</v>
      </c>
      <c r="R53" s="250" t="str">
        <f>VLOOKUP(I53,'DMR POTW Flag'!$A$2:$B$960,2,FALSE)</f>
        <v>NON-POTW</v>
      </c>
      <c r="S53" s="7" t="s">
        <v>62</v>
      </c>
      <c r="T53" s="7" t="s">
        <v>635</v>
      </c>
      <c r="U53" s="8">
        <f>COUNTIFS('Raw Non-zero DMR Data'!$A:$A, 'Processed Non-zero DMR Data'!A53, 'Raw Non-zero DMR Data'!$C:$C, X53, 'Raw Non-zero DMR Data'!$U:$U,'Processed Non-zero DMR Data'!Y53)</f>
        <v>1</v>
      </c>
      <c r="V53" s="8">
        <f>COUNTIFS('Raw Non-zero DMR Data'!$A:$A, 'Processed Non-zero DMR Data'!A53, 'Raw Non-zero DMR Data'!$C:$C, X53, 'Raw Non-zero DMR Data'!$U:$U,'Processed Non-zero DMR Data'!Y53,'Raw Non-zero DMR Data'!$Z:$Z,"Yes")</f>
        <v>1</v>
      </c>
      <c r="W53">
        <v>2.4966919800000001E-2</v>
      </c>
      <c r="X53" t="s">
        <v>636</v>
      </c>
      <c r="Y53" t="s">
        <v>637</v>
      </c>
      <c r="Z53" s="257">
        <v>170900120201</v>
      </c>
    </row>
    <row r="54" spans="1:26" ht="15" customHeight="1" x14ac:dyDescent="0.25">
      <c r="A54">
        <v>2020</v>
      </c>
      <c r="B54" t="s">
        <v>195</v>
      </c>
      <c r="C54" t="s">
        <v>196</v>
      </c>
      <c r="D54" t="s">
        <v>634</v>
      </c>
      <c r="E54" t="s">
        <v>197</v>
      </c>
      <c r="F54">
        <v>45.543847</v>
      </c>
      <c r="G54">
        <v>-122.46656299999999</v>
      </c>
      <c r="I54" s="1">
        <v>110000487633</v>
      </c>
      <c r="J54">
        <v>3728</v>
      </c>
      <c r="K54" s="175" t="str">
        <f>INDEX('2022 SIC to NAICS'!B:B, MATCH('Processed Non-zero DMR Data'!$J54, '2022 SIC to NAICS'!$A:$A, 0))</f>
        <v>Aircraft Parts and Equipment, Nec</v>
      </c>
      <c r="L54" s="175">
        <f>INDEX('2022 SIC to NAICS'!C:C, MATCH('Processed Non-zero DMR Data'!$J54, '2022 SIC to NAICS'!$A:$A, 0))</f>
        <v>332912</v>
      </c>
      <c r="M54" s="175" t="str">
        <f>INDEX('2022 SIC to NAICS'!D:D, MATCH('Processed Non-zero DMR Data'!$J54, '2022 SIC to NAICS'!$A:$A, 0))</f>
        <v xml:space="preserve">Fluid Power Valve and Hose Fitting Manufacturing </v>
      </c>
      <c r="N54" s="90" t="str">
        <f>IFERROR(INDEX('NAICS Code to IS CDR Code'!B:B, MATCH('Processed Non-zero DMR Data'!L54,'NAICS Code to IS CDR Code'!A:A,0)), "NAICS/SIC Not Provided")</f>
        <v>IS39</v>
      </c>
      <c r="O54" s="91" t="str">
        <f>IFERROR(INDEX('NAICS Code to IS CDR Code'!C:C, MATCH('Processed Non-zero DMR Data'!L54,'NAICS Code to IS CDR Code'!A:A,0)), "NAICS/SIC Not Provided")</f>
        <v>Fabricated Metal Product Manufacturing</v>
      </c>
      <c r="P54" s="91" t="e">
        <f>INDEX('11DCA Mapping'!$K:$K, MATCH('Processed Non-zero DMR Data'!I55,'11DCA Mapping'!$J:$J,0))</f>
        <v>#N/A</v>
      </c>
      <c r="Q54" s="91" t="e">
        <f>INDEX('11DCA Mapping'!$L:$L, MATCH('Processed Non-zero DMR Data'!I55,'11DCA Mapping'!$J:$J,0))</f>
        <v>#N/A</v>
      </c>
      <c r="R54" s="250" t="str">
        <f>VLOOKUP(I54,'DMR POTW Flag'!$A$2:$B$960,2,FALSE)</f>
        <v>NON-POTW</v>
      </c>
      <c r="S54" s="7" t="s">
        <v>62</v>
      </c>
      <c r="T54" s="7" t="s">
        <v>635</v>
      </c>
      <c r="U54" s="8">
        <f>COUNTIFS('Raw Non-zero DMR Data'!$A:$A, 'Processed Non-zero DMR Data'!A54, 'Raw Non-zero DMR Data'!$C:$C, X54, 'Raw Non-zero DMR Data'!$U:$U,'Processed Non-zero DMR Data'!Y54)</f>
        <v>1</v>
      </c>
      <c r="V54" s="8">
        <f>COUNTIFS('Raw Non-zero DMR Data'!$A:$A, 'Processed Non-zero DMR Data'!A54, 'Raw Non-zero DMR Data'!$C:$C, X54, 'Raw Non-zero DMR Data'!$U:$U,'Processed Non-zero DMR Data'!Y54,'Raw Non-zero DMR Data'!$Z:$Z,"Yes")</f>
        <v>1</v>
      </c>
      <c r="W54">
        <v>3.5311779000000001E-2</v>
      </c>
      <c r="X54" t="s">
        <v>636</v>
      </c>
      <c r="Y54" t="s">
        <v>637</v>
      </c>
      <c r="Z54" s="257">
        <v>170900120201</v>
      </c>
    </row>
    <row r="55" spans="1:26" ht="15" customHeight="1" x14ac:dyDescent="0.25">
      <c r="A55">
        <v>2021</v>
      </c>
      <c r="B55" t="s">
        <v>195</v>
      </c>
      <c r="C55" t="s">
        <v>196</v>
      </c>
      <c r="D55" t="s">
        <v>634</v>
      </c>
      <c r="E55" t="s">
        <v>197</v>
      </c>
      <c r="F55">
        <v>45.543847</v>
      </c>
      <c r="G55">
        <v>-122.46656299999999</v>
      </c>
      <c r="I55" s="1">
        <v>110000487633</v>
      </c>
      <c r="J55">
        <v>3728</v>
      </c>
      <c r="K55" s="175" t="str">
        <f>INDEX('2022 SIC to NAICS'!B:B, MATCH('Processed Non-zero DMR Data'!$J55, '2022 SIC to NAICS'!$A:$A, 0))</f>
        <v>Aircraft Parts and Equipment, Nec</v>
      </c>
      <c r="L55" s="175">
        <f>INDEX('2022 SIC to NAICS'!C:C, MATCH('Processed Non-zero DMR Data'!$J55, '2022 SIC to NAICS'!$A:$A, 0))</f>
        <v>332912</v>
      </c>
      <c r="M55" s="175" t="str">
        <f>INDEX('2022 SIC to NAICS'!D:D, MATCH('Processed Non-zero DMR Data'!$J55, '2022 SIC to NAICS'!$A:$A, 0))</f>
        <v xml:space="preserve">Fluid Power Valve and Hose Fitting Manufacturing </v>
      </c>
      <c r="N55" s="90" t="str">
        <f>IFERROR(INDEX('NAICS Code to IS CDR Code'!B:B, MATCH('Processed Non-zero DMR Data'!L55,'NAICS Code to IS CDR Code'!A:A,0)), "NAICS/SIC Not Provided")</f>
        <v>IS39</v>
      </c>
      <c r="O55" s="91" t="str">
        <f>IFERROR(INDEX('NAICS Code to IS CDR Code'!C:C, MATCH('Processed Non-zero DMR Data'!L55,'NAICS Code to IS CDR Code'!A:A,0)), "NAICS/SIC Not Provided")</f>
        <v>Fabricated Metal Product Manufacturing</v>
      </c>
      <c r="P55" s="91" t="e">
        <f>INDEX('11DCA Mapping'!$K:$K, MATCH('Processed Non-zero DMR Data'!I56,'11DCA Mapping'!$J:$J,0))</f>
        <v>#N/A</v>
      </c>
      <c r="Q55" s="91" t="e">
        <f>INDEX('11DCA Mapping'!$L:$L, MATCH('Processed Non-zero DMR Data'!I56,'11DCA Mapping'!$J:$J,0))</f>
        <v>#N/A</v>
      </c>
      <c r="R55" s="250" t="str">
        <f>VLOOKUP(I55,'DMR POTW Flag'!$A$2:$B$960,2,FALSE)</f>
        <v>NON-POTW</v>
      </c>
      <c r="S55" s="7" t="s">
        <v>62</v>
      </c>
      <c r="T55" s="7" t="s">
        <v>635</v>
      </c>
      <c r="U55" s="8">
        <f>COUNTIFS('Raw Non-zero DMR Data'!$A:$A, 'Processed Non-zero DMR Data'!A55, 'Raw Non-zero DMR Data'!$C:$C, X55, 'Raw Non-zero DMR Data'!$U:$U,'Processed Non-zero DMR Data'!Y55)</f>
        <v>1</v>
      </c>
      <c r="V55" s="8">
        <f>COUNTIFS('Raw Non-zero DMR Data'!$A:$A, 'Processed Non-zero DMR Data'!A55, 'Raw Non-zero DMR Data'!$C:$C, X55, 'Raw Non-zero DMR Data'!$U:$U,'Processed Non-zero DMR Data'!Y55,'Raw Non-zero DMR Data'!$Z:$Z,"Yes")</f>
        <v>1</v>
      </c>
      <c r="W55">
        <v>3.1332987E-2</v>
      </c>
      <c r="X55" t="s">
        <v>636</v>
      </c>
      <c r="Y55" t="s">
        <v>637</v>
      </c>
      <c r="Z55" s="257">
        <v>170900120201</v>
      </c>
    </row>
    <row r="56" spans="1:26" ht="15" customHeight="1" x14ac:dyDescent="0.25">
      <c r="A56">
        <v>2022</v>
      </c>
      <c r="B56" t="s">
        <v>195</v>
      </c>
      <c r="C56" t="s">
        <v>196</v>
      </c>
      <c r="D56" t="s">
        <v>634</v>
      </c>
      <c r="E56" t="s">
        <v>197</v>
      </c>
      <c r="F56">
        <v>45.543847</v>
      </c>
      <c r="G56">
        <v>-122.46656299999999</v>
      </c>
      <c r="I56" s="1">
        <v>110000487633</v>
      </c>
      <c r="J56">
        <v>3728</v>
      </c>
      <c r="K56" s="175" t="str">
        <f>INDEX('2022 SIC to NAICS'!B:B, MATCH('Processed Non-zero DMR Data'!$J56, '2022 SIC to NAICS'!$A:$A, 0))</f>
        <v>Aircraft Parts and Equipment, Nec</v>
      </c>
      <c r="L56" s="175">
        <f>INDEX('2022 SIC to NAICS'!C:C, MATCH('Processed Non-zero DMR Data'!$J56, '2022 SIC to NAICS'!$A:$A, 0))</f>
        <v>332912</v>
      </c>
      <c r="M56" s="175" t="str">
        <f>INDEX('2022 SIC to NAICS'!D:D, MATCH('Processed Non-zero DMR Data'!$J56, '2022 SIC to NAICS'!$A:$A, 0))</f>
        <v xml:space="preserve">Fluid Power Valve and Hose Fitting Manufacturing </v>
      </c>
      <c r="N56" s="90" t="str">
        <f>IFERROR(INDEX('NAICS Code to IS CDR Code'!B:B, MATCH('Processed Non-zero DMR Data'!L56,'NAICS Code to IS CDR Code'!A:A,0)), "NAICS/SIC Not Provided")</f>
        <v>IS39</v>
      </c>
      <c r="O56" s="91" t="str">
        <f>IFERROR(INDEX('NAICS Code to IS CDR Code'!C:C, MATCH('Processed Non-zero DMR Data'!L56,'NAICS Code to IS CDR Code'!A:A,0)), "NAICS/SIC Not Provided")</f>
        <v>Fabricated Metal Product Manufacturing</v>
      </c>
      <c r="P56" s="91" t="e">
        <f>INDEX('11DCA Mapping'!$K:$K, MATCH('Processed Non-zero DMR Data'!I57,'11DCA Mapping'!$J:$J,0))</f>
        <v>#N/A</v>
      </c>
      <c r="Q56" s="91" t="e">
        <f>INDEX('11DCA Mapping'!$L:$L, MATCH('Processed Non-zero DMR Data'!I57,'11DCA Mapping'!$J:$J,0))</f>
        <v>#N/A</v>
      </c>
      <c r="R56" s="250" t="str">
        <f>VLOOKUP(I56,'DMR POTW Flag'!$A$2:$B$960,2,FALSE)</f>
        <v>NON-POTW</v>
      </c>
      <c r="S56" s="7" t="s">
        <v>62</v>
      </c>
      <c r="T56" s="7" t="s">
        <v>635</v>
      </c>
      <c r="U56" s="8">
        <f>COUNTIFS('Raw Non-zero DMR Data'!$A:$A, 'Processed Non-zero DMR Data'!A56, 'Raw Non-zero DMR Data'!$C:$C, X56, 'Raw Non-zero DMR Data'!$U:$U,'Processed Non-zero DMR Data'!Y56)</f>
        <v>1</v>
      </c>
      <c r="V56" s="8">
        <f>COUNTIFS('Raw Non-zero DMR Data'!$A:$A, 'Processed Non-zero DMR Data'!A56, 'Raw Non-zero DMR Data'!$C:$C, X56, 'Raw Non-zero DMR Data'!$U:$U,'Processed Non-zero DMR Data'!Y56,'Raw Non-zero DMR Data'!$Z:$Z,"Yes")</f>
        <v>1</v>
      </c>
      <c r="W56">
        <v>3.0835637999999999E-2</v>
      </c>
      <c r="X56" t="s">
        <v>636</v>
      </c>
      <c r="Y56" t="s">
        <v>637</v>
      </c>
      <c r="Z56" s="257">
        <v>170900120201</v>
      </c>
    </row>
    <row r="57" spans="1:26" ht="15" customHeight="1" x14ac:dyDescent="0.25">
      <c r="A57">
        <v>2023</v>
      </c>
      <c r="B57" t="s">
        <v>195</v>
      </c>
      <c r="C57" t="s">
        <v>196</v>
      </c>
      <c r="D57" t="s">
        <v>634</v>
      </c>
      <c r="E57" t="s">
        <v>197</v>
      </c>
      <c r="F57">
        <v>45.543847</v>
      </c>
      <c r="G57">
        <v>-122.46656299999999</v>
      </c>
      <c r="I57" s="1">
        <v>110000487633</v>
      </c>
      <c r="J57">
        <v>3728</v>
      </c>
      <c r="K57" s="175" t="str">
        <f>INDEX('2022 SIC to NAICS'!B:B, MATCH('Processed Non-zero DMR Data'!$J57, '2022 SIC to NAICS'!$A:$A, 0))</f>
        <v>Aircraft Parts and Equipment, Nec</v>
      </c>
      <c r="L57" s="175">
        <f>INDEX('2022 SIC to NAICS'!C:C, MATCH('Processed Non-zero DMR Data'!$J57, '2022 SIC to NAICS'!$A:$A, 0))</f>
        <v>332912</v>
      </c>
      <c r="M57" s="175" t="str">
        <f>INDEX('2022 SIC to NAICS'!D:D, MATCH('Processed Non-zero DMR Data'!$J57, '2022 SIC to NAICS'!$A:$A, 0))</f>
        <v xml:space="preserve">Fluid Power Valve and Hose Fitting Manufacturing </v>
      </c>
      <c r="N57" s="90" t="str">
        <f>IFERROR(INDEX('NAICS Code to IS CDR Code'!B:B, MATCH('Processed Non-zero DMR Data'!L57,'NAICS Code to IS CDR Code'!A:A,0)), "NAICS/SIC Not Provided")</f>
        <v>IS39</v>
      </c>
      <c r="O57" s="91" t="str">
        <f>IFERROR(INDEX('NAICS Code to IS CDR Code'!C:C, MATCH('Processed Non-zero DMR Data'!L57,'NAICS Code to IS CDR Code'!A:A,0)), "NAICS/SIC Not Provided")</f>
        <v>Fabricated Metal Product Manufacturing</v>
      </c>
      <c r="P57" s="91" t="str">
        <f>INDEX('11DCA Mapping'!$K:$K, MATCH('Processed Non-zero DMR Data'!I58,'11DCA Mapping'!$J:$J,0))</f>
        <v>Processing as a Reactant</v>
      </c>
      <c r="Q57" s="91" t="str">
        <f>INDEX('11DCA Mapping'!$L:$L, MATCH('Processed Non-zero DMR Data'!I58,'11DCA Mapping'!$J:$J,0))</f>
        <v>Based on SIC code</v>
      </c>
      <c r="R57" s="250" t="str">
        <f>VLOOKUP(I57,'DMR POTW Flag'!$A$2:$B$960,2,FALSE)</f>
        <v>NON-POTW</v>
      </c>
      <c r="S57" s="7" t="s">
        <v>62</v>
      </c>
      <c r="T57" s="7" t="s">
        <v>635</v>
      </c>
      <c r="U57" s="8">
        <f>COUNTIFS('Raw Non-zero DMR Data'!$A:$A, 'Processed Non-zero DMR Data'!A57, 'Raw Non-zero DMR Data'!$C:$C, X57, 'Raw Non-zero DMR Data'!$U:$U,'Processed Non-zero DMR Data'!Y57)</f>
        <v>1</v>
      </c>
      <c r="V57" s="8">
        <f>COUNTIFS('Raw Non-zero DMR Data'!$A:$A, 'Processed Non-zero DMR Data'!A57, 'Raw Non-zero DMR Data'!$C:$C, X57, 'Raw Non-zero DMR Data'!$U:$U,'Processed Non-zero DMR Data'!Y57,'Raw Non-zero DMR Data'!$Z:$Z,"Yes")</f>
        <v>1</v>
      </c>
      <c r="W57">
        <v>3.0835637999999999E-2</v>
      </c>
      <c r="X57" t="s">
        <v>636</v>
      </c>
      <c r="Y57" t="s">
        <v>637</v>
      </c>
      <c r="Z57" s="257">
        <v>170900120201</v>
      </c>
    </row>
    <row r="58" spans="1:26" ht="15" customHeight="1" x14ac:dyDescent="0.25">
      <c r="A58">
        <v>2020</v>
      </c>
      <c r="B58" t="s">
        <v>410</v>
      </c>
      <c r="C58" t="s">
        <v>372</v>
      </c>
      <c r="D58" t="s">
        <v>638</v>
      </c>
      <c r="E58" t="s">
        <v>114</v>
      </c>
      <c r="F58">
        <v>29.704027</v>
      </c>
      <c r="G58">
        <v>-95.079931999999999</v>
      </c>
      <c r="I58" s="1">
        <v>110000463631</v>
      </c>
      <c r="J58">
        <v>2821</v>
      </c>
      <c r="K58" s="175" t="str">
        <f>INDEX('2022 SIC to NAICS'!B:B, MATCH('Processed Non-zero DMR Data'!$J58, '2022 SIC to NAICS'!$A:$A, 0))</f>
        <v>Plastics Materials and Resins</v>
      </c>
      <c r="L58" s="175">
        <f>INDEX('2022 SIC to NAICS'!C:C, MATCH('Processed Non-zero DMR Data'!$J58, '2022 SIC to NAICS'!$A:$A, 0))</f>
        <v>325211</v>
      </c>
      <c r="M58" s="175" t="str">
        <f>INDEX('2022 SIC to NAICS'!D:D, MATCH('Processed Non-zero DMR Data'!$J58, '2022 SIC to NAICS'!$A:$A, 0))</f>
        <v xml:space="preserve">Plastics Material and Resin Manufacturing </v>
      </c>
      <c r="N58" s="90" t="str">
        <f>IFERROR(INDEX('NAICS Code to IS CDR Code'!B:B, MATCH('Processed Non-zero DMR Data'!L58,'NAICS Code to IS CDR Code'!A:A,0)), "NAICS/SIC Not Provided")</f>
        <v>IS22</v>
      </c>
      <c r="O58" s="91" t="str">
        <f>IFERROR(INDEX('NAICS Code to IS CDR Code'!C:C, MATCH('Processed Non-zero DMR Data'!L58,'NAICS Code to IS CDR Code'!A:A,0)), "NAICS/SIC Not Provided")</f>
        <v>Plastic Material and Resin Manufacturing</v>
      </c>
      <c r="P58" s="91" t="str">
        <f>INDEX('11DCA Mapping'!$K:$K, MATCH('Processed Non-zero DMR Data'!I59,'11DCA Mapping'!$J:$J,0))</f>
        <v>POTW</v>
      </c>
      <c r="Q58" s="91" t="str">
        <f>INDEX('11DCA Mapping'!$L:$L, MATCH('Processed Non-zero DMR Data'!I59,'11DCA Mapping'!$J:$J,0))</f>
        <v>Based on DMR "Facility Type Indicator"</v>
      </c>
      <c r="R58" s="250" t="str">
        <f>VLOOKUP(I58,'DMR POTW Flag'!$A$2:$B$960,2,FALSE)</f>
        <v>NON-POTW</v>
      </c>
      <c r="S58" s="7" t="s">
        <v>63</v>
      </c>
      <c r="T58" s="7" t="s">
        <v>5470</v>
      </c>
      <c r="U58" s="8">
        <f>COUNTIFS('Raw Non-zero DMR Data'!$A:$A, 'Processed Non-zero DMR Data'!A58, 'Raw Non-zero DMR Data'!$C:$C, X58, 'Raw Non-zero DMR Data'!$U:$U,'Processed Non-zero DMR Data'!Y58)</f>
        <v>1</v>
      </c>
      <c r="V58" s="8">
        <f>COUNTIFS('Raw Non-zero DMR Data'!$A:$A, 'Processed Non-zero DMR Data'!A58, 'Raw Non-zero DMR Data'!$C:$C, X58, 'Raw Non-zero DMR Data'!$U:$U,'Processed Non-zero DMR Data'!Y58,'Raw Non-zero DMR Data'!$Z:$Z,"Yes")</f>
        <v>0</v>
      </c>
      <c r="W58">
        <v>9.6111799999999997E-2</v>
      </c>
      <c r="X58" t="s">
        <v>639</v>
      </c>
      <c r="Y58" t="s">
        <v>640</v>
      </c>
      <c r="Z58" s="257">
        <v>120401040706</v>
      </c>
    </row>
    <row r="59" spans="1:26" ht="15" customHeight="1" x14ac:dyDescent="0.25">
      <c r="A59">
        <v>2019</v>
      </c>
      <c r="B59" t="s">
        <v>353</v>
      </c>
      <c r="C59" t="s">
        <v>354</v>
      </c>
      <c r="D59" t="s">
        <v>566</v>
      </c>
      <c r="E59" t="s">
        <v>146</v>
      </c>
      <c r="F59">
        <v>33.017359999999996</v>
      </c>
      <c r="G59">
        <v>-115.50923</v>
      </c>
      <c r="I59" s="1">
        <v>110030476465</v>
      </c>
      <c r="J59">
        <v>4952</v>
      </c>
      <c r="K59" s="175" t="str">
        <f>INDEX('2022 SIC to NAICS'!B:B, MATCH('Processed Non-zero DMR Data'!$J59, '2022 SIC to NAICS'!$A:$A, 0))</f>
        <v>Sewerage Systems</v>
      </c>
      <c r="L59" s="175">
        <f>INDEX('2022 SIC to NAICS'!C:C, MATCH('Processed Non-zero DMR Data'!$J59, '2022 SIC to NAICS'!$A:$A, 0))</f>
        <v>221320</v>
      </c>
      <c r="M59" s="175" t="str">
        <f>INDEX('2022 SIC to NAICS'!D:D, MATCH('Processed Non-zero DMR Data'!$J59, '2022 SIC to NAICS'!$A:$A, 0))</f>
        <v xml:space="preserve">Sewage Treatment Facilities </v>
      </c>
      <c r="N59" s="90" t="str">
        <f>IFERROR(INDEX('NAICS Code to IS CDR Code'!B:B, MATCH('Processed Non-zero DMR Data'!L59,'NAICS Code to IS CDR Code'!A:A,0)), "NAICS/SIC Not Provided")</f>
        <v>IS4</v>
      </c>
      <c r="O59" s="91" t="str">
        <f>IFERROR(INDEX('NAICS Code to IS CDR Code'!C:C, MATCH('Processed Non-zero DMR Data'!L59,'NAICS Code to IS CDR Code'!A:A,0)), "NAICS/SIC Not Provided")</f>
        <v>Utilities</v>
      </c>
      <c r="P59" s="91" t="str">
        <f>INDEX('11DCA Mapping'!$K:$K, MATCH('Processed Non-zero DMR Data'!I60,'11DCA Mapping'!$J:$J,0))</f>
        <v>Waste Handling, Disposal, Treatment, and Recycling</v>
      </c>
      <c r="Q59" s="91" t="str">
        <f>INDEX('11DCA Mapping'!$L:$L, MATCH('Processed Non-zero DMR Data'!I60,'11DCA Mapping'!$J:$J,0))</f>
        <v>SIC description indicates waste treatment and disposal</v>
      </c>
      <c r="R59" s="250" t="str">
        <f>VLOOKUP(I59,'DMR POTW Flag'!$A$2:$B$960,2,FALSE)</f>
        <v>POTW</v>
      </c>
      <c r="S59" s="7" t="s">
        <v>67</v>
      </c>
      <c r="T59" s="249" t="s">
        <v>586</v>
      </c>
      <c r="U59" s="8">
        <f>COUNTIFS('Raw Non-zero DMR Data'!$A:$A, 'Processed Non-zero DMR Data'!A59, 'Raw Non-zero DMR Data'!$C:$C, X59, 'Raw Non-zero DMR Data'!$U:$U,'Processed Non-zero DMR Data'!Y59)</f>
        <v>1</v>
      </c>
      <c r="V59" s="8">
        <f>COUNTIFS('Raw Non-zero DMR Data'!$A:$A, 'Processed Non-zero DMR Data'!A59, 'Raw Non-zero DMR Data'!$C:$C, X59, 'Raw Non-zero DMR Data'!$U:$U,'Processed Non-zero DMR Data'!Y59,'Raw Non-zero DMR Data'!$Z:$Z,"Yes")</f>
        <v>0</v>
      </c>
      <c r="W59">
        <v>4.1860207500000003E-2</v>
      </c>
      <c r="X59" t="s">
        <v>641</v>
      </c>
      <c r="Y59" t="s">
        <v>642</v>
      </c>
      <c r="Z59" s="257">
        <v>181002040705</v>
      </c>
    </row>
    <row r="60" spans="1:26" ht="15" customHeight="1" x14ac:dyDescent="0.25">
      <c r="A60">
        <v>2019</v>
      </c>
      <c r="B60" t="s">
        <v>208</v>
      </c>
      <c r="C60" t="s">
        <v>209</v>
      </c>
      <c r="D60" t="s">
        <v>643</v>
      </c>
      <c r="E60" t="s">
        <v>170</v>
      </c>
      <c r="F60">
        <v>39.248446999999999</v>
      </c>
      <c r="G60">
        <v>-94.293233000000001</v>
      </c>
      <c r="I60" s="1">
        <v>110000614746</v>
      </c>
      <c r="J60">
        <v>4953</v>
      </c>
      <c r="K60" s="175" t="str">
        <f>INDEX('2022 SIC to NAICS'!B:B, MATCH('Processed Non-zero DMR Data'!$J60, '2022 SIC to NAICS'!$A:$A, 0))</f>
        <v>Refuse Systems</v>
      </c>
      <c r="L60" s="175">
        <f>INDEX('2022 SIC to NAICS'!C:C, MATCH('Processed Non-zero DMR Data'!$J60, '2022 SIC to NAICS'!$A:$A, 0))</f>
        <v>562211</v>
      </c>
      <c r="M60" s="175" t="str">
        <f>INDEX('2022 SIC to NAICS'!D:D, MATCH('Processed Non-zero DMR Data'!$J60, '2022 SIC to NAICS'!$A:$A, 0))</f>
        <v xml:space="preserve">Hazardous Waste Treatment and Disposal </v>
      </c>
      <c r="N60" s="90" t="str">
        <f>IFERROR(INDEX('NAICS Code to IS CDR Code'!B:B, MATCH('Processed Non-zero DMR Data'!L60,'NAICS Code to IS CDR Code'!A:A,0)), "NAICS/SIC Not Provided")</f>
        <v>IS47</v>
      </c>
      <c r="O60" s="91" t="str">
        <f>IFERROR(INDEX('NAICS Code to IS CDR Code'!C:C, MATCH('Processed Non-zero DMR Data'!L60,'NAICS Code to IS CDR Code'!A:A,0)), "NAICS/SIC Not Provided")</f>
        <v>Services</v>
      </c>
      <c r="P60" s="91" t="str">
        <f>INDEX('11DCA Mapping'!$K:$K, MATCH('Processed Non-zero DMR Data'!I61,'11DCA Mapping'!$J:$J,0))</f>
        <v>Waste Handling, Disposal, Treatment, and Recycling</v>
      </c>
      <c r="Q60" s="91" t="str">
        <f>INDEX('11DCA Mapping'!$L:$L, MATCH('Processed Non-zero DMR Data'!I61,'11DCA Mapping'!$J:$J,0))</f>
        <v>SIC description indicates waste treatment and disposal</v>
      </c>
      <c r="R60" s="250" t="str">
        <f>VLOOKUP(I60,'DMR POTW Flag'!$A$2:$B$960,2,FALSE)</f>
        <v>NON-POTW</v>
      </c>
      <c r="S60" s="249" t="s">
        <v>69</v>
      </c>
      <c r="T60" s="249" t="s">
        <v>644</v>
      </c>
      <c r="U60" s="8">
        <f>COUNTIFS('Raw Non-zero DMR Data'!$A:$A, 'Processed Non-zero DMR Data'!A60, 'Raw Non-zero DMR Data'!$C:$C, X60, 'Raw Non-zero DMR Data'!$U:$U,'Processed Non-zero DMR Data'!Y60)</f>
        <v>1</v>
      </c>
      <c r="V60" s="8">
        <f>COUNTIFS('Raw Non-zero DMR Data'!$A:$A, 'Processed Non-zero DMR Data'!A60, 'Raw Non-zero DMR Data'!$C:$C, X60, 'Raw Non-zero DMR Data'!$U:$U,'Processed Non-zero DMR Data'!Y60,'Raw Non-zero DMR Data'!$Z:$Z,"Yes")</f>
        <v>1</v>
      </c>
      <c r="W60">
        <v>4.831148326345E-2</v>
      </c>
      <c r="X60" t="s">
        <v>645</v>
      </c>
      <c r="Y60" t="s">
        <v>646</v>
      </c>
      <c r="Z60" s="257">
        <v>103001010307</v>
      </c>
    </row>
    <row r="61" spans="1:26" ht="15" customHeight="1" x14ac:dyDescent="0.25">
      <c r="A61">
        <v>2020</v>
      </c>
      <c r="B61" t="s">
        <v>208</v>
      </c>
      <c r="C61" t="s">
        <v>209</v>
      </c>
      <c r="D61" t="s">
        <v>643</v>
      </c>
      <c r="E61" t="s">
        <v>170</v>
      </c>
      <c r="F61">
        <v>39.248446999999999</v>
      </c>
      <c r="G61">
        <v>-94.293233000000001</v>
      </c>
      <c r="I61" s="1">
        <v>110000614746</v>
      </c>
      <c r="J61">
        <v>4953</v>
      </c>
      <c r="K61" s="175" t="str">
        <f>INDEX('2022 SIC to NAICS'!B:B, MATCH('Processed Non-zero DMR Data'!$J61, '2022 SIC to NAICS'!$A:$A, 0))</f>
        <v>Refuse Systems</v>
      </c>
      <c r="L61" s="175">
        <f>INDEX('2022 SIC to NAICS'!C:C, MATCH('Processed Non-zero DMR Data'!$J61, '2022 SIC to NAICS'!$A:$A, 0))</f>
        <v>562211</v>
      </c>
      <c r="M61" s="175" t="str">
        <f>INDEX('2022 SIC to NAICS'!D:D, MATCH('Processed Non-zero DMR Data'!$J61, '2022 SIC to NAICS'!$A:$A, 0))</f>
        <v xml:space="preserve">Hazardous Waste Treatment and Disposal </v>
      </c>
      <c r="N61" s="90" t="str">
        <f>IFERROR(INDEX('NAICS Code to IS CDR Code'!B:B, MATCH('Processed Non-zero DMR Data'!L61,'NAICS Code to IS CDR Code'!A:A,0)), "NAICS/SIC Not Provided")</f>
        <v>IS47</v>
      </c>
      <c r="O61" s="91" t="str">
        <f>IFERROR(INDEX('NAICS Code to IS CDR Code'!C:C, MATCH('Processed Non-zero DMR Data'!L61,'NAICS Code to IS CDR Code'!A:A,0)), "NAICS/SIC Not Provided")</f>
        <v>Services</v>
      </c>
      <c r="P61" s="91" t="str">
        <f>INDEX('11DCA Mapping'!$K:$K, MATCH('Processed Non-zero DMR Data'!I62,'11DCA Mapping'!$J:$J,0))</f>
        <v>Waste Handling, Disposal, Treatment, and Recycling</v>
      </c>
      <c r="Q61" s="91" t="str">
        <f>INDEX('11DCA Mapping'!$L:$L, MATCH('Processed Non-zero DMR Data'!I62,'11DCA Mapping'!$J:$J,0))</f>
        <v>SIC description indicates waste treatment and disposal</v>
      </c>
      <c r="R61" s="250" t="str">
        <f>VLOOKUP(I61,'DMR POTW Flag'!$A$2:$B$960,2,FALSE)</f>
        <v>NON-POTW</v>
      </c>
      <c r="S61" s="249" t="s">
        <v>69</v>
      </c>
      <c r="T61" s="249" t="s">
        <v>644</v>
      </c>
      <c r="U61" s="8">
        <f>COUNTIFS('Raw Non-zero DMR Data'!$A:$A, 'Processed Non-zero DMR Data'!A61, 'Raw Non-zero DMR Data'!$C:$C, X61, 'Raw Non-zero DMR Data'!$U:$U,'Processed Non-zero DMR Data'!Y61)</f>
        <v>1</v>
      </c>
      <c r="V61" s="8">
        <f>COUNTIFS('Raw Non-zero DMR Data'!$A:$A, 'Processed Non-zero DMR Data'!A61, 'Raw Non-zero DMR Data'!$C:$C, X61, 'Raw Non-zero DMR Data'!$U:$U,'Processed Non-zero DMR Data'!Y61,'Raw Non-zero DMR Data'!$Z:$Z,"Yes")</f>
        <v>1</v>
      </c>
      <c r="W61">
        <v>3.4146349112500002E-2</v>
      </c>
      <c r="X61" t="s">
        <v>645</v>
      </c>
      <c r="Y61" t="s">
        <v>646</v>
      </c>
      <c r="Z61" s="257">
        <v>103001010307</v>
      </c>
    </row>
    <row r="62" spans="1:26" ht="15" customHeight="1" x14ac:dyDescent="0.25">
      <c r="A62">
        <v>2021</v>
      </c>
      <c r="B62" t="s">
        <v>208</v>
      </c>
      <c r="C62" t="s">
        <v>209</v>
      </c>
      <c r="D62" t="s">
        <v>643</v>
      </c>
      <c r="E62" t="s">
        <v>170</v>
      </c>
      <c r="F62">
        <v>39.248446999999999</v>
      </c>
      <c r="G62">
        <v>-94.293233000000001</v>
      </c>
      <c r="I62" s="1">
        <v>110000614746</v>
      </c>
      <c r="J62">
        <v>4953</v>
      </c>
      <c r="K62" s="175" t="str">
        <f>INDEX('2022 SIC to NAICS'!B:B, MATCH('Processed Non-zero DMR Data'!$J62, '2022 SIC to NAICS'!$A:$A, 0))</f>
        <v>Refuse Systems</v>
      </c>
      <c r="L62" s="175">
        <f>INDEX('2022 SIC to NAICS'!C:C, MATCH('Processed Non-zero DMR Data'!$J62, '2022 SIC to NAICS'!$A:$A, 0))</f>
        <v>562211</v>
      </c>
      <c r="M62" s="175" t="str">
        <f>INDEX('2022 SIC to NAICS'!D:D, MATCH('Processed Non-zero DMR Data'!$J62, '2022 SIC to NAICS'!$A:$A, 0))</f>
        <v xml:space="preserve">Hazardous Waste Treatment and Disposal </v>
      </c>
      <c r="N62" s="90" t="str">
        <f>IFERROR(INDEX('NAICS Code to IS CDR Code'!B:B, MATCH('Processed Non-zero DMR Data'!L62,'NAICS Code to IS CDR Code'!A:A,0)), "NAICS/SIC Not Provided")</f>
        <v>IS47</v>
      </c>
      <c r="O62" s="91" t="str">
        <f>IFERROR(INDEX('NAICS Code to IS CDR Code'!C:C, MATCH('Processed Non-zero DMR Data'!L62,'NAICS Code to IS CDR Code'!A:A,0)), "NAICS/SIC Not Provided")</f>
        <v>Services</v>
      </c>
      <c r="P62" s="91" t="str">
        <f>INDEX('11DCA Mapping'!$K:$K, MATCH('Processed Non-zero DMR Data'!I63,'11DCA Mapping'!$J:$J,0))</f>
        <v>Waste Handling, Disposal, Treatment, and Recycling</v>
      </c>
      <c r="Q62" s="91" t="str">
        <f>INDEX('11DCA Mapping'!$L:$L, MATCH('Processed Non-zero DMR Data'!I63,'11DCA Mapping'!$J:$J,0))</f>
        <v>SIC description indicates waste treatment and disposal</v>
      </c>
      <c r="R62" s="250" t="str">
        <f>VLOOKUP(I62,'DMR POTW Flag'!$A$2:$B$960,2,FALSE)</f>
        <v>NON-POTW</v>
      </c>
      <c r="S62" s="249" t="s">
        <v>69</v>
      </c>
      <c r="T62" s="249" t="s">
        <v>644</v>
      </c>
      <c r="U62" s="8">
        <f>COUNTIFS('Raw Non-zero DMR Data'!$A:$A, 'Processed Non-zero DMR Data'!A62, 'Raw Non-zero DMR Data'!$C:$C, X62, 'Raw Non-zero DMR Data'!$U:$U,'Processed Non-zero DMR Data'!Y62)</f>
        <v>1</v>
      </c>
      <c r="V62" s="8">
        <f>COUNTIFS('Raw Non-zero DMR Data'!$A:$A, 'Processed Non-zero DMR Data'!A62, 'Raw Non-zero DMR Data'!$C:$C, X62, 'Raw Non-zero DMR Data'!$U:$U,'Processed Non-zero DMR Data'!Y62,'Raw Non-zero DMR Data'!$Z:$Z,"Yes")</f>
        <v>1</v>
      </c>
      <c r="W62">
        <v>1.1851038784399999E-2</v>
      </c>
      <c r="X62" t="s">
        <v>645</v>
      </c>
      <c r="Y62" t="s">
        <v>646</v>
      </c>
      <c r="Z62" s="257">
        <v>103001010307</v>
      </c>
    </row>
    <row r="63" spans="1:26" ht="15" customHeight="1" x14ac:dyDescent="0.25">
      <c r="A63">
        <v>2022</v>
      </c>
      <c r="B63" t="s">
        <v>208</v>
      </c>
      <c r="C63" t="s">
        <v>209</v>
      </c>
      <c r="D63" t="s">
        <v>643</v>
      </c>
      <c r="E63" t="s">
        <v>170</v>
      </c>
      <c r="F63">
        <v>39.248446999999999</v>
      </c>
      <c r="G63">
        <v>-94.293233000000001</v>
      </c>
      <c r="I63" s="1">
        <v>110000614746</v>
      </c>
      <c r="J63">
        <v>4953</v>
      </c>
      <c r="K63" s="175" t="str">
        <f>INDEX('2022 SIC to NAICS'!B:B, MATCH('Processed Non-zero DMR Data'!$J63, '2022 SIC to NAICS'!$A:$A, 0))</f>
        <v>Refuse Systems</v>
      </c>
      <c r="L63" s="175">
        <f>INDEX('2022 SIC to NAICS'!C:C, MATCH('Processed Non-zero DMR Data'!$J63, '2022 SIC to NAICS'!$A:$A, 0))</f>
        <v>562211</v>
      </c>
      <c r="M63" s="175" t="str">
        <f>INDEX('2022 SIC to NAICS'!D:D, MATCH('Processed Non-zero DMR Data'!$J63, '2022 SIC to NAICS'!$A:$A, 0))</f>
        <v xml:space="preserve">Hazardous Waste Treatment and Disposal </v>
      </c>
      <c r="N63" s="90" t="str">
        <f>IFERROR(INDEX('NAICS Code to IS CDR Code'!B:B, MATCH('Processed Non-zero DMR Data'!L63,'NAICS Code to IS CDR Code'!A:A,0)), "NAICS/SIC Not Provided")</f>
        <v>IS47</v>
      </c>
      <c r="O63" s="91" t="str">
        <f>IFERROR(INDEX('NAICS Code to IS CDR Code'!C:C, MATCH('Processed Non-zero DMR Data'!L63,'NAICS Code to IS CDR Code'!A:A,0)), "NAICS/SIC Not Provided")</f>
        <v>Services</v>
      </c>
      <c r="P63" s="91" t="str">
        <f>INDEX('11DCA Mapping'!$K:$K, MATCH('Processed Non-zero DMR Data'!I64,'11DCA Mapping'!$J:$J,0))</f>
        <v>POTW</v>
      </c>
      <c r="Q63" s="91" t="str">
        <f>INDEX('11DCA Mapping'!$L:$L, MATCH('Processed Non-zero DMR Data'!I64,'11DCA Mapping'!$J:$J,0))</f>
        <v>Assigned POTW per "Facility Type Indicator"</v>
      </c>
      <c r="R63" s="250" t="str">
        <f>VLOOKUP(I63,'DMR POTW Flag'!$A$2:$B$960,2,FALSE)</f>
        <v>NON-POTW</v>
      </c>
      <c r="S63" s="249" t="s">
        <v>69</v>
      </c>
      <c r="T63" s="249" t="s">
        <v>644</v>
      </c>
      <c r="U63" s="8">
        <f>COUNTIFS('Raw Non-zero DMR Data'!$A:$A, 'Processed Non-zero DMR Data'!A63, 'Raw Non-zero DMR Data'!$C:$C, X63, 'Raw Non-zero DMR Data'!$U:$U,'Processed Non-zero DMR Data'!Y63)</f>
        <v>1</v>
      </c>
      <c r="V63" s="8">
        <f>COUNTIFS('Raw Non-zero DMR Data'!$A:$A, 'Processed Non-zero DMR Data'!A63, 'Raw Non-zero DMR Data'!$C:$C, X63, 'Raw Non-zero DMR Data'!$U:$U,'Processed Non-zero DMR Data'!Y63,'Raw Non-zero DMR Data'!$Z:$Z,"Yes")</f>
        <v>1</v>
      </c>
      <c r="W63">
        <v>1.69847316346E-2</v>
      </c>
      <c r="X63" t="s">
        <v>645</v>
      </c>
      <c r="Y63" t="s">
        <v>646</v>
      </c>
      <c r="Z63" s="257">
        <v>103001010307</v>
      </c>
    </row>
    <row r="64" spans="1:26" ht="15" customHeight="1" x14ac:dyDescent="0.25">
      <c r="A64">
        <v>2019</v>
      </c>
      <c r="B64" t="s">
        <v>199</v>
      </c>
      <c r="C64" t="s">
        <v>200</v>
      </c>
      <c r="D64" t="s">
        <v>647</v>
      </c>
      <c r="E64" t="s">
        <v>138</v>
      </c>
      <c r="F64">
        <v>36.787260000000003</v>
      </c>
      <c r="G64">
        <v>-85.369240000000005</v>
      </c>
      <c r="I64" s="1">
        <v>110009938265</v>
      </c>
      <c r="J64">
        <v>4952</v>
      </c>
      <c r="K64" s="175" t="str">
        <f>INDEX('2022 SIC to NAICS'!B:B, MATCH('Processed Non-zero DMR Data'!$J64, '2022 SIC to NAICS'!$A:$A, 0))</f>
        <v>Sewerage Systems</v>
      </c>
      <c r="L64" s="175">
        <f>INDEX('2022 SIC to NAICS'!C:C, MATCH('Processed Non-zero DMR Data'!$J64, '2022 SIC to NAICS'!$A:$A, 0))</f>
        <v>221320</v>
      </c>
      <c r="M64" s="175" t="str">
        <f>INDEX('2022 SIC to NAICS'!D:D, MATCH('Processed Non-zero DMR Data'!$J64, '2022 SIC to NAICS'!$A:$A, 0))</f>
        <v xml:space="preserve">Sewage Treatment Facilities </v>
      </c>
      <c r="N64" s="90" t="str">
        <f>IFERROR(INDEX('NAICS Code to IS CDR Code'!B:B, MATCH('Processed Non-zero DMR Data'!L64,'NAICS Code to IS CDR Code'!A:A,0)), "NAICS/SIC Not Provided")</f>
        <v>IS4</v>
      </c>
      <c r="O64" s="91" t="str">
        <f>IFERROR(INDEX('NAICS Code to IS CDR Code'!C:C, MATCH('Processed Non-zero DMR Data'!L64,'NAICS Code to IS CDR Code'!A:A,0)), "NAICS/SIC Not Provided")</f>
        <v>Utilities</v>
      </c>
      <c r="P64" s="91" t="str">
        <f>INDEX('11DCA Mapping'!$K:$K, MATCH('Processed Non-zero DMR Data'!I65,'11DCA Mapping'!$J:$J,0))</f>
        <v>POTW</v>
      </c>
      <c r="Q64" s="91" t="str">
        <f>INDEX('11DCA Mapping'!$L:$L, MATCH('Processed Non-zero DMR Data'!I65,'11DCA Mapping'!$J:$J,0))</f>
        <v>Assigned POTW per "Facility Type Indicator"</v>
      </c>
      <c r="R64" s="250" t="str">
        <f>VLOOKUP(I64,'DMR POTW Flag'!$A$2:$B$960,2,FALSE)</f>
        <v>POTW</v>
      </c>
      <c r="S64" s="7" t="s">
        <v>67</v>
      </c>
      <c r="T64" s="249" t="s">
        <v>586</v>
      </c>
      <c r="U64" s="8">
        <f>COUNTIFS('Raw Non-zero DMR Data'!$A:$A, 'Processed Non-zero DMR Data'!A64, 'Raw Non-zero DMR Data'!$C:$C, X64, 'Raw Non-zero DMR Data'!$U:$U,'Processed Non-zero DMR Data'!Y64)</f>
        <v>1</v>
      </c>
      <c r="V64" s="8">
        <f>COUNTIFS('Raw Non-zero DMR Data'!$A:$A, 'Processed Non-zero DMR Data'!A64, 'Raw Non-zero DMR Data'!$C:$C, X64, 'Raw Non-zero DMR Data'!$U:$U,'Processed Non-zero DMR Data'!Y64,'Raw Non-zero DMR Data'!$Z:$Z,"Yes")</f>
        <v>1</v>
      </c>
      <c r="W64">
        <v>0.3134680225</v>
      </c>
      <c r="X64" t="s">
        <v>648</v>
      </c>
      <c r="Y64" t="s">
        <v>649</v>
      </c>
      <c r="Z64" s="257">
        <v>51301030701</v>
      </c>
    </row>
    <row r="65" spans="1:26" ht="15" customHeight="1" x14ac:dyDescent="0.25">
      <c r="A65">
        <v>2020</v>
      </c>
      <c r="B65" t="s">
        <v>199</v>
      </c>
      <c r="C65" t="s">
        <v>200</v>
      </c>
      <c r="D65" t="s">
        <v>647</v>
      </c>
      <c r="E65" t="s">
        <v>138</v>
      </c>
      <c r="F65">
        <v>36.787260000000003</v>
      </c>
      <c r="G65">
        <v>-85.369240000000005</v>
      </c>
      <c r="I65" s="1">
        <v>110009938265</v>
      </c>
      <c r="J65">
        <v>4952</v>
      </c>
      <c r="K65" s="175" t="str">
        <f>INDEX('2022 SIC to NAICS'!B:B, MATCH('Processed Non-zero DMR Data'!$J65, '2022 SIC to NAICS'!$A:$A, 0))</f>
        <v>Sewerage Systems</v>
      </c>
      <c r="L65" s="175">
        <f>INDEX('2022 SIC to NAICS'!C:C, MATCH('Processed Non-zero DMR Data'!$J65, '2022 SIC to NAICS'!$A:$A, 0))</f>
        <v>221320</v>
      </c>
      <c r="M65" s="175" t="str">
        <f>INDEX('2022 SIC to NAICS'!D:D, MATCH('Processed Non-zero DMR Data'!$J65, '2022 SIC to NAICS'!$A:$A, 0))</f>
        <v xml:space="preserve">Sewage Treatment Facilities </v>
      </c>
      <c r="N65" s="90" t="str">
        <f>IFERROR(INDEX('NAICS Code to IS CDR Code'!B:B, MATCH('Processed Non-zero DMR Data'!L65,'NAICS Code to IS CDR Code'!A:A,0)), "NAICS/SIC Not Provided")</f>
        <v>IS4</v>
      </c>
      <c r="O65" s="91" t="str">
        <f>IFERROR(INDEX('NAICS Code to IS CDR Code'!C:C, MATCH('Processed Non-zero DMR Data'!L65,'NAICS Code to IS CDR Code'!A:A,0)), "NAICS/SIC Not Provided")</f>
        <v>Utilities</v>
      </c>
      <c r="P65" s="91" t="e">
        <f>INDEX('11DCA Mapping'!$K:$K, MATCH('Processed Non-zero DMR Data'!I66,'11DCA Mapping'!$J:$J,0))</f>
        <v>#N/A</v>
      </c>
      <c r="Q65" s="91" t="e">
        <f>INDEX('11DCA Mapping'!$L:$L, MATCH('Processed Non-zero DMR Data'!I66,'11DCA Mapping'!$J:$J,0))</f>
        <v>#N/A</v>
      </c>
      <c r="R65" s="250" t="str">
        <f>VLOOKUP(I65,'DMR POTW Flag'!$A$2:$B$960,2,FALSE)</f>
        <v>POTW</v>
      </c>
      <c r="S65" s="7" t="s">
        <v>67</v>
      </c>
      <c r="T65" s="249" t="s">
        <v>586</v>
      </c>
      <c r="U65" s="8">
        <f>COUNTIFS('Raw Non-zero DMR Data'!$A:$A, 'Processed Non-zero DMR Data'!A65, 'Raw Non-zero DMR Data'!$C:$C, X65, 'Raw Non-zero DMR Data'!$U:$U,'Processed Non-zero DMR Data'!Y65)</f>
        <v>1</v>
      </c>
      <c r="V65" s="8">
        <f>COUNTIFS('Raw Non-zero DMR Data'!$A:$A, 'Processed Non-zero DMR Data'!A65, 'Raw Non-zero DMR Data'!$C:$C, X65, 'Raw Non-zero DMR Data'!$U:$U,'Processed Non-zero DMR Data'!Y65,'Raw Non-zero DMR Data'!$Z:$Z,"Yes")</f>
        <v>1</v>
      </c>
      <c r="W65">
        <v>0.29253791875000001</v>
      </c>
      <c r="X65" t="s">
        <v>648</v>
      </c>
      <c r="Y65" t="s">
        <v>649</v>
      </c>
      <c r="Z65" s="257">
        <v>51301030701</v>
      </c>
    </row>
    <row r="66" spans="1:26" ht="15" customHeight="1" x14ac:dyDescent="0.25">
      <c r="A66">
        <v>2019</v>
      </c>
      <c r="B66" t="s">
        <v>325</v>
      </c>
      <c r="C66" t="s">
        <v>326</v>
      </c>
      <c r="D66" t="s">
        <v>650</v>
      </c>
      <c r="E66" t="s">
        <v>146</v>
      </c>
      <c r="F66">
        <v>37.591898999999998</v>
      </c>
      <c r="G66">
        <v>-122.358101</v>
      </c>
      <c r="I66" s="1">
        <v>110055988016</v>
      </c>
      <c r="J66">
        <v>4952</v>
      </c>
      <c r="K66" s="175" t="str">
        <f>INDEX('2022 SIC to NAICS'!B:B, MATCH('Processed Non-zero DMR Data'!$J66, '2022 SIC to NAICS'!$A:$A, 0))</f>
        <v>Sewerage Systems</v>
      </c>
      <c r="L66" s="175">
        <f>INDEX('2022 SIC to NAICS'!C:C, MATCH('Processed Non-zero DMR Data'!$J66, '2022 SIC to NAICS'!$A:$A, 0))</f>
        <v>221320</v>
      </c>
      <c r="M66" s="175" t="str">
        <f>INDEX('2022 SIC to NAICS'!D:D, MATCH('Processed Non-zero DMR Data'!$J66, '2022 SIC to NAICS'!$A:$A, 0))</f>
        <v xml:space="preserve">Sewage Treatment Facilities </v>
      </c>
      <c r="N66" s="90" t="str">
        <f>IFERROR(INDEX('NAICS Code to IS CDR Code'!B:B, MATCH('Processed Non-zero DMR Data'!L66,'NAICS Code to IS CDR Code'!A:A,0)), "NAICS/SIC Not Provided")</f>
        <v>IS4</v>
      </c>
      <c r="O66" s="91" t="str">
        <f>IFERROR(INDEX('NAICS Code to IS CDR Code'!C:C, MATCH('Processed Non-zero DMR Data'!L66,'NAICS Code to IS CDR Code'!A:A,0)), "NAICS/SIC Not Provided")</f>
        <v>Utilities</v>
      </c>
      <c r="P66" s="91" t="str">
        <f>INDEX('11DCA Mapping'!$K:$K, MATCH('Processed Non-zero DMR Data'!I67,'11DCA Mapping'!$J:$J,0))</f>
        <v>Processing as a Reactant</v>
      </c>
      <c r="Q66" s="91" t="str">
        <f>INDEX('11DCA Mapping'!$L:$L, MATCH('Processed Non-zero DMR Data'!I67,'11DCA Mapping'!$J:$J,0))</f>
        <v>Assuming processing as a reactant based on SIC and NAICS descriptions</v>
      </c>
      <c r="R66" s="250" t="str">
        <f>VLOOKUP(I66,'DMR POTW Flag'!$A$2:$B$960,2,FALSE)</f>
        <v>POTW</v>
      </c>
      <c r="S66" s="7" t="s">
        <v>67</v>
      </c>
      <c r="T66" s="249" t="s">
        <v>586</v>
      </c>
      <c r="U66" s="8">
        <f>COUNTIFS('Raw Non-zero DMR Data'!$A:$A, 'Processed Non-zero DMR Data'!A66, 'Raw Non-zero DMR Data'!$C:$C, X66, 'Raw Non-zero DMR Data'!$U:$U,'Processed Non-zero DMR Data'!Y66)</f>
        <v>1</v>
      </c>
      <c r="V66" s="8">
        <f>COUNTIFS('Raw Non-zero DMR Data'!$A:$A, 'Processed Non-zero DMR Data'!A66, 'Raw Non-zero DMR Data'!$C:$C, X66, 'Raw Non-zero DMR Data'!$U:$U,'Processed Non-zero DMR Data'!Y66,'Raw Non-zero DMR Data'!$Z:$Z,"Yes")</f>
        <v>0</v>
      </c>
      <c r="W66">
        <v>1.0326899375</v>
      </c>
      <c r="X66" t="s">
        <v>651</v>
      </c>
      <c r="Y66" t="s">
        <v>652</v>
      </c>
      <c r="Z66" s="257">
        <v>180500041001</v>
      </c>
    </row>
    <row r="67" spans="1:26" ht="15" customHeight="1" x14ac:dyDescent="0.25">
      <c r="A67">
        <v>2019</v>
      </c>
      <c r="B67" t="s">
        <v>332</v>
      </c>
      <c r="C67" t="s">
        <v>333</v>
      </c>
      <c r="D67" t="s">
        <v>653</v>
      </c>
      <c r="E67" t="s">
        <v>268</v>
      </c>
      <c r="F67">
        <v>40.655278000000003</v>
      </c>
      <c r="G67">
        <v>-80.356388999999993</v>
      </c>
      <c r="I67" s="1">
        <v>110059344473</v>
      </c>
      <c r="J67">
        <v>2821</v>
      </c>
      <c r="K67" s="175" t="str">
        <f>INDEX('2022 SIC to NAICS'!B:B, MATCH('Processed Non-zero DMR Data'!$J67, '2022 SIC to NAICS'!$A:$A, 0))</f>
        <v>Plastics Materials and Resins</v>
      </c>
      <c r="L67" s="175">
        <f>INDEX('2022 SIC to NAICS'!C:C, MATCH('Processed Non-zero DMR Data'!$J67, '2022 SIC to NAICS'!$A:$A, 0))</f>
        <v>325211</v>
      </c>
      <c r="M67" s="175" t="str">
        <f>INDEX('2022 SIC to NAICS'!D:D, MATCH('Processed Non-zero DMR Data'!$J67, '2022 SIC to NAICS'!$A:$A, 0))</f>
        <v xml:space="preserve">Plastics Material and Resin Manufacturing </v>
      </c>
      <c r="N67" s="90" t="str">
        <f>IFERROR(INDEX('NAICS Code to IS CDR Code'!B:B, MATCH('Processed Non-zero DMR Data'!L67,'NAICS Code to IS CDR Code'!A:A,0)), "NAICS/SIC Not Provided")</f>
        <v>IS22</v>
      </c>
      <c r="O67" s="91" t="str">
        <f>IFERROR(INDEX('NAICS Code to IS CDR Code'!C:C, MATCH('Processed Non-zero DMR Data'!L67,'NAICS Code to IS CDR Code'!A:A,0)), "NAICS/SIC Not Provided")</f>
        <v>Plastic Material and Resin Manufacturing</v>
      </c>
      <c r="P67" s="91" t="str">
        <f>INDEX('11DCA Mapping'!$K:$K, MATCH('Processed Non-zero DMR Data'!I68,'11DCA Mapping'!$J:$J,0))</f>
        <v>Processing as a Reactant</v>
      </c>
      <c r="Q67" s="91" t="str">
        <f>INDEX('11DCA Mapping'!$L:$L, MATCH('Processed Non-zero DMR Data'!I68,'11DCA Mapping'!$J:$J,0))</f>
        <v>Assuming processing as a reactant based on SIC and NAICS descriptions</v>
      </c>
      <c r="R67" s="250" t="str">
        <f>VLOOKUP(I67,'DMR POTW Flag'!$A$2:$B$960,2,FALSE)</f>
        <v>NON-POTW</v>
      </c>
      <c r="S67" s="7" t="s">
        <v>63</v>
      </c>
      <c r="T67" s="7" t="s">
        <v>5470</v>
      </c>
      <c r="U67" s="8">
        <f>COUNTIFS('Raw Non-zero DMR Data'!$A:$A, 'Processed Non-zero DMR Data'!A67, 'Raw Non-zero DMR Data'!$C:$C, X67, 'Raw Non-zero DMR Data'!$U:$U,'Processed Non-zero DMR Data'!Y67)</f>
        <v>1</v>
      </c>
      <c r="V67" s="8">
        <f>COUNTIFS('Raw Non-zero DMR Data'!$A:$A, 'Processed Non-zero DMR Data'!A67, 'Raw Non-zero DMR Data'!$C:$C, X67, 'Raw Non-zero DMR Data'!$U:$U,'Processed Non-zero DMR Data'!Y67,'Raw Non-zero DMR Data'!$Z:$Z,"Yes")</f>
        <v>1</v>
      </c>
      <c r="W67">
        <v>0.66283999999999998</v>
      </c>
      <c r="X67" t="s">
        <v>654</v>
      </c>
      <c r="Y67" t="s">
        <v>655</v>
      </c>
      <c r="Z67" s="257">
        <v>50301010310</v>
      </c>
    </row>
    <row r="68" spans="1:26" ht="15" customHeight="1" x14ac:dyDescent="0.25">
      <c r="A68">
        <v>2020</v>
      </c>
      <c r="B68" t="s">
        <v>332</v>
      </c>
      <c r="C68" t="s">
        <v>333</v>
      </c>
      <c r="D68" t="s">
        <v>653</v>
      </c>
      <c r="E68" t="s">
        <v>268</v>
      </c>
      <c r="F68">
        <v>40.655278000000003</v>
      </c>
      <c r="G68">
        <v>-80.356388999999993</v>
      </c>
      <c r="I68" s="1">
        <v>110059344473</v>
      </c>
      <c r="J68">
        <v>2821</v>
      </c>
      <c r="K68" s="175" t="str">
        <f>INDEX('2022 SIC to NAICS'!B:B, MATCH('Processed Non-zero DMR Data'!$J68, '2022 SIC to NAICS'!$A:$A, 0))</f>
        <v>Plastics Materials and Resins</v>
      </c>
      <c r="L68" s="175">
        <f>INDEX('2022 SIC to NAICS'!C:C, MATCH('Processed Non-zero DMR Data'!$J68, '2022 SIC to NAICS'!$A:$A, 0))</f>
        <v>325211</v>
      </c>
      <c r="M68" s="175" t="str">
        <f>INDEX('2022 SIC to NAICS'!D:D, MATCH('Processed Non-zero DMR Data'!$J68, '2022 SIC to NAICS'!$A:$A, 0))</f>
        <v xml:space="preserve">Plastics Material and Resin Manufacturing </v>
      </c>
      <c r="N68" s="90" t="str">
        <f>IFERROR(INDEX('NAICS Code to IS CDR Code'!B:B, MATCH('Processed Non-zero DMR Data'!L68,'NAICS Code to IS CDR Code'!A:A,0)), "NAICS/SIC Not Provided")</f>
        <v>IS22</v>
      </c>
      <c r="O68" s="91" t="str">
        <f>IFERROR(INDEX('NAICS Code to IS CDR Code'!C:C, MATCH('Processed Non-zero DMR Data'!L68,'NAICS Code to IS CDR Code'!A:A,0)), "NAICS/SIC Not Provided")</f>
        <v>Plastic Material and Resin Manufacturing</v>
      </c>
      <c r="P68" s="91" t="str">
        <f>INDEX('11DCA Mapping'!$K:$K, MATCH('Processed Non-zero DMR Data'!I69,'11DCA Mapping'!$J:$J,0))</f>
        <v>Processing as a Reactant</v>
      </c>
      <c r="Q68" s="91" t="str">
        <f>INDEX('11DCA Mapping'!$L:$L, MATCH('Processed Non-zero DMR Data'!I69,'11DCA Mapping'!$J:$J,0))</f>
        <v>Assuming processing as a reactant based on SIC and NAICS descriptions</v>
      </c>
      <c r="R68" s="250" t="str">
        <f>VLOOKUP(I68,'DMR POTW Flag'!$A$2:$B$960,2,FALSE)</f>
        <v>NON-POTW</v>
      </c>
      <c r="S68" s="7" t="s">
        <v>63</v>
      </c>
      <c r="T68" s="7" t="s">
        <v>5470</v>
      </c>
      <c r="U68" s="8">
        <f>COUNTIFS('Raw Non-zero DMR Data'!$A:$A, 'Processed Non-zero DMR Data'!A68, 'Raw Non-zero DMR Data'!$C:$C, X68, 'Raw Non-zero DMR Data'!$U:$U,'Processed Non-zero DMR Data'!Y68)</f>
        <v>1</v>
      </c>
      <c r="V68" s="8">
        <f>COUNTIFS('Raw Non-zero DMR Data'!$A:$A, 'Processed Non-zero DMR Data'!A68, 'Raw Non-zero DMR Data'!$C:$C, X68, 'Raw Non-zero DMR Data'!$U:$U,'Processed Non-zero DMR Data'!Y68,'Raw Non-zero DMR Data'!$Z:$Z,"Yes")</f>
        <v>1</v>
      </c>
      <c r="W68">
        <v>0.49713000000000002</v>
      </c>
      <c r="X68" t="s">
        <v>654</v>
      </c>
      <c r="Y68" t="s">
        <v>655</v>
      </c>
      <c r="Z68" s="257">
        <v>50301010310</v>
      </c>
    </row>
    <row r="69" spans="1:26" ht="15" customHeight="1" x14ac:dyDescent="0.25">
      <c r="A69">
        <v>2021</v>
      </c>
      <c r="B69" t="s">
        <v>332</v>
      </c>
      <c r="C69" t="s">
        <v>333</v>
      </c>
      <c r="D69" t="s">
        <v>653</v>
      </c>
      <c r="E69" t="s">
        <v>268</v>
      </c>
      <c r="F69">
        <v>40.655278000000003</v>
      </c>
      <c r="G69">
        <v>-80.356388999999993</v>
      </c>
      <c r="I69" s="1">
        <v>110059344473</v>
      </c>
      <c r="J69">
        <v>2821</v>
      </c>
      <c r="K69" s="175" t="str">
        <f>INDEX('2022 SIC to NAICS'!B:B, MATCH('Processed Non-zero DMR Data'!$J69, '2022 SIC to NAICS'!$A:$A, 0))</f>
        <v>Plastics Materials and Resins</v>
      </c>
      <c r="L69" s="175">
        <f>INDEX('2022 SIC to NAICS'!C:C, MATCH('Processed Non-zero DMR Data'!$J69, '2022 SIC to NAICS'!$A:$A, 0))</f>
        <v>325211</v>
      </c>
      <c r="M69" s="175" t="str">
        <f>INDEX('2022 SIC to NAICS'!D:D, MATCH('Processed Non-zero DMR Data'!$J69, '2022 SIC to NAICS'!$A:$A, 0))</f>
        <v xml:space="preserve">Plastics Material and Resin Manufacturing </v>
      </c>
      <c r="N69" s="90" t="str">
        <f>IFERROR(INDEX('NAICS Code to IS CDR Code'!B:B, MATCH('Processed Non-zero DMR Data'!L69,'NAICS Code to IS CDR Code'!A:A,0)), "NAICS/SIC Not Provided")</f>
        <v>IS22</v>
      </c>
      <c r="O69" s="91" t="str">
        <f>IFERROR(INDEX('NAICS Code to IS CDR Code'!C:C, MATCH('Processed Non-zero DMR Data'!L69,'NAICS Code to IS CDR Code'!A:A,0)), "NAICS/SIC Not Provided")</f>
        <v>Plastic Material and Resin Manufacturing</v>
      </c>
      <c r="P69" s="91" t="str">
        <f>INDEX('11DCA Mapping'!$K:$K, MATCH('Processed Non-zero DMR Data'!I70,'11DCA Mapping'!$J:$J,0))</f>
        <v>Processing as a Reactant</v>
      </c>
      <c r="Q69" s="91" t="str">
        <f>INDEX('11DCA Mapping'!$L:$L, MATCH('Processed Non-zero DMR Data'!I70,'11DCA Mapping'!$J:$J,0))</f>
        <v>Assuming processing as a reactant based on SIC and NAICS descriptions</v>
      </c>
      <c r="R69" s="250" t="str">
        <f>VLOOKUP(I69,'DMR POTW Flag'!$A$2:$B$960,2,FALSE)</f>
        <v>NON-POTW</v>
      </c>
      <c r="S69" s="7" t="s">
        <v>63</v>
      </c>
      <c r="T69" s="7" t="s">
        <v>5470</v>
      </c>
      <c r="U69" s="8">
        <f>COUNTIFS('Raw Non-zero DMR Data'!$A:$A, 'Processed Non-zero DMR Data'!A69, 'Raw Non-zero DMR Data'!$C:$C, X69, 'Raw Non-zero DMR Data'!$U:$U,'Processed Non-zero DMR Data'!Y69)</f>
        <v>1</v>
      </c>
      <c r="V69" s="8">
        <f>COUNTIFS('Raw Non-zero DMR Data'!$A:$A, 'Processed Non-zero DMR Data'!A69, 'Raw Non-zero DMR Data'!$C:$C, X69, 'Raw Non-zero DMR Data'!$U:$U,'Processed Non-zero DMR Data'!Y69,'Raw Non-zero DMR Data'!$Z:$Z,"Yes")</f>
        <v>1</v>
      </c>
      <c r="W69">
        <v>0.57998499999999997</v>
      </c>
      <c r="X69" t="s">
        <v>654</v>
      </c>
      <c r="Y69" t="s">
        <v>655</v>
      </c>
      <c r="Z69" s="257">
        <v>50301010310</v>
      </c>
    </row>
    <row r="70" spans="1:26" ht="15" customHeight="1" x14ac:dyDescent="0.25">
      <c r="A70">
        <v>2022</v>
      </c>
      <c r="B70" t="s">
        <v>332</v>
      </c>
      <c r="C70" t="s">
        <v>333</v>
      </c>
      <c r="D70" t="s">
        <v>653</v>
      </c>
      <c r="E70" t="s">
        <v>268</v>
      </c>
      <c r="F70">
        <v>40.655278000000003</v>
      </c>
      <c r="G70">
        <v>-80.356388999999993</v>
      </c>
      <c r="I70" s="1">
        <v>110059344473</v>
      </c>
      <c r="J70">
        <v>2821</v>
      </c>
      <c r="K70" s="175" t="str">
        <f>INDEX('2022 SIC to NAICS'!B:B, MATCH('Processed Non-zero DMR Data'!$J70, '2022 SIC to NAICS'!$A:$A, 0))</f>
        <v>Plastics Materials and Resins</v>
      </c>
      <c r="L70" s="175">
        <f>INDEX('2022 SIC to NAICS'!C:C, MATCH('Processed Non-zero DMR Data'!$J70, '2022 SIC to NAICS'!$A:$A, 0))</f>
        <v>325211</v>
      </c>
      <c r="M70" s="175" t="str">
        <f>INDEX('2022 SIC to NAICS'!D:D, MATCH('Processed Non-zero DMR Data'!$J70, '2022 SIC to NAICS'!$A:$A, 0))</f>
        <v xml:space="preserve">Plastics Material and Resin Manufacturing </v>
      </c>
      <c r="N70" s="90" t="str">
        <f>IFERROR(INDEX('NAICS Code to IS CDR Code'!B:B, MATCH('Processed Non-zero DMR Data'!L70,'NAICS Code to IS CDR Code'!A:A,0)), "NAICS/SIC Not Provided")</f>
        <v>IS22</v>
      </c>
      <c r="O70" s="91" t="str">
        <f>IFERROR(INDEX('NAICS Code to IS CDR Code'!C:C, MATCH('Processed Non-zero DMR Data'!L70,'NAICS Code to IS CDR Code'!A:A,0)), "NAICS/SIC Not Provided")</f>
        <v>Plastic Material and Resin Manufacturing</v>
      </c>
      <c r="P70" s="91" t="str">
        <f>INDEX('11DCA Mapping'!$K:$K, MATCH('Processed Non-zero DMR Data'!I71,'11DCA Mapping'!$J:$J,0))</f>
        <v>Processing as a Reactant</v>
      </c>
      <c r="Q70" s="91" t="str">
        <f>INDEX('11DCA Mapping'!$L:$L, MATCH('Processed Non-zero DMR Data'!I71,'11DCA Mapping'!$J:$J,0))</f>
        <v>Assuming processing as a reactant based on SIC and NAICS descriptions</v>
      </c>
      <c r="R70" s="250" t="str">
        <f>VLOOKUP(I70,'DMR POTW Flag'!$A$2:$B$960,2,FALSE)</f>
        <v>NON-POTW</v>
      </c>
      <c r="S70" s="7" t="s">
        <v>63</v>
      </c>
      <c r="T70" s="7" t="s">
        <v>5470</v>
      </c>
      <c r="U70" s="8">
        <f>COUNTIFS('Raw Non-zero DMR Data'!$A:$A, 'Processed Non-zero DMR Data'!A70, 'Raw Non-zero DMR Data'!$C:$C, X70, 'Raw Non-zero DMR Data'!$U:$U,'Processed Non-zero DMR Data'!Y70)</f>
        <v>1</v>
      </c>
      <c r="V70" s="8">
        <f>COUNTIFS('Raw Non-zero DMR Data'!$A:$A, 'Processed Non-zero DMR Data'!A70, 'Raw Non-zero DMR Data'!$C:$C, X70, 'Raw Non-zero DMR Data'!$U:$U,'Processed Non-zero DMR Data'!Y70,'Raw Non-zero DMR Data'!$Z:$Z,"Yes")</f>
        <v>1</v>
      </c>
      <c r="W70">
        <v>0.66283999999999998</v>
      </c>
      <c r="X70" t="s">
        <v>654</v>
      </c>
      <c r="Y70" t="s">
        <v>655</v>
      </c>
      <c r="Z70" s="257">
        <v>50301010310</v>
      </c>
    </row>
    <row r="71" spans="1:26" ht="15" customHeight="1" x14ac:dyDescent="0.25">
      <c r="A71">
        <v>2023</v>
      </c>
      <c r="B71" t="s">
        <v>332</v>
      </c>
      <c r="C71" t="s">
        <v>333</v>
      </c>
      <c r="D71" t="s">
        <v>653</v>
      </c>
      <c r="E71" t="s">
        <v>268</v>
      </c>
      <c r="F71">
        <v>40.655278000000003</v>
      </c>
      <c r="G71">
        <v>-80.356388999999993</v>
      </c>
      <c r="I71" s="1">
        <v>110059344473</v>
      </c>
      <c r="J71">
        <v>2821</v>
      </c>
      <c r="K71" s="175" t="str">
        <f>INDEX('2022 SIC to NAICS'!B:B, MATCH('Processed Non-zero DMR Data'!$J71, '2022 SIC to NAICS'!$A:$A, 0))</f>
        <v>Plastics Materials and Resins</v>
      </c>
      <c r="L71" s="175">
        <f>INDEX('2022 SIC to NAICS'!C:C, MATCH('Processed Non-zero DMR Data'!$J71, '2022 SIC to NAICS'!$A:$A, 0))</f>
        <v>325211</v>
      </c>
      <c r="M71" s="175" t="str">
        <f>INDEX('2022 SIC to NAICS'!D:D, MATCH('Processed Non-zero DMR Data'!$J71, '2022 SIC to NAICS'!$A:$A, 0))</f>
        <v xml:space="preserve">Plastics Material and Resin Manufacturing </v>
      </c>
      <c r="N71" s="90" t="str">
        <f>IFERROR(INDEX('NAICS Code to IS CDR Code'!B:B, MATCH('Processed Non-zero DMR Data'!L71,'NAICS Code to IS CDR Code'!A:A,0)), "NAICS/SIC Not Provided")</f>
        <v>IS22</v>
      </c>
      <c r="O71" s="91" t="str">
        <f>IFERROR(INDEX('NAICS Code to IS CDR Code'!C:C, MATCH('Processed Non-zero DMR Data'!L71,'NAICS Code to IS CDR Code'!A:A,0)), "NAICS/SIC Not Provided")</f>
        <v>Plastic Material and Resin Manufacturing</v>
      </c>
      <c r="P71" s="91" t="str">
        <f>INDEX('11DCA Mapping'!$K:$K, MATCH('Processed Non-zero DMR Data'!I72,'11DCA Mapping'!$J:$J,0))</f>
        <v>Unknown</v>
      </c>
      <c r="Q71" s="91" t="str">
        <f>INDEX('11DCA Mapping'!$L:$L, MATCH('Processed Non-zero DMR Data'!I72,'11DCA Mapping'!$J:$J,0))</f>
        <v>Unknown how ship building and repairing would fit into any of the OES's</v>
      </c>
      <c r="R71" s="250" t="str">
        <f>VLOOKUP(I71,'DMR POTW Flag'!$A$2:$B$960,2,FALSE)</f>
        <v>NON-POTW</v>
      </c>
      <c r="S71" s="7" t="s">
        <v>63</v>
      </c>
      <c r="T71" s="7" t="s">
        <v>5470</v>
      </c>
      <c r="U71" s="8">
        <f>COUNTIFS('Raw Non-zero DMR Data'!$A:$A, 'Processed Non-zero DMR Data'!A71, 'Raw Non-zero DMR Data'!$C:$C, X71, 'Raw Non-zero DMR Data'!$U:$U,'Processed Non-zero DMR Data'!Y71)</f>
        <v>1</v>
      </c>
      <c r="V71" s="8">
        <f>COUNTIFS('Raw Non-zero DMR Data'!$A:$A, 'Processed Non-zero DMR Data'!A71, 'Raw Non-zero DMR Data'!$C:$C, X71, 'Raw Non-zero DMR Data'!$U:$U,'Processed Non-zero DMR Data'!Y71,'Raw Non-zero DMR Data'!$Z:$Z,"Yes")</f>
        <v>1</v>
      </c>
      <c r="W71">
        <v>0.57998499999999997</v>
      </c>
      <c r="X71" t="s">
        <v>654</v>
      </c>
      <c r="Y71" t="s">
        <v>655</v>
      </c>
      <c r="Z71" s="257">
        <v>50301010310</v>
      </c>
    </row>
    <row r="72" spans="1:26" ht="15" customHeight="1" x14ac:dyDescent="0.25">
      <c r="A72">
        <v>2019</v>
      </c>
      <c r="B72" t="s">
        <v>184</v>
      </c>
      <c r="C72" t="s">
        <v>185</v>
      </c>
      <c r="D72" t="s">
        <v>185</v>
      </c>
      <c r="E72" t="s">
        <v>186</v>
      </c>
      <c r="F72">
        <v>21.352499999999999</v>
      </c>
      <c r="G72">
        <v>-157.95813899999999</v>
      </c>
      <c r="I72" s="1">
        <v>110046184516</v>
      </c>
      <c r="J72">
        <v>3731</v>
      </c>
      <c r="K72" s="175" t="str">
        <f>INDEX('2022 SIC to NAICS'!B:B, MATCH('Processed Non-zero DMR Data'!$J72, '2022 SIC to NAICS'!$A:$A, 0))</f>
        <v>Shipbuilding and Repairing</v>
      </c>
      <c r="L72" s="175">
        <f>INDEX('2022 SIC to NAICS'!C:C, MATCH('Processed Non-zero DMR Data'!$J72, '2022 SIC to NAICS'!$A:$A, 0))</f>
        <v>336611</v>
      </c>
      <c r="M72" s="175" t="str">
        <f>INDEX('2022 SIC to NAICS'!D:D, MATCH('Processed Non-zero DMR Data'!$J72, '2022 SIC to NAICS'!$A:$A, 0))</f>
        <v xml:space="preserve">Ship Building and Repairing </v>
      </c>
      <c r="N72" s="90" t="str">
        <f>IFERROR(INDEX('NAICS Code to IS CDR Code'!B:B, MATCH('Processed Non-zero DMR Data'!L72,'NAICS Code to IS CDR Code'!A:A,0)), "NAICS/SIC Not Provided")</f>
        <v>IS43</v>
      </c>
      <c r="O72" s="91" t="str">
        <f>IFERROR(INDEX('NAICS Code to IS CDR Code'!C:C, MATCH('Processed Non-zero DMR Data'!L72,'NAICS Code to IS CDR Code'!A:A,0)), "NAICS/SIC Not Provided")</f>
        <v>Transportation Equipment Manufacturing</v>
      </c>
      <c r="P72" s="91" t="str">
        <f>INDEX('11DCA Mapping'!$K:$K, MATCH('Processed Non-zero DMR Data'!I458,'11DCA Mapping'!$J:$J,0))</f>
        <v>Natural Gas Engines</v>
      </c>
      <c r="Q72" s="91" t="str">
        <f>INDEX('11DCA Mapping'!$L:$L, MATCH('Processed Non-zero DMR Data'!I458,'11DCA Mapping'!$J:$J,0))</f>
        <v xml:space="preserve">The facility is a petroleum processes/refinery. 1,1 DCA detection may be originating from natural gas (if used) combusted at the site. </v>
      </c>
      <c r="R72" s="91" t="str">
        <f>VLOOKUP(I72,'DMR POTW Flag'!$A$2:$B$960,2,FALSE)</f>
        <v>FEDERAL</v>
      </c>
      <c r="S72" s="7" t="s">
        <v>72</v>
      </c>
      <c r="T72" s="244" t="s">
        <v>656</v>
      </c>
      <c r="U72" s="8">
        <f>COUNTIFS('Raw Non-zero DMR Data'!$A:$A, 'Processed Non-zero DMR Data'!A72, 'Raw Non-zero DMR Data'!$C:$C, X72, 'Raw Non-zero DMR Data'!$U:$U,'Processed Non-zero DMR Data'!Y72)</f>
        <v>1</v>
      </c>
      <c r="V72" s="8">
        <f>COUNTIFS('Raw Non-zero DMR Data'!$A:$A, 'Processed Non-zero DMR Data'!A72, 'Raw Non-zero DMR Data'!$C:$C, X72, 'Raw Non-zero DMR Data'!$U:$U,'Processed Non-zero DMR Data'!Y72,'Raw Non-zero DMR Data'!$Z:$Z,"Yes")</f>
        <v>1</v>
      </c>
      <c r="W72">
        <v>0.26248975000000002</v>
      </c>
      <c r="X72" t="s">
        <v>657</v>
      </c>
      <c r="Y72" t="s">
        <v>658</v>
      </c>
      <c r="Z72" s="257">
        <v>200600000401</v>
      </c>
    </row>
    <row r="73" spans="1:26" ht="15" customHeight="1" x14ac:dyDescent="0.25">
      <c r="A73">
        <v>2019</v>
      </c>
      <c r="B73" t="s">
        <v>231</v>
      </c>
      <c r="C73" t="s">
        <v>232</v>
      </c>
      <c r="D73" t="s">
        <v>659</v>
      </c>
      <c r="E73" t="s">
        <v>141</v>
      </c>
      <c r="F73">
        <v>38.2774</v>
      </c>
      <c r="G73">
        <v>-89.666899999999998</v>
      </c>
      <c r="I73" s="1">
        <v>110044852068</v>
      </c>
      <c r="J73">
        <v>4911</v>
      </c>
      <c r="K73" s="175" t="str">
        <f>INDEX('2022 SIC to NAICS'!B:B, MATCH('Processed Non-zero DMR Data'!$J73, '2022 SIC to NAICS'!$A:$A, 0))</f>
        <v>Electric Services</v>
      </c>
      <c r="L73" s="175">
        <f>INDEX('2022 SIC to NAICS'!C:C, MATCH('Processed Non-zero DMR Data'!$J73, '2022 SIC to NAICS'!$A:$A, 0))</f>
        <v>221111</v>
      </c>
      <c r="M73" s="175" t="str">
        <f>INDEX('2022 SIC to NAICS'!D:D, MATCH('Processed Non-zero DMR Data'!$J73, '2022 SIC to NAICS'!$A:$A, 0))</f>
        <v xml:space="preserve">Hydroelectric Power Generation </v>
      </c>
      <c r="N73" s="90" t="str">
        <f>IFERROR(INDEX('NAICS Code to IS CDR Code'!B:B, MATCH('Processed Non-zero DMR Data'!L73,'NAICS Code to IS CDR Code'!A:A,0)), "NAICS/SIC Not Provided")</f>
        <v>NAICS/SIC Not Provided</v>
      </c>
      <c r="O73" s="91" t="str">
        <f>IFERROR(INDEX('NAICS Code to IS CDR Code'!C:C, MATCH('Processed Non-zero DMR Data'!L73,'NAICS Code to IS CDR Code'!A:A,0)), "NAICS/SIC Not Provided")</f>
        <v>NAICS/SIC Not Provided</v>
      </c>
      <c r="P73" s="91" t="e">
        <f>INDEX('11DCA Mapping'!$K:$K, MATCH('Processed Non-zero DMR Data'!I472,'11DCA Mapping'!$J:$J,0))</f>
        <v>#N/A</v>
      </c>
      <c r="Q73" s="91" t="e">
        <f>INDEX('11DCA Mapping'!$L:$L, MATCH('Processed Non-zero DMR Data'!I472,'11DCA Mapping'!$J:$J,0))</f>
        <v>#N/A</v>
      </c>
      <c r="R73" s="91" t="str">
        <f>VLOOKUP(I73,'DMR POTW Flag'!$A$2:$B$960,2,FALSE)</f>
        <v>NON-POTW</v>
      </c>
      <c r="S73" s="7" t="s">
        <v>72</v>
      </c>
      <c r="T73" s="244" t="s">
        <v>660</v>
      </c>
      <c r="U73" s="8">
        <f>COUNTIFS('Raw Non-zero DMR Data'!$A:$A, 'Processed Non-zero DMR Data'!A73, 'Raw Non-zero DMR Data'!$C:$C, X73, 'Raw Non-zero DMR Data'!$U:$U,'Processed Non-zero DMR Data'!Y73)</f>
        <v>1</v>
      </c>
      <c r="V73" s="8">
        <f>COUNTIFS('Raw Non-zero DMR Data'!$A:$A, 'Processed Non-zero DMR Data'!A73, 'Raw Non-zero DMR Data'!$C:$C, X73, 'Raw Non-zero DMR Data'!$U:$U,'Processed Non-zero DMR Data'!Y73,'Raw Non-zero DMR Data'!$Z:$Z,"Yes")</f>
        <v>1</v>
      </c>
      <c r="W73">
        <v>2.0336048</v>
      </c>
      <c r="X73" t="s">
        <v>661</v>
      </c>
      <c r="Y73" t="s">
        <v>662</v>
      </c>
      <c r="Z73" s="257">
        <v>71402040302</v>
      </c>
    </row>
    <row r="74" spans="1:26" ht="15" customHeight="1" x14ac:dyDescent="0.25">
      <c r="A74">
        <v>2019</v>
      </c>
      <c r="B74" t="s">
        <v>339</v>
      </c>
      <c r="C74" t="s">
        <v>202</v>
      </c>
      <c r="D74" t="s">
        <v>663</v>
      </c>
      <c r="E74" t="s">
        <v>106</v>
      </c>
      <c r="F74">
        <v>30.233011999999999</v>
      </c>
      <c r="G74">
        <v>-91.022057000000004</v>
      </c>
      <c r="I74" s="1">
        <v>110000911309</v>
      </c>
      <c r="J74">
        <v>4789</v>
      </c>
      <c r="K74" s="175" t="str">
        <f>INDEX('2022 SIC to NAICS'!B:B, MATCH('Processed Non-zero DMR Data'!$J74, '2022 SIC to NAICS'!$A:$A, 0))</f>
        <v>Transportation Services, Nec</v>
      </c>
      <c r="L74" s="175">
        <f>INDEX('2022 SIC to NAICS'!C:C, MATCH('Processed Non-zero DMR Data'!$J74, '2022 SIC to NAICS'!$A:$A, 0))</f>
        <v>487110</v>
      </c>
      <c r="M74" s="175" t="str">
        <f>INDEX('2022 SIC to NAICS'!D:D, MATCH('Processed Non-zero DMR Data'!$J74, '2022 SIC to NAICS'!$A:$A, 0))</f>
        <v>Scenic and Sightseeing Transportation, Land</v>
      </c>
      <c r="N74" s="90" t="str">
        <f>IFERROR(INDEX('NAICS Code to IS CDR Code'!B:B, MATCH('Processed Non-zero DMR Data'!L74,'NAICS Code to IS CDR Code'!A:A,0)), "NAICS/SIC Not Provided")</f>
        <v>IS46</v>
      </c>
      <c r="O74" s="91" t="str">
        <f>IFERROR(INDEX('NAICS Code to IS CDR Code'!C:C, MATCH('Processed Non-zero DMR Data'!L74,'NAICS Code to IS CDR Code'!A:A,0)), "NAICS/SIC Not Provided")</f>
        <v>Wholesale and Retail Trade</v>
      </c>
      <c r="P74" s="91" t="e">
        <f>INDEX('11DCA Mapping'!$K:$K, MATCH('Processed Non-zero DMR Data'!I476,'11DCA Mapping'!$J:$J,0))</f>
        <v>#N/A</v>
      </c>
      <c r="Q74" s="91" t="e">
        <f>INDEX('11DCA Mapping'!$L:$L, MATCH('Processed Non-zero DMR Data'!I476,'11DCA Mapping'!$J:$J,0))</f>
        <v>#N/A</v>
      </c>
      <c r="R74" s="91" t="str">
        <f>VLOOKUP(I74,'DMR POTW Flag'!$A$2:$B$960,2,FALSE)</f>
        <v>NON-POTW</v>
      </c>
      <c r="S74" s="7" t="s">
        <v>72</v>
      </c>
      <c r="T74" s="244" t="s">
        <v>664</v>
      </c>
      <c r="U74" s="8">
        <f>COUNTIFS('Raw Non-zero DMR Data'!$A:$A, 'Processed Non-zero DMR Data'!A74, 'Raw Non-zero DMR Data'!$C:$C, X74, 'Raw Non-zero DMR Data'!$U:$U,'Processed Non-zero DMR Data'!Y74)</f>
        <v>1</v>
      </c>
      <c r="V74" s="8">
        <f>COUNTIFS('Raw Non-zero DMR Data'!$A:$A, 'Processed Non-zero DMR Data'!A74, 'Raw Non-zero DMR Data'!$C:$C, X74, 'Raw Non-zero DMR Data'!$U:$U,'Processed Non-zero DMR Data'!Y74,'Raw Non-zero DMR Data'!$Z:$Z,"Yes")</f>
        <v>1</v>
      </c>
      <c r="W74">
        <v>1.1140674375E-2</v>
      </c>
      <c r="X74" t="s">
        <v>665</v>
      </c>
      <c r="Y74" t="s">
        <v>666</v>
      </c>
      <c r="Z74" s="257">
        <v>80702040103</v>
      </c>
    </row>
    <row r="75" spans="1:26" ht="15" customHeight="1" x14ac:dyDescent="0.25">
      <c r="A75">
        <v>2019</v>
      </c>
      <c r="B75" t="s">
        <v>171</v>
      </c>
      <c r="C75" t="s">
        <v>157</v>
      </c>
      <c r="D75" t="s">
        <v>554</v>
      </c>
      <c r="E75" t="s">
        <v>158</v>
      </c>
      <c r="F75">
        <v>36.132570000000001</v>
      </c>
      <c r="G75">
        <v>-115.16477</v>
      </c>
      <c r="I75" s="1">
        <v>110041253256</v>
      </c>
      <c r="J75">
        <v>7011</v>
      </c>
      <c r="K75" s="175" t="str">
        <f>INDEX('2022 SIC to NAICS'!B:B, MATCH('Processed Non-zero DMR Data'!$J75, '2022 SIC to NAICS'!$A:$A, 0))</f>
        <v>Hotels and Motels</v>
      </c>
      <c r="L75" s="175">
        <f>INDEX('2022 SIC to NAICS'!C:C, MATCH('Processed Non-zero DMR Data'!$J75, '2022 SIC to NAICS'!$A:$A, 0))</f>
        <v>721110</v>
      </c>
      <c r="M75" s="175" t="str">
        <f>INDEX('2022 SIC to NAICS'!D:D, MATCH('Processed Non-zero DMR Data'!$J75, '2022 SIC to NAICS'!$A:$A, 0))</f>
        <v xml:space="preserve">Hotels (except Casino Hotels) and Motels </v>
      </c>
      <c r="N75" s="90" t="str">
        <f>IFERROR(INDEX('NAICS Code to IS CDR Code'!B:B, MATCH('Processed Non-zero DMR Data'!L75,'NAICS Code to IS CDR Code'!A:A,0)), "NAICS/SIC Not Provided")</f>
        <v>IS47</v>
      </c>
      <c r="O75" s="91" t="str">
        <f>IFERROR(INDEX('NAICS Code to IS CDR Code'!C:C, MATCH('Processed Non-zero DMR Data'!L75,'NAICS Code to IS CDR Code'!A:A,0)), "NAICS/SIC Not Provided")</f>
        <v>Services</v>
      </c>
      <c r="P75" s="91" t="str">
        <f>INDEX('11DCA Mapping'!$K:$K, MATCH('Processed Non-zero DMR Data'!I483,'11DCA Mapping'!$J:$J,0))</f>
        <v>POTW</v>
      </c>
      <c r="Q75" s="91" t="str">
        <f>INDEX('11DCA Mapping'!$L:$L, MATCH('Processed Non-zero DMR Data'!I483,'11DCA Mapping'!$J:$J,0))</f>
        <v>Based on DMR "Facility Type Indicator"</v>
      </c>
      <c r="R75" s="91" t="str">
        <f>VLOOKUP(I75,'DMR POTW Flag'!$A$2:$B$960,2,FALSE)</f>
        <v>NON-POTW</v>
      </c>
      <c r="S75" s="7" t="s">
        <v>72</v>
      </c>
      <c r="T75" s="244" t="s">
        <v>667</v>
      </c>
      <c r="U75" s="8">
        <f>COUNTIFS('Raw Non-zero DMR Data'!$A:$A, 'Processed Non-zero DMR Data'!A75, 'Raw Non-zero DMR Data'!$C:$C, X75, 'Raw Non-zero DMR Data'!$U:$U,'Processed Non-zero DMR Data'!Y75)</f>
        <v>1</v>
      </c>
      <c r="V75" s="8">
        <f>COUNTIFS('Raw Non-zero DMR Data'!$A:$A, 'Processed Non-zero DMR Data'!A75, 'Raw Non-zero DMR Data'!$C:$C, X75, 'Raw Non-zero DMR Data'!$U:$U,'Processed Non-zero DMR Data'!Y75,'Raw Non-zero DMR Data'!$Z:$Z,"Yes")</f>
        <v>1</v>
      </c>
      <c r="W75">
        <v>7.8746924999999995E-2</v>
      </c>
      <c r="X75" t="s">
        <v>668</v>
      </c>
      <c r="Y75" t="s">
        <v>578</v>
      </c>
      <c r="Z75" s="257">
        <v>150100150604</v>
      </c>
    </row>
    <row r="76" spans="1:26" ht="15" customHeight="1" x14ac:dyDescent="0.25">
      <c r="A76">
        <v>2019</v>
      </c>
      <c r="B76" t="s">
        <v>240</v>
      </c>
      <c r="C76" t="s">
        <v>241</v>
      </c>
      <c r="D76" t="s">
        <v>669</v>
      </c>
      <c r="E76" t="s">
        <v>114</v>
      </c>
      <c r="F76">
        <v>29.378699999999998</v>
      </c>
      <c r="G76">
        <v>-98.551670000000001</v>
      </c>
      <c r="I76" s="1">
        <v>110042004915</v>
      </c>
      <c r="J76">
        <v>9711</v>
      </c>
      <c r="K76" s="175" t="str">
        <f>INDEX('2022 SIC to NAICS'!B:B, MATCH('Processed Non-zero DMR Data'!$J76, '2022 SIC to NAICS'!$A:$A, 0))</f>
        <v>National Security</v>
      </c>
      <c r="L76" s="175">
        <f>INDEX('2022 SIC to NAICS'!C:C, MATCH('Processed Non-zero DMR Data'!$J76, '2022 SIC to NAICS'!$A:$A, 0))</f>
        <v>928110</v>
      </c>
      <c r="M76" s="175" t="str">
        <f>INDEX('2022 SIC to NAICS'!D:D, MATCH('Processed Non-zero DMR Data'!$J76, '2022 SIC to NAICS'!$A:$A, 0))</f>
        <v xml:space="preserve">National Security </v>
      </c>
      <c r="N76" s="90" t="str">
        <f>IFERROR(INDEX('NAICS Code to IS CDR Code'!B:B, MATCH('Processed Non-zero DMR Data'!L76,'NAICS Code to IS CDR Code'!A:A,0)), "NAICS/SIC Not Provided")</f>
        <v>IS47</v>
      </c>
      <c r="O76" s="91" t="str">
        <f>IFERROR(INDEX('NAICS Code to IS CDR Code'!C:C, MATCH('Processed Non-zero DMR Data'!L76,'NAICS Code to IS CDR Code'!A:A,0)), "NAICS/SIC Not Provided")</f>
        <v>Services</v>
      </c>
      <c r="P76" s="91" t="str">
        <f>INDEX('11DCA Mapping'!$K:$K, MATCH('Processed Non-zero DMR Data'!I594,'11DCA Mapping'!$J:$J,0))</f>
        <v>POTW</v>
      </c>
      <c r="Q76" s="91" t="str">
        <f>INDEX('11DCA Mapping'!$L:$L, MATCH('Processed Non-zero DMR Data'!I594,'11DCA Mapping'!$J:$J,0))</f>
        <v>SIC description indicates POTW</v>
      </c>
      <c r="R76" s="91" t="str">
        <f>VLOOKUP(I76,'DMR POTW Flag'!$A$2:$B$960,2,FALSE)</f>
        <v>FEDERAL</v>
      </c>
      <c r="S76" s="7" t="s">
        <v>72</v>
      </c>
      <c r="T76" s="7" t="s">
        <v>670</v>
      </c>
      <c r="U76" s="8">
        <f>COUNTIFS('Raw Non-zero DMR Data'!$A:$A, 'Processed Non-zero DMR Data'!A76, 'Raw Non-zero DMR Data'!$C:$C, X76, 'Raw Non-zero DMR Data'!$U:$U,'Processed Non-zero DMR Data'!Y76)</f>
        <v>1</v>
      </c>
      <c r="V76" s="8">
        <f>COUNTIFS('Raw Non-zero DMR Data'!$A:$A, 'Processed Non-zero DMR Data'!A76, 'Raw Non-zero DMR Data'!$C:$C, X76, 'Raw Non-zero DMR Data'!$U:$U,'Processed Non-zero DMR Data'!Y76,'Raw Non-zero DMR Data'!$Z:$Z,"Yes")</f>
        <v>1</v>
      </c>
      <c r="W76">
        <v>1.8714947034399999E-2</v>
      </c>
      <c r="X76" t="s">
        <v>671</v>
      </c>
      <c r="Y76" t="s">
        <v>672</v>
      </c>
      <c r="Z76" s="257">
        <v>121003010203</v>
      </c>
    </row>
    <row r="77" spans="1:26" ht="15" customHeight="1" x14ac:dyDescent="0.25">
      <c r="A77">
        <v>2020</v>
      </c>
      <c r="B77" t="s">
        <v>167</v>
      </c>
      <c r="C77" t="s">
        <v>157</v>
      </c>
      <c r="D77" t="s">
        <v>554</v>
      </c>
      <c r="E77" t="s">
        <v>158</v>
      </c>
      <c r="F77">
        <v>36.116160999999998</v>
      </c>
      <c r="G77">
        <v>-115.172741</v>
      </c>
      <c r="I77" s="1">
        <v>110015972562</v>
      </c>
      <c r="J77">
        <v>7011</v>
      </c>
      <c r="K77" s="175" t="str">
        <f>INDEX('2022 SIC to NAICS'!B:B, MATCH('Processed Non-zero DMR Data'!$J77, '2022 SIC to NAICS'!$A:$A, 0))</f>
        <v>Hotels and Motels</v>
      </c>
      <c r="L77" s="175">
        <f>INDEX('2022 SIC to NAICS'!C:C, MATCH('Processed Non-zero DMR Data'!$J77, '2022 SIC to NAICS'!$A:$A, 0))</f>
        <v>721110</v>
      </c>
      <c r="M77" s="175" t="str">
        <f>INDEX('2022 SIC to NAICS'!D:D, MATCH('Processed Non-zero DMR Data'!$J77, '2022 SIC to NAICS'!$A:$A, 0))</f>
        <v xml:space="preserve">Hotels (except Casino Hotels) and Motels </v>
      </c>
      <c r="N77" s="90" t="str">
        <f>IFERROR(INDEX('NAICS Code to IS CDR Code'!B:B, MATCH('Processed Non-zero DMR Data'!L77,'NAICS Code to IS CDR Code'!A:A,0)), "NAICS/SIC Not Provided")</f>
        <v>IS47</v>
      </c>
      <c r="O77" s="91" t="str">
        <f>IFERROR(INDEX('NAICS Code to IS CDR Code'!C:C, MATCH('Processed Non-zero DMR Data'!L77,'NAICS Code to IS CDR Code'!A:A,0)), "NAICS/SIC Not Provided")</f>
        <v>Services</v>
      </c>
      <c r="P77" s="91" t="str">
        <f>INDEX('11DCA Mapping'!$K:$K, MATCH('Processed Non-zero DMR Data'!I75,'11DCA Mapping'!$J:$J,0))</f>
        <v>Unknown</v>
      </c>
      <c r="Q77" s="91" t="str">
        <f>INDEX('11DCA Mapping'!$L:$L, MATCH('Processed Non-zero DMR Data'!I75,'11DCA Mapping'!$J:$J,0))</f>
        <v>Unknown how 1,1-DCA is used in hotels and motels</v>
      </c>
      <c r="R77" s="91" t="str">
        <f>VLOOKUP(I77,'DMR POTW Flag'!$A$2:$B$960,2,FALSE)</f>
        <v>NON-POTW</v>
      </c>
      <c r="S77" s="7" t="s">
        <v>72</v>
      </c>
      <c r="T77" s="244" t="s">
        <v>555</v>
      </c>
      <c r="U77" s="8">
        <f>COUNTIFS('Raw Non-zero DMR Data'!$A:$A, 'Processed Non-zero DMR Data'!A77, 'Raw Non-zero DMR Data'!$C:$C, X77, 'Raw Non-zero DMR Data'!$U:$U,'Processed Non-zero DMR Data'!Y77)</f>
        <v>2</v>
      </c>
      <c r="V77" s="8">
        <f>COUNTIFS('Raw Non-zero DMR Data'!$A:$A, 'Processed Non-zero DMR Data'!A77, 'Raw Non-zero DMR Data'!$C:$C, X77, 'Raw Non-zero DMR Data'!$U:$U,'Processed Non-zero DMR Data'!Y77,'Raw Non-zero DMR Data'!$Z:$Z,"Yes")</f>
        <v>2</v>
      </c>
      <c r="W77">
        <v>0.28724449216249998</v>
      </c>
      <c r="X77" t="s">
        <v>556</v>
      </c>
      <c r="Y77" t="s">
        <v>557</v>
      </c>
      <c r="Z77" s="257">
        <v>150100150505</v>
      </c>
    </row>
    <row r="78" spans="1:26" ht="15" customHeight="1" x14ac:dyDescent="0.25">
      <c r="A78">
        <v>2020</v>
      </c>
      <c r="B78" t="s">
        <v>167</v>
      </c>
      <c r="C78" t="s">
        <v>157</v>
      </c>
      <c r="D78" t="s">
        <v>554</v>
      </c>
      <c r="E78" t="s">
        <v>158</v>
      </c>
      <c r="F78">
        <v>36.116160999999998</v>
      </c>
      <c r="G78">
        <v>-115.172741</v>
      </c>
      <c r="I78" s="1">
        <v>110015972562</v>
      </c>
      <c r="J78">
        <v>7011</v>
      </c>
      <c r="K78" s="175" t="str">
        <f>INDEX('2022 SIC to NAICS'!B:B, MATCH('Processed Non-zero DMR Data'!$J78, '2022 SIC to NAICS'!$A:$A, 0))</f>
        <v>Hotels and Motels</v>
      </c>
      <c r="L78" s="175">
        <f>INDEX('2022 SIC to NAICS'!C:C, MATCH('Processed Non-zero DMR Data'!$J78, '2022 SIC to NAICS'!$A:$A, 0))</f>
        <v>721110</v>
      </c>
      <c r="M78" s="175" t="str">
        <f>INDEX('2022 SIC to NAICS'!D:D, MATCH('Processed Non-zero DMR Data'!$J78, '2022 SIC to NAICS'!$A:$A, 0))</f>
        <v xml:space="preserve">Hotels (except Casino Hotels) and Motels </v>
      </c>
      <c r="N78" s="90" t="str">
        <f>IFERROR(INDEX('NAICS Code to IS CDR Code'!B:B, MATCH('Processed Non-zero DMR Data'!L78,'NAICS Code to IS CDR Code'!A:A,0)), "NAICS/SIC Not Provided")</f>
        <v>IS47</v>
      </c>
      <c r="O78" s="91" t="str">
        <f>IFERROR(INDEX('NAICS Code to IS CDR Code'!C:C, MATCH('Processed Non-zero DMR Data'!L78,'NAICS Code to IS CDR Code'!A:A,0)), "NAICS/SIC Not Provided")</f>
        <v>Services</v>
      </c>
      <c r="P78" s="91" t="e">
        <f>INDEX('11DCA Mapping'!$K:$K, MATCH('Processed Non-zero DMR Data'!I76,'11DCA Mapping'!$J:$J,0))</f>
        <v>#N/A</v>
      </c>
      <c r="Q78" s="91" t="e">
        <f>INDEX('11DCA Mapping'!$L:$L, MATCH('Processed Non-zero DMR Data'!I76,'11DCA Mapping'!$J:$J,0))</f>
        <v>#N/A</v>
      </c>
      <c r="R78" s="91" t="str">
        <f>VLOOKUP(I78,'DMR POTW Flag'!$A$2:$B$960,2,FALSE)</f>
        <v>NON-POTW</v>
      </c>
      <c r="S78" s="7" t="s">
        <v>72</v>
      </c>
      <c r="T78" s="244" t="s">
        <v>555</v>
      </c>
      <c r="U78" s="8">
        <f>COUNTIFS('Raw Non-zero DMR Data'!$A:$A, 'Processed Non-zero DMR Data'!A78, 'Raw Non-zero DMR Data'!$C:$C, X78, 'Raw Non-zero DMR Data'!$U:$U,'Processed Non-zero DMR Data'!Y78)</f>
        <v>2</v>
      </c>
      <c r="V78" s="8">
        <f>COUNTIFS('Raw Non-zero DMR Data'!$A:$A, 'Processed Non-zero DMR Data'!A78, 'Raw Non-zero DMR Data'!$C:$C, X78, 'Raw Non-zero DMR Data'!$U:$U,'Processed Non-zero DMR Data'!Y78,'Raw Non-zero DMR Data'!$Z:$Z,"Yes")</f>
        <v>2</v>
      </c>
      <c r="W78">
        <v>3.1545571525000003E-2</v>
      </c>
      <c r="X78" t="s">
        <v>556</v>
      </c>
      <c r="Y78" t="s">
        <v>557</v>
      </c>
      <c r="Z78" s="257">
        <v>150100150505</v>
      </c>
    </row>
    <row r="79" spans="1:26" ht="15" customHeight="1" x14ac:dyDescent="0.25">
      <c r="A79">
        <v>2020</v>
      </c>
      <c r="B79" t="s">
        <v>168</v>
      </c>
      <c r="C79" t="s">
        <v>169</v>
      </c>
      <c r="D79" t="s">
        <v>562</v>
      </c>
      <c r="E79" t="s">
        <v>170</v>
      </c>
      <c r="F79">
        <v>37.188566000000002</v>
      </c>
      <c r="G79">
        <v>-93.325920999999994</v>
      </c>
      <c r="I79" s="1">
        <v>110045547547</v>
      </c>
      <c r="J79">
        <v>2833</v>
      </c>
      <c r="K79" s="175" t="str">
        <f>INDEX('2022 SIC to NAICS'!B:B, MATCH('Processed Non-zero DMR Data'!$J79, '2022 SIC to NAICS'!$A:$A, 0))</f>
        <v>Medicinals and Botanicals</v>
      </c>
      <c r="L79" s="175">
        <f>INDEX('2022 SIC to NAICS'!C:C, MATCH('Processed Non-zero DMR Data'!$J79, '2022 SIC to NAICS'!$A:$A, 0))</f>
        <v>325411</v>
      </c>
      <c r="M79" s="175" t="str">
        <f>INDEX('2022 SIC to NAICS'!D:D, MATCH('Processed Non-zero DMR Data'!$J79, '2022 SIC to NAICS'!$A:$A, 0))</f>
        <v xml:space="preserve">Medicinal and Botanical Manufacturing </v>
      </c>
      <c r="N79" s="90" t="str">
        <f>IFERROR(INDEX('NAICS Code to IS CDR Code'!B:B, MATCH('Processed Non-zero DMR Data'!L79,'NAICS Code to IS CDR Code'!A:A,0)), "NAICS/SIC Not Provided")</f>
        <v>IS26</v>
      </c>
      <c r="O79" s="91" t="str">
        <f>IFERROR(INDEX('NAICS Code to IS CDR Code'!C:C, MATCH('Processed Non-zero DMR Data'!L79,'NAICS Code to IS CDR Code'!A:A,0)), "NAICS/SIC Not Provided")</f>
        <v>Pharmaceutical and Medicine Manufacturing</v>
      </c>
      <c r="P79" s="91" t="e">
        <f>INDEX('11DCA Mapping'!$K:$K, MATCH('Processed Non-zero DMR Data'!I142,'11DCA Mapping'!$J:$J,0))</f>
        <v>#N/A</v>
      </c>
      <c r="Q79" s="91" t="e">
        <f>INDEX('11DCA Mapping'!$L:$L, MATCH('Processed Non-zero DMR Data'!I142,'11DCA Mapping'!$J:$J,0))</f>
        <v>#N/A</v>
      </c>
      <c r="R79" s="91" t="str">
        <f>VLOOKUP(I79,'DMR POTW Flag'!$A$2:$B$960,2,FALSE)</f>
        <v>NON-POTW</v>
      </c>
      <c r="S79" s="7" t="s">
        <v>72</v>
      </c>
      <c r="T79" s="7" t="s">
        <v>563</v>
      </c>
      <c r="U79" s="8">
        <f>COUNTIFS('Raw Non-zero DMR Data'!$A:$A, 'Processed Non-zero DMR Data'!A79, 'Raw Non-zero DMR Data'!$C:$C, X79, 'Raw Non-zero DMR Data'!$U:$U,'Processed Non-zero DMR Data'!Y79)</f>
        <v>1</v>
      </c>
      <c r="V79" s="8">
        <f>COUNTIFS('Raw Non-zero DMR Data'!$A:$A, 'Processed Non-zero DMR Data'!A79, 'Raw Non-zero DMR Data'!$C:$C, X79, 'Raw Non-zero DMR Data'!$U:$U,'Processed Non-zero DMR Data'!Y79,'Raw Non-zero DMR Data'!$Z:$Z,"Yes")</f>
        <v>1</v>
      </c>
      <c r="W79">
        <v>0.25477844333333299</v>
      </c>
      <c r="X79" t="s">
        <v>564</v>
      </c>
      <c r="Y79" t="s">
        <v>565</v>
      </c>
      <c r="Z79" s="257">
        <v>110100020301</v>
      </c>
    </row>
    <row r="80" spans="1:26" ht="15" customHeight="1" x14ac:dyDescent="0.25">
      <c r="A80">
        <v>2020</v>
      </c>
      <c r="B80" t="s">
        <v>189</v>
      </c>
      <c r="C80" t="s">
        <v>190</v>
      </c>
      <c r="D80" t="s">
        <v>566</v>
      </c>
      <c r="E80" t="s">
        <v>146</v>
      </c>
      <c r="F80">
        <v>32.803809999999999</v>
      </c>
      <c r="G80">
        <v>-115.53973999999999</v>
      </c>
      <c r="I80" s="1">
        <v>110002672484</v>
      </c>
      <c r="J80" s="186" t="s">
        <v>567</v>
      </c>
      <c r="K80" s="175" t="str">
        <f>INDEX('2022 SIC to NAICS'!B:B, MATCH('Processed Non-zero DMR Data'!$J80, '2022 SIC to NAICS'!$A:$A, 0))</f>
        <v>Fish Hatcheries and Preserves</v>
      </c>
      <c r="L80" s="175">
        <f>INDEX('2022 SIC to NAICS'!C:C, MATCH('Processed Non-zero DMR Data'!$J80, '2022 SIC to NAICS'!$A:$A, 0))</f>
        <v>112511</v>
      </c>
      <c r="M80" s="175" t="str">
        <f>INDEX('2022 SIC to NAICS'!D:D, MATCH('Processed Non-zero DMR Data'!$J80, '2022 SIC to NAICS'!$A:$A, 0))</f>
        <v xml:space="preserve">Finfish Farming and Fish Hatcheries </v>
      </c>
      <c r="N80" s="90" t="str">
        <f>IFERROR(INDEX('NAICS Code to IS CDR Code'!B:B, MATCH('Processed Non-zero DMR Data'!L80,'NAICS Code to IS CDR Code'!A:A,0)), "NAICS/SIC Not Provided")</f>
        <v>IS1</v>
      </c>
      <c r="O80" s="91" t="str">
        <f>IFERROR(INDEX('NAICS Code to IS CDR Code'!C:C, MATCH('Processed Non-zero DMR Data'!L80,'NAICS Code to IS CDR Code'!A:A,0)), "NAICS/SIC Not Provided")</f>
        <v>Agriculture, Forestry, Fishing and Hunting</v>
      </c>
      <c r="P80" s="91" t="e">
        <f>INDEX('11DCA Mapping'!$K:$K, MATCH('Processed Non-zero DMR Data'!I179,'11DCA Mapping'!$J:$J,0))</f>
        <v>#N/A</v>
      </c>
      <c r="Q80" s="91" t="e">
        <f>INDEX('11DCA Mapping'!$L:$L, MATCH('Processed Non-zero DMR Data'!I179,'11DCA Mapping'!$J:$J,0))</f>
        <v>#N/A</v>
      </c>
      <c r="R80" s="91" t="str">
        <f>VLOOKUP(I80,'DMR POTW Flag'!$A$2:$B$960,2,FALSE)</f>
        <v>NON-POTW</v>
      </c>
      <c r="S80" s="7" t="s">
        <v>72</v>
      </c>
      <c r="T80" s="244" t="s">
        <v>568</v>
      </c>
      <c r="U80" s="8">
        <f>COUNTIFS('Raw Non-zero DMR Data'!$A:$A, 'Processed Non-zero DMR Data'!A80, 'Raw Non-zero DMR Data'!$C:$C, X80, 'Raw Non-zero DMR Data'!$U:$U,'Processed Non-zero DMR Data'!Y80)</f>
        <v>2</v>
      </c>
      <c r="V80" s="8">
        <f>COUNTIFS('Raw Non-zero DMR Data'!$A:$A, 'Processed Non-zero DMR Data'!A80, 'Raw Non-zero DMR Data'!$C:$C, X80, 'Raw Non-zero DMR Data'!$U:$U,'Processed Non-zero DMR Data'!Y80,'Raw Non-zero DMR Data'!$Z:$Z,"Yes")</f>
        <v>2</v>
      </c>
      <c r="W80">
        <v>6.5760590000000004E-3</v>
      </c>
      <c r="X80" t="s">
        <v>569</v>
      </c>
      <c r="Y80" t="s">
        <v>570</v>
      </c>
      <c r="Z80" s="257">
        <v>181002040701</v>
      </c>
    </row>
    <row r="81" spans="1:26" ht="15" customHeight="1" x14ac:dyDescent="0.25">
      <c r="A81">
        <v>2020</v>
      </c>
      <c r="B81" t="s">
        <v>189</v>
      </c>
      <c r="C81" t="s">
        <v>190</v>
      </c>
      <c r="D81" t="s">
        <v>566</v>
      </c>
      <c r="E81" t="s">
        <v>146</v>
      </c>
      <c r="F81">
        <v>32.803809999999999</v>
      </c>
      <c r="G81">
        <v>-115.53973999999999</v>
      </c>
      <c r="I81" s="1">
        <v>110002672484</v>
      </c>
      <c r="J81" s="186" t="s">
        <v>567</v>
      </c>
      <c r="K81" s="175" t="str">
        <f>INDEX('2022 SIC to NAICS'!B:B, MATCH('Processed Non-zero DMR Data'!$J81, '2022 SIC to NAICS'!$A:$A, 0))</f>
        <v>Fish Hatcheries and Preserves</v>
      </c>
      <c r="L81" s="175">
        <f>INDEX('2022 SIC to NAICS'!C:C, MATCH('Processed Non-zero DMR Data'!$J81, '2022 SIC to NAICS'!$A:$A, 0))</f>
        <v>112511</v>
      </c>
      <c r="M81" s="175" t="str">
        <f>INDEX('2022 SIC to NAICS'!D:D, MATCH('Processed Non-zero DMR Data'!$J81, '2022 SIC to NAICS'!$A:$A, 0))</f>
        <v xml:space="preserve">Finfish Farming and Fish Hatcheries </v>
      </c>
      <c r="N81" s="90" t="str">
        <f>IFERROR(INDEX('NAICS Code to IS CDR Code'!B:B, MATCH('Processed Non-zero DMR Data'!L81,'NAICS Code to IS CDR Code'!A:A,0)), "NAICS/SIC Not Provided")</f>
        <v>IS1</v>
      </c>
      <c r="O81" s="91" t="str">
        <f>IFERROR(INDEX('NAICS Code to IS CDR Code'!C:C, MATCH('Processed Non-zero DMR Data'!L81,'NAICS Code to IS CDR Code'!A:A,0)), "NAICS/SIC Not Provided")</f>
        <v>Agriculture, Forestry, Fishing and Hunting</v>
      </c>
      <c r="P81" s="91" t="e">
        <f>INDEX('11DCA Mapping'!$K:$K, MATCH('Processed Non-zero DMR Data'!I180,'11DCA Mapping'!$J:$J,0))</f>
        <v>#N/A</v>
      </c>
      <c r="Q81" s="91" t="e">
        <f>INDEX('11DCA Mapping'!$L:$L, MATCH('Processed Non-zero DMR Data'!I180,'11DCA Mapping'!$J:$J,0))</f>
        <v>#N/A</v>
      </c>
      <c r="R81" s="91" t="str">
        <f>VLOOKUP(I81,'DMR POTW Flag'!$A$2:$B$960,2,FALSE)</f>
        <v>NON-POTW</v>
      </c>
      <c r="S81" s="7" t="s">
        <v>72</v>
      </c>
      <c r="T81" s="244" t="s">
        <v>568</v>
      </c>
      <c r="U81" s="8">
        <f>COUNTIFS('Raw Non-zero DMR Data'!$A:$A, 'Processed Non-zero DMR Data'!A81, 'Raw Non-zero DMR Data'!$C:$C, X81, 'Raw Non-zero DMR Data'!$U:$U,'Processed Non-zero DMR Data'!Y81)</f>
        <v>2</v>
      </c>
      <c r="V81" s="8">
        <f>COUNTIFS('Raw Non-zero DMR Data'!$A:$A, 'Processed Non-zero DMR Data'!A81, 'Raw Non-zero DMR Data'!$C:$C, X81, 'Raw Non-zero DMR Data'!$U:$U,'Processed Non-zero DMR Data'!Y81,'Raw Non-zero DMR Data'!$Z:$Z,"Yes")</f>
        <v>2</v>
      </c>
      <c r="W81">
        <v>3.38473625E-3</v>
      </c>
      <c r="X81" t="s">
        <v>569</v>
      </c>
      <c r="Y81" t="s">
        <v>570</v>
      </c>
      <c r="Z81" s="257">
        <v>181002040701</v>
      </c>
    </row>
    <row r="82" spans="1:26" ht="15" customHeight="1" x14ac:dyDescent="0.25">
      <c r="A82">
        <v>2019</v>
      </c>
      <c r="B82" t="s">
        <v>214</v>
      </c>
      <c r="C82" t="s">
        <v>215</v>
      </c>
      <c r="D82" t="s">
        <v>566</v>
      </c>
      <c r="E82" t="s">
        <v>146</v>
      </c>
      <c r="F82">
        <v>32.664450000000002</v>
      </c>
      <c r="G82">
        <v>-115.55970499999999</v>
      </c>
      <c r="I82" s="1">
        <v>110000730825</v>
      </c>
      <c r="J82">
        <v>4952</v>
      </c>
      <c r="K82" s="175" t="str">
        <f>INDEX('2022 SIC to NAICS'!B:B, MATCH('Processed Non-zero DMR Data'!$J82, '2022 SIC to NAICS'!$A:$A, 0))</f>
        <v>Sewerage Systems</v>
      </c>
      <c r="L82" s="175">
        <f>INDEX('2022 SIC to NAICS'!C:C, MATCH('Processed Non-zero DMR Data'!$J82, '2022 SIC to NAICS'!$A:$A, 0))</f>
        <v>221320</v>
      </c>
      <c r="M82" s="175" t="str">
        <f>INDEX('2022 SIC to NAICS'!D:D, MATCH('Processed Non-zero DMR Data'!$J82, '2022 SIC to NAICS'!$A:$A, 0))</f>
        <v xml:space="preserve">Sewage Treatment Facilities </v>
      </c>
      <c r="N82" s="90" t="str">
        <f>IFERROR(INDEX('NAICS Code to IS CDR Code'!B:B, MATCH('Processed Non-zero DMR Data'!L82,'NAICS Code to IS CDR Code'!A:A,0)), "NAICS/SIC Not Provided")</f>
        <v>IS4</v>
      </c>
      <c r="O82" s="91" t="str">
        <f>IFERROR(INDEX('NAICS Code to IS CDR Code'!C:C, MATCH('Processed Non-zero DMR Data'!L82,'NAICS Code to IS CDR Code'!A:A,0)), "NAICS/SIC Not Provided")</f>
        <v>Utilities</v>
      </c>
      <c r="P82" s="91" t="str">
        <f>INDEX('11DCA Mapping'!$K:$K, MATCH('Processed Non-zero DMR Data'!I83,'11DCA Mapping'!$J:$J,0))</f>
        <v>POTW</v>
      </c>
      <c r="Q82" s="91" t="str">
        <f>INDEX('11DCA Mapping'!$L:$L, MATCH('Processed Non-zero DMR Data'!I83,'11DCA Mapping'!$J:$J,0))</f>
        <v>Assigned POTW per "Facility Type Indicator"</v>
      </c>
      <c r="R82" s="250" t="str">
        <f>VLOOKUP(I82,'DMR POTW Flag'!$A$2:$B$960,2,FALSE)</f>
        <v>POTW</v>
      </c>
      <c r="S82" s="7" t="s">
        <v>67</v>
      </c>
      <c r="T82" s="249" t="s">
        <v>586</v>
      </c>
      <c r="U82" s="8">
        <f>COUNTIFS('Raw Non-zero DMR Data'!$A:$A, 'Processed Non-zero DMR Data'!A82, 'Raw Non-zero DMR Data'!$C:$C, X82, 'Raw Non-zero DMR Data'!$U:$U,'Processed Non-zero DMR Data'!Y82)</f>
        <v>1</v>
      </c>
      <c r="V82" s="8">
        <f>COUNTIFS('Raw Non-zero DMR Data'!$A:$A, 'Processed Non-zero DMR Data'!A82, 'Raw Non-zero DMR Data'!$C:$C, X82, 'Raw Non-zero DMR Data'!$U:$U,'Processed Non-zero DMR Data'!Y82,'Raw Non-zero DMR Data'!$Z:$Z,"Yes")</f>
        <v>1</v>
      </c>
      <c r="W82">
        <v>0.18730025187499999</v>
      </c>
      <c r="X82" t="s">
        <v>673</v>
      </c>
      <c r="Y82" t="s">
        <v>674</v>
      </c>
      <c r="Z82" s="257">
        <v>181002040902</v>
      </c>
    </row>
    <row r="83" spans="1:26" ht="15" customHeight="1" x14ac:dyDescent="0.25">
      <c r="A83">
        <v>2020</v>
      </c>
      <c r="B83" t="s">
        <v>214</v>
      </c>
      <c r="C83" t="s">
        <v>215</v>
      </c>
      <c r="D83" t="s">
        <v>566</v>
      </c>
      <c r="E83" t="s">
        <v>146</v>
      </c>
      <c r="F83">
        <v>32.664450000000002</v>
      </c>
      <c r="G83">
        <v>-115.55970499999999</v>
      </c>
      <c r="I83" s="1">
        <v>110000730825</v>
      </c>
      <c r="J83">
        <v>4952</v>
      </c>
      <c r="K83" s="175" t="str">
        <f>INDEX('2022 SIC to NAICS'!B:B, MATCH('Processed Non-zero DMR Data'!$J83, '2022 SIC to NAICS'!$A:$A, 0))</f>
        <v>Sewerage Systems</v>
      </c>
      <c r="L83" s="175">
        <f>INDEX('2022 SIC to NAICS'!C:C, MATCH('Processed Non-zero DMR Data'!$J83, '2022 SIC to NAICS'!$A:$A, 0))</f>
        <v>221320</v>
      </c>
      <c r="M83" s="175" t="str">
        <f>INDEX('2022 SIC to NAICS'!D:D, MATCH('Processed Non-zero DMR Data'!$J83, '2022 SIC to NAICS'!$A:$A, 0))</f>
        <v xml:space="preserve">Sewage Treatment Facilities </v>
      </c>
      <c r="N83" s="90" t="str">
        <f>IFERROR(INDEX('NAICS Code to IS CDR Code'!B:B, MATCH('Processed Non-zero DMR Data'!L83,'NAICS Code to IS CDR Code'!A:A,0)), "NAICS/SIC Not Provided")</f>
        <v>IS4</v>
      </c>
      <c r="O83" s="91" t="str">
        <f>IFERROR(INDEX('NAICS Code to IS CDR Code'!C:C, MATCH('Processed Non-zero DMR Data'!L83,'NAICS Code to IS CDR Code'!A:A,0)), "NAICS/SIC Not Provided")</f>
        <v>Utilities</v>
      </c>
      <c r="P83" s="91" t="str">
        <f>INDEX('11DCA Mapping'!$K:$K, MATCH('Processed Non-zero DMR Data'!I84,'11DCA Mapping'!$J:$J,0))</f>
        <v>POTW</v>
      </c>
      <c r="Q83" s="91" t="str">
        <f>INDEX('11DCA Mapping'!$L:$L, MATCH('Processed Non-zero DMR Data'!I84,'11DCA Mapping'!$J:$J,0))</f>
        <v>Assigned POTW per "Facility Type Indicator"</v>
      </c>
      <c r="R83" s="250" t="str">
        <f>VLOOKUP(I83,'DMR POTW Flag'!$A$2:$B$960,2,FALSE)</f>
        <v>POTW</v>
      </c>
      <c r="S83" s="7" t="s">
        <v>67</v>
      </c>
      <c r="T83" s="249" t="s">
        <v>586</v>
      </c>
      <c r="U83" s="8">
        <f>COUNTIFS('Raw Non-zero DMR Data'!$A:$A, 'Processed Non-zero DMR Data'!A83, 'Raw Non-zero DMR Data'!$C:$C, X83, 'Raw Non-zero DMR Data'!$U:$U,'Processed Non-zero DMR Data'!Y83)</f>
        <v>1</v>
      </c>
      <c r="V83" s="8">
        <f>COUNTIFS('Raw Non-zero DMR Data'!$A:$A, 'Processed Non-zero DMR Data'!A83, 'Raw Non-zero DMR Data'!$C:$C, X83, 'Raw Non-zero DMR Data'!$U:$U,'Processed Non-zero DMR Data'!Y83,'Raw Non-zero DMR Data'!$Z:$Z,"Yes")</f>
        <v>1</v>
      </c>
      <c r="W83">
        <v>0.180309735375</v>
      </c>
      <c r="X83" t="s">
        <v>673</v>
      </c>
      <c r="Y83" t="s">
        <v>674</v>
      </c>
      <c r="Z83" s="257">
        <v>181002040902</v>
      </c>
    </row>
    <row r="84" spans="1:26" ht="15" customHeight="1" x14ac:dyDescent="0.25">
      <c r="A84">
        <v>2021</v>
      </c>
      <c r="B84" t="s">
        <v>214</v>
      </c>
      <c r="C84" t="s">
        <v>215</v>
      </c>
      <c r="D84" t="s">
        <v>566</v>
      </c>
      <c r="E84" t="s">
        <v>146</v>
      </c>
      <c r="F84">
        <v>32.664450000000002</v>
      </c>
      <c r="G84">
        <v>-115.55970499999999</v>
      </c>
      <c r="I84" s="1">
        <v>110000730825</v>
      </c>
      <c r="J84">
        <v>4952</v>
      </c>
      <c r="K84" s="175" t="str">
        <f>INDEX('2022 SIC to NAICS'!B:B, MATCH('Processed Non-zero DMR Data'!$J84, '2022 SIC to NAICS'!$A:$A, 0))</f>
        <v>Sewerage Systems</v>
      </c>
      <c r="L84" s="175">
        <f>INDEX('2022 SIC to NAICS'!C:C, MATCH('Processed Non-zero DMR Data'!$J84, '2022 SIC to NAICS'!$A:$A, 0))</f>
        <v>221320</v>
      </c>
      <c r="M84" s="175" t="str">
        <f>INDEX('2022 SIC to NAICS'!D:D, MATCH('Processed Non-zero DMR Data'!$J84, '2022 SIC to NAICS'!$A:$A, 0))</f>
        <v xml:space="preserve">Sewage Treatment Facilities </v>
      </c>
      <c r="N84" s="90" t="str">
        <f>IFERROR(INDEX('NAICS Code to IS CDR Code'!B:B, MATCH('Processed Non-zero DMR Data'!L84,'NAICS Code to IS CDR Code'!A:A,0)), "NAICS/SIC Not Provided")</f>
        <v>IS4</v>
      </c>
      <c r="O84" s="91" t="str">
        <f>IFERROR(INDEX('NAICS Code to IS CDR Code'!C:C, MATCH('Processed Non-zero DMR Data'!L84,'NAICS Code to IS CDR Code'!A:A,0)), "NAICS/SIC Not Provided")</f>
        <v>Utilities</v>
      </c>
      <c r="P84" s="91" t="str">
        <f>INDEX('11DCA Mapping'!$K:$K, MATCH('Processed Non-zero DMR Data'!I85,'11DCA Mapping'!$J:$J,0))</f>
        <v>POTW</v>
      </c>
      <c r="Q84" s="91" t="str">
        <f>INDEX('11DCA Mapping'!$L:$L, MATCH('Processed Non-zero DMR Data'!I85,'11DCA Mapping'!$J:$J,0))</f>
        <v>Assigned POTW per "Facility Type Indicator"</v>
      </c>
      <c r="R84" s="250" t="str">
        <f>VLOOKUP(I84,'DMR POTW Flag'!$A$2:$B$960,2,FALSE)</f>
        <v>POTW</v>
      </c>
      <c r="S84" s="7" t="s">
        <v>67</v>
      </c>
      <c r="T84" s="249" t="s">
        <v>586</v>
      </c>
      <c r="U84" s="8">
        <f>COUNTIFS('Raw Non-zero DMR Data'!$A:$A, 'Processed Non-zero DMR Data'!A84, 'Raw Non-zero DMR Data'!$C:$C, X84, 'Raw Non-zero DMR Data'!$U:$U,'Processed Non-zero DMR Data'!Y84)</f>
        <v>1</v>
      </c>
      <c r="V84" s="8">
        <f>COUNTIFS('Raw Non-zero DMR Data'!$A:$A, 'Processed Non-zero DMR Data'!A84, 'Raw Non-zero DMR Data'!$C:$C, X84, 'Raw Non-zero DMR Data'!$U:$U,'Processed Non-zero DMR Data'!Y84,'Raw Non-zero DMR Data'!$Z:$Z,"Yes")</f>
        <v>1</v>
      </c>
      <c r="W84">
        <v>0.17453496087500001</v>
      </c>
      <c r="X84" t="s">
        <v>673</v>
      </c>
      <c r="Y84" t="s">
        <v>674</v>
      </c>
      <c r="Z84" s="257">
        <v>181002040902</v>
      </c>
    </row>
    <row r="85" spans="1:26" ht="15" customHeight="1" x14ac:dyDescent="0.25">
      <c r="A85">
        <v>2022</v>
      </c>
      <c r="B85" t="s">
        <v>214</v>
      </c>
      <c r="C85" t="s">
        <v>215</v>
      </c>
      <c r="D85" t="s">
        <v>566</v>
      </c>
      <c r="E85" t="s">
        <v>146</v>
      </c>
      <c r="F85">
        <v>32.664450000000002</v>
      </c>
      <c r="G85">
        <v>-115.55970499999999</v>
      </c>
      <c r="I85" s="1">
        <v>110000730825</v>
      </c>
      <c r="J85">
        <v>4952</v>
      </c>
      <c r="K85" s="175" t="str">
        <f>INDEX('2022 SIC to NAICS'!B:B, MATCH('Processed Non-zero DMR Data'!$J85, '2022 SIC to NAICS'!$A:$A, 0))</f>
        <v>Sewerage Systems</v>
      </c>
      <c r="L85" s="175">
        <f>INDEX('2022 SIC to NAICS'!C:C, MATCH('Processed Non-zero DMR Data'!$J85, '2022 SIC to NAICS'!$A:$A, 0))</f>
        <v>221320</v>
      </c>
      <c r="M85" s="175" t="str">
        <f>INDEX('2022 SIC to NAICS'!D:D, MATCH('Processed Non-zero DMR Data'!$J85, '2022 SIC to NAICS'!$A:$A, 0))</f>
        <v xml:space="preserve">Sewage Treatment Facilities </v>
      </c>
      <c r="N85" s="90" t="str">
        <f>IFERROR(INDEX('NAICS Code to IS CDR Code'!B:B, MATCH('Processed Non-zero DMR Data'!L85,'NAICS Code to IS CDR Code'!A:A,0)), "NAICS/SIC Not Provided")</f>
        <v>IS4</v>
      </c>
      <c r="O85" s="91" t="str">
        <f>IFERROR(INDEX('NAICS Code to IS CDR Code'!C:C, MATCH('Processed Non-zero DMR Data'!L85,'NAICS Code to IS CDR Code'!A:A,0)), "NAICS/SIC Not Provided")</f>
        <v>Utilities</v>
      </c>
      <c r="P85" s="91" t="str">
        <f>INDEX('11DCA Mapping'!$K:$K, MATCH('Processed Non-zero DMR Data'!I86,'11DCA Mapping'!$J:$J,0))</f>
        <v>POTW</v>
      </c>
      <c r="Q85" s="91" t="str">
        <f>INDEX('11DCA Mapping'!$L:$L, MATCH('Processed Non-zero DMR Data'!I86,'11DCA Mapping'!$J:$J,0))</f>
        <v>Assigned POTW per "Facility Type Indicator"</v>
      </c>
      <c r="R85" s="250" t="str">
        <f>VLOOKUP(I85,'DMR POTW Flag'!$A$2:$B$960,2,FALSE)</f>
        <v>POTW</v>
      </c>
      <c r="S85" s="7" t="s">
        <v>67</v>
      </c>
      <c r="T85" s="249" t="s">
        <v>586</v>
      </c>
      <c r="U85" s="8">
        <f>COUNTIFS('Raw Non-zero DMR Data'!$A:$A, 'Processed Non-zero DMR Data'!A85, 'Raw Non-zero DMR Data'!$C:$C, X85, 'Raw Non-zero DMR Data'!$U:$U,'Processed Non-zero DMR Data'!Y85)</f>
        <v>1</v>
      </c>
      <c r="V85" s="8">
        <f>COUNTIFS('Raw Non-zero DMR Data'!$A:$A, 'Processed Non-zero DMR Data'!A85, 'Raw Non-zero DMR Data'!$C:$C, X85, 'Raw Non-zero DMR Data'!$U:$U,'Processed Non-zero DMR Data'!Y85,'Raw Non-zero DMR Data'!$Z:$Z,"Yes")</f>
        <v>1</v>
      </c>
      <c r="W85">
        <v>0.16792436375</v>
      </c>
      <c r="X85" t="s">
        <v>673</v>
      </c>
      <c r="Y85" t="s">
        <v>674</v>
      </c>
      <c r="Z85" s="257">
        <v>181002040902</v>
      </c>
    </row>
    <row r="86" spans="1:26" ht="15" customHeight="1" x14ac:dyDescent="0.25">
      <c r="A86">
        <v>2023</v>
      </c>
      <c r="B86" t="s">
        <v>214</v>
      </c>
      <c r="C86" t="s">
        <v>215</v>
      </c>
      <c r="D86" t="s">
        <v>566</v>
      </c>
      <c r="E86" t="s">
        <v>146</v>
      </c>
      <c r="F86">
        <v>32.664450000000002</v>
      </c>
      <c r="G86">
        <v>-115.55970499999999</v>
      </c>
      <c r="I86" s="1">
        <v>110000730825</v>
      </c>
      <c r="J86">
        <v>4952</v>
      </c>
      <c r="K86" s="175" t="str">
        <f>INDEX('2022 SIC to NAICS'!B:B, MATCH('Processed Non-zero DMR Data'!$J86, '2022 SIC to NAICS'!$A:$A, 0))</f>
        <v>Sewerage Systems</v>
      </c>
      <c r="L86" s="175">
        <f>INDEX('2022 SIC to NAICS'!C:C, MATCH('Processed Non-zero DMR Data'!$J86, '2022 SIC to NAICS'!$A:$A, 0))</f>
        <v>221320</v>
      </c>
      <c r="M86" s="175" t="str">
        <f>INDEX('2022 SIC to NAICS'!D:D, MATCH('Processed Non-zero DMR Data'!$J86, '2022 SIC to NAICS'!$A:$A, 0))</f>
        <v xml:space="preserve">Sewage Treatment Facilities </v>
      </c>
      <c r="N86" s="90" t="str">
        <f>IFERROR(INDEX('NAICS Code to IS CDR Code'!B:B, MATCH('Processed Non-zero DMR Data'!L86,'NAICS Code to IS CDR Code'!A:A,0)), "NAICS/SIC Not Provided")</f>
        <v>IS4</v>
      </c>
      <c r="O86" s="91" t="str">
        <f>IFERROR(INDEX('NAICS Code to IS CDR Code'!C:C, MATCH('Processed Non-zero DMR Data'!L86,'NAICS Code to IS CDR Code'!A:A,0)), "NAICS/SIC Not Provided")</f>
        <v>Utilities</v>
      </c>
      <c r="P86" s="91" t="str">
        <f>INDEX('11DCA Mapping'!$K:$K, MATCH('Processed Non-zero DMR Data'!I87,'11DCA Mapping'!$J:$J,0))</f>
        <v>POTW</v>
      </c>
      <c r="Q86" s="91" t="str">
        <f>INDEX('11DCA Mapping'!$L:$L, MATCH('Processed Non-zero DMR Data'!I87,'11DCA Mapping'!$J:$J,0))</f>
        <v>Assigned POTW per "Facility Type Indicator"</v>
      </c>
      <c r="R86" s="250" t="str">
        <f>VLOOKUP(I86,'DMR POTW Flag'!$A$2:$B$960,2,FALSE)</f>
        <v>POTW</v>
      </c>
      <c r="S86" s="7" t="s">
        <v>67</v>
      </c>
      <c r="T86" s="249" t="s">
        <v>586</v>
      </c>
      <c r="U86" s="8">
        <f>COUNTIFS('Raw Non-zero DMR Data'!$A:$A, 'Processed Non-zero DMR Data'!A86, 'Raw Non-zero DMR Data'!$C:$C, X86, 'Raw Non-zero DMR Data'!$U:$U,'Processed Non-zero DMR Data'!Y86)</f>
        <v>1</v>
      </c>
      <c r="V86" s="8">
        <f>COUNTIFS('Raw Non-zero DMR Data'!$A:$A, 'Processed Non-zero DMR Data'!A86, 'Raw Non-zero DMR Data'!$C:$C, X86, 'Raw Non-zero DMR Data'!$U:$U,'Processed Non-zero DMR Data'!Y86,'Raw Non-zero DMR Data'!$Z:$Z,"Yes")</f>
        <v>1</v>
      </c>
      <c r="W86">
        <v>0.2156560525</v>
      </c>
      <c r="X86" t="s">
        <v>673</v>
      </c>
      <c r="Y86" t="s">
        <v>674</v>
      </c>
      <c r="Z86" s="257">
        <v>181002040902</v>
      </c>
    </row>
    <row r="87" spans="1:26" ht="15" customHeight="1" x14ac:dyDescent="0.25">
      <c r="A87">
        <v>2021</v>
      </c>
      <c r="B87" t="s">
        <v>479</v>
      </c>
      <c r="C87" t="s">
        <v>480</v>
      </c>
      <c r="D87" t="s">
        <v>566</v>
      </c>
      <c r="E87" t="s">
        <v>146</v>
      </c>
      <c r="F87">
        <v>33.147531999999998</v>
      </c>
      <c r="G87">
        <v>-115.54533000000001</v>
      </c>
      <c r="I87" s="1">
        <v>110002043217</v>
      </c>
      <c r="J87">
        <v>4952</v>
      </c>
      <c r="K87" s="175" t="str">
        <f>INDEX('2022 SIC to NAICS'!B:B, MATCH('Processed Non-zero DMR Data'!$J87, '2022 SIC to NAICS'!$A:$A, 0))</f>
        <v>Sewerage Systems</v>
      </c>
      <c r="L87" s="175">
        <f>INDEX('2022 SIC to NAICS'!C:C, MATCH('Processed Non-zero DMR Data'!$J87, '2022 SIC to NAICS'!$A:$A, 0))</f>
        <v>221320</v>
      </c>
      <c r="M87" s="175" t="str">
        <f>INDEX('2022 SIC to NAICS'!D:D, MATCH('Processed Non-zero DMR Data'!$J87, '2022 SIC to NAICS'!$A:$A, 0))</f>
        <v xml:space="preserve">Sewage Treatment Facilities </v>
      </c>
      <c r="N87" s="90" t="str">
        <f>IFERROR(INDEX('NAICS Code to IS CDR Code'!B:B, MATCH('Processed Non-zero DMR Data'!L87,'NAICS Code to IS CDR Code'!A:A,0)), "NAICS/SIC Not Provided")</f>
        <v>IS4</v>
      </c>
      <c r="O87" s="91" t="str">
        <f>IFERROR(INDEX('NAICS Code to IS CDR Code'!C:C, MATCH('Processed Non-zero DMR Data'!L87,'NAICS Code to IS CDR Code'!A:A,0)), "NAICS/SIC Not Provided")</f>
        <v>Utilities</v>
      </c>
      <c r="P87" s="91" t="str">
        <f>INDEX('11DCA Mapping'!$K:$K, MATCH('Processed Non-zero DMR Data'!I88,'11DCA Mapping'!$J:$J,0))</f>
        <v>POTW</v>
      </c>
      <c r="Q87" s="91" t="str">
        <f>INDEX('11DCA Mapping'!$L:$L, MATCH('Processed Non-zero DMR Data'!I88,'11DCA Mapping'!$J:$J,0))</f>
        <v>Assigned POTW per "Facility Type Indicator"</v>
      </c>
      <c r="R87" s="250" t="str">
        <f>VLOOKUP(I87,'DMR POTW Flag'!$A$2:$B$960,2,FALSE)</f>
        <v>POTW</v>
      </c>
      <c r="S87" s="7" t="s">
        <v>67</v>
      </c>
      <c r="T87" s="249" t="s">
        <v>586</v>
      </c>
      <c r="U87" s="8">
        <f>COUNTIFS('Raw Non-zero DMR Data'!$A:$A, 'Processed Non-zero DMR Data'!A87, 'Raw Non-zero DMR Data'!$C:$C, X87, 'Raw Non-zero DMR Data'!$U:$U,'Processed Non-zero DMR Data'!Y87)</f>
        <v>1</v>
      </c>
      <c r="V87" s="8">
        <f>COUNTIFS('Raw Non-zero DMR Data'!$A:$A, 'Processed Non-zero DMR Data'!A87, 'Raw Non-zero DMR Data'!$C:$C, X87, 'Raw Non-zero DMR Data'!$U:$U,'Processed Non-zero DMR Data'!Y87,'Raw Non-zero DMR Data'!$Z:$Z,"Yes")</f>
        <v>1</v>
      </c>
      <c r="W87">
        <v>3.8959005000000001E-3</v>
      </c>
      <c r="X87" t="s">
        <v>675</v>
      </c>
      <c r="Y87" t="s">
        <v>676</v>
      </c>
      <c r="Z87" s="257">
        <v>181002040707</v>
      </c>
    </row>
    <row r="88" spans="1:26" ht="15" customHeight="1" x14ac:dyDescent="0.25">
      <c r="A88">
        <v>2022</v>
      </c>
      <c r="B88" t="s">
        <v>479</v>
      </c>
      <c r="C88" t="s">
        <v>480</v>
      </c>
      <c r="D88" t="s">
        <v>566</v>
      </c>
      <c r="E88" t="s">
        <v>146</v>
      </c>
      <c r="F88">
        <v>33.147531999999998</v>
      </c>
      <c r="G88">
        <v>-115.54533000000001</v>
      </c>
      <c r="I88" s="1">
        <v>110002043217</v>
      </c>
      <c r="J88">
        <v>4952</v>
      </c>
      <c r="K88" s="175" t="str">
        <f>INDEX('2022 SIC to NAICS'!B:B, MATCH('Processed Non-zero DMR Data'!$J88, '2022 SIC to NAICS'!$A:$A, 0))</f>
        <v>Sewerage Systems</v>
      </c>
      <c r="L88" s="175">
        <f>INDEX('2022 SIC to NAICS'!C:C, MATCH('Processed Non-zero DMR Data'!$J88, '2022 SIC to NAICS'!$A:$A, 0))</f>
        <v>221320</v>
      </c>
      <c r="M88" s="175" t="str">
        <f>INDEX('2022 SIC to NAICS'!D:D, MATCH('Processed Non-zero DMR Data'!$J88, '2022 SIC to NAICS'!$A:$A, 0))</f>
        <v xml:space="preserve">Sewage Treatment Facilities </v>
      </c>
      <c r="N88" s="90" t="str">
        <f>IFERROR(INDEX('NAICS Code to IS CDR Code'!B:B, MATCH('Processed Non-zero DMR Data'!L88,'NAICS Code to IS CDR Code'!A:A,0)), "NAICS/SIC Not Provided")</f>
        <v>IS4</v>
      </c>
      <c r="O88" s="91" t="str">
        <f>IFERROR(INDEX('NAICS Code to IS CDR Code'!C:C, MATCH('Processed Non-zero DMR Data'!L88,'NAICS Code to IS CDR Code'!A:A,0)), "NAICS/SIC Not Provided")</f>
        <v>Utilities</v>
      </c>
      <c r="P88" s="91" t="str">
        <f>INDEX('11DCA Mapping'!$K:$K, MATCH('Processed Non-zero DMR Data'!I89,'11DCA Mapping'!$J:$J,0))</f>
        <v>POTW</v>
      </c>
      <c r="Q88" s="91" t="str">
        <f>INDEX('11DCA Mapping'!$L:$L, MATCH('Processed Non-zero DMR Data'!I89,'11DCA Mapping'!$J:$J,0))</f>
        <v>Assigned POTW per "Facility Type Indicator"</v>
      </c>
      <c r="R88" s="250" t="str">
        <f>VLOOKUP(I88,'DMR POTW Flag'!$A$2:$B$960,2,FALSE)</f>
        <v>POTW</v>
      </c>
      <c r="S88" s="7" t="s">
        <v>67</v>
      </c>
      <c r="T88" s="249" t="s">
        <v>586</v>
      </c>
      <c r="U88" s="8">
        <f>COUNTIFS('Raw Non-zero DMR Data'!$A:$A, 'Processed Non-zero DMR Data'!A88, 'Raw Non-zero DMR Data'!$C:$C, X88, 'Raw Non-zero DMR Data'!$U:$U,'Processed Non-zero DMR Data'!Y88)</f>
        <v>1</v>
      </c>
      <c r="V88" s="8">
        <f>COUNTIFS('Raw Non-zero DMR Data'!$A:$A, 'Processed Non-zero DMR Data'!A88, 'Raw Non-zero DMR Data'!$C:$C, X88, 'Raw Non-zero DMR Data'!$U:$U,'Processed Non-zero DMR Data'!Y88,'Raw Non-zero DMR Data'!$Z:$Z,"Yes")</f>
        <v>1</v>
      </c>
      <c r="W88">
        <v>3.757748E-3</v>
      </c>
      <c r="X88" t="s">
        <v>675</v>
      </c>
      <c r="Y88" t="s">
        <v>676</v>
      </c>
      <c r="Z88" s="257">
        <v>181002040707</v>
      </c>
    </row>
    <row r="89" spans="1:26" ht="15" customHeight="1" x14ac:dyDescent="0.25">
      <c r="A89">
        <v>2023</v>
      </c>
      <c r="B89" t="s">
        <v>479</v>
      </c>
      <c r="C89" t="s">
        <v>480</v>
      </c>
      <c r="D89" t="s">
        <v>566</v>
      </c>
      <c r="E89" t="s">
        <v>146</v>
      </c>
      <c r="F89">
        <v>33.147531999999998</v>
      </c>
      <c r="G89">
        <v>-115.54533000000001</v>
      </c>
      <c r="I89" s="1">
        <v>110002043217</v>
      </c>
      <c r="J89">
        <v>4952</v>
      </c>
      <c r="K89" s="175" t="str">
        <f>INDEX('2022 SIC to NAICS'!B:B, MATCH('Processed Non-zero DMR Data'!$J89, '2022 SIC to NAICS'!$A:$A, 0))</f>
        <v>Sewerage Systems</v>
      </c>
      <c r="L89" s="175">
        <f>INDEX('2022 SIC to NAICS'!C:C, MATCH('Processed Non-zero DMR Data'!$J89, '2022 SIC to NAICS'!$A:$A, 0))</f>
        <v>221320</v>
      </c>
      <c r="M89" s="175" t="str">
        <f>INDEX('2022 SIC to NAICS'!D:D, MATCH('Processed Non-zero DMR Data'!$J89, '2022 SIC to NAICS'!$A:$A, 0))</f>
        <v xml:space="preserve">Sewage Treatment Facilities </v>
      </c>
      <c r="N89" s="90" t="str">
        <f>IFERROR(INDEX('NAICS Code to IS CDR Code'!B:B, MATCH('Processed Non-zero DMR Data'!L89,'NAICS Code to IS CDR Code'!A:A,0)), "NAICS/SIC Not Provided")</f>
        <v>IS4</v>
      </c>
      <c r="O89" s="91" t="str">
        <f>IFERROR(INDEX('NAICS Code to IS CDR Code'!C:C, MATCH('Processed Non-zero DMR Data'!L89,'NAICS Code to IS CDR Code'!A:A,0)), "NAICS/SIC Not Provided")</f>
        <v>Utilities</v>
      </c>
      <c r="P89" s="91" t="str">
        <f>INDEX('11DCA Mapping'!$K:$K, MATCH('Processed Non-zero DMR Data'!I90,'11DCA Mapping'!$J:$J,0))</f>
        <v>Processing as a Reactant</v>
      </c>
      <c r="Q89" s="91" t="str">
        <f>INDEX('11DCA Mapping'!$L:$L, MATCH('Processed Non-zero DMR Data'!I90,'11DCA Mapping'!$J:$J,0))</f>
        <v>Used mapping of other site with same SIC description (Industrial Organic Chemicals)</v>
      </c>
      <c r="R89" s="250" t="str">
        <f>VLOOKUP(I89,'DMR POTW Flag'!$A$2:$B$960,2,FALSE)</f>
        <v>POTW</v>
      </c>
      <c r="S89" s="7" t="s">
        <v>67</v>
      </c>
      <c r="T89" s="249" t="s">
        <v>586</v>
      </c>
      <c r="U89" s="8">
        <f>COUNTIFS('Raw Non-zero DMR Data'!$A:$A, 'Processed Non-zero DMR Data'!A89, 'Raw Non-zero DMR Data'!$C:$C, X89, 'Raw Non-zero DMR Data'!$U:$U,'Processed Non-zero DMR Data'!Y89)</f>
        <v>1</v>
      </c>
      <c r="V89" s="8">
        <f>COUNTIFS('Raw Non-zero DMR Data'!$A:$A, 'Processed Non-zero DMR Data'!A89, 'Raw Non-zero DMR Data'!$C:$C, X89, 'Raw Non-zero DMR Data'!$U:$U,'Processed Non-zero DMR Data'!Y89,'Raw Non-zero DMR Data'!$Z:$Z,"Yes")</f>
        <v>1</v>
      </c>
      <c r="W89">
        <v>3.813009E-3</v>
      </c>
      <c r="X89" t="s">
        <v>675</v>
      </c>
      <c r="Y89" t="s">
        <v>676</v>
      </c>
      <c r="Z89" s="257">
        <v>181002040707</v>
      </c>
    </row>
    <row r="90" spans="1:26" ht="15" customHeight="1" x14ac:dyDescent="0.25">
      <c r="A90">
        <v>2019</v>
      </c>
      <c r="B90" t="s">
        <v>340</v>
      </c>
      <c r="C90" t="s">
        <v>341</v>
      </c>
      <c r="D90" t="s">
        <v>677</v>
      </c>
      <c r="E90" t="s">
        <v>170</v>
      </c>
      <c r="F90">
        <v>39.423425000000002</v>
      </c>
      <c r="G90">
        <v>-91.025666000000001</v>
      </c>
      <c r="I90" s="1">
        <v>110054612558</v>
      </c>
      <c r="J90">
        <v>2869</v>
      </c>
      <c r="K90" s="175" t="str">
        <f>INDEX('2022 SIC to NAICS'!B:B, MATCH('Processed Non-zero DMR Data'!$J90, '2022 SIC to NAICS'!$A:$A, 0))</f>
        <v>Industrial Organic Chemicals, Nec</v>
      </c>
      <c r="L90" s="175">
        <f>INDEX('2022 SIC to NAICS'!C:C, MATCH('Processed Non-zero DMR Data'!$J90, '2022 SIC to NAICS'!$A:$A, 0))</f>
        <v>325110</v>
      </c>
      <c r="M90" s="175" t="str">
        <f>INDEX('2022 SIC to NAICS'!D:D, MATCH('Processed Non-zero DMR Data'!$J90, '2022 SIC to NAICS'!$A:$A, 0))</f>
        <v>Petrochemical Manufacturing</v>
      </c>
      <c r="N90" s="90" t="str">
        <f>IFERROR(INDEX('NAICS Code to IS CDR Code'!B:B, MATCH('Processed Non-zero DMR Data'!L90,'NAICS Code to IS CDR Code'!A:A,0)), "NAICS/SIC Not Provided")</f>
        <v>IS15</v>
      </c>
      <c r="O90" s="91" t="str">
        <f>IFERROR(INDEX('NAICS Code to IS CDR Code'!C:C, MATCH('Processed Non-zero DMR Data'!L90,'NAICS Code to IS CDR Code'!A:A,0)), "NAICS/SIC Not Provided")</f>
        <v>Petrochemical Manufacturing</v>
      </c>
      <c r="P90" s="91" t="str">
        <f>INDEX('11DCA Mapping'!$K:$K, MATCH('Processed Non-zero DMR Data'!I91,'11DCA Mapping'!$J:$J,0))</f>
        <v>Processing as a Reactant</v>
      </c>
      <c r="Q90" s="91" t="str">
        <f>INDEX('11DCA Mapping'!$L:$L, MATCH('Processed Non-zero DMR Data'!I91,'11DCA Mapping'!$J:$J,0))</f>
        <v>Used mapping of other site with same SIC description (Industrial Organic Chemicals)</v>
      </c>
      <c r="R90" s="250" t="str">
        <f>VLOOKUP(I90,'DMR POTW Flag'!$A$2:$B$960,2,FALSE)</f>
        <v>NON-POTW</v>
      </c>
      <c r="S90" s="7" t="s">
        <v>62</v>
      </c>
      <c r="T90" s="7" t="s">
        <v>601</v>
      </c>
      <c r="U90" s="8">
        <f>COUNTIFS('Raw Non-zero DMR Data'!$A:$A, 'Processed Non-zero DMR Data'!A90, 'Raw Non-zero DMR Data'!$C:$C, X90, 'Raw Non-zero DMR Data'!$U:$U,'Processed Non-zero DMR Data'!Y90)</f>
        <v>1</v>
      </c>
      <c r="V90" s="8">
        <f>COUNTIFS('Raw Non-zero DMR Data'!$A:$A, 'Processed Non-zero DMR Data'!A90, 'Raw Non-zero DMR Data'!$C:$C, X90, 'Raw Non-zero DMR Data'!$U:$U,'Processed Non-zero DMR Data'!Y90,'Raw Non-zero DMR Data'!$Z:$Z,"Yes")</f>
        <v>1</v>
      </c>
      <c r="W90">
        <v>5.7203999999999998E-2</v>
      </c>
      <c r="X90" t="s">
        <v>678</v>
      </c>
      <c r="Y90" t="s">
        <v>679</v>
      </c>
      <c r="Z90" s="257">
        <v>71100040702</v>
      </c>
    </row>
    <row r="91" spans="1:26" ht="15" customHeight="1" x14ac:dyDescent="0.25">
      <c r="A91">
        <v>2020</v>
      </c>
      <c r="B91" t="s">
        <v>340</v>
      </c>
      <c r="C91" t="s">
        <v>341</v>
      </c>
      <c r="D91" t="s">
        <v>677</v>
      </c>
      <c r="E91" t="s">
        <v>170</v>
      </c>
      <c r="F91">
        <v>39.423425000000002</v>
      </c>
      <c r="G91">
        <v>-91.025666000000001</v>
      </c>
      <c r="I91" s="1">
        <v>110054612558</v>
      </c>
      <c r="J91">
        <v>2869</v>
      </c>
      <c r="K91" s="175" t="str">
        <f>INDEX('2022 SIC to NAICS'!B:B, MATCH('Processed Non-zero DMR Data'!$J91, '2022 SIC to NAICS'!$A:$A, 0))</f>
        <v>Industrial Organic Chemicals, Nec</v>
      </c>
      <c r="L91" s="175">
        <f>INDEX('2022 SIC to NAICS'!C:C, MATCH('Processed Non-zero DMR Data'!$J91, '2022 SIC to NAICS'!$A:$A, 0))</f>
        <v>325110</v>
      </c>
      <c r="M91" s="175" t="str">
        <f>INDEX('2022 SIC to NAICS'!D:D, MATCH('Processed Non-zero DMR Data'!$J91, '2022 SIC to NAICS'!$A:$A, 0))</f>
        <v>Petrochemical Manufacturing</v>
      </c>
      <c r="N91" s="90" t="str">
        <f>IFERROR(INDEX('NAICS Code to IS CDR Code'!B:B, MATCH('Processed Non-zero DMR Data'!L91,'NAICS Code to IS CDR Code'!A:A,0)), "NAICS/SIC Not Provided")</f>
        <v>IS15</v>
      </c>
      <c r="O91" s="91" t="str">
        <f>IFERROR(INDEX('NAICS Code to IS CDR Code'!C:C, MATCH('Processed Non-zero DMR Data'!L91,'NAICS Code to IS CDR Code'!A:A,0)), "NAICS/SIC Not Provided")</f>
        <v>Petrochemical Manufacturing</v>
      </c>
      <c r="P91" s="91" t="str">
        <f>INDEX('11DCA Mapping'!$K:$K, MATCH('Processed Non-zero DMR Data'!I92,'11DCA Mapping'!$J:$J,0))</f>
        <v>Processing as a Reactant</v>
      </c>
      <c r="Q91" s="91" t="str">
        <f>INDEX('11DCA Mapping'!$L:$L, MATCH('Processed Non-zero DMR Data'!I92,'11DCA Mapping'!$J:$J,0))</f>
        <v>Used mapping of other site with same SIC description (Industrial Organic Chemicals)</v>
      </c>
      <c r="R91" s="250" t="str">
        <f>VLOOKUP(I91,'DMR POTW Flag'!$A$2:$B$960,2,FALSE)</f>
        <v>NON-POTW</v>
      </c>
      <c r="S91" s="7" t="s">
        <v>62</v>
      </c>
      <c r="T91" s="7" t="s">
        <v>601</v>
      </c>
      <c r="U91" s="8">
        <f>COUNTIFS('Raw Non-zero DMR Data'!$A:$A, 'Processed Non-zero DMR Data'!A91, 'Raw Non-zero DMR Data'!$C:$C, X91, 'Raw Non-zero DMR Data'!$U:$U,'Processed Non-zero DMR Data'!Y91)</f>
        <v>1</v>
      </c>
      <c r="V91" s="8">
        <f>COUNTIFS('Raw Non-zero DMR Data'!$A:$A, 'Processed Non-zero DMR Data'!A91, 'Raw Non-zero DMR Data'!$C:$C, X91, 'Raw Non-zero DMR Data'!$U:$U,'Processed Non-zero DMR Data'!Y91,'Raw Non-zero DMR Data'!$Z:$Z,"Yes")</f>
        <v>1</v>
      </c>
      <c r="W91">
        <v>3.0617760000000001E-2</v>
      </c>
      <c r="X91" t="s">
        <v>678</v>
      </c>
      <c r="Y91" t="s">
        <v>679</v>
      </c>
      <c r="Z91" s="257">
        <v>71100040702</v>
      </c>
    </row>
    <row r="92" spans="1:26" ht="15" customHeight="1" x14ac:dyDescent="0.25">
      <c r="A92">
        <v>2021</v>
      </c>
      <c r="B92" t="s">
        <v>340</v>
      </c>
      <c r="C92" t="s">
        <v>341</v>
      </c>
      <c r="D92" t="s">
        <v>677</v>
      </c>
      <c r="E92" t="s">
        <v>170</v>
      </c>
      <c r="F92">
        <v>39.423425000000002</v>
      </c>
      <c r="G92">
        <v>-91.025666000000001</v>
      </c>
      <c r="I92" s="1">
        <v>110054612558</v>
      </c>
      <c r="J92">
        <v>2869</v>
      </c>
      <c r="K92" s="175" t="str">
        <f>INDEX('2022 SIC to NAICS'!B:B, MATCH('Processed Non-zero DMR Data'!$J92, '2022 SIC to NAICS'!$A:$A, 0))</f>
        <v>Industrial Organic Chemicals, Nec</v>
      </c>
      <c r="L92" s="175">
        <f>INDEX('2022 SIC to NAICS'!C:C, MATCH('Processed Non-zero DMR Data'!$J92, '2022 SIC to NAICS'!$A:$A, 0))</f>
        <v>325110</v>
      </c>
      <c r="M92" s="175" t="str">
        <f>INDEX('2022 SIC to NAICS'!D:D, MATCH('Processed Non-zero DMR Data'!$J92, '2022 SIC to NAICS'!$A:$A, 0))</f>
        <v>Petrochemical Manufacturing</v>
      </c>
      <c r="N92" s="90" t="str">
        <f>IFERROR(INDEX('NAICS Code to IS CDR Code'!B:B, MATCH('Processed Non-zero DMR Data'!L92,'NAICS Code to IS CDR Code'!A:A,0)), "NAICS/SIC Not Provided")</f>
        <v>IS15</v>
      </c>
      <c r="O92" s="91" t="str">
        <f>IFERROR(INDEX('NAICS Code to IS CDR Code'!C:C, MATCH('Processed Non-zero DMR Data'!L92,'NAICS Code to IS CDR Code'!A:A,0)), "NAICS/SIC Not Provided")</f>
        <v>Petrochemical Manufacturing</v>
      </c>
      <c r="P92" s="91" t="str">
        <f>INDEX('11DCA Mapping'!$K:$K, MATCH('Processed Non-zero DMR Data'!I93,'11DCA Mapping'!$J:$J,0))</f>
        <v>Processing as a Reactant</v>
      </c>
      <c r="Q92" s="91" t="str">
        <f>INDEX('11DCA Mapping'!$L:$L, MATCH('Processed Non-zero DMR Data'!I93,'11DCA Mapping'!$J:$J,0))</f>
        <v>Used mapping of other site with same SIC description (Industrial Organic Chemicals)</v>
      </c>
      <c r="R92" s="250" t="str">
        <f>VLOOKUP(I92,'DMR POTW Flag'!$A$2:$B$960,2,FALSE)</f>
        <v>NON-POTW</v>
      </c>
      <c r="S92" s="7" t="s">
        <v>62</v>
      </c>
      <c r="T92" s="7" t="s">
        <v>601</v>
      </c>
      <c r="U92" s="8">
        <f>COUNTIFS('Raw Non-zero DMR Data'!$A:$A, 'Processed Non-zero DMR Data'!A92, 'Raw Non-zero DMR Data'!$C:$C, X92, 'Raw Non-zero DMR Data'!$U:$U,'Processed Non-zero DMR Data'!Y92)</f>
        <v>1</v>
      </c>
      <c r="V92" s="8">
        <f>COUNTIFS('Raw Non-zero DMR Data'!$A:$A, 'Processed Non-zero DMR Data'!A92, 'Raw Non-zero DMR Data'!$C:$C, X92, 'Raw Non-zero DMR Data'!$U:$U,'Processed Non-zero DMR Data'!Y92,'Raw Non-zero DMR Data'!$Z:$Z,"Yes")</f>
        <v>1</v>
      </c>
      <c r="W92">
        <v>2.0096309999999999E-2</v>
      </c>
      <c r="X92" t="s">
        <v>678</v>
      </c>
      <c r="Y92" t="s">
        <v>679</v>
      </c>
      <c r="Z92" s="257">
        <v>71100040702</v>
      </c>
    </row>
    <row r="93" spans="1:26" ht="15" customHeight="1" x14ac:dyDescent="0.25">
      <c r="A93">
        <v>2022</v>
      </c>
      <c r="B93" t="s">
        <v>340</v>
      </c>
      <c r="C93" t="s">
        <v>341</v>
      </c>
      <c r="D93" t="s">
        <v>677</v>
      </c>
      <c r="E93" t="s">
        <v>170</v>
      </c>
      <c r="F93">
        <v>39.423425000000002</v>
      </c>
      <c r="G93">
        <v>-91.025666000000001</v>
      </c>
      <c r="I93" s="1">
        <v>110054612558</v>
      </c>
      <c r="J93">
        <v>2869</v>
      </c>
      <c r="K93" s="175" t="str">
        <f>INDEX('2022 SIC to NAICS'!B:B, MATCH('Processed Non-zero DMR Data'!$J93, '2022 SIC to NAICS'!$A:$A, 0))</f>
        <v>Industrial Organic Chemicals, Nec</v>
      </c>
      <c r="L93" s="175">
        <f>INDEX('2022 SIC to NAICS'!C:C, MATCH('Processed Non-zero DMR Data'!$J93, '2022 SIC to NAICS'!$A:$A, 0))</f>
        <v>325110</v>
      </c>
      <c r="M93" s="175" t="str">
        <f>INDEX('2022 SIC to NAICS'!D:D, MATCH('Processed Non-zero DMR Data'!$J93, '2022 SIC to NAICS'!$A:$A, 0))</f>
        <v>Petrochemical Manufacturing</v>
      </c>
      <c r="N93" s="90" t="str">
        <f>IFERROR(INDEX('NAICS Code to IS CDR Code'!B:B, MATCH('Processed Non-zero DMR Data'!L93,'NAICS Code to IS CDR Code'!A:A,0)), "NAICS/SIC Not Provided")</f>
        <v>IS15</v>
      </c>
      <c r="O93" s="91" t="str">
        <f>IFERROR(INDEX('NAICS Code to IS CDR Code'!C:C, MATCH('Processed Non-zero DMR Data'!L93,'NAICS Code to IS CDR Code'!A:A,0)), "NAICS/SIC Not Provided")</f>
        <v>Petrochemical Manufacturing</v>
      </c>
      <c r="P93" s="91" t="str">
        <f>INDEX('11DCA Mapping'!$K:$K, MATCH('Processed Non-zero DMR Data'!I94,'11DCA Mapping'!$J:$J,0))</f>
        <v>Processing as a Reactant</v>
      </c>
      <c r="Q93" s="91" t="str">
        <f>INDEX('11DCA Mapping'!$L:$L, MATCH('Processed Non-zero DMR Data'!I94,'11DCA Mapping'!$J:$J,0))</f>
        <v>Used mapping of other site with same SIC description (Industrial Organic Chemicals)</v>
      </c>
      <c r="R93" s="250" t="str">
        <f>VLOOKUP(I93,'DMR POTW Flag'!$A$2:$B$960,2,FALSE)</f>
        <v>NON-POTW</v>
      </c>
      <c r="S93" s="7" t="s">
        <v>62</v>
      </c>
      <c r="T93" s="7" t="s">
        <v>601</v>
      </c>
      <c r="U93" s="8">
        <f>COUNTIFS('Raw Non-zero DMR Data'!$A:$A, 'Processed Non-zero DMR Data'!A93, 'Raw Non-zero DMR Data'!$C:$C, X93, 'Raw Non-zero DMR Data'!$U:$U,'Processed Non-zero DMR Data'!Y93)</f>
        <v>1</v>
      </c>
      <c r="V93" s="8">
        <f>COUNTIFS('Raw Non-zero DMR Data'!$A:$A, 'Processed Non-zero DMR Data'!A93, 'Raw Non-zero DMR Data'!$C:$C, X93, 'Raw Non-zero DMR Data'!$U:$U,'Processed Non-zero DMR Data'!Y93,'Raw Non-zero DMR Data'!$Z:$Z,"Yes")</f>
        <v>1</v>
      </c>
      <c r="W93">
        <v>2.8978819999999999E-2</v>
      </c>
      <c r="X93" t="s">
        <v>678</v>
      </c>
      <c r="Y93" t="s">
        <v>679</v>
      </c>
      <c r="Z93" s="257">
        <v>71100040702</v>
      </c>
    </row>
    <row r="94" spans="1:26" ht="15" customHeight="1" x14ac:dyDescent="0.25">
      <c r="A94">
        <v>2023</v>
      </c>
      <c r="B94" t="s">
        <v>340</v>
      </c>
      <c r="C94" t="s">
        <v>341</v>
      </c>
      <c r="D94" t="s">
        <v>677</v>
      </c>
      <c r="E94" t="s">
        <v>170</v>
      </c>
      <c r="F94">
        <v>39.423425000000002</v>
      </c>
      <c r="G94">
        <v>-91.025666000000001</v>
      </c>
      <c r="I94" s="1">
        <v>110054612558</v>
      </c>
      <c r="J94">
        <v>2869</v>
      </c>
      <c r="K94" s="175" t="str">
        <f>INDEX('2022 SIC to NAICS'!B:B, MATCH('Processed Non-zero DMR Data'!$J94, '2022 SIC to NAICS'!$A:$A, 0))</f>
        <v>Industrial Organic Chemicals, Nec</v>
      </c>
      <c r="L94" s="175">
        <f>INDEX('2022 SIC to NAICS'!C:C, MATCH('Processed Non-zero DMR Data'!$J94, '2022 SIC to NAICS'!$A:$A, 0))</f>
        <v>325110</v>
      </c>
      <c r="M94" s="175" t="str">
        <f>INDEX('2022 SIC to NAICS'!D:D, MATCH('Processed Non-zero DMR Data'!$J94, '2022 SIC to NAICS'!$A:$A, 0))</f>
        <v>Petrochemical Manufacturing</v>
      </c>
      <c r="N94" s="90" t="str">
        <f>IFERROR(INDEX('NAICS Code to IS CDR Code'!B:B, MATCH('Processed Non-zero DMR Data'!L94,'NAICS Code to IS CDR Code'!A:A,0)), "NAICS/SIC Not Provided")</f>
        <v>IS15</v>
      </c>
      <c r="O94" s="91" t="str">
        <f>IFERROR(INDEX('NAICS Code to IS CDR Code'!C:C, MATCH('Processed Non-zero DMR Data'!L94,'NAICS Code to IS CDR Code'!A:A,0)), "NAICS/SIC Not Provided")</f>
        <v>Petrochemical Manufacturing</v>
      </c>
      <c r="P94" s="91" t="str">
        <f>INDEX('11DCA Mapping'!$K:$K, MATCH('Processed Non-zero DMR Data'!I95,'11DCA Mapping'!$J:$J,0))</f>
        <v>POTW</v>
      </c>
      <c r="Q94" s="91" t="str">
        <f>INDEX('11DCA Mapping'!$L:$L, MATCH('Processed Non-zero DMR Data'!I95,'11DCA Mapping'!$J:$J,0))</f>
        <v>Assigned POTW per "Facility Type Indicator"</v>
      </c>
      <c r="R94" s="250" t="str">
        <f>VLOOKUP(I94,'DMR POTW Flag'!$A$2:$B$960,2,FALSE)</f>
        <v>NON-POTW</v>
      </c>
      <c r="S94" s="7" t="s">
        <v>62</v>
      </c>
      <c r="T94" s="7" t="s">
        <v>601</v>
      </c>
      <c r="U94" s="8">
        <f>COUNTIFS('Raw Non-zero DMR Data'!$A:$A, 'Processed Non-zero DMR Data'!A94, 'Raw Non-zero DMR Data'!$C:$C, X94, 'Raw Non-zero DMR Data'!$U:$U,'Processed Non-zero DMR Data'!Y94)</f>
        <v>1</v>
      </c>
      <c r="V94" s="8">
        <f>COUNTIFS('Raw Non-zero DMR Data'!$A:$A, 'Processed Non-zero DMR Data'!A94, 'Raw Non-zero DMR Data'!$C:$C, X94, 'Raw Non-zero DMR Data'!$U:$U,'Processed Non-zero DMR Data'!Y94,'Raw Non-zero DMR Data'!$Z:$Z,"Yes")</f>
        <v>1</v>
      </c>
      <c r="W94">
        <v>5.2505099999999999E-2</v>
      </c>
      <c r="X94" t="s">
        <v>678</v>
      </c>
      <c r="Y94" t="s">
        <v>679</v>
      </c>
      <c r="Z94" s="257">
        <v>71100040702</v>
      </c>
    </row>
    <row r="95" spans="1:26" ht="15" customHeight="1" x14ac:dyDescent="0.25">
      <c r="A95">
        <v>2020</v>
      </c>
      <c r="B95" t="s">
        <v>375</v>
      </c>
      <c r="C95" t="s">
        <v>376</v>
      </c>
      <c r="D95" t="s">
        <v>680</v>
      </c>
      <c r="E95" t="s">
        <v>138</v>
      </c>
      <c r="F95">
        <v>37.349167000000001</v>
      </c>
      <c r="G95">
        <v>-85.379444000000007</v>
      </c>
      <c r="I95" s="1">
        <v>110000736776</v>
      </c>
      <c r="J95">
        <v>4952</v>
      </c>
      <c r="K95" s="175" t="str">
        <f>INDEX('2022 SIC to NAICS'!B:B, MATCH('Processed Non-zero DMR Data'!$J95, '2022 SIC to NAICS'!$A:$A, 0))</f>
        <v>Sewerage Systems</v>
      </c>
      <c r="L95" s="175">
        <f>INDEX('2022 SIC to NAICS'!C:C, MATCH('Processed Non-zero DMR Data'!$J95, '2022 SIC to NAICS'!$A:$A, 0))</f>
        <v>221320</v>
      </c>
      <c r="M95" s="175" t="str">
        <f>INDEX('2022 SIC to NAICS'!D:D, MATCH('Processed Non-zero DMR Data'!$J95, '2022 SIC to NAICS'!$A:$A, 0))</f>
        <v xml:space="preserve">Sewage Treatment Facilities </v>
      </c>
      <c r="N95" s="90" t="str">
        <f>IFERROR(INDEX('NAICS Code to IS CDR Code'!B:B, MATCH('Processed Non-zero DMR Data'!L95,'NAICS Code to IS CDR Code'!A:A,0)), "NAICS/SIC Not Provided")</f>
        <v>IS4</v>
      </c>
      <c r="O95" s="91" t="str">
        <f>IFERROR(INDEX('NAICS Code to IS CDR Code'!C:C, MATCH('Processed Non-zero DMR Data'!L95,'NAICS Code to IS CDR Code'!A:A,0)), "NAICS/SIC Not Provided")</f>
        <v>Utilities</v>
      </c>
      <c r="P95" s="91" t="str">
        <f>INDEX('11DCA Mapping'!$K:$K, MATCH('Processed Non-zero DMR Data'!I96,'11DCA Mapping'!$J:$J,0))</f>
        <v>POTW</v>
      </c>
      <c r="Q95" s="91" t="str">
        <f>INDEX('11DCA Mapping'!$L:$L, MATCH('Processed Non-zero DMR Data'!I96,'11DCA Mapping'!$J:$J,0))</f>
        <v>Assigned POTW per "Facility Type Indicator"</v>
      </c>
      <c r="R95" s="250" t="str">
        <f>VLOOKUP(I95,'DMR POTW Flag'!$A$2:$B$960,2,FALSE)</f>
        <v>POTW</v>
      </c>
      <c r="S95" s="7" t="s">
        <v>67</v>
      </c>
      <c r="T95" s="249" t="s">
        <v>586</v>
      </c>
      <c r="U95" s="8">
        <f>COUNTIFS('Raw Non-zero DMR Data'!$A:$A, 'Processed Non-zero DMR Data'!A95, 'Raw Non-zero DMR Data'!$C:$C, X95, 'Raw Non-zero DMR Data'!$U:$U,'Processed Non-zero DMR Data'!Y95)</f>
        <v>1</v>
      </c>
      <c r="V95" s="8">
        <f>COUNTIFS('Raw Non-zero DMR Data'!$A:$A, 'Processed Non-zero DMR Data'!A95, 'Raw Non-zero DMR Data'!$C:$C, X95, 'Raw Non-zero DMR Data'!$U:$U,'Processed Non-zero DMR Data'!Y95,'Raw Non-zero DMR Data'!$Z:$Z,"Yes")</f>
        <v>1</v>
      </c>
      <c r="W95">
        <v>2.0066650625000002</v>
      </c>
      <c r="X95" t="s">
        <v>681</v>
      </c>
      <c r="Y95" t="s">
        <v>682</v>
      </c>
      <c r="Z95" s="257">
        <v>51100010504</v>
      </c>
    </row>
    <row r="96" spans="1:26" ht="15" customHeight="1" x14ac:dyDescent="0.25">
      <c r="A96">
        <v>2019</v>
      </c>
      <c r="B96" t="s">
        <v>142</v>
      </c>
      <c r="C96" t="s">
        <v>143</v>
      </c>
      <c r="D96" t="s">
        <v>683</v>
      </c>
      <c r="E96" t="s">
        <v>138</v>
      </c>
      <c r="F96">
        <v>38.627777999999999</v>
      </c>
      <c r="G96">
        <v>-85.115832999999995</v>
      </c>
      <c r="I96" s="1">
        <v>110015632216</v>
      </c>
      <c r="J96">
        <v>4952</v>
      </c>
      <c r="K96" s="175" t="str">
        <f>INDEX('2022 SIC to NAICS'!B:B, MATCH('Processed Non-zero DMR Data'!$J96, '2022 SIC to NAICS'!$A:$A, 0))</f>
        <v>Sewerage Systems</v>
      </c>
      <c r="L96" s="175">
        <f>INDEX('2022 SIC to NAICS'!C:C, MATCH('Processed Non-zero DMR Data'!$J96, '2022 SIC to NAICS'!$A:$A, 0))</f>
        <v>221320</v>
      </c>
      <c r="M96" s="175" t="str">
        <f>INDEX('2022 SIC to NAICS'!D:D, MATCH('Processed Non-zero DMR Data'!$J96, '2022 SIC to NAICS'!$A:$A, 0))</f>
        <v xml:space="preserve">Sewage Treatment Facilities </v>
      </c>
      <c r="N96" s="90" t="str">
        <f>IFERROR(INDEX('NAICS Code to IS CDR Code'!B:B, MATCH('Processed Non-zero DMR Data'!L96,'NAICS Code to IS CDR Code'!A:A,0)), "NAICS/SIC Not Provided")</f>
        <v>IS4</v>
      </c>
      <c r="O96" s="91" t="str">
        <f>IFERROR(INDEX('NAICS Code to IS CDR Code'!C:C, MATCH('Processed Non-zero DMR Data'!L96,'NAICS Code to IS CDR Code'!A:A,0)), "NAICS/SIC Not Provided")</f>
        <v>Utilities</v>
      </c>
      <c r="P96" s="91" t="str">
        <f>INDEX('11DCA Mapping'!$K:$K, MATCH('Processed Non-zero DMR Data'!I97,'11DCA Mapping'!$J:$J,0))</f>
        <v>POTW</v>
      </c>
      <c r="Q96" s="91" t="str">
        <f>INDEX('11DCA Mapping'!$L:$L, MATCH('Processed Non-zero DMR Data'!I97,'11DCA Mapping'!$J:$J,0))</f>
        <v>Assigned POTW per "Facility Type Indicator"</v>
      </c>
      <c r="R96" s="250" t="str">
        <f>VLOOKUP(I96,'DMR POTW Flag'!$A$2:$B$960,2,FALSE)</f>
        <v>POTW</v>
      </c>
      <c r="S96" s="7" t="s">
        <v>67</v>
      </c>
      <c r="T96" s="249" t="s">
        <v>586</v>
      </c>
      <c r="U96" s="8">
        <f>COUNTIFS('Raw Non-zero DMR Data'!$A:$A, 'Processed Non-zero DMR Data'!A96, 'Raw Non-zero DMR Data'!$C:$C, X96, 'Raw Non-zero DMR Data'!$U:$U,'Processed Non-zero DMR Data'!Y96)</f>
        <v>1</v>
      </c>
      <c r="V96" s="8">
        <f>COUNTIFS('Raw Non-zero DMR Data'!$A:$A, 'Processed Non-zero DMR Data'!A96, 'Raw Non-zero DMR Data'!$C:$C, X96, 'Raw Non-zero DMR Data'!$U:$U,'Processed Non-zero DMR Data'!Y96,'Raw Non-zero DMR Data'!$Z:$Z,"Yes")</f>
        <v>1</v>
      </c>
      <c r="W96">
        <v>5.8714812500000004</v>
      </c>
      <c r="X96" t="s">
        <v>684</v>
      </c>
      <c r="Y96" t="s">
        <v>685</v>
      </c>
      <c r="Z96" s="257">
        <v>51002051510</v>
      </c>
    </row>
    <row r="97" spans="1:26" ht="15" customHeight="1" x14ac:dyDescent="0.25">
      <c r="A97">
        <v>2020</v>
      </c>
      <c r="B97" t="s">
        <v>142</v>
      </c>
      <c r="C97" t="s">
        <v>143</v>
      </c>
      <c r="D97" t="s">
        <v>683</v>
      </c>
      <c r="E97" t="s">
        <v>138</v>
      </c>
      <c r="F97">
        <v>38.627777999999999</v>
      </c>
      <c r="G97">
        <v>-85.115832999999995</v>
      </c>
      <c r="I97" s="1">
        <v>110015632216</v>
      </c>
      <c r="J97">
        <v>4952</v>
      </c>
      <c r="K97" s="175" t="str">
        <f>INDEX('2022 SIC to NAICS'!B:B, MATCH('Processed Non-zero DMR Data'!$J97, '2022 SIC to NAICS'!$A:$A, 0))</f>
        <v>Sewerage Systems</v>
      </c>
      <c r="L97" s="175">
        <f>INDEX('2022 SIC to NAICS'!C:C, MATCH('Processed Non-zero DMR Data'!$J97, '2022 SIC to NAICS'!$A:$A, 0))</f>
        <v>221320</v>
      </c>
      <c r="M97" s="175" t="str">
        <f>INDEX('2022 SIC to NAICS'!D:D, MATCH('Processed Non-zero DMR Data'!$J97, '2022 SIC to NAICS'!$A:$A, 0))</f>
        <v xml:space="preserve">Sewage Treatment Facilities </v>
      </c>
      <c r="N97" s="90" t="str">
        <f>IFERROR(INDEX('NAICS Code to IS CDR Code'!B:B, MATCH('Processed Non-zero DMR Data'!L97,'NAICS Code to IS CDR Code'!A:A,0)), "NAICS/SIC Not Provided")</f>
        <v>IS4</v>
      </c>
      <c r="O97" s="91" t="str">
        <f>IFERROR(INDEX('NAICS Code to IS CDR Code'!C:C, MATCH('Processed Non-zero DMR Data'!L97,'NAICS Code to IS CDR Code'!A:A,0)), "NAICS/SIC Not Provided")</f>
        <v>Utilities</v>
      </c>
      <c r="P97" s="91" t="str">
        <f>INDEX('11DCA Mapping'!$K:$K, MATCH('Processed Non-zero DMR Data'!I98,'11DCA Mapping'!$J:$J,0))</f>
        <v>POTW</v>
      </c>
      <c r="Q97" s="91" t="str">
        <f>INDEX('11DCA Mapping'!$L:$L, MATCH('Processed Non-zero DMR Data'!I98,'11DCA Mapping'!$J:$J,0))</f>
        <v>Assigned POTW per "Facility Type Indicator"</v>
      </c>
      <c r="R97" s="250" t="str">
        <f>VLOOKUP(I97,'DMR POTW Flag'!$A$2:$B$960,2,FALSE)</f>
        <v>POTW</v>
      </c>
      <c r="S97" s="7" t="s">
        <v>67</v>
      </c>
      <c r="T97" s="249" t="s">
        <v>586</v>
      </c>
      <c r="U97" s="8">
        <f>COUNTIFS('Raw Non-zero DMR Data'!$A:$A, 'Processed Non-zero DMR Data'!A97, 'Raw Non-zero DMR Data'!$C:$C, X97, 'Raw Non-zero DMR Data'!$U:$U,'Processed Non-zero DMR Data'!Y97)</f>
        <v>1</v>
      </c>
      <c r="V97" s="8">
        <f>COUNTIFS('Raw Non-zero DMR Data'!$A:$A, 'Processed Non-zero DMR Data'!A97, 'Raw Non-zero DMR Data'!$C:$C, X97, 'Raw Non-zero DMR Data'!$U:$U,'Processed Non-zero DMR Data'!Y97,'Raw Non-zero DMR Data'!$Z:$Z,"Yes")</f>
        <v>1</v>
      </c>
      <c r="W97">
        <v>3.557426875</v>
      </c>
      <c r="X97" t="s">
        <v>684</v>
      </c>
      <c r="Y97" t="s">
        <v>685</v>
      </c>
      <c r="Z97" s="257">
        <v>51002051510</v>
      </c>
    </row>
    <row r="98" spans="1:26" ht="15" customHeight="1" x14ac:dyDescent="0.25">
      <c r="A98">
        <v>2023</v>
      </c>
      <c r="B98" t="s">
        <v>142</v>
      </c>
      <c r="C98" t="s">
        <v>143</v>
      </c>
      <c r="D98" t="s">
        <v>683</v>
      </c>
      <c r="E98" t="s">
        <v>138</v>
      </c>
      <c r="F98">
        <v>38.627777999999999</v>
      </c>
      <c r="G98">
        <v>-85.115832999999995</v>
      </c>
      <c r="I98" s="1">
        <v>110015632216</v>
      </c>
      <c r="J98">
        <v>4952</v>
      </c>
      <c r="K98" s="175" t="str">
        <f>INDEX('2022 SIC to NAICS'!B:B, MATCH('Processed Non-zero DMR Data'!$J98, '2022 SIC to NAICS'!$A:$A, 0))</f>
        <v>Sewerage Systems</v>
      </c>
      <c r="L98" s="175">
        <f>INDEX('2022 SIC to NAICS'!C:C, MATCH('Processed Non-zero DMR Data'!$J98, '2022 SIC to NAICS'!$A:$A, 0))</f>
        <v>221320</v>
      </c>
      <c r="M98" s="175" t="str">
        <f>INDEX('2022 SIC to NAICS'!D:D, MATCH('Processed Non-zero DMR Data'!$J98, '2022 SIC to NAICS'!$A:$A, 0))</f>
        <v xml:space="preserve">Sewage Treatment Facilities </v>
      </c>
      <c r="N98" s="90" t="str">
        <f>IFERROR(INDEX('NAICS Code to IS CDR Code'!B:B, MATCH('Processed Non-zero DMR Data'!L98,'NAICS Code to IS CDR Code'!A:A,0)), "NAICS/SIC Not Provided")</f>
        <v>IS4</v>
      </c>
      <c r="O98" s="91" t="str">
        <f>IFERROR(INDEX('NAICS Code to IS CDR Code'!C:C, MATCH('Processed Non-zero DMR Data'!L98,'NAICS Code to IS CDR Code'!A:A,0)), "NAICS/SIC Not Provided")</f>
        <v>Utilities</v>
      </c>
      <c r="P98" s="91" t="str">
        <f>INDEX('11DCA Mapping'!$K:$K, MATCH('Processed Non-zero DMR Data'!I99,'11DCA Mapping'!$J:$J,0))</f>
        <v>Waste Handling, Disposal, Treatment, and Recycling</v>
      </c>
      <c r="Q98" s="91" t="str">
        <f>INDEX('11DCA Mapping'!$L:$L, MATCH('Processed Non-zero DMR Data'!I99,'11DCA Mapping'!$J:$J,0))</f>
        <v>SIC description indicates waste treatment</v>
      </c>
      <c r="R98" s="250" t="str">
        <f>VLOOKUP(I98,'DMR POTW Flag'!$A$2:$B$960,2,FALSE)</f>
        <v>POTW</v>
      </c>
      <c r="S98" s="7" t="s">
        <v>67</v>
      </c>
      <c r="T98" s="249" t="s">
        <v>586</v>
      </c>
      <c r="U98" s="8">
        <f>COUNTIFS('Raw Non-zero DMR Data'!$A:$A, 'Processed Non-zero DMR Data'!A98, 'Raw Non-zero DMR Data'!$C:$C, X98, 'Raw Non-zero DMR Data'!$U:$U,'Processed Non-zero DMR Data'!Y98)</f>
        <v>1</v>
      </c>
      <c r="V98" s="8">
        <f>COUNTIFS('Raw Non-zero DMR Data'!$A:$A, 'Processed Non-zero DMR Data'!A98, 'Raw Non-zero DMR Data'!$C:$C, X98, 'Raw Non-zero DMR Data'!$U:$U,'Processed Non-zero DMR Data'!Y98,'Raw Non-zero DMR Data'!$Z:$Z,"Yes")</f>
        <v>1</v>
      </c>
      <c r="W98">
        <v>2.7043351874999999</v>
      </c>
      <c r="X98" t="s">
        <v>684</v>
      </c>
      <c r="Y98" t="s">
        <v>685</v>
      </c>
      <c r="Z98" s="257">
        <v>51002051510</v>
      </c>
    </row>
    <row r="99" spans="1:26" ht="15" customHeight="1" x14ac:dyDescent="0.25">
      <c r="A99">
        <v>2020</v>
      </c>
      <c r="B99" t="s">
        <v>370</v>
      </c>
      <c r="C99" t="s">
        <v>175</v>
      </c>
      <c r="D99" t="s">
        <v>630</v>
      </c>
      <c r="E99" t="s">
        <v>106</v>
      </c>
      <c r="F99">
        <v>30.321895000000001</v>
      </c>
      <c r="G99">
        <v>-93.300735000000003</v>
      </c>
      <c r="I99" s="1">
        <v>110000613685</v>
      </c>
      <c r="J99">
        <v>4953</v>
      </c>
      <c r="K99" s="175" t="str">
        <f>INDEX('2022 SIC to NAICS'!B:B, MATCH('Processed Non-zero DMR Data'!$J99, '2022 SIC to NAICS'!$A:$A, 0))</f>
        <v>Refuse Systems</v>
      </c>
      <c r="L99" s="175">
        <f>INDEX('2022 SIC to NAICS'!C:C, MATCH('Processed Non-zero DMR Data'!$J99, '2022 SIC to NAICS'!$A:$A, 0))</f>
        <v>562211</v>
      </c>
      <c r="M99" s="175" t="str">
        <f>INDEX('2022 SIC to NAICS'!D:D, MATCH('Processed Non-zero DMR Data'!$J99, '2022 SIC to NAICS'!$A:$A, 0))</f>
        <v xml:space="preserve">Hazardous Waste Treatment and Disposal </v>
      </c>
      <c r="N99" s="90" t="str">
        <f>IFERROR(INDEX('NAICS Code to IS CDR Code'!B:B, MATCH('Processed Non-zero DMR Data'!L99,'NAICS Code to IS CDR Code'!A:A,0)), "NAICS/SIC Not Provided")</f>
        <v>IS47</v>
      </c>
      <c r="O99" s="91" t="str">
        <f>IFERROR(INDEX('NAICS Code to IS CDR Code'!C:C, MATCH('Processed Non-zero DMR Data'!L99,'NAICS Code to IS CDR Code'!A:A,0)), "NAICS/SIC Not Provided")</f>
        <v>Services</v>
      </c>
      <c r="P99" s="91" t="str">
        <f>INDEX('11DCA Mapping'!$K:$K, MATCH('Processed Non-zero DMR Data'!I100,'11DCA Mapping'!$J:$J,0))</f>
        <v>Waste Handling, Disposal, Treatment, and Recycling</v>
      </c>
      <c r="Q99" s="91" t="str">
        <f>INDEX('11DCA Mapping'!$L:$L, MATCH('Processed Non-zero DMR Data'!I100,'11DCA Mapping'!$J:$J,0))</f>
        <v>SIC description indicates waste treatment</v>
      </c>
      <c r="R99" s="250" t="str">
        <f>VLOOKUP(I99,'DMR POTW Flag'!$A$2:$B$960,2,FALSE)</f>
        <v>NON-POTW</v>
      </c>
      <c r="S99" s="249" t="s">
        <v>68</v>
      </c>
      <c r="T99" s="249" t="s">
        <v>686</v>
      </c>
      <c r="U99" s="8">
        <f>COUNTIFS('Raw Non-zero DMR Data'!$A:$A, 'Processed Non-zero DMR Data'!A99, 'Raw Non-zero DMR Data'!$C:$C, X99, 'Raw Non-zero DMR Data'!$U:$U,'Processed Non-zero DMR Data'!Y99)</f>
        <v>3</v>
      </c>
      <c r="V99" s="8">
        <f>COUNTIFS('Raw Non-zero DMR Data'!$A:$A, 'Processed Non-zero DMR Data'!A99, 'Raw Non-zero DMR Data'!$C:$C, X99, 'Raw Non-zero DMR Data'!$U:$U,'Processed Non-zero DMR Data'!Y99,'Raw Non-zero DMR Data'!$Z:$Z,"Yes")</f>
        <v>3</v>
      </c>
      <c r="W99">
        <v>0.52152568749999995</v>
      </c>
      <c r="X99" t="s">
        <v>687</v>
      </c>
      <c r="Y99" t="s">
        <v>688</v>
      </c>
      <c r="Z99" s="257">
        <v>80802050501</v>
      </c>
    </row>
    <row r="100" spans="1:26" ht="15" customHeight="1" x14ac:dyDescent="0.25">
      <c r="A100">
        <v>2020</v>
      </c>
      <c r="B100" t="s">
        <v>370</v>
      </c>
      <c r="C100" t="s">
        <v>175</v>
      </c>
      <c r="D100" t="s">
        <v>630</v>
      </c>
      <c r="E100" t="s">
        <v>106</v>
      </c>
      <c r="F100">
        <v>30.321895000000001</v>
      </c>
      <c r="G100">
        <v>-93.300735000000003</v>
      </c>
      <c r="I100" s="1">
        <v>110000613685</v>
      </c>
      <c r="J100">
        <v>4953</v>
      </c>
      <c r="K100" s="175" t="str">
        <f>INDEX('2022 SIC to NAICS'!B:B, MATCH('Processed Non-zero DMR Data'!$J100, '2022 SIC to NAICS'!$A:$A, 0))</f>
        <v>Refuse Systems</v>
      </c>
      <c r="L100" s="175">
        <f>INDEX('2022 SIC to NAICS'!C:C, MATCH('Processed Non-zero DMR Data'!$J100, '2022 SIC to NAICS'!$A:$A, 0))</f>
        <v>562211</v>
      </c>
      <c r="M100" s="175" t="str">
        <f>INDEX('2022 SIC to NAICS'!D:D, MATCH('Processed Non-zero DMR Data'!$J100, '2022 SIC to NAICS'!$A:$A, 0))</f>
        <v xml:space="preserve">Hazardous Waste Treatment and Disposal </v>
      </c>
      <c r="N100" s="90" t="str">
        <f>IFERROR(INDEX('NAICS Code to IS CDR Code'!B:B, MATCH('Processed Non-zero DMR Data'!L100,'NAICS Code to IS CDR Code'!A:A,0)), "NAICS/SIC Not Provided")</f>
        <v>IS47</v>
      </c>
      <c r="O100" s="91" t="str">
        <f>IFERROR(INDEX('NAICS Code to IS CDR Code'!C:C, MATCH('Processed Non-zero DMR Data'!L100,'NAICS Code to IS CDR Code'!A:A,0)), "NAICS/SIC Not Provided")</f>
        <v>Services</v>
      </c>
      <c r="P100" s="91" t="str">
        <f>INDEX('11DCA Mapping'!$K:$K, MATCH('Processed Non-zero DMR Data'!I101,'11DCA Mapping'!$J:$J,0))</f>
        <v>Waste Handling, Disposal, Treatment, and Recycling</v>
      </c>
      <c r="Q100" s="91" t="str">
        <f>INDEX('11DCA Mapping'!$L:$L, MATCH('Processed Non-zero DMR Data'!I101,'11DCA Mapping'!$J:$J,0))</f>
        <v>SIC description indicates waste treatment</v>
      </c>
      <c r="R100" s="250" t="str">
        <f>VLOOKUP(I100,'DMR POTW Flag'!$A$2:$B$960,2,FALSE)</f>
        <v>NON-POTW</v>
      </c>
      <c r="S100" s="249" t="s">
        <v>68</v>
      </c>
      <c r="T100" s="249" t="s">
        <v>686</v>
      </c>
      <c r="U100" s="8">
        <f>COUNTIFS('Raw Non-zero DMR Data'!$A:$A, 'Processed Non-zero DMR Data'!A100, 'Raw Non-zero DMR Data'!$C:$C, X100, 'Raw Non-zero DMR Data'!$U:$U,'Processed Non-zero DMR Data'!Y100)</f>
        <v>3</v>
      </c>
      <c r="V100" s="8">
        <f>COUNTIFS('Raw Non-zero DMR Data'!$A:$A, 'Processed Non-zero DMR Data'!A100, 'Raw Non-zero DMR Data'!$C:$C, X100, 'Raw Non-zero DMR Data'!$U:$U,'Processed Non-zero DMR Data'!Y100,'Raw Non-zero DMR Data'!$Z:$Z,"Yes")</f>
        <v>3</v>
      </c>
      <c r="W100">
        <v>0.38682699999999998</v>
      </c>
      <c r="X100" t="s">
        <v>687</v>
      </c>
      <c r="Y100" t="s">
        <v>688</v>
      </c>
      <c r="Z100" s="257">
        <v>80802050501</v>
      </c>
    </row>
    <row r="101" spans="1:26" ht="15" customHeight="1" x14ac:dyDescent="0.25">
      <c r="A101">
        <v>2020</v>
      </c>
      <c r="B101" t="s">
        <v>370</v>
      </c>
      <c r="C101" t="s">
        <v>175</v>
      </c>
      <c r="D101" t="s">
        <v>630</v>
      </c>
      <c r="E101" t="s">
        <v>106</v>
      </c>
      <c r="F101">
        <v>30.321895000000001</v>
      </c>
      <c r="G101">
        <v>-93.300735000000003</v>
      </c>
      <c r="I101" s="1">
        <v>110000613685</v>
      </c>
      <c r="J101">
        <v>4953</v>
      </c>
      <c r="K101" s="175" t="str">
        <f>INDEX('2022 SIC to NAICS'!B:B, MATCH('Processed Non-zero DMR Data'!$J101, '2022 SIC to NAICS'!$A:$A, 0))</f>
        <v>Refuse Systems</v>
      </c>
      <c r="L101" s="175">
        <f>INDEX('2022 SIC to NAICS'!C:C, MATCH('Processed Non-zero DMR Data'!$J101, '2022 SIC to NAICS'!$A:$A, 0))</f>
        <v>562211</v>
      </c>
      <c r="M101" s="175" t="str">
        <f>INDEX('2022 SIC to NAICS'!D:D, MATCH('Processed Non-zero DMR Data'!$J101, '2022 SIC to NAICS'!$A:$A, 0))</f>
        <v xml:space="preserve">Hazardous Waste Treatment and Disposal </v>
      </c>
      <c r="N101" s="90" t="str">
        <f>IFERROR(INDEX('NAICS Code to IS CDR Code'!B:B, MATCH('Processed Non-zero DMR Data'!L101,'NAICS Code to IS CDR Code'!A:A,0)), "NAICS/SIC Not Provided")</f>
        <v>IS47</v>
      </c>
      <c r="O101" s="91" t="str">
        <f>IFERROR(INDEX('NAICS Code to IS CDR Code'!C:C, MATCH('Processed Non-zero DMR Data'!L101,'NAICS Code to IS CDR Code'!A:A,0)), "NAICS/SIC Not Provided")</f>
        <v>Services</v>
      </c>
      <c r="P101" s="91" t="str">
        <f>INDEX('11DCA Mapping'!$K:$K, MATCH('Processed Non-zero DMR Data'!I102,'11DCA Mapping'!$J:$J,0))</f>
        <v>Waste Handling, Disposal, Treatment, and Recycling</v>
      </c>
      <c r="Q101" s="91" t="str">
        <f>INDEX('11DCA Mapping'!$L:$L, MATCH('Processed Non-zero DMR Data'!I102,'11DCA Mapping'!$J:$J,0))</f>
        <v>SIC description indicates waste treatment</v>
      </c>
      <c r="R101" s="250" t="str">
        <f>VLOOKUP(I101,'DMR POTW Flag'!$A$2:$B$960,2,FALSE)</f>
        <v>NON-POTW</v>
      </c>
      <c r="S101" s="249" t="s">
        <v>68</v>
      </c>
      <c r="T101" s="249" t="s">
        <v>686</v>
      </c>
      <c r="U101" s="8">
        <f>COUNTIFS('Raw Non-zero DMR Data'!$A:$A, 'Processed Non-zero DMR Data'!A101, 'Raw Non-zero DMR Data'!$C:$C, X101, 'Raw Non-zero DMR Data'!$U:$U,'Processed Non-zero DMR Data'!Y101)</f>
        <v>3</v>
      </c>
      <c r="V101" s="8">
        <f>COUNTIFS('Raw Non-zero DMR Data'!$A:$A, 'Processed Non-zero DMR Data'!A101, 'Raw Non-zero DMR Data'!$C:$C, X101, 'Raw Non-zero DMR Data'!$U:$U,'Processed Non-zero DMR Data'!Y101,'Raw Non-zero DMR Data'!$Z:$Z,"Yes")</f>
        <v>3</v>
      </c>
      <c r="W101">
        <v>0.1346986875</v>
      </c>
      <c r="X101" t="s">
        <v>687</v>
      </c>
      <c r="Y101" t="s">
        <v>688</v>
      </c>
      <c r="Z101" s="257">
        <v>80802050501</v>
      </c>
    </row>
    <row r="102" spans="1:26" ht="15" customHeight="1" x14ac:dyDescent="0.25">
      <c r="A102">
        <v>2021</v>
      </c>
      <c r="B102" t="s">
        <v>370</v>
      </c>
      <c r="C102" t="s">
        <v>175</v>
      </c>
      <c r="D102" t="s">
        <v>630</v>
      </c>
      <c r="E102" t="s">
        <v>106</v>
      </c>
      <c r="F102">
        <v>30.321895000000001</v>
      </c>
      <c r="G102">
        <v>-93.300735000000003</v>
      </c>
      <c r="I102" s="1">
        <v>110000613685</v>
      </c>
      <c r="J102">
        <v>4953</v>
      </c>
      <c r="K102" s="175" t="str">
        <f>INDEX('2022 SIC to NAICS'!B:B, MATCH('Processed Non-zero DMR Data'!$J102, '2022 SIC to NAICS'!$A:$A, 0))</f>
        <v>Refuse Systems</v>
      </c>
      <c r="L102" s="175">
        <f>INDEX('2022 SIC to NAICS'!C:C, MATCH('Processed Non-zero DMR Data'!$J102, '2022 SIC to NAICS'!$A:$A, 0))</f>
        <v>562211</v>
      </c>
      <c r="M102" s="175" t="str">
        <f>INDEX('2022 SIC to NAICS'!D:D, MATCH('Processed Non-zero DMR Data'!$J102, '2022 SIC to NAICS'!$A:$A, 0))</f>
        <v xml:space="preserve">Hazardous Waste Treatment and Disposal </v>
      </c>
      <c r="N102" s="90" t="str">
        <f>IFERROR(INDEX('NAICS Code to IS CDR Code'!B:B, MATCH('Processed Non-zero DMR Data'!L102,'NAICS Code to IS CDR Code'!A:A,0)), "NAICS/SIC Not Provided")</f>
        <v>IS47</v>
      </c>
      <c r="O102" s="91" t="str">
        <f>IFERROR(INDEX('NAICS Code to IS CDR Code'!C:C, MATCH('Processed Non-zero DMR Data'!L102,'NAICS Code to IS CDR Code'!A:A,0)), "NAICS/SIC Not Provided")</f>
        <v>Services</v>
      </c>
      <c r="P102" s="91" t="str">
        <f>INDEX('11DCA Mapping'!$K:$K, MATCH('Processed Non-zero DMR Data'!I103,'11DCA Mapping'!$J:$J,0))</f>
        <v>Waste Handling, Disposal, Treatment, and Recycling</v>
      </c>
      <c r="Q102" s="91" t="str">
        <f>INDEX('11DCA Mapping'!$L:$L, MATCH('Processed Non-zero DMR Data'!I103,'11DCA Mapping'!$J:$J,0))</f>
        <v>SIC description indicates waste treatment</v>
      </c>
      <c r="R102" s="250" t="str">
        <f>VLOOKUP(I102,'DMR POTW Flag'!$A$2:$B$960,2,FALSE)</f>
        <v>NON-POTW</v>
      </c>
      <c r="S102" s="249" t="s">
        <v>68</v>
      </c>
      <c r="T102" s="249" t="s">
        <v>686</v>
      </c>
      <c r="U102" s="8">
        <f>COUNTIFS('Raw Non-zero DMR Data'!$A:$A, 'Processed Non-zero DMR Data'!A102, 'Raw Non-zero DMR Data'!$C:$C, X102, 'Raw Non-zero DMR Data'!$U:$U,'Processed Non-zero DMR Data'!Y102)</f>
        <v>3</v>
      </c>
      <c r="V102" s="8">
        <f>COUNTIFS('Raw Non-zero DMR Data'!$A:$A, 'Processed Non-zero DMR Data'!A102, 'Raw Non-zero DMR Data'!$C:$C, X102, 'Raw Non-zero DMR Data'!$U:$U,'Processed Non-zero DMR Data'!Y102,'Raw Non-zero DMR Data'!$Z:$Z,"Yes")</f>
        <v>3</v>
      </c>
      <c r="W102">
        <v>0.30393550000000003</v>
      </c>
      <c r="X102" t="s">
        <v>687</v>
      </c>
      <c r="Y102" t="s">
        <v>688</v>
      </c>
      <c r="Z102" s="257">
        <v>80802050501</v>
      </c>
    </row>
    <row r="103" spans="1:26" ht="15" customHeight="1" x14ac:dyDescent="0.25">
      <c r="A103">
        <v>2021</v>
      </c>
      <c r="B103" t="s">
        <v>370</v>
      </c>
      <c r="C103" t="s">
        <v>175</v>
      </c>
      <c r="D103" t="s">
        <v>630</v>
      </c>
      <c r="E103" t="s">
        <v>106</v>
      </c>
      <c r="F103">
        <v>30.321895000000001</v>
      </c>
      <c r="G103">
        <v>-93.300735000000003</v>
      </c>
      <c r="I103" s="1">
        <v>110000613685</v>
      </c>
      <c r="J103">
        <v>4953</v>
      </c>
      <c r="K103" s="175" t="str">
        <f>INDEX('2022 SIC to NAICS'!B:B, MATCH('Processed Non-zero DMR Data'!$J103, '2022 SIC to NAICS'!$A:$A, 0))</f>
        <v>Refuse Systems</v>
      </c>
      <c r="L103" s="175">
        <f>INDEX('2022 SIC to NAICS'!C:C, MATCH('Processed Non-zero DMR Data'!$J103, '2022 SIC to NAICS'!$A:$A, 0))</f>
        <v>562211</v>
      </c>
      <c r="M103" s="175" t="str">
        <f>INDEX('2022 SIC to NAICS'!D:D, MATCH('Processed Non-zero DMR Data'!$J103, '2022 SIC to NAICS'!$A:$A, 0))</f>
        <v xml:space="preserve">Hazardous Waste Treatment and Disposal </v>
      </c>
      <c r="N103" s="90" t="str">
        <f>IFERROR(INDEX('NAICS Code to IS CDR Code'!B:B, MATCH('Processed Non-zero DMR Data'!L103,'NAICS Code to IS CDR Code'!A:A,0)), "NAICS/SIC Not Provided")</f>
        <v>IS47</v>
      </c>
      <c r="O103" s="91" t="str">
        <f>IFERROR(INDEX('NAICS Code to IS CDR Code'!C:C, MATCH('Processed Non-zero DMR Data'!L103,'NAICS Code to IS CDR Code'!A:A,0)), "NAICS/SIC Not Provided")</f>
        <v>Services</v>
      </c>
      <c r="P103" s="91" t="str">
        <f>INDEX('11DCA Mapping'!$K:$K, MATCH('Processed Non-zero DMR Data'!I104,'11DCA Mapping'!$J:$J,0))</f>
        <v>Waste Handling, Disposal, Treatment, and Recycling</v>
      </c>
      <c r="Q103" s="91" t="str">
        <f>INDEX('11DCA Mapping'!$L:$L, MATCH('Processed Non-zero DMR Data'!I104,'11DCA Mapping'!$J:$J,0))</f>
        <v>SIC description indicates waste treatment</v>
      </c>
      <c r="R103" s="250" t="str">
        <f>VLOOKUP(I103,'DMR POTW Flag'!$A$2:$B$960,2,FALSE)</f>
        <v>NON-POTW</v>
      </c>
      <c r="S103" s="249" t="s">
        <v>68</v>
      </c>
      <c r="T103" s="249" t="s">
        <v>686</v>
      </c>
      <c r="U103" s="8">
        <f>COUNTIFS('Raw Non-zero DMR Data'!$A:$A, 'Processed Non-zero DMR Data'!A103, 'Raw Non-zero DMR Data'!$C:$C, X103, 'Raw Non-zero DMR Data'!$U:$U,'Processed Non-zero DMR Data'!Y103)</f>
        <v>3</v>
      </c>
      <c r="V103" s="8">
        <f>COUNTIFS('Raw Non-zero DMR Data'!$A:$A, 'Processed Non-zero DMR Data'!A103, 'Raw Non-zero DMR Data'!$C:$C, X103, 'Raw Non-zero DMR Data'!$U:$U,'Processed Non-zero DMR Data'!Y103,'Raw Non-zero DMR Data'!$Z:$Z,"Yes")</f>
        <v>3</v>
      </c>
      <c r="W103">
        <v>7.9437687500000007E-2</v>
      </c>
      <c r="X103" t="s">
        <v>687</v>
      </c>
      <c r="Y103" t="s">
        <v>688</v>
      </c>
      <c r="Z103" s="257">
        <v>80802050501</v>
      </c>
    </row>
    <row r="104" spans="1:26" ht="15" customHeight="1" x14ac:dyDescent="0.25">
      <c r="A104">
        <v>2021</v>
      </c>
      <c r="B104" t="s">
        <v>370</v>
      </c>
      <c r="C104" t="s">
        <v>175</v>
      </c>
      <c r="D104" t="s">
        <v>630</v>
      </c>
      <c r="E104" t="s">
        <v>106</v>
      </c>
      <c r="F104">
        <v>30.321895000000001</v>
      </c>
      <c r="G104">
        <v>-93.300735000000003</v>
      </c>
      <c r="I104" s="1">
        <v>110000613685</v>
      </c>
      <c r="J104">
        <v>4953</v>
      </c>
      <c r="K104" s="175" t="str">
        <f>INDEX('2022 SIC to NAICS'!B:B, MATCH('Processed Non-zero DMR Data'!$J104, '2022 SIC to NAICS'!$A:$A, 0))</f>
        <v>Refuse Systems</v>
      </c>
      <c r="L104" s="175">
        <f>INDEX('2022 SIC to NAICS'!C:C, MATCH('Processed Non-zero DMR Data'!$J104, '2022 SIC to NAICS'!$A:$A, 0))</f>
        <v>562211</v>
      </c>
      <c r="M104" s="175" t="str">
        <f>INDEX('2022 SIC to NAICS'!D:D, MATCH('Processed Non-zero DMR Data'!$J104, '2022 SIC to NAICS'!$A:$A, 0))</f>
        <v xml:space="preserve">Hazardous Waste Treatment and Disposal </v>
      </c>
      <c r="N104" s="90" t="str">
        <f>IFERROR(INDEX('NAICS Code to IS CDR Code'!B:B, MATCH('Processed Non-zero DMR Data'!L104,'NAICS Code to IS CDR Code'!A:A,0)), "NAICS/SIC Not Provided")</f>
        <v>IS47</v>
      </c>
      <c r="O104" s="91" t="str">
        <f>IFERROR(INDEX('NAICS Code to IS CDR Code'!C:C, MATCH('Processed Non-zero DMR Data'!L104,'NAICS Code to IS CDR Code'!A:A,0)), "NAICS/SIC Not Provided")</f>
        <v>Services</v>
      </c>
      <c r="P104" s="91" t="str">
        <f>INDEX('11DCA Mapping'!$K:$K, MATCH('Processed Non-zero DMR Data'!I105,'11DCA Mapping'!$J:$J,0))</f>
        <v>Waste Handling, Disposal, Treatment, and Recycling</v>
      </c>
      <c r="Q104" s="91" t="str">
        <f>INDEX('11DCA Mapping'!$L:$L, MATCH('Processed Non-zero DMR Data'!I105,'11DCA Mapping'!$J:$J,0))</f>
        <v>SIC description indicates waste treatment</v>
      </c>
      <c r="R104" s="250" t="str">
        <f>VLOOKUP(I104,'DMR POTW Flag'!$A$2:$B$960,2,FALSE)</f>
        <v>NON-POTW</v>
      </c>
      <c r="S104" s="249" t="s">
        <v>68</v>
      </c>
      <c r="T104" s="249" t="s">
        <v>686</v>
      </c>
      <c r="U104" s="8">
        <f>COUNTIFS('Raw Non-zero DMR Data'!$A:$A, 'Processed Non-zero DMR Data'!A104, 'Raw Non-zero DMR Data'!$C:$C, X104, 'Raw Non-zero DMR Data'!$U:$U,'Processed Non-zero DMR Data'!Y104)</f>
        <v>3</v>
      </c>
      <c r="V104" s="8">
        <f>COUNTIFS('Raw Non-zero DMR Data'!$A:$A, 'Processed Non-zero DMR Data'!A104, 'Raw Non-zero DMR Data'!$C:$C, X104, 'Raw Non-zero DMR Data'!$U:$U,'Processed Non-zero DMR Data'!Y104,'Raw Non-zero DMR Data'!$Z:$Z,"Yes")</f>
        <v>3</v>
      </c>
      <c r="W104">
        <v>0.2244978125</v>
      </c>
      <c r="X104" t="s">
        <v>687</v>
      </c>
      <c r="Y104" t="s">
        <v>688</v>
      </c>
      <c r="Z104" s="257">
        <v>80802050501</v>
      </c>
    </row>
    <row r="105" spans="1:26" ht="15" customHeight="1" x14ac:dyDescent="0.25">
      <c r="A105">
        <v>2022</v>
      </c>
      <c r="B105" t="s">
        <v>370</v>
      </c>
      <c r="C105" t="s">
        <v>175</v>
      </c>
      <c r="D105" t="s">
        <v>630</v>
      </c>
      <c r="E105" t="s">
        <v>106</v>
      </c>
      <c r="F105">
        <v>30.321895000000001</v>
      </c>
      <c r="G105">
        <v>-93.300735000000003</v>
      </c>
      <c r="I105" s="1">
        <v>110000613685</v>
      </c>
      <c r="J105">
        <v>4953</v>
      </c>
      <c r="K105" s="175" t="str">
        <f>INDEX('2022 SIC to NAICS'!B:B, MATCH('Processed Non-zero DMR Data'!$J105, '2022 SIC to NAICS'!$A:$A, 0))</f>
        <v>Refuse Systems</v>
      </c>
      <c r="L105" s="175">
        <f>INDEX('2022 SIC to NAICS'!C:C, MATCH('Processed Non-zero DMR Data'!$J105, '2022 SIC to NAICS'!$A:$A, 0))</f>
        <v>562211</v>
      </c>
      <c r="M105" s="175" t="str">
        <f>INDEX('2022 SIC to NAICS'!D:D, MATCH('Processed Non-zero DMR Data'!$J105, '2022 SIC to NAICS'!$A:$A, 0))</f>
        <v xml:space="preserve">Hazardous Waste Treatment and Disposal </v>
      </c>
      <c r="N105" s="90" t="str">
        <f>IFERROR(INDEX('NAICS Code to IS CDR Code'!B:B, MATCH('Processed Non-zero DMR Data'!L105,'NAICS Code to IS CDR Code'!A:A,0)), "NAICS/SIC Not Provided")</f>
        <v>IS47</v>
      </c>
      <c r="O105" s="91" t="str">
        <f>IFERROR(INDEX('NAICS Code to IS CDR Code'!C:C, MATCH('Processed Non-zero DMR Data'!L105,'NAICS Code to IS CDR Code'!A:A,0)), "NAICS/SIC Not Provided")</f>
        <v>Services</v>
      </c>
      <c r="P105" s="91" t="str">
        <f>INDEX('11DCA Mapping'!$K:$K, MATCH('Processed Non-zero DMR Data'!I106,'11DCA Mapping'!$J:$J,0))</f>
        <v>Waste Handling, Disposal, Treatment, and Recycling</v>
      </c>
      <c r="Q105" s="91" t="str">
        <f>INDEX('11DCA Mapping'!$L:$L, MATCH('Processed Non-zero DMR Data'!I106,'11DCA Mapping'!$J:$J,0))</f>
        <v>SIC description indicates waste treatment</v>
      </c>
      <c r="R105" s="250" t="str">
        <f>VLOOKUP(I105,'DMR POTW Flag'!$A$2:$B$960,2,FALSE)</f>
        <v>NON-POTW</v>
      </c>
      <c r="S105" s="249" t="s">
        <v>68</v>
      </c>
      <c r="T105" s="249" t="s">
        <v>686</v>
      </c>
      <c r="U105" s="8">
        <f>COUNTIFS('Raw Non-zero DMR Data'!$A:$A, 'Processed Non-zero DMR Data'!A105, 'Raw Non-zero DMR Data'!$C:$C, X105, 'Raw Non-zero DMR Data'!$U:$U,'Processed Non-zero DMR Data'!Y105)</f>
        <v>3</v>
      </c>
      <c r="V105" s="8">
        <f>COUNTIFS('Raw Non-zero DMR Data'!$A:$A, 'Processed Non-zero DMR Data'!A105, 'Raw Non-zero DMR Data'!$C:$C, X105, 'Raw Non-zero DMR Data'!$U:$U,'Processed Non-zero DMR Data'!Y105,'Raw Non-zero DMR Data'!$Z:$Z,"Yes")</f>
        <v>3</v>
      </c>
      <c r="W105">
        <v>0.1208834375</v>
      </c>
      <c r="X105" t="s">
        <v>687</v>
      </c>
      <c r="Y105" t="s">
        <v>688</v>
      </c>
      <c r="Z105" s="257">
        <v>80802050501</v>
      </c>
    </row>
    <row r="106" spans="1:26" ht="15" customHeight="1" x14ac:dyDescent="0.25">
      <c r="A106">
        <v>2022</v>
      </c>
      <c r="B106" t="s">
        <v>370</v>
      </c>
      <c r="C106" t="s">
        <v>175</v>
      </c>
      <c r="D106" t="s">
        <v>630</v>
      </c>
      <c r="E106" t="s">
        <v>106</v>
      </c>
      <c r="F106">
        <v>30.321895000000001</v>
      </c>
      <c r="G106">
        <v>-93.300735000000003</v>
      </c>
      <c r="I106" s="1">
        <v>110000613685</v>
      </c>
      <c r="J106">
        <v>4953</v>
      </c>
      <c r="K106" s="175" t="str">
        <f>INDEX('2022 SIC to NAICS'!B:B, MATCH('Processed Non-zero DMR Data'!$J106, '2022 SIC to NAICS'!$A:$A, 0))</f>
        <v>Refuse Systems</v>
      </c>
      <c r="L106" s="175">
        <f>INDEX('2022 SIC to NAICS'!C:C, MATCH('Processed Non-zero DMR Data'!$J106, '2022 SIC to NAICS'!$A:$A, 0))</f>
        <v>562211</v>
      </c>
      <c r="M106" s="175" t="str">
        <f>INDEX('2022 SIC to NAICS'!D:D, MATCH('Processed Non-zero DMR Data'!$J106, '2022 SIC to NAICS'!$A:$A, 0))</f>
        <v xml:space="preserve">Hazardous Waste Treatment and Disposal </v>
      </c>
      <c r="N106" s="90" t="str">
        <f>IFERROR(INDEX('NAICS Code to IS CDR Code'!B:B, MATCH('Processed Non-zero DMR Data'!L106,'NAICS Code to IS CDR Code'!A:A,0)), "NAICS/SIC Not Provided")</f>
        <v>IS47</v>
      </c>
      <c r="O106" s="91" t="str">
        <f>IFERROR(INDEX('NAICS Code to IS CDR Code'!C:C, MATCH('Processed Non-zero DMR Data'!L106,'NAICS Code to IS CDR Code'!A:A,0)), "NAICS/SIC Not Provided")</f>
        <v>Services</v>
      </c>
      <c r="P106" s="91" t="str">
        <f>INDEX('11DCA Mapping'!$K:$K, MATCH('Processed Non-zero DMR Data'!I107,'11DCA Mapping'!$J:$J,0))</f>
        <v>Waste Handling, Disposal, Treatment, and Recycling</v>
      </c>
      <c r="Q106" s="91" t="str">
        <f>INDEX('11DCA Mapping'!$L:$L, MATCH('Processed Non-zero DMR Data'!I107,'11DCA Mapping'!$J:$J,0))</f>
        <v>SIC description indicates waste treatment</v>
      </c>
      <c r="R106" s="250" t="str">
        <f>VLOOKUP(I106,'DMR POTW Flag'!$A$2:$B$960,2,FALSE)</f>
        <v>NON-POTW</v>
      </c>
      <c r="S106" s="249" t="s">
        <v>68</v>
      </c>
      <c r="T106" s="249" t="s">
        <v>686</v>
      </c>
      <c r="U106" s="8">
        <f>COUNTIFS('Raw Non-zero DMR Data'!$A:$A, 'Processed Non-zero DMR Data'!A106, 'Raw Non-zero DMR Data'!$C:$C, X106, 'Raw Non-zero DMR Data'!$U:$U,'Processed Non-zero DMR Data'!Y106)</f>
        <v>3</v>
      </c>
      <c r="V106" s="8">
        <f>COUNTIFS('Raw Non-zero DMR Data'!$A:$A, 'Processed Non-zero DMR Data'!A106, 'Raw Non-zero DMR Data'!$C:$C, X106, 'Raw Non-zero DMR Data'!$U:$U,'Processed Non-zero DMR Data'!Y106,'Raw Non-zero DMR Data'!$Z:$Z,"Yes")</f>
        <v>3</v>
      </c>
      <c r="W106">
        <v>0.47317231250000003</v>
      </c>
      <c r="X106" t="s">
        <v>687</v>
      </c>
      <c r="Y106" t="s">
        <v>688</v>
      </c>
      <c r="Z106" s="257">
        <v>80802050501</v>
      </c>
    </row>
    <row r="107" spans="1:26" ht="15" customHeight="1" x14ac:dyDescent="0.25">
      <c r="A107">
        <v>2022</v>
      </c>
      <c r="B107" t="s">
        <v>370</v>
      </c>
      <c r="C107" t="s">
        <v>175</v>
      </c>
      <c r="D107" t="s">
        <v>630</v>
      </c>
      <c r="E107" t="s">
        <v>106</v>
      </c>
      <c r="F107">
        <v>30.321895000000001</v>
      </c>
      <c r="G107">
        <v>-93.300735000000003</v>
      </c>
      <c r="I107" s="1">
        <v>110000613685</v>
      </c>
      <c r="J107">
        <v>4953</v>
      </c>
      <c r="K107" s="175" t="str">
        <f>INDEX('2022 SIC to NAICS'!B:B, MATCH('Processed Non-zero DMR Data'!$J107, '2022 SIC to NAICS'!$A:$A, 0))</f>
        <v>Refuse Systems</v>
      </c>
      <c r="L107" s="175">
        <f>INDEX('2022 SIC to NAICS'!C:C, MATCH('Processed Non-zero DMR Data'!$J107, '2022 SIC to NAICS'!$A:$A, 0))</f>
        <v>562211</v>
      </c>
      <c r="M107" s="175" t="str">
        <f>INDEX('2022 SIC to NAICS'!D:D, MATCH('Processed Non-zero DMR Data'!$J107, '2022 SIC to NAICS'!$A:$A, 0))</f>
        <v xml:space="preserve">Hazardous Waste Treatment and Disposal </v>
      </c>
      <c r="N107" s="90" t="str">
        <f>IFERROR(INDEX('NAICS Code to IS CDR Code'!B:B, MATCH('Processed Non-zero DMR Data'!L107,'NAICS Code to IS CDR Code'!A:A,0)), "NAICS/SIC Not Provided")</f>
        <v>IS47</v>
      </c>
      <c r="O107" s="91" t="str">
        <f>IFERROR(INDEX('NAICS Code to IS CDR Code'!C:C, MATCH('Processed Non-zero DMR Data'!L107,'NAICS Code to IS CDR Code'!A:A,0)), "NAICS/SIC Not Provided")</f>
        <v>Services</v>
      </c>
      <c r="P107" s="91" t="str">
        <f>INDEX('11DCA Mapping'!$K:$K, MATCH('Processed Non-zero DMR Data'!I108,'11DCA Mapping'!$J:$J,0))</f>
        <v>POTW</v>
      </c>
      <c r="Q107" s="91" t="str">
        <f>INDEX('11DCA Mapping'!$L:$L, MATCH('Processed Non-zero DMR Data'!I108,'11DCA Mapping'!$J:$J,0))</f>
        <v>Assigned POTW per "Facility Type Indicator"</v>
      </c>
      <c r="R107" s="250" t="str">
        <f>VLOOKUP(I107,'DMR POTW Flag'!$A$2:$B$960,2,FALSE)</f>
        <v>NON-POTW</v>
      </c>
      <c r="S107" s="249" t="s">
        <v>68</v>
      </c>
      <c r="T107" s="249" t="s">
        <v>686</v>
      </c>
      <c r="U107" s="8">
        <f>COUNTIFS('Raw Non-zero DMR Data'!$A:$A, 'Processed Non-zero DMR Data'!A107, 'Raw Non-zero DMR Data'!$C:$C, X107, 'Raw Non-zero DMR Data'!$U:$U,'Processed Non-zero DMR Data'!Y107)</f>
        <v>3</v>
      </c>
      <c r="V107" s="8">
        <f>COUNTIFS('Raw Non-zero DMR Data'!$A:$A, 'Processed Non-zero DMR Data'!A107, 'Raw Non-zero DMR Data'!$C:$C, X107, 'Raw Non-zero DMR Data'!$U:$U,'Processed Non-zero DMR Data'!Y107,'Raw Non-zero DMR Data'!$Z:$Z,"Yes")</f>
        <v>3</v>
      </c>
      <c r="W107">
        <v>0.34883506250000001</v>
      </c>
      <c r="X107" t="s">
        <v>687</v>
      </c>
      <c r="Y107" t="s">
        <v>688</v>
      </c>
      <c r="Z107" s="257">
        <v>80802050501</v>
      </c>
    </row>
    <row r="108" spans="1:26" ht="15" customHeight="1" x14ac:dyDescent="0.25">
      <c r="A108">
        <v>2019</v>
      </c>
      <c r="B108" t="s">
        <v>247</v>
      </c>
      <c r="C108" t="s">
        <v>235</v>
      </c>
      <c r="D108" t="s">
        <v>600</v>
      </c>
      <c r="E108" t="s">
        <v>138</v>
      </c>
      <c r="F108">
        <v>38.122354000000001</v>
      </c>
      <c r="G108">
        <v>-85.587648000000002</v>
      </c>
      <c r="I108" s="1">
        <v>110043485421</v>
      </c>
      <c r="J108">
        <v>4952</v>
      </c>
      <c r="K108" s="175" t="str">
        <f>INDEX('2022 SIC to NAICS'!B:B, MATCH('Processed Non-zero DMR Data'!$J108, '2022 SIC to NAICS'!$A:$A, 0))</f>
        <v>Sewerage Systems</v>
      </c>
      <c r="L108" s="175">
        <f>INDEX('2022 SIC to NAICS'!C:C, MATCH('Processed Non-zero DMR Data'!$J108, '2022 SIC to NAICS'!$A:$A, 0))</f>
        <v>221320</v>
      </c>
      <c r="M108" s="175" t="str">
        <f>INDEX('2022 SIC to NAICS'!D:D, MATCH('Processed Non-zero DMR Data'!$J108, '2022 SIC to NAICS'!$A:$A, 0))</f>
        <v xml:space="preserve">Sewage Treatment Facilities </v>
      </c>
      <c r="N108" s="90" t="str">
        <f>IFERROR(INDEX('NAICS Code to IS CDR Code'!B:B, MATCH('Processed Non-zero DMR Data'!L108,'NAICS Code to IS CDR Code'!A:A,0)), "NAICS/SIC Not Provided")</f>
        <v>IS4</v>
      </c>
      <c r="O108" s="91" t="str">
        <f>IFERROR(INDEX('NAICS Code to IS CDR Code'!C:C, MATCH('Processed Non-zero DMR Data'!L108,'NAICS Code to IS CDR Code'!A:A,0)), "NAICS/SIC Not Provided")</f>
        <v>Utilities</v>
      </c>
      <c r="P108" s="91" t="str">
        <f>INDEX('11DCA Mapping'!$K:$K, MATCH('Processed Non-zero DMR Data'!I109,'11DCA Mapping'!$J:$J,0))</f>
        <v>POTW</v>
      </c>
      <c r="Q108" s="91" t="str">
        <f>INDEX('11DCA Mapping'!$L:$L, MATCH('Processed Non-zero DMR Data'!I109,'11DCA Mapping'!$J:$J,0))</f>
        <v>Assigned POTW per "Facility Type Indicator"</v>
      </c>
      <c r="R108" s="250" t="str">
        <f>VLOOKUP(I108,'DMR POTW Flag'!$A$2:$B$960,2,FALSE)</f>
        <v>POTW</v>
      </c>
      <c r="S108" s="7" t="s">
        <v>67</v>
      </c>
      <c r="T108" s="249" t="s">
        <v>586</v>
      </c>
      <c r="U108" s="8">
        <f>COUNTIFS('Raw Non-zero DMR Data'!$A:$A, 'Processed Non-zero DMR Data'!A108, 'Raw Non-zero DMR Data'!$C:$C, X108, 'Raw Non-zero DMR Data'!$U:$U,'Processed Non-zero DMR Data'!Y108)</f>
        <v>1</v>
      </c>
      <c r="V108" s="8">
        <f>COUNTIFS('Raw Non-zero DMR Data'!$A:$A, 'Processed Non-zero DMR Data'!A108, 'Raw Non-zero DMR Data'!$C:$C, X108, 'Raw Non-zero DMR Data'!$U:$U,'Processed Non-zero DMR Data'!Y108,'Raw Non-zero DMR Data'!$Z:$Z,"Yes")</f>
        <v>1</v>
      </c>
      <c r="W108">
        <v>27.7651986875</v>
      </c>
      <c r="X108" t="s">
        <v>689</v>
      </c>
      <c r="Y108" t="s">
        <v>690</v>
      </c>
      <c r="Z108" s="257">
        <v>51401021002</v>
      </c>
    </row>
    <row r="109" spans="1:26" ht="15" customHeight="1" x14ac:dyDescent="0.25">
      <c r="A109">
        <v>2020</v>
      </c>
      <c r="B109" t="s">
        <v>247</v>
      </c>
      <c r="C109" t="s">
        <v>235</v>
      </c>
      <c r="D109" t="s">
        <v>600</v>
      </c>
      <c r="E109" t="s">
        <v>138</v>
      </c>
      <c r="F109">
        <v>38.122354000000001</v>
      </c>
      <c r="G109">
        <v>-85.587648000000002</v>
      </c>
      <c r="I109" s="1">
        <v>110043485421</v>
      </c>
      <c r="J109">
        <v>4952</v>
      </c>
      <c r="K109" s="175" t="str">
        <f>INDEX('2022 SIC to NAICS'!B:B, MATCH('Processed Non-zero DMR Data'!$J109, '2022 SIC to NAICS'!$A:$A, 0))</f>
        <v>Sewerage Systems</v>
      </c>
      <c r="L109" s="175">
        <f>INDEX('2022 SIC to NAICS'!C:C, MATCH('Processed Non-zero DMR Data'!$J109, '2022 SIC to NAICS'!$A:$A, 0))</f>
        <v>221320</v>
      </c>
      <c r="M109" s="175" t="str">
        <f>INDEX('2022 SIC to NAICS'!D:D, MATCH('Processed Non-zero DMR Data'!$J109, '2022 SIC to NAICS'!$A:$A, 0))</f>
        <v xml:space="preserve">Sewage Treatment Facilities </v>
      </c>
      <c r="N109" s="90" t="str">
        <f>IFERROR(INDEX('NAICS Code to IS CDR Code'!B:B, MATCH('Processed Non-zero DMR Data'!L109,'NAICS Code to IS CDR Code'!A:A,0)), "NAICS/SIC Not Provided")</f>
        <v>IS4</v>
      </c>
      <c r="O109" s="91" t="str">
        <f>IFERROR(INDEX('NAICS Code to IS CDR Code'!C:C, MATCH('Processed Non-zero DMR Data'!L109,'NAICS Code to IS CDR Code'!A:A,0)), "NAICS/SIC Not Provided")</f>
        <v>Utilities</v>
      </c>
      <c r="P109" s="91" t="str">
        <f>INDEX('11DCA Mapping'!$K:$K, MATCH('Processed Non-zero DMR Data'!I110,'11DCA Mapping'!$J:$J,0))</f>
        <v>POTW</v>
      </c>
      <c r="Q109" s="91" t="str">
        <f>INDEX('11DCA Mapping'!$L:$L, MATCH('Processed Non-zero DMR Data'!I110,'11DCA Mapping'!$J:$J,0))</f>
        <v>Assigned POTW per "Facility Type Indicator"</v>
      </c>
      <c r="R109" s="250" t="str">
        <f>VLOOKUP(I109,'DMR POTW Flag'!$A$2:$B$960,2,FALSE)</f>
        <v>POTW</v>
      </c>
      <c r="S109" s="7" t="s">
        <v>67</v>
      </c>
      <c r="T109" s="249" t="s">
        <v>586</v>
      </c>
      <c r="U109" s="8">
        <f>COUNTIFS('Raw Non-zero DMR Data'!$A:$A, 'Processed Non-zero DMR Data'!A109, 'Raw Non-zero DMR Data'!$C:$C, X109, 'Raw Non-zero DMR Data'!$U:$U,'Processed Non-zero DMR Data'!Y109)</f>
        <v>1</v>
      </c>
      <c r="V109" s="8">
        <f>COUNTIFS('Raw Non-zero DMR Data'!$A:$A, 'Processed Non-zero DMR Data'!A109, 'Raw Non-zero DMR Data'!$C:$C, X109, 'Raw Non-zero DMR Data'!$U:$U,'Processed Non-zero DMR Data'!Y109,'Raw Non-zero DMR Data'!$Z:$Z,"Yes")</f>
        <v>1</v>
      </c>
      <c r="W109">
        <v>25.751626000000002</v>
      </c>
      <c r="X109" t="s">
        <v>689</v>
      </c>
      <c r="Y109" t="s">
        <v>690</v>
      </c>
      <c r="Z109" s="257">
        <v>51401021002</v>
      </c>
    </row>
    <row r="110" spans="1:26" ht="15" customHeight="1" x14ac:dyDescent="0.25">
      <c r="A110">
        <v>2021</v>
      </c>
      <c r="B110" t="s">
        <v>247</v>
      </c>
      <c r="C110" t="s">
        <v>235</v>
      </c>
      <c r="D110" t="s">
        <v>600</v>
      </c>
      <c r="E110" t="s">
        <v>138</v>
      </c>
      <c r="F110">
        <v>38.122354000000001</v>
      </c>
      <c r="G110">
        <v>-85.587648000000002</v>
      </c>
      <c r="I110" s="1">
        <v>110043485421</v>
      </c>
      <c r="J110">
        <v>4952</v>
      </c>
      <c r="K110" s="175" t="str">
        <f>INDEX('2022 SIC to NAICS'!B:B, MATCH('Processed Non-zero DMR Data'!$J110, '2022 SIC to NAICS'!$A:$A, 0))</f>
        <v>Sewerage Systems</v>
      </c>
      <c r="L110" s="175">
        <f>INDEX('2022 SIC to NAICS'!C:C, MATCH('Processed Non-zero DMR Data'!$J110, '2022 SIC to NAICS'!$A:$A, 0))</f>
        <v>221320</v>
      </c>
      <c r="M110" s="175" t="str">
        <f>INDEX('2022 SIC to NAICS'!D:D, MATCH('Processed Non-zero DMR Data'!$J110, '2022 SIC to NAICS'!$A:$A, 0))</f>
        <v xml:space="preserve">Sewage Treatment Facilities </v>
      </c>
      <c r="N110" s="90" t="str">
        <f>IFERROR(INDEX('NAICS Code to IS CDR Code'!B:B, MATCH('Processed Non-zero DMR Data'!L110,'NAICS Code to IS CDR Code'!A:A,0)), "NAICS/SIC Not Provided")</f>
        <v>IS4</v>
      </c>
      <c r="O110" s="91" t="str">
        <f>IFERROR(INDEX('NAICS Code to IS CDR Code'!C:C, MATCH('Processed Non-zero DMR Data'!L110,'NAICS Code to IS CDR Code'!A:A,0)), "NAICS/SIC Not Provided")</f>
        <v>Utilities</v>
      </c>
      <c r="P110" s="91" t="str">
        <f>INDEX('11DCA Mapping'!$K:$K, MATCH('Processed Non-zero DMR Data'!I111,'11DCA Mapping'!$J:$J,0))</f>
        <v>POTW</v>
      </c>
      <c r="Q110" s="91" t="str">
        <f>INDEX('11DCA Mapping'!$L:$L, MATCH('Processed Non-zero DMR Data'!I111,'11DCA Mapping'!$J:$J,0))</f>
        <v>Assigned POTW per "Facility Type Indicator"</v>
      </c>
      <c r="R110" s="250" t="str">
        <f>VLOOKUP(I110,'DMR POTW Flag'!$A$2:$B$960,2,FALSE)</f>
        <v>POTW</v>
      </c>
      <c r="S110" s="7" t="s">
        <v>67</v>
      </c>
      <c r="T110" s="249" t="s">
        <v>586</v>
      </c>
      <c r="U110" s="8">
        <f>COUNTIFS('Raw Non-zero DMR Data'!$A:$A, 'Processed Non-zero DMR Data'!A110, 'Raw Non-zero DMR Data'!$C:$C, X110, 'Raw Non-zero DMR Data'!$U:$U,'Processed Non-zero DMR Data'!Y110)</f>
        <v>1</v>
      </c>
      <c r="V110" s="8">
        <f>COUNTIFS('Raw Non-zero DMR Data'!$A:$A, 'Processed Non-zero DMR Data'!A110, 'Raw Non-zero DMR Data'!$C:$C, X110, 'Raw Non-zero DMR Data'!$U:$U,'Processed Non-zero DMR Data'!Y110,'Raw Non-zero DMR Data'!$Z:$Z,"Yes")</f>
        <v>1</v>
      </c>
      <c r="W110">
        <v>21.130424874999999</v>
      </c>
      <c r="X110" t="s">
        <v>689</v>
      </c>
      <c r="Y110" t="s">
        <v>690</v>
      </c>
      <c r="Z110" s="257">
        <v>51401021002</v>
      </c>
    </row>
    <row r="111" spans="1:26" ht="15" customHeight="1" x14ac:dyDescent="0.25">
      <c r="A111">
        <v>2022</v>
      </c>
      <c r="B111" t="s">
        <v>247</v>
      </c>
      <c r="C111" t="s">
        <v>235</v>
      </c>
      <c r="D111" t="s">
        <v>600</v>
      </c>
      <c r="E111" t="s">
        <v>138</v>
      </c>
      <c r="F111">
        <v>38.122354000000001</v>
      </c>
      <c r="G111">
        <v>-85.587648000000002</v>
      </c>
      <c r="I111" s="1">
        <v>110043485421</v>
      </c>
      <c r="J111">
        <v>4952</v>
      </c>
      <c r="K111" s="175" t="str">
        <f>INDEX('2022 SIC to NAICS'!B:B, MATCH('Processed Non-zero DMR Data'!$J111, '2022 SIC to NAICS'!$A:$A, 0))</f>
        <v>Sewerage Systems</v>
      </c>
      <c r="L111" s="175">
        <f>INDEX('2022 SIC to NAICS'!C:C, MATCH('Processed Non-zero DMR Data'!$J111, '2022 SIC to NAICS'!$A:$A, 0))</f>
        <v>221320</v>
      </c>
      <c r="M111" s="175" t="str">
        <f>INDEX('2022 SIC to NAICS'!D:D, MATCH('Processed Non-zero DMR Data'!$J111, '2022 SIC to NAICS'!$A:$A, 0))</f>
        <v xml:space="preserve">Sewage Treatment Facilities </v>
      </c>
      <c r="N111" s="90" t="str">
        <f>IFERROR(INDEX('NAICS Code to IS CDR Code'!B:B, MATCH('Processed Non-zero DMR Data'!L111,'NAICS Code to IS CDR Code'!A:A,0)), "NAICS/SIC Not Provided")</f>
        <v>IS4</v>
      </c>
      <c r="O111" s="91" t="str">
        <f>IFERROR(INDEX('NAICS Code to IS CDR Code'!C:C, MATCH('Processed Non-zero DMR Data'!L111,'NAICS Code to IS CDR Code'!A:A,0)), "NAICS/SIC Not Provided")</f>
        <v>Utilities</v>
      </c>
      <c r="P111" s="91" t="str">
        <f>INDEX('11DCA Mapping'!$K:$K, MATCH('Processed Non-zero DMR Data'!I112,'11DCA Mapping'!$J:$J,0))</f>
        <v>POTW</v>
      </c>
      <c r="Q111" s="91" t="str">
        <f>INDEX('11DCA Mapping'!$L:$L, MATCH('Processed Non-zero DMR Data'!I112,'11DCA Mapping'!$J:$J,0))</f>
        <v>Assigned POTW per "Facility Type Indicator"</v>
      </c>
      <c r="R111" s="250" t="str">
        <f>VLOOKUP(I111,'DMR POTW Flag'!$A$2:$B$960,2,FALSE)</f>
        <v>POTW</v>
      </c>
      <c r="S111" s="7" t="s">
        <v>67</v>
      </c>
      <c r="T111" s="249" t="s">
        <v>586</v>
      </c>
      <c r="U111" s="8">
        <f>COUNTIFS('Raw Non-zero DMR Data'!$A:$A, 'Processed Non-zero DMR Data'!A111, 'Raw Non-zero DMR Data'!$C:$C, X111, 'Raw Non-zero DMR Data'!$U:$U,'Processed Non-zero DMR Data'!Y111)</f>
        <v>1</v>
      </c>
      <c r="V111" s="8">
        <f>COUNTIFS('Raw Non-zero DMR Data'!$A:$A, 'Processed Non-zero DMR Data'!A111, 'Raw Non-zero DMR Data'!$C:$C, X111, 'Raw Non-zero DMR Data'!$U:$U,'Processed Non-zero DMR Data'!Y111,'Raw Non-zero DMR Data'!$Z:$Z,"Yes")</f>
        <v>1</v>
      </c>
      <c r="W111">
        <v>20.066650625000001</v>
      </c>
      <c r="X111" t="s">
        <v>689</v>
      </c>
      <c r="Y111" t="s">
        <v>690</v>
      </c>
      <c r="Z111" s="257">
        <v>51401021002</v>
      </c>
    </row>
    <row r="112" spans="1:26" ht="15" customHeight="1" x14ac:dyDescent="0.25">
      <c r="A112">
        <v>2023</v>
      </c>
      <c r="B112" t="s">
        <v>247</v>
      </c>
      <c r="C112" t="s">
        <v>235</v>
      </c>
      <c r="D112" t="s">
        <v>600</v>
      </c>
      <c r="E112" t="s">
        <v>138</v>
      </c>
      <c r="F112">
        <v>38.122354000000001</v>
      </c>
      <c r="G112">
        <v>-85.587648000000002</v>
      </c>
      <c r="I112" s="1">
        <v>110043485421</v>
      </c>
      <c r="J112">
        <v>4952</v>
      </c>
      <c r="K112" s="175" t="str">
        <f>INDEX('2022 SIC to NAICS'!B:B, MATCH('Processed Non-zero DMR Data'!$J112, '2022 SIC to NAICS'!$A:$A, 0))</f>
        <v>Sewerage Systems</v>
      </c>
      <c r="L112" s="175">
        <f>INDEX('2022 SIC to NAICS'!C:C, MATCH('Processed Non-zero DMR Data'!$J112, '2022 SIC to NAICS'!$A:$A, 0))</f>
        <v>221320</v>
      </c>
      <c r="M112" s="175" t="str">
        <f>INDEX('2022 SIC to NAICS'!D:D, MATCH('Processed Non-zero DMR Data'!$J112, '2022 SIC to NAICS'!$A:$A, 0))</f>
        <v xml:space="preserve">Sewage Treatment Facilities </v>
      </c>
      <c r="N112" s="90" t="str">
        <f>IFERROR(INDEX('NAICS Code to IS CDR Code'!B:B, MATCH('Processed Non-zero DMR Data'!L112,'NAICS Code to IS CDR Code'!A:A,0)), "NAICS/SIC Not Provided")</f>
        <v>IS4</v>
      </c>
      <c r="O112" s="91" t="str">
        <f>IFERROR(INDEX('NAICS Code to IS CDR Code'!C:C, MATCH('Processed Non-zero DMR Data'!L112,'NAICS Code to IS CDR Code'!A:A,0)), "NAICS/SIC Not Provided")</f>
        <v>Utilities</v>
      </c>
      <c r="P112" s="91" t="str">
        <f>INDEX('11DCA Mapping'!$K:$K, MATCH('Processed Non-zero DMR Data'!I113,'11DCA Mapping'!$J:$J,0))</f>
        <v>POTW</v>
      </c>
      <c r="Q112" s="91" t="str">
        <f>INDEX('11DCA Mapping'!$L:$L, MATCH('Processed Non-zero DMR Data'!I113,'11DCA Mapping'!$J:$J,0))</f>
        <v>Based on DMR "Facility Type Indicator"</v>
      </c>
      <c r="R112" s="250" t="str">
        <f>VLOOKUP(I112,'DMR POTW Flag'!$A$2:$B$960,2,FALSE)</f>
        <v>POTW</v>
      </c>
      <c r="S112" s="7" t="s">
        <v>67</v>
      </c>
      <c r="T112" s="249" t="s">
        <v>586</v>
      </c>
      <c r="U112" s="8">
        <f>COUNTIFS('Raw Non-zero DMR Data'!$A:$A, 'Processed Non-zero DMR Data'!A112, 'Raw Non-zero DMR Data'!$C:$C, X112, 'Raw Non-zero DMR Data'!$U:$U,'Processed Non-zero DMR Data'!Y112)</f>
        <v>1</v>
      </c>
      <c r="V112" s="8">
        <f>COUNTIFS('Raw Non-zero DMR Data'!$A:$A, 'Processed Non-zero DMR Data'!A112, 'Raw Non-zero DMR Data'!$C:$C, X112, 'Raw Non-zero DMR Data'!$U:$U,'Processed Non-zero DMR Data'!Y112,'Raw Non-zero DMR Data'!$Z:$Z,"Yes")</f>
        <v>1</v>
      </c>
      <c r="W112">
        <v>16.3192640625</v>
      </c>
      <c r="X112" t="s">
        <v>689</v>
      </c>
      <c r="Y112" t="s">
        <v>690</v>
      </c>
      <c r="Z112" s="257">
        <v>51401021002</v>
      </c>
    </row>
    <row r="113" spans="1:26" ht="15" customHeight="1" x14ac:dyDescent="0.25">
      <c r="A113">
        <v>2019</v>
      </c>
      <c r="B113" t="s">
        <v>244</v>
      </c>
      <c r="C113" t="s">
        <v>245</v>
      </c>
      <c r="D113" t="s">
        <v>691</v>
      </c>
      <c r="E113" t="s">
        <v>138</v>
      </c>
      <c r="F113">
        <v>37.304611999999999</v>
      </c>
      <c r="G113">
        <v>-87.145292999999995</v>
      </c>
      <c r="I113" s="1">
        <v>110064265496</v>
      </c>
      <c r="J113">
        <v>4952</v>
      </c>
      <c r="K113" s="175" t="str">
        <f>INDEX('2022 SIC to NAICS'!B:B, MATCH('Processed Non-zero DMR Data'!$J113, '2022 SIC to NAICS'!$A:$A, 0))</f>
        <v>Sewerage Systems</v>
      </c>
      <c r="L113" s="175">
        <f>INDEX('2022 SIC to NAICS'!C:C, MATCH('Processed Non-zero DMR Data'!$J113, '2022 SIC to NAICS'!$A:$A, 0))</f>
        <v>221320</v>
      </c>
      <c r="M113" s="175" t="str">
        <f>INDEX('2022 SIC to NAICS'!D:D, MATCH('Processed Non-zero DMR Data'!$J113, '2022 SIC to NAICS'!$A:$A, 0))</f>
        <v xml:space="preserve">Sewage Treatment Facilities </v>
      </c>
      <c r="N113" s="90" t="str">
        <f>IFERROR(INDEX('NAICS Code to IS CDR Code'!B:B, MATCH('Processed Non-zero DMR Data'!L113,'NAICS Code to IS CDR Code'!A:A,0)), "NAICS/SIC Not Provided")</f>
        <v>IS4</v>
      </c>
      <c r="O113" s="91" t="str">
        <f>IFERROR(INDEX('NAICS Code to IS CDR Code'!C:C, MATCH('Processed Non-zero DMR Data'!L113,'NAICS Code to IS CDR Code'!A:A,0)), "NAICS/SIC Not Provided")</f>
        <v>Utilities</v>
      </c>
      <c r="P113" s="91" t="str">
        <f>INDEX('11DCA Mapping'!$K:$K, MATCH('Processed Non-zero DMR Data'!I114,'11DCA Mapping'!$J:$J,0))</f>
        <v>POTW</v>
      </c>
      <c r="Q113" s="91" t="str">
        <f>INDEX('11DCA Mapping'!$L:$L, MATCH('Processed Non-zero DMR Data'!I114,'11DCA Mapping'!$J:$J,0))</f>
        <v>Based on DMR "Facility Type Indicator"</v>
      </c>
      <c r="R113" s="250" t="str">
        <f>VLOOKUP(I113,'DMR POTW Flag'!$A$2:$B$960,2,FALSE)</f>
        <v>POTW</v>
      </c>
      <c r="S113" s="7" t="s">
        <v>67</v>
      </c>
      <c r="T113" s="249" t="s">
        <v>586</v>
      </c>
      <c r="U113" s="8">
        <f>COUNTIFS('Raw Non-zero DMR Data'!$A:$A, 'Processed Non-zero DMR Data'!A113, 'Raw Non-zero DMR Data'!$C:$C, X113, 'Raw Non-zero DMR Data'!$U:$U,'Processed Non-zero DMR Data'!Y113)</f>
        <v>1</v>
      </c>
      <c r="V113" s="8">
        <f>COUNTIFS('Raw Non-zero DMR Data'!$A:$A, 'Processed Non-zero DMR Data'!A113, 'Raw Non-zero DMR Data'!$C:$C, X113, 'Raw Non-zero DMR Data'!$U:$U,'Processed Non-zero DMR Data'!Y113,'Raw Non-zero DMR Data'!$Z:$Z,"Yes")</f>
        <v>1</v>
      </c>
      <c r="W113">
        <v>5.6711601250000001</v>
      </c>
      <c r="X113" t="s">
        <v>692</v>
      </c>
      <c r="Y113" t="s">
        <v>693</v>
      </c>
      <c r="Z113" s="257">
        <v>51100060401</v>
      </c>
    </row>
    <row r="114" spans="1:26" ht="15" customHeight="1" x14ac:dyDescent="0.25">
      <c r="A114">
        <v>2020</v>
      </c>
      <c r="B114" t="s">
        <v>244</v>
      </c>
      <c r="C114" t="s">
        <v>245</v>
      </c>
      <c r="D114" t="s">
        <v>691</v>
      </c>
      <c r="E114" t="s">
        <v>138</v>
      </c>
      <c r="F114">
        <v>37.304611999999999</v>
      </c>
      <c r="G114">
        <v>-87.145292999999995</v>
      </c>
      <c r="I114" s="1">
        <v>110064265496</v>
      </c>
      <c r="J114">
        <v>4952</v>
      </c>
      <c r="K114" s="175" t="str">
        <f>INDEX('2022 SIC to NAICS'!B:B, MATCH('Processed Non-zero DMR Data'!$J114, '2022 SIC to NAICS'!$A:$A, 0))</f>
        <v>Sewerage Systems</v>
      </c>
      <c r="L114" s="175">
        <f>INDEX('2022 SIC to NAICS'!C:C, MATCH('Processed Non-zero DMR Data'!$J114, '2022 SIC to NAICS'!$A:$A, 0))</f>
        <v>221320</v>
      </c>
      <c r="M114" s="175" t="str">
        <f>INDEX('2022 SIC to NAICS'!D:D, MATCH('Processed Non-zero DMR Data'!$J114, '2022 SIC to NAICS'!$A:$A, 0))</f>
        <v xml:space="preserve">Sewage Treatment Facilities </v>
      </c>
      <c r="N114" s="90" t="str">
        <f>IFERROR(INDEX('NAICS Code to IS CDR Code'!B:B, MATCH('Processed Non-zero DMR Data'!L114,'NAICS Code to IS CDR Code'!A:A,0)), "NAICS/SIC Not Provided")</f>
        <v>IS4</v>
      </c>
      <c r="O114" s="91" t="str">
        <f>IFERROR(INDEX('NAICS Code to IS CDR Code'!C:C, MATCH('Processed Non-zero DMR Data'!L114,'NAICS Code to IS CDR Code'!A:A,0)), "NAICS/SIC Not Provided")</f>
        <v>Utilities</v>
      </c>
      <c r="P114" s="91" t="str">
        <f>INDEX('11DCA Mapping'!$K:$K, MATCH('Processed Non-zero DMR Data'!I115,'11DCA Mapping'!$J:$J,0))</f>
        <v>POTW</v>
      </c>
      <c r="Q114" s="91" t="str">
        <f>INDEX('11DCA Mapping'!$L:$L, MATCH('Processed Non-zero DMR Data'!I115,'11DCA Mapping'!$J:$J,0))</f>
        <v>Based on DMR "Facility Type Indicator"</v>
      </c>
      <c r="R114" s="250" t="str">
        <f>VLOOKUP(I114,'DMR POTW Flag'!$A$2:$B$960,2,FALSE)</f>
        <v>POTW</v>
      </c>
      <c r="S114" s="7" t="s">
        <v>67</v>
      </c>
      <c r="T114" s="249" t="s">
        <v>586</v>
      </c>
      <c r="U114" s="8">
        <f>COUNTIFS('Raw Non-zero DMR Data'!$A:$A, 'Processed Non-zero DMR Data'!A114, 'Raw Non-zero DMR Data'!$C:$C, X114, 'Raw Non-zero DMR Data'!$U:$U,'Processed Non-zero DMR Data'!Y114)</f>
        <v>1</v>
      </c>
      <c r="V114" s="8">
        <f>COUNTIFS('Raw Non-zero DMR Data'!$A:$A, 'Processed Non-zero DMR Data'!A114, 'Raw Non-zero DMR Data'!$C:$C, X114, 'Raw Non-zero DMR Data'!$U:$U,'Processed Non-zero DMR Data'!Y114,'Raw Non-zero DMR Data'!$Z:$Z,"Yes")</f>
        <v>1</v>
      </c>
      <c r="W114">
        <v>3.5401578124999999</v>
      </c>
      <c r="X114" t="s">
        <v>692</v>
      </c>
      <c r="Y114" t="s">
        <v>693</v>
      </c>
      <c r="Z114" s="257">
        <v>51100060401</v>
      </c>
    </row>
    <row r="115" spans="1:26" ht="15" customHeight="1" x14ac:dyDescent="0.25">
      <c r="A115">
        <v>2021</v>
      </c>
      <c r="B115" t="s">
        <v>244</v>
      </c>
      <c r="C115" t="s">
        <v>245</v>
      </c>
      <c r="D115" t="s">
        <v>691</v>
      </c>
      <c r="E115" t="s">
        <v>138</v>
      </c>
      <c r="F115">
        <v>37.304611999999999</v>
      </c>
      <c r="G115">
        <v>-87.145292999999995</v>
      </c>
      <c r="I115" s="1">
        <v>110064265496</v>
      </c>
      <c r="J115">
        <v>4952</v>
      </c>
      <c r="K115" s="175" t="str">
        <f>INDEX('2022 SIC to NAICS'!B:B, MATCH('Processed Non-zero DMR Data'!$J115, '2022 SIC to NAICS'!$A:$A, 0))</f>
        <v>Sewerage Systems</v>
      </c>
      <c r="L115" s="175">
        <f>INDEX('2022 SIC to NAICS'!C:C, MATCH('Processed Non-zero DMR Data'!$J115, '2022 SIC to NAICS'!$A:$A, 0))</f>
        <v>221320</v>
      </c>
      <c r="M115" s="175" t="str">
        <f>INDEX('2022 SIC to NAICS'!D:D, MATCH('Processed Non-zero DMR Data'!$J115, '2022 SIC to NAICS'!$A:$A, 0))</f>
        <v xml:space="preserve">Sewage Treatment Facilities </v>
      </c>
      <c r="N115" s="90" t="str">
        <f>IFERROR(INDEX('NAICS Code to IS CDR Code'!B:B, MATCH('Processed Non-zero DMR Data'!L115,'NAICS Code to IS CDR Code'!A:A,0)), "NAICS/SIC Not Provided")</f>
        <v>IS4</v>
      </c>
      <c r="O115" s="91" t="str">
        <f>IFERROR(INDEX('NAICS Code to IS CDR Code'!C:C, MATCH('Processed Non-zero DMR Data'!L115,'NAICS Code to IS CDR Code'!A:A,0)), "NAICS/SIC Not Provided")</f>
        <v>Utilities</v>
      </c>
      <c r="P115" s="91" t="str">
        <f>INDEX('11DCA Mapping'!$K:$K, MATCH('Processed Non-zero DMR Data'!I116,'11DCA Mapping'!$J:$J,0))</f>
        <v>Processing as a Reactant</v>
      </c>
      <c r="Q115" s="91" t="str">
        <f>INDEX('11DCA Mapping'!$L:$L, MATCH('Processed Non-zero DMR Data'!I116,'11DCA Mapping'!$J:$J,0))</f>
        <v>Based on SIC code</v>
      </c>
      <c r="R115" s="250" t="str">
        <f>VLOOKUP(I115,'DMR POTW Flag'!$A$2:$B$960,2,FALSE)</f>
        <v>POTW</v>
      </c>
      <c r="S115" s="7" t="s">
        <v>67</v>
      </c>
      <c r="T115" s="249" t="s">
        <v>586</v>
      </c>
      <c r="U115" s="8">
        <f>COUNTIFS('Raw Non-zero DMR Data'!$A:$A, 'Processed Non-zero DMR Data'!A115, 'Raw Non-zero DMR Data'!$C:$C, X115, 'Raw Non-zero DMR Data'!$U:$U,'Processed Non-zero DMR Data'!Y115)</f>
        <v>1</v>
      </c>
      <c r="V115" s="8">
        <f>COUNTIFS('Raw Non-zero DMR Data'!$A:$A, 'Processed Non-zero DMR Data'!A115, 'Raw Non-zero DMR Data'!$C:$C, X115, 'Raw Non-zero DMR Data'!$U:$U,'Processed Non-zero DMR Data'!Y115,'Raw Non-zero DMR Data'!$Z:$Z,"Yes")</f>
        <v>1</v>
      </c>
      <c r="W115">
        <v>2.2311628749999999</v>
      </c>
      <c r="X115" t="s">
        <v>692</v>
      </c>
      <c r="Y115" t="s">
        <v>693</v>
      </c>
      <c r="Z115" s="257">
        <v>51100060401</v>
      </c>
    </row>
    <row r="116" spans="1:26" ht="15" customHeight="1" x14ac:dyDescent="0.25">
      <c r="A116">
        <v>2019</v>
      </c>
      <c r="B116" t="s">
        <v>355</v>
      </c>
      <c r="C116" t="s">
        <v>356</v>
      </c>
      <c r="D116" t="s">
        <v>694</v>
      </c>
      <c r="E116" t="s">
        <v>153</v>
      </c>
      <c r="F116">
        <v>39.698279999999997</v>
      </c>
      <c r="G116">
        <v>-75.503974999999997</v>
      </c>
      <c r="I116" s="1">
        <v>110007970142</v>
      </c>
      <c r="J116">
        <v>2869</v>
      </c>
      <c r="K116" s="175" t="str">
        <f>INDEX('2022 SIC to NAICS'!B:B, MATCH('Processed Non-zero DMR Data'!$J116, '2022 SIC to NAICS'!$A:$A, 0))</f>
        <v>Industrial Organic Chemicals, Nec</v>
      </c>
      <c r="L116" s="175">
        <f>INDEX('2022 SIC to NAICS'!C:C, MATCH('Processed Non-zero DMR Data'!$J116, '2022 SIC to NAICS'!$A:$A, 0))</f>
        <v>325110</v>
      </c>
      <c r="M116" s="175" t="str">
        <f>INDEX('2022 SIC to NAICS'!D:D, MATCH('Processed Non-zero DMR Data'!$J116, '2022 SIC to NAICS'!$A:$A, 0))</f>
        <v>Petrochemical Manufacturing</v>
      </c>
      <c r="N116" s="90" t="str">
        <f>IFERROR(INDEX('NAICS Code to IS CDR Code'!B:B, MATCH('Processed Non-zero DMR Data'!L116,'NAICS Code to IS CDR Code'!A:A,0)), "NAICS/SIC Not Provided")</f>
        <v>IS15</v>
      </c>
      <c r="O116" s="91" t="str">
        <f>IFERROR(INDEX('NAICS Code to IS CDR Code'!C:C, MATCH('Processed Non-zero DMR Data'!L116,'NAICS Code to IS CDR Code'!A:A,0)), "NAICS/SIC Not Provided")</f>
        <v>Petrochemical Manufacturing</v>
      </c>
      <c r="P116" s="91" t="str">
        <f>INDEX('11DCA Mapping'!$K:$K, MATCH('Processed Non-zero DMR Data'!I117,'11DCA Mapping'!$J:$J,0))</f>
        <v>Processing as a Reactant</v>
      </c>
      <c r="Q116" s="91" t="str">
        <f>INDEX('11DCA Mapping'!$L:$L, MATCH('Processed Non-zero DMR Data'!I117,'11DCA Mapping'!$J:$J,0))</f>
        <v>Based on SIC code</v>
      </c>
      <c r="R116" s="250" t="str">
        <f>VLOOKUP(I116,'DMR POTW Flag'!$A$2:$B$960,2,FALSE)</f>
        <v>NON-POTW</v>
      </c>
      <c r="S116" s="7" t="s">
        <v>62</v>
      </c>
      <c r="T116" s="7" t="s">
        <v>601</v>
      </c>
      <c r="U116" s="8">
        <f>COUNTIFS('Raw Non-zero DMR Data'!$A:$A, 'Processed Non-zero DMR Data'!A116, 'Raw Non-zero DMR Data'!$C:$C, X116, 'Raw Non-zero DMR Data'!$U:$U,'Processed Non-zero DMR Data'!Y116)</f>
        <v>1</v>
      </c>
      <c r="V116" s="8">
        <f>COUNTIFS('Raw Non-zero DMR Data'!$A:$A, 'Processed Non-zero DMR Data'!A116, 'Raw Non-zero DMR Data'!$C:$C, X116, 'Raw Non-zero DMR Data'!$U:$U,'Processed Non-zero DMR Data'!Y116,'Raw Non-zero DMR Data'!$Z:$Z,"Yes")</f>
        <v>1</v>
      </c>
      <c r="W116">
        <v>0.34666666666666601</v>
      </c>
      <c r="X116" t="s">
        <v>695</v>
      </c>
      <c r="Y116" t="s">
        <v>696</v>
      </c>
      <c r="Z116" s="257">
        <v>20402060103</v>
      </c>
    </row>
    <row r="117" spans="1:26" ht="15" customHeight="1" x14ac:dyDescent="0.25">
      <c r="A117">
        <v>2020</v>
      </c>
      <c r="B117" t="s">
        <v>355</v>
      </c>
      <c r="C117" t="s">
        <v>356</v>
      </c>
      <c r="D117" t="s">
        <v>694</v>
      </c>
      <c r="E117" t="s">
        <v>153</v>
      </c>
      <c r="F117">
        <v>39.698279999999997</v>
      </c>
      <c r="G117">
        <v>-75.503974999999997</v>
      </c>
      <c r="I117" s="1">
        <v>110007970142</v>
      </c>
      <c r="J117">
        <v>2869</v>
      </c>
      <c r="K117" s="175" t="str">
        <f>INDEX('2022 SIC to NAICS'!B:B, MATCH('Processed Non-zero DMR Data'!$J117, '2022 SIC to NAICS'!$A:$A, 0))</f>
        <v>Industrial Organic Chemicals, Nec</v>
      </c>
      <c r="L117" s="175">
        <f>INDEX('2022 SIC to NAICS'!C:C, MATCH('Processed Non-zero DMR Data'!$J117, '2022 SIC to NAICS'!$A:$A, 0))</f>
        <v>325110</v>
      </c>
      <c r="M117" s="175" t="str">
        <f>INDEX('2022 SIC to NAICS'!D:D, MATCH('Processed Non-zero DMR Data'!$J117, '2022 SIC to NAICS'!$A:$A, 0))</f>
        <v>Petrochemical Manufacturing</v>
      </c>
      <c r="N117" s="90" t="str">
        <f>IFERROR(INDEX('NAICS Code to IS CDR Code'!B:B, MATCH('Processed Non-zero DMR Data'!L117,'NAICS Code to IS CDR Code'!A:A,0)), "NAICS/SIC Not Provided")</f>
        <v>IS15</v>
      </c>
      <c r="O117" s="91" t="str">
        <f>IFERROR(INDEX('NAICS Code to IS CDR Code'!C:C, MATCH('Processed Non-zero DMR Data'!L117,'NAICS Code to IS CDR Code'!A:A,0)), "NAICS/SIC Not Provided")</f>
        <v>Petrochemical Manufacturing</v>
      </c>
      <c r="P117" s="91" t="str">
        <f>INDEX('11DCA Mapping'!$K:$K, MATCH('Processed Non-zero DMR Data'!I118,'11DCA Mapping'!$J:$J,0))</f>
        <v>Processing as a Reactant</v>
      </c>
      <c r="Q117" s="91" t="str">
        <f>INDEX('11DCA Mapping'!$L:$L, MATCH('Processed Non-zero DMR Data'!I118,'11DCA Mapping'!$J:$J,0))</f>
        <v>Based on SIC code</v>
      </c>
      <c r="R117" s="250" t="str">
        <f>VLOOKUP(I117,'DMR POTW Flag'!$A$2:$B$960,2,FALSE)</f>
        <v>NON-POTW</v>
      </c>
      <c r="S117" s="7" t="s">
        <v>62</v>
      </c>
      <c r="T117" s="7" t="s">
        <v>601</v>
      </c>
      <c r="U117" s="8">
        <f>COUNTIFS('Raw Non-zero DMR Data'!$A:$A, 'Processed Non-zero DMR Data'!A117, 'Raw Non-zero DMR Data'!$C:$C, X117, 'Raw Non-zero DMR Data'!$U:$U,'Processed Non-zero DMR Data'!Y117)</f>
        <v>1</v>
      </c>
      <c r="V117" s="8">
        <f>COUNTIFS('Raw Non-zero DMR Data'!$A:$A, 'Processed Non-zero DMR Data'!A117, 'Raw Non-zero DMR Data'!$C:$C, X117, 'Raw Non-zero DMR Data'!$U:$U,'Processed Non-zero DMR Data'!Y117,'Raw Non-zero DMR Data'!$Z:$Z,"Yes")</f>
        <v>1</v>
      </c>
      <c r="W117">
        <v>0.68400000000000005</v>
      </c>
      <c r="X117" t="s">
        <v>695</v>
      </c>
      <c r="Y117" t="s">
        <v>696</v>
      </c>
      <c r="Z117" s="257">
        <v>20402060103</v>
      </c>
    </row>
    <row r="118" spans="1:26" ht="15" customHeight="1" x14ac:dyDescent="0.25">
      <c r="A118">
        <v>2021</v>
      </c>
      <c r="B118" t="s">
        <v>355</v>
      </c>
      <c r="C118" t="s">
        <v>356</v>
      </c>
      <c r="D118" t="s">
        <v>694</v>
      </c>
      <c r="E118" t="s">
        <v>153</v>
      </c>
      <c r="F118">
        <v>39.698279999999997</v>
      </c>
      <c r="G118">
        <v>-75.503974999999997</v>
      </c>
      <c r="I118" s="1">
        <v>110007970142</v>
      </c>
      <c r="J118">
        <v>2869</v>
      </c>
      <c r="K118" s="175" t="str">
        <f>INDEX('2022 SIC to NAICS'!B:B, MATCH('Processed Non-zero DMR Data'!$J118, '2022 SIC to NAICS'!$A:$A, 0))</f>
        <v>Industrial Organic Chemicals, Nec</v>
      </c>
      <c r="L118" s="175">
        <f>INDEX('2022 SIC to NAICS'!C:C, MATCH('Processed Non-zero DMR Data'!$J118, '2022 SIC to NAICS'!$A:$A, 0))</f>
        <v>325110</v>
      </c>
      <c r="M118" s="175" t="str">
        <f>INDEX('2022 SIC to NAICS'!D:D, MATCH('Processed Non-zero DMR Data'!$J118, '2022 SIC to NAICS'!$A:$A, 0))</f>
        <v>Petrochemical Manufacturing</v>
      </c>
      <c r="N118" s="90" t="str">
        <f>IFERROR(INDEX('NAICS Code to IS CDR Code'!B:B, MATCH('Processed Non-zero DMR Data'!L118,'NAICS Code to IS CDR Code'!A:A,0)), "NAICS/SIC Not Provided")</f>
        <v>IS15</v>
      </c>
      <c r="O118" s="91" t="str">
        <f>IFERROR(INDEX('NAICS Code to IS CDR Code'!C:C, MATCH('Processed Non-zero DMR Data'!L118,'NAICS Code to IS CDR Code'!A:A,0)), "NAICS/SIC Not Provided")</f>
        <v>Petrochemical Manufacturing</v>
      </c>
      <c r="P118" s="91" t="str">
        <f>INDEX('11DCA Mapping'!$K:$K, MATCH('Processed Non-zero DMR Data'!I119,'11DCA Mapping'!$J:$J,0))</f>
        <v>Processing as a Reactant</v>
      </c>
      <c r="Q118" s="91" t="str">
        <f>INDEX('11DCA Mapping'!$L:$L, MATCH('Processed Non-zero DMR Data'!I119,'11DCA Mapping'!$J:$J,0))</f>
        <v>Based on SIC code</v>
      </c>
      <c r="R118" s="250" t="str">
        <f>VLOOKUP(I118,'DMR POTW Flag'!$A$2:$B$960,2,FALSE)</f>
        <v>NON-POTW</v>
      </c>
      <c r="S118" s="7" t="s">
        <v>62</v>
      </c>
      <c r="T118" s="7" t="s">
        <v>601</v>
      </c>
      <c r="U118" s="8">
        <f>COUNTIFS('Raw Non-zero DMR Data'!$A:$A, 'Processed Non-zero DMR Data'!A118, 'Raw Non-zero DMR Data'!$C:$C, X118, 'Raw Non-zero DMR Data'!$U:$U,'Processed Non-zero DMR Data'!Y118)</f>
        <v>1</v>
      </c>
      <c r="V118" s="8">
        <f>COUNTIFS('Raw Non-zero DMR Data'!$A:$A, 'Processed Non-zero DMR Data'!A118, 'Raw Non-zero DMR Data'!$C:$C, X118, 'Raw Non-zero DMR Data'!$U:$U,'Processed Non-zero DMR Data'!Y118,'Raw Non-zero DMR Data'!$Z:$Z,"Yes")</f>
        <v>1</v>
      </c>
      <c r="W118">
        <v>1.77</v>
      </c>
      <c r="X118" t="s">
        <v>695</v>
      </c>
      <c r="Y118" t="s">
        <v>696</v>
      </c>
      <c r="Z118" s="257">
        <v>20402060103</v>
      </c>
    </row>
    <row r="119" spans="1:26" ht="15" customHeight="1" x14ac:dyDescent="0.25">
      <c r="A119">
        <v>2022</v>
      </c>
      <c r="B119" t="s">
        <v>355</v>
      </c>
      <c r="C119" t="s">
        <v>356</v>
      </c>
      <c r="D119" t="s">
        <v>694</v>
      </c>
      <c r="E119" t="s">
        <v>153</v>
      </c>
      <c r="F119">
        <v>39.698279999999997</v>
      </c>
      <c r="G119">
        <v>-75.503974999999997</v>
      </c>
      <c r="I119" s="1">
        <v>110007970142</v>
      </c>
      <c r="J119">
        <v>2869</v>
      </c>
      <c r="K119" s="175" t="str">
        <f>INDEX('2022 SIC to NAICS'!B:B, MATCH('Processed Non-zero DMR Data'!$J119, '2022 SIC to NAICS'!$A:$A, 0))</f>
        <v>Industrial Organic Chemicals, Nec</v>
      </c>
      <c r="L119" s="175">
        <f>INDEX('2022 SIC to NAICS'!C:C, MATCH('Processed Non-zero DMR Data'!$J119, '2022 SIC to NAICS'!$A:$A, 0))</f>
        <v>325110</v>
      </c>
      <c r="M119" s="175" t="str">
        <f>INDEX('2022 SIC to NAICS'!D:D, MATCH('Processed Non-zero DMR Data'!$J119, '2022 SIC to NAICS'!$A:$A, 0))</f>
        <v>Petrochemical Manufacturing</v>
      </c>
      <c r="N119" s="90" t="str">
        <f>IFERROR(INDEX('NAICS Code to IS CDR Code'!B:B, MATCH('Processed Non-zero DMR Data'!L119,'NAICS Code to IS CDR Code'!A:A,0)), "NAICS/SIC Not Provided")</f>
        <v>IS15</v>
      </c>
      <c r="O119" s="91" t="str">
        <f>IFERROR(INDEX('NAICS Code to IS CDR Code'!C:C, MATCH('Processed Non-zero DMR Data'!L119,'NAICS Code to IS CDR Code'!A:A,0)), "NAICS/SIC Not Provided")</f>
        <v>Petrochemical Manufacturing</v>
      </c>
      <c r="P119" s="91" t="str">
        <f>INDEX('11DCA Mapping'!$K:$K, MATCH('Processed Non-zero DMR Data'!I120,'11DCA Mapping'!$J:$J,0))</f>
        <v>Processing as a Reactant</v>
      </c>
      <c r="Q119" s="91" t="str">
        <f>INDEX('11DCA Mapping'!$L:$L, MATCH('Processed Non-zero DMR Data'!I120,'11DCA Mapping'!$J:$J,0))</f>
        <v>Based on SIC code</v>
      </c>
      <c r="R119" s="250" t="str">
        <f>VLOOKUP(I119,'DMR POTW Flag'!$A$2:$B$960,2,FALSE)</f>
        <v>NON-POTW</v>
      </c>
      <c r="S119" s="7" t="s">
        <v>62</v>
      </c>
      <c r="T119" s="7" t="s">
        <v>601</v>
      </c>
      <c r="U119" s="8">
        <f>COUNTIFS('Raw Non-zero DMR Data'!$A:$A, 'Processed Non-zero DMR Data'!A119, 'Raw Non-zero DMR Data'!$C:$C, X119, 'Raw Non-zero DMR Data'!$U:$U,'Processed Non-zero DMR Data'!Y119)</f>
        <v>1</v>
      </c>
      <c r="V119" s="8">
        <f>COUNTIFS('Raw Non-zero DMR Data'!$A:$A, 'Processed Non-zero DMR Data'!A119, 'Raw Non-zero DMR Data'!$C:$C, X119, 'Raw Non-zero DMR Data'!$U:$U,'Processed Non-zero DMR Data'!Y119,'Raw Non-zero DMR Data'!$Z:$Z,"Yes")</f>
        <v>1</v>
      </c>
      <c r="W119">
        <v>0.97099999999999997</v>
      </c>
      <c r="X119" t="s">
        <v>695</v>
      </c>
      <c r="Y119" t="s">
        <v>696</v>
      </c>
      <c r="Z119" s="257">
        <v>20402060103</v>
      </c>
    </row>
    <row r="120" spans="1:26" ht="15" customHeight="1" x14ac:dyDescent="0.25">
      <c r="A120">
        <v>2023</v>
      </c>
      <c r="B120" t="s">
        <v>355</v>
      </c>
      <c r="C120" t="s">
        <v>356</v>
      </c>
      <c r="D120" t="s">
        <v>694</v>
      </c>
      <c r="E120" t="s">
        <v>153</v>
      </c>
      <c r="F120">
        <v>39.698279999999997</v>
      </c>
      <c r="G120">
        <v>-75.503974999999997</v>
      </c>
      <c r="I120" s="1">
        <v>110007970142</v>
      </c>
      <c r="J120">
        <v>2869</v>
      </c>
      <c r="K120" s="175" t="str">
        <f>INDEX('2022 SIC to NAICS'!B:B, MATCH('Processed Non-zero DMR Data'!$J120, '2022 SIC to NAICS'!$A:$A, 0))</f>
        <v>Industrial Organic Chemicals, Nec</v>
      </c>
      <c r="L120" s="175">
        <f>INDEX('2022 SIC to NAICS'!C:C, MATCH('Processed Non-zero DMR Data'!$J120, '2022 SIC to NAICS'!$A:$A, 0))</f>
        <v>325110</v>
      </c>
      <c r="M120" s="175" t="str">
        <f>INDEX('2022 SIC to NAICS'!D:D, MATCH('Processed Non-zero DMR Data'!$J120, '2022 SIC to NAICS'!$A:$A, 0))</f>
        <v>Petrochemical Manufacturing</v>
      </c>
      <c r="N120" s="90" t="str">
        <f>IFERROR(INDEX('NAICS Code to IS CDR Code'!B:B, MATCH('Processed Non-zero DMR Data'!L120,'NAICS Code to IS CDR Code'!A:A,0)), "NAICS/SIC Not Provided")</f>
        <v>IS15</v>
      </c>
      <c r="O120" s="91" t="str">
        <f>IFERROR(INDEX('NAICS Code to IS CDR Code'!C:C, MATCH('Processed Non-zero DMR Data'!L120,'NAICS Code to IS CDR Code'!A:A,0)), "NAICS/SIC Not Provided")</f>
        <v>Petrochemical Manufacturing</v>
      </c>
      <c r="P120" s="91" t="str">
        <f>INDEX('11DCA Mapping'!$K:$K, MATCH('Processed Non-zero DMR Data'!I121,'11DCA Mapping'!$J:$J,0))</f>
        <v>Waste Handling, Disposal, Treatment, and Recycling</v>
      </c>
      <c r="Q120" s="91" t="str">
        <f>INDEX('11DCA Mapping'!$L:$L, MATCH('Processed Non-zero DMR Data'!I121,'11DCA Mapping'!$J:$J,0))</f>
        <v>SIC description indicates treatment of waste</v>
      </c>
      <c r="R120" s="250" t="str">
        <f>VLOOKUP(I120,'DMR POTW Flag'!$A$2:$B$960,2,FALSE)</f>
        <v>NON-POTW</v>
      </c>
      <c r="S120" s="7" t="s">
        <v>62</v>
      </c>
      <c r="T120" s="7" t="s">
        <v>601</v>
      </c>
      <c r="U120" s="8">
        <f>COUNTIFS('Raw Non-zero DMR Data'!$A:$A, 'Processed Non-zero DMR Data'!A120, 'Raw Non-zero DMR Data'!$C:$C, X120, 'Raw Non-zero DMR Data'!$U:$U,'Processed Non-zero DMR Data'!Y120)</f>
        <v>1</v>
      </c>
      <c r="V120" s="8">
        <f>COUNTIFS('Raw Non-zero DMR Data'!$A:$A, 'Processed Non-zero DMR Data'!A120, 'Raw Non-zero DMR Data'!$C:$C, X120, 'Raw Non-zero DMR Data'!$U:$U,'Processed Non-zero DMR Data'!Y120,'Raw Non-zero DMR Data'!$Z:$Z,"Yes")</f>
        <v>1</v>
      </c>
      <c r="W120">
        <v>0.80800000000000005</v>
      </c>
      <c r="X120" t="s">
        <v>695</v>
      </c>
      <c r="Y120" t="s">
        <v>696</v>
      </c>
      <c r="Z120" s="257">
        <v>20402060103</v>
      </c>
    </row>
    <row r="121" spans="1:26" ht="15" customHeight="1" x14ac:dyDescent="0.25">
      <c r="A121">
        <v>2019</v>
      </c>
      <c r="B121" t="s">
        <v>299</v>
      </c>
      <c r="C121" t="s">
        <v>300</v>
      </c>
      <c r="D121" t="s">
        <v>697</v>
      </c>
      <c r="E121" t="s">
        <v>268</v>
      </c>
      <c r="F121">
        <v>40.700989999999997</v>
      </c>
      <c r="G121">
        <v>-75.214780000000005</v>
      </c>
      <c r="I121" s="1">
        <v>110001075345</v>
      </c>
      <c r="J121">
        <v>4953</v>
      </c>
      <c r="K121" s="175" t="str">
        <f>INDEX('2022 SIC to NAICS'!B:B, MATCH('Processed Non-zero DMR Data'!$J121, '2022 SIC to NAICS'!$A:$A, 0))</f>
        <v>Refuse Systems</v>
      </c>
      <c r="L121" s="175">
        <f>INDEX('2022 SIC to NAICS'!C:C, MATCH('Processed Non-zero DMR Data'!$J121, '2022 SIC to NAICS'!$A:$A, 0))</f>
        <v>562211</v>
      </c>
      <c r="M121" s="175" t="str">
        <f>INDEX('2022 SIC to NAICS'!D:D, MATCH('Processed Non-zero DMR Data'!$J121, '2022 SIC to NAICS'!$A:$A, 0))</f>
        <v xml:space="preserve">Hazardous Waste Treatment and Disposal </v>
      </c>
      <c r="N121" s="90" t="str">
        <f>IFERROR(INDEX('NAICS Code to IS CDR Code'!B:B, MATCH('Processed Non-zero DMR Data'!L121,'NAICS Code to IS CDR Code'!A:A,0)), "NAICS/SIC Not Provided")</f>
        <v>IS47</v>
      </c>
      <c r="O121" s="91" t="str">
        <f>IFERROR(INDEX('NAICS Code to IS CDR Code'!C:C, MATCH('Processed Non-zero DMR Data'!L121,'NAICS Code to IS CDR Code'!A:A,0)), "NAICS/SIC Not Provided")</f>
        <v>Services</v>
      </c>
      <c r="P121" s="91" t="str">
        <f>INDEX('11DCA Mapping'!$K:$K, MATCH('Processed Non-zero DMR Data'!I122,'11DCA Mapping'!$J:$J,0))</f>
        <v>Waste Handling, Disposal, Treatment, and Recycling</v>
      </c>
      <c r="Q121" s="91" t="str">
        <f>INDEX('11DCA Mapping'!$L:$L, MATCH('Processed Non-zero DMR Data'!I122,'11DCA Mapping'!$J:$J,0))</f>
        <v>SIC description indicates treatment of waste</v>
      </c>
      <c r="R121" s="250" t="str">
        <f>VLOOKUP(I121,'DMR POTW Flag'!$A$2:$B$960,2,FALSE)</f>
        <v>NON-POTW</v>
      </c>
      <c r="S121" s="249" t="s">
        <v>69</v>
      </c>
      <c r="T121" s="249" t="s">
        <v>698</v>
      </c>
      <c r="U121" s="8">
        <f>COUNTIFS('Raw Non-zero DMR Data'!$A:$A, 'Processed Non-zero DMR Data'!A121, 'Raw Non-zero DMR Data'!$C:$C, X121, 'Raw Non-zero DMR Data'!$U:$U,'Processed Non-zero DMR Data'!Y121)</f>
        <v>1</v>
      </c>
      <c r="V121" s="8">
        <f>COUNTIFS('Raw Non-zero DMR Data'!$A:$A, 'Processed Non-zero DMR Data'!A121, 'Raw Non-zero DMR Data'!$C:$C, X121, 'Raw Non-zero DMR Data'!$U:$U,'Processed Non-zero DMR Data'!Y121,'Raw Non-zero DMR Data'!$Z:$Z,"Yes")</f>
        <v>1</v>
      </c>
      <c r="W121">
        <v>6.0600310249999997E-2</v>
      </c>
      <c r="X121" t="s">
        <v>699</v>
      </c>
      <c r="Y121" t="s">
        <v>700</v>
      </c>
      <c r="Z121" s="257">
        <v>20401050303</v>
      </c>
    </row>
    <row r="122" spans="1:26" ht="15" customHeight="1" x14ac:dyDescent="0.25">
      <c r="A122">
        <v>2020</v>
      </c>
      <c r="B122" t="s">
        <v>299</v>
      </c>
      <c r="C122" t="s">
        <v>300</v>
      </c>
      <c r="D122" t="s">
        <v>697</v>
      </c>
      <c r="E122" t="s">
        <v>268</v>
      </c>
      <c r="F122">
        <v>40.700989999999997</v>
      </c>
      <c r="G122">
        <v>-75.214780000000005</v>
      </c>
      <c r="I122" s="1">
        <v>110001075345</v>
      </c>
      <c r="J122">
        <v>4953</v>
      </c>
      <c r="K122" s="175" t="str">
        <f>INDEX('2022 SIC to NAICS'!B:B, MATCH('Processed Non-zero DMR Data'!$J122, '2022 SIC to NAICS'!$A:$A, 0))</f>
        <v>Refuse Systems</v>
      </c>
      <c r="L122" s="175">
        <f>INDEX('2022 SIC to NAICS'!C:C, MATCH('Processed Non-zero DMR Data'!$J122, '2022 SIC to NAICS'!$A:$A, 0))</f>
        <v>562211</v>
      </c>
      <c r="M122" s="175" t="str">
        <f>INDEX('2022 SIC to NAICS'!D:D, MATCH('Processed Non-zero DMR Data'!$J122, '2022 SIC to NAICS'!$A:$A, 0))</f>
        <v xml:space="preserve">Hazardous Waste Treatment and Disposal </v>
      </c>
      <c r="N122" s="90" t="str">
        <f>IFERROR(INDEX('NAICS Code to IS CDR Code'!B:B, MATCH('Processed Non-zero DMR Data'!L122,'NAICS Code to IS CDR Code'!A:A,0)), "NAICS/SIC Not Provided")</f>
        <v>IS47</v>
      </c>
      <c r="O122" s="91" t="str">
        <f>IFERROR(INDEX('NAICS Code to IS CDR Code'!C:C, MATCH('Processed Non-zero DMR Data'!L122,'NAICS Code to IS CDR Code'!A:A,0)), "NAICS/SIC Not Provided")</f>
        <v>Services</v>
      </c>
      <c r="P122" s="91" t="str">
        <f>INDEX('11DCA Mapping'!$K:$K, MATCH('Processed Non-zero DMR Data'!I123,'11DCA Mapping'!$J:$J,0))</f>
        <v>Waste Handling, Disposal, Treatment, and Recycling</v>
      </c>
      <c r="Q122" s="91" t="str">
        <f>INDEX('11DCA Mapping'!$L:$L, MATCH('Processed Non-zero DMR Data'!I123,'11DCA Mapping'!$J:$J,0))</f>
        <v>SIC description indicates treatment of waste</v>
      </c>
      <c r="R122" s="250" t="str">
        <f>VLOOKUP(I122,'DMR POTW Flag'!$A$2:$B$960,2,FALSE)</f>
        <v>NON-POTW</v>
      </c>
      <c r="S122" s="249" t="s">
        <v>69</v>
      </c>
      <c r="T122" s="249" t="s">
        <v>698</v>
      </c>
      <c r="U122" s="8">
        <f>COUNTIFS('Raw Non-zero DMR Data'!$A:$A, 'Processed Non-zero DMR Data'!A122, 'Raw Non-zero DMR Data'!$C:$C, X122, 'Raw Non-zero DMR Data'!$U:$U,'Processed Non-zero DMR Data'!Y122)</f>
        <v>1</v>
      </c>
      <c r="V122" s="8">
        <f>COUNTIFS('Raw Non-zero DMR Data'!$A:$A, 'Processed Non-zero DMR Data'!A122, 'Raw Non-zero DMR Data'!$C:$C, X122, 'Raw Non-zero DMR Data'!$U:$U,'Processed Non-zero DMR Data'!Y122,'Raw Non-zero DMR Data'!$Z:$Z,"Yes")</f>
        <v>1</v>
      </c>
      <c r="W122">
        <v>5.2563809000000003E-2</v>
      </c>
      <c r="X122" t="s">
        <v>699</v>
      </c>
      <c r="Y122" t="s">
        <v>700</v>
      </c>
      <c r="Z122" s="257">
        <v>20401050303</v>
      </c>
    </row>
    <row r="123" spans="1:26" ht="15" customHeight="1" x14ac:dyDescent="0.25">
      <c r="A123">
        <v>2021</v>
      </c>
      <c r="B123" t="s">
        <v>299</v>
      </c>
      <c r="C123" t="s">
        <v>300</v>
      </c>
      <c r="D123" t="s">
        <v>697</v>
      </c>
      <c r="E123" t="s">
        <v>268</v>
      </c>
      <c r="F123">
        <v>40.700989999999997</v>
      </c>
      <c r="G123">
        <v>-75.214780000000005</v>
      </c>
      <c r="I123" s="1">
        <v>110001075345</v>
      </c>
      <c r="J123">
        <v>4953</v>
      </c>
      <c r="K123" s="175" t="str">
        <f>INDEX('2022 SIC to NAICS'!B:B, MATCH('Processed Non-zero DMR Data'!$J123, '2022 SIC to NAICS'!$A:$A, 0))</f>
        <v>Refuse Systems</v>
      </c>
      <c r="L123" s="175">
        <f>INDEX('2022 SIC to NAICS'!C:C, MATCH('Processed Non-zero DMR Data'!$J123, '2022 SIC to NAICS'!$A:$A, 0))</f>
        <v>562211</v>
      </c>
      <c r="M123" s="175" t="str">
        <f>INDEX('2022 SIC to NAICS'!D:D, MATCH('Processed Non-zero DMR Data'!$J123, '2022 SIC to NAICS'!$A:$A, 0))</f>
        <v xml:space="preserve">Hazardous Waste Treatment and Disposal </v>
      </c>
      <c r="N123" s="90" t="str">
        <f>IFERROR(INDEX('NAICS Code to IS CDR Code'!B:B, MATCH('Processed Non-zero DMR Data'!L123,'NAICS Code to IS CDR Code'!A:A,0)), "NAICS/SIC Not Provided")</f>
        <v>IS47</v>
      </c>
      <c r="O123" s="91" t="str">
        <f>IFERROR(INDEX('NAICS Code to IS CDR Code'!C:C, MATCH('Processed Non-zero DMR Data'!L123,'NAICS Code to IS CDR Code'!A:A,0)), "NAICS/SIC Not Provided")</f>
        <v>Services</v>
      </c>
      <c r="P123" s="91" t="str">
        <f>INDEX('11DCA Mapping'!$K:$K, MATCH('Processed Non-zero DMR Data'!I124,'11DCA Mapping'!$J:$J,0))</f>
        <v>Waste Handling, Disposal, Treatment, and Recycling</v>
      </c>
      <c r="Q123" s="91" t="str">
        <f>INDEX('11DCA Mapping'!$L:$L, MATCH('Processed Non-zero DMR Data'!I124,'11DCA Mapping'!$J:$J,0))</f>
        <v>SIC description indicates treatment of waste</v>
      </c>
      <c r="R123" s="250" t="str">
        <f>VLOOKUP(I123,'DMR POTW Flag'!$A$2:$B$960,2,FALSE)</f>
        <v>NON-POTW</v>
      </c>
      <c r="S123" s="249" t="s">
        <v>69</v>
      </c>
      <c r="T123" s="249" t="s">
        <v>698</v>
      </c>
      <c r="U123" s="8">
        <f>COUNTIFS('Raw Non-zero DMR Data'!$A:$A, 'Processed Non-zero DMR Data'!A123, 'Raw Non-zero DMR Data'!$C:$C, X123, 'Raw Non-zero DMR Data'!$U:$U,'Processed Non-zero DMR Data'!Y123)</f>
        <v>1</v>
      </c>
      <c r="V123" s="8">
        <f>COUNTIFS('Raw Non-zero DMR Data'!$A:$A, 'Processed Non-zero DMR Data'!A123, 'Raw Non-zero DMR Data'!$C:$C, X123, 'Raw Non-zero DMR Data'!$U:$U,'Processed Non-zero DMR Data'!Y123,'Raw Non-zero DMR Data'!$Z:$Z,"Yes")</f>
        <v>1</v>
      </c>
      <c r="W123">
        <v>6.8386622999999994E-2</v>
      </c>
      <c r="X123" t="s">
        <v>699</v>
      </c>
      <c r="Y123" t="s">
        <v>700</v>
      </c>
      <c r="Z123" s="257">
        <v>20401050303</v>
      </c>
    </row>
    <row r="124" spans="1:26" ht="15" customHeight="1" x14ac:dyDescent="0.25">
      <c r="A124">
        <v>2022</v>
      </c>
      <c r="B124" t="s">
        <v>299</v>
      </c>
      <c r="C124" t="s">
        <v>300</v>
      </c>
      <c r="D124" t="s">
        <v>697</v>
      </c>
      <c r="E124" t="s">
        <v>268</v>
      </c>
      <c r="F124">
        <v>40.700989999999997</v>
      </c>
      <c r="G124">
        <v>-75.214780000000005</v>
      </c>
      <c r="I124" s="1">
        <v>110001075345</v>
      </c>
      <c r="J124">
        <v>4953</v>
      </c>
      <c r="K124" s="175" t="str">
        <f>INDEX('2022 SIC to NAICS'!B:B, MATCH('Processed Non-zero DMR Data'!$J124, '2022 SIC to NAICS'!$A:$A, 0))</f>
        <v>Refuse Systems</v>
      </c>
      <c r="L124" s="175">
        <f>INDEX('2022 SIC to NAICS'!C:C, MATCH('Processed Non-zero DMR Data'!$J124, '2022 SIC to NAICS'!$A:$A, 0))</f>
        <v>562211</v>
      </c>
      <c r="M124" s="175" t="str">
        <f>INDEX('2022 SIC to NAICS'!D:D, MATCH('Processed Non-zero DMR Data'!$J124, '2022 SIC to NAICS'!$A:$A, 0))</f>
        <v xml:space="preserve">Hazardous Waste Treatment and Disposal </v>
      </c>
      <c r="N124" s="90" t="str">
        <f>IFERROR(INDEX('NAICS Code to IS CDR Code'!B:B, MATCH('Processed Non-zero DMR Data'!L124,'NAICS Code to IS CDR Code'!A:A,0)), "NAICS/SIC Not Provided")</f>
        <v>IS47</v>
      </c>
      <c r="O124" s="91" t="str">
        <f>IFERROR(INDEX('NAICS Code to IS CDR Code'!C:C, MATCH('Processed Non-zero DMR Data'!L124,'NAICS Code to IS CDR Code'!A:A,0)), "NAICS/SIC Not Provided")</f>
        <v>Services</v>
      </c>
      <c r="P124" s="91" t="str">
        <f>INDEX('11DCA Mapping'!$K:$K, MATCH('Processed Non-zero DMR Data'!I125,'11DCA Mapping'!$J:$J,0))</f>
        <v>Waste Handling, Disposal, Treatment, and Recycling</v>
      </c>
      <c r="Q124" s="91" t="str">
        <f>INDEX('11DCA Mapping'!$L:$L, MATCH('Processed Non-zero DMR Data'!I125,'11DCA Mapping'!$J:$J,0))</f>
        <v>SIC description indicates treatment of waste</v>
      </c>
      <c r="R124" s="250" t="str">
        <f>VLOOKUP(I124,'DMR POTW Flag'!$A$2:$B$960,2,FALSE)</f>
        <v>NON-POTW</v>
      </c>
      <c r="S124" s="249" t="s">
        <v>69</v>
      </c>
      <c r="T124" s="249" t="s">
        <v>698</v>
      </c>
      <c r="U124" s="8">
        <f>COUNTIFS('Raw Non-zero DMR Data'!$A:$A, 'Processed Non-zero DMR Data'!A124, 'Raw Non-zero DMR Data'!$C:$C, X124, 'Raw Non-zero DMR Data'!$U:$U,'Processed Non-zero DMR Data'!Y124)</f>
        <v>1</v>
      </c>
      <c r="V124" s="8">
        <f>COUNTIFS('Raw Non-zero DMR Data'!$A:$A, 'Processed Non-zero DMR Data'!A124, 'Raw Non-zero DMR Data'!$C:$C, X124, 'Raw Non-zero DMR Data'!$U:$U,'Processed Non-zero DMR Data'!Y124,'Raw Non-zero DMR Data'!$Z:$Z,"Yes")</f>
        <v>1</v>
      </c>
      <c r="W124">
        <v>6.7279699750000005E-2</v>
      </c>
      <c r="X124" t="s">
        <v>699</v>
      </c>
      <c r="Y124" t="s">
        <v>700</v>
      </c>
      <c r="Z124" s="257">
        <v>20401050303</v>
      </c>
    </row>
    <row r="125" spans="1:26" ht="15" customHeight="1" x14ac:dyDescent="0.25">
      <c r="A125">
        <v>2023</v>
      </c>
      <c r="B125" t="s">
        <v>299</v>
      </c>
      <c r="C125" t="s">
        <v>300</v>
      </c>
      <c r="D125" t="s">
        <v>697</v>
      </c>
      <c r="E125" t="s">
        <v>268</v>
      </c>
      <c r="F125">
        <v>40.700989999999997</v>
      </c>
      <c r="G125">
        <v>-75.214780000000005</v>
      </c>
      <c r="I125" s="1">
        <v>110001075345</v>
      </c>
      <c r="J125">
        <v>4953</v>
      </c>
      <c r="K125" s="175" t="str">
        <f>INDEX('2022 SIC to NAICS'!B:B, MATCH('Processed Non-zero DMR Data'!$J125, '2022 SIC to NAICS'!$A:$A, 0))</f>
        <v>Refuse Systems</v>
      </c>
      <c r="L125" s="175">
        <f>INDEX('2022 SIC to NAICS'!C:C, MATCH('Processed Non-zero DMR Data'!$J125, '2022 SIC to NAICS'!$A:$A, 0))</f>
        <v>562211</v>
      </c>
      <c r="M125" s="175" t="str">
        <f>INDEX('2022 SIC to NAICS'!D:D, MATCH('Processed Non-zero DMR Data'!$J125, '2022 SIC to NAICS'!$A:$A, 0))</f>
        <v xml:space="preserve">Hazardous Waste Treatment and Disposal </v>
      </c>
      <c r="N125" s="90" t="str">
        <f>IFERROR(INDEX('NAICS Code to IS CDR Code'!B:B, MATCH('Processed Non-zero DMR Data'!L125,'NAICS Code to IS CDR Code'!A:A,0)), "NAICS/SIC Not Provided")</f>
        <v>IS47</v>
      </c>
      <c r="O125" s="91" t="str">
        <f>IFERROR(INDEX('NAICS Code to IS CDR Code'!C:C, MATCH('Processed Non-zero DMR Data'!L125,'NAICS Code to IS CDR Code'!A:A,0)), "NAICS/SIC Not Provided")</f>
        <v>Services</v>
      </c>
      <c r="P125" s="91" t="e">
        <f>INDEX('11DCA Mapping'!$K:$K, MATCH('Processed Non-zero DMR Data'!I126,'11DCA Mapping'!$J:$J,0))</f>
        <v>#N/A</v>
      </c>
      <c r="Q125" s="91" t="e">
        <f>INDEX('11DCA Mapping'!$L:$L, MATCH('Processed Non-zero DMR Data'!I126,'11DCA Mapping'!$J:$J,0))</f>
        <v>#N/A</v>
      </c>
      <c r="R125" s="250" t="str">
        <f>VLOOKUP(I125,'DMR POTW Flag'!$A$2:$B$960,2,FALSE)</f>
        <v>NON-POTW</v>
      </c>
      <c r="S125" s="249" t="s">
        <v>69</v>
      </c>
      <c r="T125" s="249" t="s">
        <v>698</v>
      </c>
      <c r="U125" s="8">
        <f>COUNTIFS('Raw Non-zero DMR Data'!$A:$A, 'Processed Non-zero DMR Data'!A125, 'Raw Non-zero DMR Data'!$C:$C, X125, 'Raw Non-zero DMR Data'!$U:$U,'Processed Non-zero DMR Data'!Y125)</f>
        <v>1</v>
      </c>
      <c r="V125" s="8">
        <f>COUNTIFS('Raw Non-zero DMR Data'!$A:$A, 'Processed Non-zero DMR Data'!A125, 'Raw Non-zero DMR Data'!$C:$C, X125, 'Raw Non-zero DMR Data'!$U:$U,'Processed Non-zero DMR Data'!Y125,'Raw Non-zero DMR Data'!$Z:$Z,"Yes")</f>
        <v>1</v>
      </c>
      <c r="W125">
        <v>6.5348781999999994E-2</v>
      </c>
      <c r="X125" t="s">
        <v>699</v>
      </c>
      <c r="Y125" t="s">
        <v>700</v>
      </c>
      <c r="Z125" s="257">
        <v>20401050303</v>
      </c>
    </row>
    <row r="126" spans="1:26" ht="15" customHeight="1" x14ac:dyDescent="0.25">
      <c r="A126">
        <v>2021</v>
      </c>
      <c r="B126" t="s">
        <v>477</v>
      </c>
      <c r="C126" t="s">
        <v>478</v>
      </c>
      <c r="D126" t="s">
        <v>701</v>
      </c>
      <c r="E126" t="s">
        <v>146</v>
      </c>
      <c r="F126">
        <v>38.060360000000003</v>
      </c>
      <c r="G126">
        <v>-120.53995999999999</v>
      </c>
      <c r="I126" s="1">
        <v>110030437524</v>
      </c>
      <c r="J126">
        <v>4952</v>
      </c>
      <c r="K126" s="175" t="str">
        <f>INDEX('2022 SIC to NAICS'!B:B, MATCH('Processed Non-zero DMR Data'!$J126, '2022 SIC to NAICS'!$A:$A, 0))</f>
        <v>Sewerage Systems</v>
      </c>
      <c r="L126" s="175">
        <f>INDEX('2022 SIC to NAICS'!C:C, MATCH('Processed Non-zero DMR Data'!$J126, '2022 SIC to NAICS'!$A:$A, 0))</f>
        <v>221320</v>
      </c>
      <c r="M126" s="175" t="str">
        <f>INDEX('2022 SIC to NAICS'!D:D, MATCH('Processed Non-zero DMR Data'!$J126, '2022 SIC to NAICS'!$A:$A, 0))</f>
        <v xml:space="preserve">Sewage Treatment Facilities </v>
      </c>
      <c r="N126" s="90" t="str">
        <f>IFERROR(INDEX('NAICS Code to IS CDR Code'!B:B, MATCH('Processed Non-zero DMR Data'!L126,'NAICS Code to IS CDR Code'!A:A,0)), "NAICS/SIC Not Provided")</f>
        <v>IS4</v>
      </c>
      <c r="O126" s="91" t="str">
        <f>IFERROR(INDEX('NAICS Code to IS CDR Code'!C:C, MATCH('Processed Non-zero DMR Data'!L126,'NAICS Code to IS CDR Code'!A:A,0)), "NAICS/SIC Not Provided")</f>
        <v>Utilities</v>
      </c>
      <c r="P126" s="91" t="str">
        <f>INDEX('11DCA Mapping'!$K:$K, MATCH('Processed Non-zero DMR Data'!I127,'11DCA Mapping'!$J:$J,0))</f>
        <v>POTW</v>
      </c>
      <c r="Q126" s="91" t="str">
        <f>INDEX('11DCA Mapping'!$L:$L, MATCH('Processed Non-zero DMR Data'!I127,'11DCA Mapping'!$J:$J,0))</f>
        <v>Per site information</v>
      </c>
      <c r="R126" s="250" t="str">
        <f>VLOOKUP(I126,'DMR POTW Flag'!$A$2:$B$960,2,FALSE)</f>
        <v>POTW</v>
      </c>
      <c r="S126" s="7" t="s">
        <v>67</v>
      </c>
      <c r="T126" s="249" t="s">
        <v>586</v>
      </c>
      <c r="U126" s="8">
        <f>COUNTIFS('Raw Non-zero DMR Data'!$A:$A, 'Processed Non-zero DMR Data'!A126, 'Raw Non-zero DMR Data'!$C:$C, X126, 'Raw Non-zero DMR Data'!$U:$U,'Processed Non-zero DMR Data'!Y126)</f>
        <v>1</v>
      </c>
      <c r="V126" s="8">
        <f>COUNTIFS('Raw Non-zero DMR Data'!$A:$A, 'Processed Non-zero DMR Data'!A126, 'Raw Non-zero DMR Data'!$C:$C, X126, 'Raw Non-zero DMR Data'!$U:$U,'Processed Non-zero DMR Data'!Y126,'Raw Non-zero DMR Data'!$Z:$Z,"Yes")</f>
        <v>1</v>
      </c>
      <c r="W126">
        <v>3.3018447499999999E-2</v>
      </c>
      <c r="X126" t="s">
        <v>702</v>
      </c>
      <c r="Y126" t="s">
        <v>703</v>
      </c>
      <c r="Z126" s="257">
        <v>180400100604</v>
      </c>
    </row>
    <row r="127" spans="1:26" ht="15" customHeight="1" x14ac:dyDescent="0.25">
      <c r="A127">
        <v>2020</v>
      </c>
      <c r="B127" t="s">
        <v>365</v>
      </c>
      <c r="C127" t="s">
        <v>366</v>
      </c>
      <c r="D127" t="s">
        <v>704</v>
      </c>
      <c r="E127" t="s">
        <v>367</v>
      </c>
      <c r="F127">
        <v>32.802</v>
      </c>
      <c r="G127">
        <v>-109.711</v>
      </c>
      <c r="I127" s="1">
        <v>110012330520</v>
      </c>
      <c r="J127"/>
      <c r="K127" s="175" t="e">
        <f>INDEX('2022 SIC to NAICS'!B:B, MATCH('Processed Non-zero DMR Data'!$J127, '2022 SIC to NAICS'!$A:$A, 0))</f>
        <v>#N/A</v>
      </c>
      <c r="L127" s="175" t="e">
        <f>INDEX('2022 SIC to NAICS'!C:C, MATCH('Processed Non-zero DMR Data'!$J127, '2022 SIC to NAICS'!$A:$A, 0))</f>
        <v>#N/A</v>
      </c>
      <c r="M127" s="175" t="e">
        <f>INDEX('2022 SIC to NAICS'!D:D, MATCH('Processed Non-zero DMR Data'!$J127, '2022 SIC to NAICS'!$A:$A, 0))</f>
        <v>#N/A</v>
      </c>
      <c r="N127" s="90" t="str">
        <f>IFERROR(INDEX('NAICS Code to IS CDR Code'!B:B, MATCH('Processed Non-zero DMR Data'!L127,'NAICS Code to IS CDR Code'!A:A,0)), "NAICS/SIC Not Provided")</f>
        <v>NAICS/SIC Not Provided</v>
      </c>
      <c r="O127" s="91" t="str">
        <f>IFERROR(INDEX('NAICS Code to IS CDR Code'!C:C, MATCH('Processed Non-zero DMR Data'!L127,'NAICS Code to IS CDR Code'!A:A,0)), "NAICS/SIC Not Provided")</f>
        <v>NAICS/SIC Not Provided</v>
      </c>
      <c r="P127" s="91" t="e">
        <f>INDEX('11DCA Mapping'!$K:$K, MATCH('Processed Non-zero DMR Data'!I128,'11DCA Mapping'!$J:$J,0))</f>
        <v>#N/A</v>
      </c>
      <c r="Q127" s="91" t="e">
        <f>INDEX('11DCA Mapping'!$L:$L, MATCH('Processed Non-zero DMR Data'!I128,'11DCA Mapping'!$J:$J,0))</f>
        <v>#N/A</v>
      </c>
      <c r="R127" s="250" t="str">
        <f>VLOOKUP(I127,'DMR POTW Flag'!$A$2:$B$960,2,FALSE)</f>
        <v>POTW</v>
      </c>
      <c r="S127" s="7" t="s">
        <v>67</v>
      </c>
      <c r="T127" s="249" t="s">
        <v>586</v>
      </c>
      <c r="U127" s="8">
        <f>COUNTIFS('Raw Non-zero DMR Data'!$A:$A, 'Processed Non-zero DMR Data'!A127, 'Raw Non-zero DMR Data'!$C:$C, X127, 'Raw Non-zero DMR Data'!$U:$U,'Processed Non-zero DMR Data'!Y127)</f>
        <v>1</v>
      </c>
      <c r="V127" s="8">
        <f>COUNTIFS('Raw Non-zero DMR Data'!$A:$A, 'Processed Non-zero DMR Data'!A127, 'Raw Non-zero DMR Data'!$C:$C, X127, 'Raw Non-zero DMR Data'!$U:$U,'Processed Non-zero DMR Data'!Y127,'Raw Non-zero DMR Data'!$Z:$Z,"Yes")</f>
        <v>0</v>
      </c>
      <c r="W127">
        <v>0.283212625</v>
      </c>
      <c r="X127" t="s">
        <v>705</v>
      </c>
      <c r="Y127" t="s">
        <v>706</v>
      </c>
      <c r="Z127" s="257">
        <v>150400050705</v>
      </c>
    </row>
    <row r="128" spans="1:26" ht="15" customHeight="1" x14ac:dyDescent="0.25">
      <c r="A128">
        <v>2020</v>
      </c>
      <c r="B128" t="s">
        <v>216</v>
      </c>
      <c r="C128" t="s">
        <v>217</v>
      </c>
      <c r="D128" t="s">
        <v>571</v>
      </c>
      <c r="E128" t="s">
        <v>218</v>
      </c>
      <c r="F128">
        <v>40.393799999999999</v>
      </c>
      <c r="G128">
        <v>-105.074</v>
      </c>
      <c r="I128" s="1">
        <v>110070053140</v>
      </c>
      <c r="J128">
        <v>7521</v>
      </c>
      <c r="K128" s="175" t="str">
        <f>INDEX('2022 SIC to NAICS'!B:B, MATCH('Processed Non-zero DMR Data'!$J128, '2022 SIC to NAICS'!$A:$A, 0))</f>
        <v>Automobile Parking</v>
      </c>
      <c r="L128" s="175">
        <f>INDEX('2022 SIC to NAICS'!C:C, MATCH('Processed Non-zero DMR Data'!$J128, '2022 SIC to NAICS'!$A:$A, 0))</f>
        <v>812930</v>
      </c>
      <c r="M128" s="175" t="str">
        <f>INDEX('2022 SIC to NAICS'!D:D, MATCH('Processed Non-zero DMR Data'!$J128, '2022 SIC to NAICS'!$A:$A, 0))</f>
        <v xml:space="preserve">Parking Lots and Garages </v>
      </c>
      <c r="N128" s="90" t="str">
        <f>IFERROR(INDEX('NAICS Code to IS CDR Code'!B:B, MATCH('Processed Non-zero DMR Data'!L128,'NAICS Code to IS CDR Code'!A:A,0)), "NAICS/SIC Not Provided")</f>
        <v>IS47</v>
      </c>
      <c r="O128" s="91" t="str">
        <f>IFERROR(INDEX('NAICS Code to IS CDR Code'!C:C, MATCH('Processed Non-zero DMR Data'!L128,'NAICS Code to IS CDR Code'!A:A,0)), "NAICS/SIC Not Provided")</f>
        <v>Services</v>
      </c>
      <c r="P128" s="91" t="e">
        <f>INDEX('11DCA Mapping'!$K:$K, MATCH('Processed Non-zero DMR Data'!I236,'11DCA Mapping'!$J:$J,0))</f>
        <v>#N/A</v>
      </c>
      <c r="Q128" s="91" t="e">
        <f>INDEX('11DCA Mapping'!$L:$L, MATCH('Processed Non-zero DMR Data'!I236,'11DCA Mapping'!$J:$J,0))</f>
        <v>#N/A</v>
      </c>
      <c r="R128" s="91" t="str">
        <f>VLOOKUP(I128,'DMR POTW Flag'!$A$2:$B$960,2,FALSE)</f>
        <v>NON-POTW</v>
      </c>
      <c r="S128" s="7" t="s">
        <v>72</v>
      </c>
      <c r="T128" s="244" t="s">
        <v>572</v>
      </c>
      <c r="U128" s="8">
        <f>COUNTIFS('Raw Non-zero DMR Data'!$A:$A, 'Processed Non-zero DMR Data'!A128, 'Raw Non-zero DMR Data'!$C:$C, X128, 'Raw Non-zero DMR Data'!$U:$U,'Processed Non-zero DMR Data'!Y128)</f>
        <v>1</v>
      </c>
      <c r="V128" s="8">
        <f>COUNTIFS('Raw Non-zero DMR Data'!$A:$A, 'Processed Non-zero DMR Data'!A128, 'Raw Non-zero DMR Data'!$C:$C, X128, 'Raw Non-zero DMR Data'!$U:$U,'Processed Non-zero DMR Data'!Y128,'Raw Non-zero DMR Data'!$Z:$Z,"Yes")</f>
        <v>1</v>
      </c>
      <c r="W128">
        <v>5.4609980000000002E-2</v>
      </c>
      <c r="X128" t="s">
        <v>573</v>
      </c>
      <c r="Y128" t="s">
        <v>574</v>
      </c>
      <c r="Z128" s="257">
        <v>101900060605</v>
      </c>
    </row>
    <row r="129" spans="1:26" ht="15" customHeight="1" x14ac:dyDescent="0.25">
      <c r="A129">
        <v>2019</v>
      </c>
      <c r="B129" t="s">
        <v>323</v>
      </c>
      <c r="C129" t="s">
        <v>324</v>
      </c>
      <c r="D129" t="s">
        <v>707</v>
      </c>
      <c r="E129" t="s">
        <v>138</v>
      </c>
      <c r="F129">
        <v>37.108094000000001</v>
      </c>
      <c r="G129">
        <v>-85.303033999999997</v>
      </c>
      <c r="I129" s="1">
        <v>110009696356</v>
      </c>
      <c r="J129">
        <v>4952</v>
      </c>
      <c r="K129" s="175" t="str">
        <f>INDEX('2022 SIC to NAICS'!B:B, MATCH('Processed Non-zero DMR Data'!$J129, '2022 SIC to NAICS'!$A:$A, 0))</f>
        <v>Sewerage Systems</v>
      </c>
      <c r="L129" s="175">
        <f>INDEX('2022 SIC to NAICS'!C:C, MATCH('Processed Non-zero DMR Data'!$J129, '2022 SIC to NAICS'!$A:$A, 0))</f>
        <v>221320</v>
      </c>
      <c r="M129" s="175" t="str">
        <f>INDEX('2022 SIC to NAICS'!D:D, MATCH('Processed Non-zero DMR Data'!$J129, '2022 SIC to NAICS'!$A:$A, 0))</f>
        <v xml:space="preserve">Sewage Treatment Facilities </v>
      </c>
      <c r="N129" s="90" t="str">
        <f>IFERROR(INDEX('NAICS Code to IS CDR Code'!B:B, MATCH('Processed Non-zero DMR Data'!L129,'NAICS Code to IS CDR Code'!A:A,0)), "NAICS/SIC Not Provided")</f>
        <v>IS4</v>
      </c>
      <c r="O129" s="91" t="str">
        <f>IFERROR(INDEX('NAICS Code to IS CDR Code'!C:C, MATCH('Processed Non-zero DMR Data'!L129,'NAICS Code to IS CDR Code'!A:A,0)), "NAICS/SIC Not Provided")</f>
        <v>Utilities</v>
      </c>
      <c r="P129" s="91" t="str">
        <f>INDEX('11DCA Mapping'!$K:$K, MATCH('Processed Non-zero DMR Data'!I130,'11DCA Mapping'!$J:$J,0))</f>
        <v>POTW</v>
      </c>
      <c r="Q129" s="91" t="str">
        <f>INDEX('11DCA Mapping'!$L:$L, MATCH('Processed Non-zero DMR Data'!I130,'11DCA Mapping'!$J:$J,0))</f>
        <v>Assigned POTW per "Facility Type Indicator"</v>
      </c>
      <c r="R129" s="250" t="str">
        <f>VLOOKUP(I129,'DMR POTW Flag'!$A$2:$B$960,2,FALSE)</f>
        <v>POTW</v>
      </c>
      <c r="S129" s="7" t="s">
        <v>67</v>
      </c>
      <c r="T129" s="249" t="s">
        <v>586</v>
      </c>
      <c r="U129" s="8">
        <f>COUNTIFS('Raw Non-zero DMR Data'!$A:$A, 'Processed Non-zero DMR Data'!A129, 'Raw Non-zero DMR Data'!$C:$C, X129, 'Raw Non-zero DMR Data'!$U:$U,'Processed Non-zero DMR Data'!Y129)</f>
        <v>1</v>
      </c>
      <c r="V129" s="8">
        <f>COUNTIFS('Raw Non-zero DMR Data'!$A:$A, 'Processed Non-zero DMR Data'!A129, 'Raw Non-zero DMR Data'!$C:$C, X129, 'Raw Non-zero DMR Data'!$U:$U,'Processed Non-zero DMR Data'!Y129,'Raw Non-zero DMR Data'!$Z:$Z,"Yes")</f>
        <v>1</v>
      </c>
      <c r="W129">
        <v>4.6419240000000004</v>
      </c>
      <c r="X129" t="s">
        <v>708</v>
      </c>
      <c r="Y129" t="s">
        <v>709</v>
      </c>
      <c r="Z129" s="257">
        <v>51100010407</v>
      </c>
    </row>
    <row r="130" spans="1:26" ht="15" customHeight="1" x14ac:dyDescent="0.25">
      <c r="A130">
        <v>2022</v>
      </c>
      <c r="B130" t="s">
        <v>323</v>
      </c>
      <c r="C130" t="s">
        <v>324</v>
      </c>
      <c r="D130" t="s">
        <v>707</v>
      </c>
      <c r="E130" t="s">
        <v>138</v>
      </c>
      <c r="F130">
        <v>37.108094000000001</v>
      </c>
      <c r="G130">
        <v>-85.303033999999997</v>
      </c>
      <c r="I130" s="1">
        <v>110009696356</v>
      </c>
      <c r="J130">
        <v>4952</v>
      </c>
      <c r="K130" s="175" t="str">
        <f>INDEX('2022 SIC to NAICS'!B:B, MATCH('Processed Non-zero DMR Data'!$J130, '2022 SIC to NAICS'!$A:$A, 0))</f>
        <v>Sewerage Systems</v>
      </c>
      <c r="L130" s="175">
        <f>INDEX('2022 SIC to NAICS'!C:C, MATCH('Processed Non-zero DMR Data'!$J130, '2022 SIC to NAICS'!$A:$A, 0))</f>
        <v>221320</v>
      </c>
      <c r="M130" s="175" t="str">
        <f>INDEX('2022 SIC to NAICS'!D:D, MATCH('Processed Non-zero DMR Data'!$J130, '2022 SIC to NAICS'!$A:$A, 0))</f>
        <v xml:space="preserve">Sewage Treatment Facilities </v>
      </c>
      <c r="N130" s="90" t="str">
        <f>IFERROR(INDEX('NAICS Code to IS CDR Code'!B:B, MATCH('Processed Non-zero DMR Data'!L130,'NAICS Code to IS CDR Code'!A:A,0)), "NAICS/SIC Not Provided")</f>
        <v>IS4</v>
      </c>
      <c r="O130" s="91" t="str">
        <f>IFERROR(INDEX('NAICS Code to IS CDR Code'!C:C, MATCH('Processed Non-zero DMR Data'!L130,'NAICS Code to IS CDR Code'!A:A,0)), "NAICS/SIC Not Provided")</f>
        <v>Utilities</v>
      </c>
      <c r="P130" s="91" t="str">
        <f>INDEX('11DCA Mapping'!$K:$K, MATCH('Processed Non-zero DMR Data'!I131,'11DCA Mapping'!$J:$J,0))</f>
        <v>POTW</v>
      </c>
      <c r="Q130" s="91" t="str">
        <f>INDEX('11DCA Mapping'!$L:$L, MATCH('Processed Non-zero DMR Data'!I131,'11DCA Mapping'!$J:$J,0))</f>
        <v>Assigned POTW per "Facility Type Indicator"</v>
      </c>
      <c r="R130" s="250" t="str">
        <f>VLOOKUP(I130,'DMR POTW Flag'!$A$2:$B$960,2,FALSE)</f>
        <v>POTW</v>
      </c>
      <c r="S130" s="7" t="s">
        <v>67</v>
      </c>
      <c r="T130" s="249" t="s">
        <v>586</v>
      </c>
      <c r="U130" s="8">
        <f>COUNTIFS('Raw Non-zero DMR Data'!$A:$A, 'Processed Non-zero DMR Data'!A130, 'Raw Non-zero DMR Data'!$C:$C, X130, 'Raw Non-zero DMR Data'!$U:$U,'Processed Non-zero DMR Data'!Y130)</f>
        <v>1</v>
      </c>
      <c r="V130" s="8">
        <f>COUNTIFS('Raw Non-zero DMR Data'!$A:$A, 'Processed Non-zero DMR Data'!A130, 'Raw Non-zero DMR Data'!$C:$C, X130, 'Raw Non-zero DMR Data'!$U:$U,'Processed Non-zero DMR Data'!Y130,'Raw Non-zero DMR Data'!$Z:$Z,"Yes")</f>
        <v>1</v>
      </c>
      <c r="W130">
        <v>2.4763835625000001</v>
      </c>
      <c r="X130" t="s">
        <v>708</v>
      </c>
      <c r="Y130" t="s">
        <v>709</v>
      </c>
      <c r="Z130" s="257">
        <v>51100010407</v>
      </c>
    </row>
    <row r="131" spans="1:26" ht="15" customHeight="1" x14ac:dyDescent="0.25">
      <c r="A131">
        <v>2023</v>
      </c>
      <c r="B131" t="s">
        <v>323</v>
      </c>
      <c r="C131" t="s">
        <v>324</v>
      </c>
      <c r="D131" t="s">
        <v>707</v>
      </c>
      <c r="E131" t="s">
        <v>138</v>
      </c>
      <c r="F131">
        <v>37.108094000000001</v>
      </c>
      <c r="G131">
        <v>-85.303033999999997</v>
      </c>
      <c r="I131" s="1">
        <v>110009696356</v>
      </c>
      <c r="J131">
        <v>4952</v>
      </c>
      <c r="K131" s="175" t="str">
        <f>INDEX('2022 SIC to NAICS'!B:B, MATCH('Processed Non-zero DMR Data'!$J131, '2022 SIC to NAICS'!$A:$A, 0))</f>
        <v>Sewerage Systems</v>
      </c>
      <c r="L131" s="175">
        <f>INDEX('2022 SIC to NAICS'!C:C, MATCH('Processed Non-zero DMR Data'!$J131, '2022 SIC to NAICS'!$A:$A, 0))</f>
        <v>221320</v>
      </c>
      <c r="M131" s="175" t="str">
        <f>INDEX('2022 SIC to NAICS'!D:D, MATCH('Processed Non-zero DMR Data'!$J131, '2022 SIC to NAICS'!$A:$A, 0))</f>
        <v xml:space="preserve">Sewage Treatment Facilities </v>
      </c>
      <c r="N131" s="90" t="str">
        <f>IFERROR(INDEX('NAICS Code to IS CDR Code'!B:B, MATCH('Processed Non-zero DMR Data'!L131,'NAICS Code to IS CDR Code'!A:A,0)), "NAICS/SIC Not Provided")</f>
        <v>IS4</v>
      </c>
      <c r="O131" s="91" t="str">
        <f>IFERROR(INDEX('NAICS Code to IS CDR Code'!C:C, MATCH('Processed Non-zero DMR Data'!L131,'NAICS Code to IS CDR Code'!A:A,0)), "NAICS/SIC Not Provided")</f>
        <v>Utilities</v>
      </c>
      <c r="P131" s="91" t="str">
        <f>INDEX('11DCA Mapping'!$K:$K, MATCH('Processed Non-zero DMR Data'!I132,'11DCA Mapping'!$J:$J,0))</f>
        <v>POTW</v>
      </c>
      <c r="Q131" s="91" t="str">
        <f>INDEX('11DCA Mapping'!$L:$L, MATCH('Processed Non-zero DMR Data'!I132,'11DCA Mapping'!$J:$J,0))</f>
        <v>Based on DMR "Facility Type Indicator"</v>
      </c>
      <c r="R131" s="250" t="str">
        <f>VLOOKUP(I131,'DMR POTW Flag'!$A$2:$B$960,2,FALSE)</f>
        <v>POTW</v>
      </c>
      <c r="S131" s="7" t="s">
        <v>67</v>
      </c>
      <c r="T131" s="249" t="s">
        <v>586</v>
      </c>
      <c r="U131" s="8">
        <f>COUNTIFS('Raw Non-zero DMR Data'!$A:$A, 'Processed Non-zero DMR Data'!A131, 'Raw Non-zero DMR Data'!$C:$C, X131, 'Raw Non-zero DMR Data'!$U:$U,'Processed Non-zero DMR Data'!Y131)</f>
        <v>1</v>
      </c>
      <c r="V131" s="8">
        <f>COUNTIFS('Raw Non-zero DMR Data'!$A:$A, 'Processed Non-zero DMR Data'!A131, 'Raw Non-zero DMR Data'!$C:$C, X131, 'Raw Non-zero DMR Data'!$U:$U,'Processed Non-zero DMR Data'!Y131,'Raw Non-zero DMR Data'!$Z:$Z,"Yes")</f>
        <v>1</v>
      </c>
      <c r="W131">
        <v>1.90477759375</v>
      </c>
      <c r="X131" t="s">
        <v>708</v>
      </c>
      <c r="Y131" t="s">
        <v>709</v>
      </c>
      <c r="Z131" s="257">
        <v>51100010407</v>
      </c>
    </row>
    <row r="132" spans="1:26" ht="15" customHeight="1" x14ac:dyDescent="0.25">
      <c r="A132">
        <v>2019</v>
      </c>
      <c r="B132" t="s">
        <v>347</v>
      </c>
      <c r="C132" t="s">
        <v>348</v>
      </c>
      <c r="D132" t="s">
        <v>348</v>
      </c>
      <c r="E132" t="s">
        <v>146</v>
      </c>
      <c r="F132">
        <v>39.191054000000001</v>
      </c>
      <c r="G132">
        <v>-122.023129</v>
      </c>
      <c r="I132" s="1">
        <v>110055984957</v>
      </c>
      <c r="J132">
        <v>4952</v>
      </c>
      <c r="K132" s="175" t="str">
        <f>INDEX('2022 SIC to NAICS'!B:B, MATCH('Processed Non-zero DMR Data'!$J132, '2022 SIC to NAICS'!$A:$A, 0))</f>
        <v>Sewerage Systems</v>
      </c>
      <c r="L132" s="175">
        <f>INDEX('2022 SIC to NAICS'!C:C, MATCH('Processed Non-zero DMR Data'!$J132, '2022 SIC to NAICS'!$A:$A, 0))</f>
        <v>221320</v>
      </c>
      <c r="M132" s="175" t="str">
        <f>INDEX('2022 SIC to NAICS'!D:D, MATCH('Processed Non-zero DMR Data'!$J132, '2022 SIC to NAICS'!$A:$A, 0))</f>
        <v xml:space="preserve">Sewage Treatment Facilities </v>
      </c>
      <c r="N132" s="90" t="str">
        <f>IFERROR(INDEX('NAICS Code to IS CDR Code'!B:B, MATCH('Processed Non-zero DMR Data'!L132,'NAICS Code to IS CDR Code'!A:A,0)), "NAICS/SIC Not Provided")</f>
        <v>IS4</v>
      </c>
      <c r="O132" s="91" t="str">
        <f>IFERROR(INDEX('NAICS Code to IS CDR Code'!C:C, MATCH('Processed Non-zero DMR Data'!L132,'NAICS Code to IS CDR Code'!A:A,0)), "NAICS/SIC Not Provided")</f>
        <v>Utilities</v>
      </c>
      <c r="P132" s="91" t="str">
        <f>INDEX('11DCA Mapping'!$K:$K, MATCH('Processed Non-zero DMR Data'!I133,'11DCA Mapping'!$J:$J,0))</f>
        <v>Unknown</v>
      </c>
      <c r="Q132" s="91">
        <f>INDEX('11DCA Mapping'!$L:$L, MATCH('Processed Non-zero DMR Data'!I133,'11DCA Mapping'!$J:$J,0))</f>
        <v>0</v>
      </c>
      <c r="R132" s="250" t="str">
        <f>VLOOKUP(I132,'DMR POTW Flag'!$A$2:$B$960,2,FALSE)</f>
        <v>POTW</v>
      </c>
      <c r="S132" s="7" t="s">
        <v>67</v>
      </c>
      <c r="T132" s="249" t="s">
        <v>586</v>
      </c>
      <c r="U132" s="8">
        <f>COUNTIFS('Raw Non-zero DMR Data'!$A:$A, 'Processed Non-zero DMR Data'!A132, 'Raw Non-zero DMR Data'!$C:$C, X132, 'Raw Non-zero DMR Data'!$U:$U,'Processed Non-zero DMR Data'!Y132)</f>
        <v>1</v>
      </c>
      <c r="V132" s="8">
        <f>COUNTIFS('Raw Non-zero DMR Data'!$A:$A, 'Processed Non-zero DMR Data'!A132, 'Raw Non-zero DMR Data'!$C:$C, X132, 'Raw Non-zero DMR Data'!$U:$U,'Processed Non-zero DMR Data'!Y132,'Raw Non-zero DMR Data'!$Z:$Z,"Yes")</f>
        <v>0</v>
      </c>
      <c r="W132">
        <v>6.3041849733333294E-2</v>
      </c>
      <c r="X132" t="s">
        <v>710</v>
      </c>
      <c r="Y132" t="s">
        <v>711</v>
      </c>
      <c r="Z132" s="257">
        <v>180201040807</v>
      </c>
    </row>
    <row r="133" spans="1:26" ht="15" customHeight="1" x14ac:dyDescent="0.25">
      <c r="A133">
        <v>2020</v>
      </c>
      <c r="B133" t="s">
        <v>362</v>
      </c>
      <c r="C133" t="s">
        <v>363</v>
      </c>
      <c r="D133" t="s">
        <v>712</v>
      </c>
      <c r="E133" t="s">
        <v>364</v>
      </c>
      <c r="F133">
        <v>38.987340000000003</v>
      </c>
      <c r="G133">
        <v>-77.026660000000007</v>
      </c>
      <c r="I133" s="1">
        <v>110037096674</v>
      </c>
      <c r="J133">
        <v>1522</v>
      </c>
      <c r="K133" s="175" t="str">
        <f>INDEX('2022 SIC to NAICS'!B:B, MATCH('Processed Non-zero DMR Data'!$J133, '2022 SIC to NAICS'!$A:$A, 0))</f>
        <v>Residential Construction, Nec</v>
      </c>
      <c r="L133" s="175">
        <f>INDEX('2022 SIC to NAICS'!C:C, MATCH('Processed Non-zero DMR Data'!$J133, '2022 SIC to NAICS'!$A:$A, 0))</f>
        <v>236116</v>
      </c>
      <c r="M133" s="175" t="str">
        <f>INDEX('2022 SIC to NAICS'!D:D, MATCH('Processed Non-zero DMR Data'!$J133, '2022 SIC to NAICS'!$A:$A, 0))</f>
        <v xml:space="preserve">New Multifamily Housing Construction (except For-Sale Builders) </v>
      </c>
      <c r="N133" s="90" t="str">
        <f>IFERROR(INDEX('NAICS Code to IS CDR Code'!B:B, MATCH('Processed Non-zero DMR Data'!L133,'NAICS Code to IS CDR Code'!A:A,0)), "NAICS/SIC Not Provided")</f>
        <v>IS5</v>
      </c>
      <c r="O133" s="91" t="str">
        <f>IFERROR(INDEX('NAICS Code to IS CDR Code'!C:C, MATCH('Processed Non-zero DMR Data'!L133,'NAICS Code to IS CDR Code'!A:A,0)), "NAICS/SIC Not Provided")</f>
        <v>Construction</v>
      </c>
      <c r="P133" s="91" t="str">
        <f>INDEX('11DCA Mapping'!$K:$K, MATCH('Processed Non-zero DMR Data'!I290,'11DCA Mapping'!$J:$J,0))</f>
        <v>Processing as a Reactant</v>
      </c>
      <c r="Q133" s="91" t="str">
        <f>INDEX('11DCA Mapping'!$L:$L, MATCH('Processed Non-zero DMR Data'!I290,'11DCA Mapping'!$J:$J,0))</f>
        <v xml:space="preserve">Assumed processing as a reactant </v>
      </c>
      <c r="R133" s="91" t="str">
        <f>VLOOKUP(I133,'DMR POTW Flag'!$A$2:$B$960,2,FALSE)</f>
        <v>NON-POTW</v>
      </c>
      <c r="S133" s="7" t="s">
        <v>72</v>
      </c>
      <c r="T133" s="244" t="s">
        <v>576</v>
      </c>
      <c r="U133" s="8">
        <f>COUNTIFS('Raw Non-zero DMR Data'!$A:$A, 'Processed Non-zero DMR Data'!A133, 'Raw Non-zero DMR Data'!$C:$C, X133, 'Raw Non-zero DMR Data'!$U:$U,'Processed Non-zero DMR Data'!Y133)</f>
        <v>1</v>
      </c>
      <c r="V133" s="8">
        <f>COUNTIFS('Raw Non-zero DMR Data'!$A:$A, 'Processed Non-zero DMR Data'!A133, 'Raw Non-zero DMR Data'!$C:$C, X133, 'Raw Non-zero DMR Data'!$U:$U,'Processed Non-zero DMR Data'!Y133,'Raw Non-zero DMR Data'!$Z:$Z,"Yes")</f>
        <v>1</v>
      </c>
      <c r="W133">
        <v>2.7311939260000001E-2</v>
      </c>
      <c r="X133" t="s">
        <v>713</v>
      </c>
      <c r="Y133" t="s">
        <v>714</v>
      </c>
      <c r="Z133" s="257">
        <v>20700100102</v>
      </c>
    </row>
    <row r="134" spans="1:26" ht="15" customHeight="1" x14ac:dyDescent="0.25">
      <c r="A134">
        <v>2020</v>
      </c>
      <c r="B134" t="s">
        <v>432</v>
      </c>
      <c r="C134" t="s">
        <v>157</v>
      </c>
      <c r="D134" t="s">
        <v>554</v>
      </c>
      <c r="E134" t="s">
        <v>158</v>
      </c>
      <c r="F134">
        <v>36.16478</v>
      </c>
      <c r="G134">
        <v>-115.14067</v>
      </c>
      <c r="I134" s="1">
        <v>110017237373</v>
      </c>
      <c r="J134">
        <v>8211</v>
      </c>
      <c r="K134" s="175" t="str">
        <f>INDEX('2022 SIC to NAICS'!B:B, MATCH('Processed Non-zero DMR Data'!$J134, '2022 SIC to NAICS'!$A:$A, 0))</f>
        <v>Elementary and Secondary Schools</v>
      </c>
      <c r="L134" s="175">
        <f>INDEX('2022 SIC to NAICS'!C:C, MATCH('Processed Non-zero DMR Data'!$J134, '2022 SIC to NAICS'!$A:$A, 0))</f>
        <v>611110</v>
      </c>
      <c r="M134" s="175" t="str">
        <f>INDEX('2022 SIC to NAICS'!D:D, MATCH('Processed Non-zero DMR Data'!$J134, '2022 SIC to NAICS'!$A:$A, 0))</f>
        <v xml:space="preserve">Elementary and Secondary Schools </v>
      </c>
      <c r="N134" s="90" t="str">
        <f>IFERROR(INDEX('NAICS Code to IS CDR Code'!B:B, MATCH('Processed Non-zero DMR Data'!L134,'NAICS Code to IS CDR Code'!A:A,0)), "NAICS/SIC Not Provided")</f>
        <v>IS47</v>
      </c>
      <c r="O134" s="91" t="str">
        <f>IFERROR(INDEX('NAICS Code to IS CDR Code'!C:C, MATCH('Processed Non-zero DMR Data'!L134,'NAICS Code to IS CDR Code'!A:A,0)), "NAICS/SIC Not Provided")</f>
        <v>Services</v>
      </c>
      <c r="P134" s="91" t="e">
        <f>INDEX('11DCA Mapping'!$K:$K, MATCH('Processed Non-zero DMR Data'!I358,'11DCA Mapping'!$J:$J,0))</f>
        <v>#N/A</v>
      </c>
      <c r="Q134" s="91" t="e">
        <f>INDEX('11DCA Mapping'!$L:$L, MATCH('Processed Non-zero DMR Data'!I358,'11DCA Mapping'!$J:$J,0))</f>
        <v>#N/A</v>
      </c>
      <c r="R134" s="91" t="str">
        <f>VLOOKUP(I134,'DMR POTW Flag'!$A$2:$B$960,2,FALSE)</f>
        <v>NON-POTW</v>
      </c>
      <c r="S134" s="7" t="s">
        <v>72</v>
      </c>
      <c r="T134" s="244" t="s">
        <v>576</v>
      </c>
      <c r="U134" s="8">
        <f>COUNTIFS('Raw Non-zero DMR Data'!$A:$A, 'Processed Non-zero DMR Data'!A134, 'Raw Non-zero DMR Data'!$C:$C, X134, 'Raw Non-zero DMR Data'!$U:$U,'Processed Non-zero DMR Data'!Y134)</f>
        <v>1</v>
      </c>
      <c r="V134" s="8">
        <f>COUNTIFS('Raw Non-zero DMR Data'!$A:$A, 'Processed Non-zero DMR Data'!A134, 'Raw Non-zero DMR Data'!$C:$C, X134, 'Raw Non-zero DMR Data'!$U:$U,'Processed Non-zero DMR Data'!Y134,'Raw Non-zero DMR Data'!$Z:$Z,"Yes")</f>
        <v>1</v>
      </c>
      <c r="W134">
        <v>3.3501981249999999E-3</v>
      </c>
      <c r="X134" t="s">
        <v>715</v>
      </c>
      <c r="Y134" t="s">
        <v>578</v>
      </c>
      <c r="Z134" s="257">
        <v>150100150604</v>
      </c>
    </row>
    <row r="135" spans="1:26" ht="15" customHeight="1" x14ac:dyDescent="0.25">
      <c r="A135">
        <v>2021</v>
      </c>
      <c r="B135" t="s">
        <v>473</v>
      </c>
      <c r="C135" t="s">
        <v>474</v>
      </c>
      <c r="D135" t="s">
        <v>701</v>
      </c>
      <c r="E135" t="s">
        <v>146</v>
      </c>
      <c r="F135">
        <v>37.908380000000001</v>
      </c>
      <c r="G135">
        <v>-120.61605</v>
      </c>
      <c r="I135" s="1">
        <v>110027858432</v>
      </c>
      <c r="J135">
        <v>4952</v>
      </c>
      <c r="K135" s="175" t="str">
        <f>INDEX('2022 SIC to NAICS'!B:B, MATCH('Processed Non-zero DMR Data'!$J135, '2022 SIC to NAICS'!$A:$A, 0))</f>
        <v>Sewerage Systems</v>
      </c>
      <c r="L135" s="175">
        <f>INDEX('2022 SIC to NAICS'!C:C, MATCH('Processed Non-zero DMR Data'!$J135, '2022 SIC to NAICS'!$A:$A, 0))</f>
        <v>221320</v>
      </c>
      <c r="M135" s="175" t="str">
        <f>INDEX('2022 SIC to NAICS'!D:D, MATCH('Processed Non-zero DMR Data'!$J135, '2022 SIC to NAICS'!$A:$A, 0))</f>
        <v xml:space="preserve">Sewage Treatment Facilities </v>
      </c>
      <c r="N135" s="90" t="str">
        <f>IFERROR(INDEX('NAICS Code to IS CDR Code'!B:B, MATCH('Processed Non-zero DMR Data'!L135,'NAICS Code to IS CDR Code'!A:A,0)), "NAICS/SIC Not Provided")</f>
        <v>IS4</v>
      </c>
      <c r="O135" s="91" t="str">
        <f>IFERROR(INDEX('NAICS Code to IS CDR Code'!C:C, MATCH('Processed Non-zero DMR Data'!L135,'NAICS Code to IS CDR Code'!A:A,0)), "NAICS/SIC Not Provided")</f>
        <v>Utilities</v>
      </c>
      <c r="P135" s="91" t="str">
        <f>INDEX('11DCA Mapping'!$K:$K, MATCH('Processed Non-zero DMR Data'!I136,'11DCA Mapping'!$J:$J,0))</f>
        <v>POTW</v>
      </c>
      <c r="Q135" s="91" t="str">
        <f>INDEX('11DCA Mapping'!$L:$L, MATCH('Processed Non-zero DMR Data'!I136,'11DCA Mapping'!$J:$J,0))</f>
        <v>Assigned POTW per "Facility Type Indicator"</v>
      </c>
      <c r="R135" s="250" t="str">
        <f>VLOOKUP(I135,'DMR POTW Flag'!$A$2:$B$960,2,FALSE)</f>
        <v>POTW</v>
      </c>
      <c r="S135" s="7" t="s">
        <v>67</v>
      </c>
      <c r="T135" s="249" t="s">
        <v>586</v>
      </c>
      <c r="U135" s="8">
        <f>COUNTIFS('Raw Non-zero DMR Data'!$A:$A, 'Processed Non-zero DMR Data'!A135, 'Raw Non-zero DMR Data'!$C:$C, X135, 'Raw Non-zero DMR Data'!$U:$U,'Processed Non-zero DMR Data'!Y135)</f>
        <v>1</v>
      </c>
      <c r="V135" s="8">
        <f>COUNTIFS('Raw Non-zero DMR Data'!$A:$A, 'Processed Non-zero DMR Data'!A135, 'Raw Non-zero DMR Data'!$C:$C, X135, 'Raw Non-zero DMR Data'!$U:$U,'Processed Non-zero DMR Data'!Y135,'Raw Non-zero DMR Data'!$Z:$Z,"Yes")</f>
        <v>1</v>
      </c>
      <c r="W135">
        <v>0.16820066875</v>
      </c>
      <c r="X135" t="s">
        <v>716</v>
      </c>
      <c r="Y135" t="s">
        <v>717</v>
      </c>
      <c r="Z135" s="257">
        <v>180400510203</v>
      </c>
    </row>
    <row r="136" spans="1:26" ht="15" customHeight="1" x14ac:dyDescent="0.25">
      <c r="A136">
        <v>2019</v>
      </c>
      <c r="B136" t="s">
        <v>144</v>
      </c>
      <c r="C136" t="s">
        <v>145</v>
      </c>
      <c r="D136" t="s">
        <v>616</v>
      </c>
      <c r="E136" t="s">
        <v>146</v>
      </c>
      <c r="F136">
        <v>39.916111000000001</v>
      </c>
      <c r="G136">
        <v>-122.104444</v>
      </c>
      <c r="I136" s="1">
        <v>110000730451</v>
      </c>
      <c r="J136">
        <v>4952</v>
      </c>
      <c r="K136" s="175" t="str">
        <f>INDEX('2022 SIC to NAICS'!B:B, MATCH('Processed Non-zero DMR Data'!$J136, '2022 SIC to NAICS'!$A:$A, 0))</f>
        <v>Sewerage Systems</v>
      </c>
      <c r="L136" s="175">
        <f>INDEX('2022 SIC to NAICS'!C:C, MATCH('Processed Non-zero DMR Data'!$J136, '2022 SIC to NAICS'!$A:$A, 0))</f>
        <v>221320</v>
      </c>
      <c r="M136" s="175" t="str">
        <f>INDEX('2022 SIC to NAICS'!D:D, MATCH('Processed Non-zero DMR Data'!$J136, '2022 SIC to NAICS'!$A:$A, 0))</f>
        <v xml:space="preserve">Sewage Treatment Facilities </v>
      </c>
      <c r="N136" s="90" t="str">
        <f>IFERROR(INDEX('NAICS Code to IS CDR Code'!B:B, MATCH('Processed Non-zero DMR Data'!L136,'NAICS Code to IS CDR Code'!A:A,0)), "NAICS/SIC Not Provided")</f>
        <v>IS4</v>
      </c>
      <c r="O136" s="91" t="str">
        <f>IFERROR(INDEX('NAICS Code to IS CDR Code'!C:C, MATCH('Processed Non-zero DMR Data'!L136,'NAICS Code to IS CDR Code'!A:A,0)), "NAICS/SIC Not Provided")</f>
        <v>Utilities</v>
      </c>
      <c r="P136" s="91" t="str">
        <f>INDEX('11DCA Mapping'!$K:$K, MATCH('Processed Non-zero DMR Data'!I137,'11DCA Mapping'!$J:$J,0))</f>
        <v>POTW</v>
      </c>
      <c r="Q136" s="91" t="str">
        <f>INDEX('11DCA Mapping'!$L:$L, MATCH('Processed Non-zero DMR Data'!I137,'11DCA Mapping'!$J:$J,0))</f>
        <v>Assigned POTW per "Facility Type Indicator"</v>
      </c>
      <c r="R136" s="250" t="str">
        <f>VLOOKUP(I136,'DMR POTW Flag'!$A$2:$B$960,2,FALSE)</f>
        <v>POTW</v>
      </c>
      <c r="S136" s="7" t="s">
        <v>67</v>
      </c>
      <c r="T136" s="249" t="s">
        <v>586</v>
      </c>
      <c r="U136" s="8">
        <f>COUNTIFS('Raw Non-zero DMR Data'!$A:$A, 'Processed Non-zero DMR Data'!A136, 'Raw Non-zero DMR Data'!$C:$C, X136, 'Raw Non-zero DMR Data'!$U:$U,'Processed Non-zero DMR Data'!Y136)</f>
        <v>1</v>
      </c>
      <c r="V136" s="8">
        <f>COUNTIFS('Raw Non-zero DMR Data'!$A:$A, 'Processed Non-zero DMR Data'!A136, 'Raw Non-zero DMR Data'!$C:$C, X136, 'Raw Non-zero DMR Data'!$U:$U,'Processed Non-zero DMR Data'!Y136,'Raw Non-zero DMR Data'!$Z:$Z,"Yes")</f>
        <v>1</v>
      </c>
      <c r="W136">
        <v>4.7259257666666603E-2</v>
      </c>
      <c r="X136" t="s">
        <v>718</v>
      </c>
      <c r="Y136" t="s">
        <v>619</v>
      </c>
      <c r="Z136" s="257">
        <v>180201570701</v>
      </c>
    </row>
    <row r="137" spans="1:26" ht="15" customHeight="1" x14ac:dyDescent="0.25">
      <c r="A137">
        <v>2023</v>
      </c>
      <c r="B137" t="s">
        <v>144</v>
      </c>
      <c r="C137" t="s">
        <v>145</v>
      </c>
      <c r="D137" t="s">
        <v>616</v>
      </c>
      <c r="E137" t="s">
        <v>146</v>
      </c>
      <c r="F137">
        <v>39.916111000000001</v>
      </c>
      <c r="G137">
        <v>-122.104444</v>
      </c>
      <c r="I137" s="1">
        <v>110000730451</v>
      </c>
      <c r="J137">
        <v>4952</v>
      </c>
      <c r="K137" s="175" t="str">
        <f>INDEX('2022 SIC to NAICS'!B:B, MATCH('Processed Non-zero DMR Data'!$J137, '2022 SIC to NAICS'!$A:$A, 0))</f>
        <v>Sewerage Systems</v>
      </c>
      <c r="L137" s="175">
        <f>INDEX('2022 SIC to NAICS'!C:C, MATCH('Processed Non-zero DMR Data'!$J137, '2022 SIC to NAICS'!$A:$A, 0))</f>
        <v>221320</v>
      </c>
      <c r="M137" s="175" t="str">
        <f>INDEX('2022 SIC to NAICS'!D:D, MATCH('Processed Non-zero DMR Data'!$J137, '2022 SIC to NAICS'!$A:$A, 0))</f>
        <v xml:space="preserve">Sewage Treatment Facilities </v>
      </c>
      <c r="N137" s="90" t="str">
        <f>IFERROR(INDEX('NAICS Code to IS CDR Code'!B:B, MATCH('Processed Non-zero DMR Data'!L137,'NAICS Code to IS CDR Code'!A:A,0)), "NAICS/SIC Not Provided")</f>
        <v>IS4</v>
      </c>
      <c r="O137" s="91" t="str">
        <f>IFERROR(INDEX('NAICS Code to IS CDR Code'!C:C, MATCH('Processed Non-zero DMR Data'!L137,'NAICS Code to IS CDR Code'!A:A,0)), "NAICS/SIC Not Provided")</f>
        <v>Utilities</v>
      </c>
      <c r="P137" s="91" t="str">
        <f>INDEX('11DCA Mapping'!$K:$K, MATCH('Processed Non-zero DMR Data'!I138,'11DCA Mapping'!$J:$J,0))</f>
        <v>Natural Gas Engines</v>
      </c>
      <c r="Q137" s="91" t="str">
        <f>INDEX('11DCA Mapping'!$L:$L, MATCH('Processed Non-zero DMR Data'!I138,'11DCA Mapping'!$J:$J,0))</f>
        <v>Suggested OES, “Natural Gas Engines.” Other airports and air traffic control sites were mapped to this OES.</v>
      </c>
      <c r="R137" s="250" t="str">
        <f>VLOOKUP(I137,'DMR POTW Flag'!$A$2:$B$960,2,FALSE)</f>
        <v>POTW</v>
      </c>
      <c r="S137" s="7" t="s">
        <v>67</v>
      </c>
      <c r="T137" s="249" t="s">
        <v>586</v>
      </c>
      <c r="U137" s="8">
        <f>COUNTIFS('Raw Non-zero DMR Data'!$A:$A, 'Processed Non-zero DMR Data'!A137, 'Raw Non-zero DMR Data'!$C:$C, X137, 'Raw Non-zero DMR Data'!$U:$U,'Processed Non-zero DMR Data'!Y137)</f>
        <v>1</v>
      </c>
      <c r="V137" s="8">
        <f>COUNTIFS('Raw Non-zero DMR Data'!$A:$A, 'Processed Non-zero DMR Data'!A137, 'Raw Non-zero DMR Data'!$C:$C, X137, 'Raw Non-zero DMR Data'!$U:$U,'Processed Non-zero DMR Data'!Y137,'Raw Non-zero DMR Data'!$Z:$Z,"Yes")</f>
        <v>1</v>
      </c>
      <c r="W137">
        <v>1.46376043333333E-2</v>
      </c>
      <c r="X137" t="s">
        <v>718</v>
      </c>
      <c r="Y137" t="s">
        <v>619</v>
      </c>
      <c r="Z137" s="257">
        <v>180201570701</v>
      </c>
    </row>
    <row r="138" spans="1:26" ht="15" customHeight="1" x14ac:dyDescent="0.25">
      <c r="A138">
        <v>2020</v>
      </c>
      <c r="B138" t="s">
        <v>233</v>
      </c>
      <c r="C138" t="s">
        <v>157</v>
      </c>
      <c r="D138" t="s">
        <v>554</v>
      </c>
      <c r="E138" t="s">
        <v>158</v>
      </c>
      <c r="F138">
        <v>36.075400000000002</v>
      </c>
      <c r="G138">
        <v>-115.1669</v>
      </c>
      <c r="I138" s="1">
        <v>110064134459</v>
      </c>
      <c r="J138">
        <v>4581</v>
      </c>
      <c r="K138" s="175" t="str">
        <f>INDEX('2022 SIC to NAICS'!B:B, MATCH('Processed Non-zero DMR Data'!$J138, '2022 SIC to NAICS'!$A:$A, 0))</f>
        <v>Airports, Flying Fields, and Services</v>
      </c>
      <c r="L138" s="175">
        <f>INDEX('2022 SIC to NAICS'!C:C, MATCH('Processed Non-zero DMR Data'!$J138, '2022 SIC to NAICS'!$A:$A, 0))</f>
        <v>488111</v>
      </c>
      <c r="M138" s="175" t="str">
        <f>INDEX('2022 SIC to NAICS'!D:D, MATCH('Processed Non-zero DMR Data'!$J138, '2022 SIC to NAICS'!$A:$A, 0))</f>
        <v>Air Traffic Control</v>
      </c>
      <c r="N138" s="90" t="str">
        <f>IFERROR(INDEX('NAICS Code to IS CDR Code'!B:B, MATCH('Processed Non-zero DMR Data'!L138,'NAICS Code to IS CDR Code'!A:A,0)), "NAICS/SIC Not Provided")</f>
        <v>IS46</v>
      </c>
      <c r="O138" s="91" t="str">
        <f>IFERROR(INDEX('NAICS Code to IS CDR Code'!C:C, MATCH('Processed Non-zero DMR Data'!L138,'NAICS Code to IS CDR Code'!A:A,0)), "NAICS/SIC Not Provided")</f>
        <v>Wholesale and Retail Trade</v>
      </c>
      <c r="P138" s="91" t="e">
        <f>INDEX('11DCA Mapping'!$K:$K, MATCH('Processed Non-zero DMR Data'!I383,'11DCA Mapping'!$J:$J,0))</f>
        <v>#N/A</v>
      </c>
      <c r="Q138" s="91" t="e">
        <f>INDEX('11DCA Mapping'!$L:$L, MATCH('Processed Non-zero DMR Data'!I383,'11DCA Mapping'!$J:$J,0))</f>
        <v>#N/A</v>
      </c>
      <c r="R138" s="91" t="str">
        <f>VLOOKUP(I138,'DMR POTW Flag'!$A$2:$B$960,2,FALSE)</f>
        <v>NON-POTW</v>
      </c>
      <c r="S138" s="7" t="s">
        <v>72</v>
      </c>
      <c r="T138" s="244" t="s">
        <v>579</v>
      </c>
      <c r="U138" s="8">
        <f>COUNTIFS('Raw Non-zero DMR Data'!$A:$A, 'Processed Non-zero DMR Data'!A138, 'Raw Non-zero DMR Data'!$C:$C, X138, 'Raw Non-zero DMR Data'!$U:$U,'Processed Non-zero DMR Data'!Y138)</f>
        <v>2</v>
      </c>
      <c r="V138" s="8">
        <f>COUNTIFS('Raw Non-zero DMR Data'!$A:$A, 'Processed Non-zero DMR Data'!A138, 'Raw Non-zero DMR Data'!$C:$C, X138, 'Raw Non-zero DMR Data'!$U:$U,'Processed Non-zero DMR Data'!Y138,'Raw Non-zero DMR Data'!$Z:$Z,"Yes")</f>
        <v>2</v>
      </c>
      <c r="W138">
        <v>1.9905693499999998E-2</v>
      </c>
      <c r="X138" t="s">
        <v>580</v>
      </c>
      <c r="Y138" t="s">
        <v>581</v>
      </c>
      <c r="Z138" s="257">
        <v>150100150704</v>
      </c>
    </row>
    <row r="139" spans="1:26" ht="15" customHeight="1" x14ac:dyDescent="0.25">
      <c r="A139">
        <v>2020</v>
      </c>
      <c r="B139" t="s">
        <v>233</v>
      </c>
      <c r="C139" t="s">
        <v>157</v>
      </c>
      <c r="D139" t="s">
        <v>554</v>
      </c>
      <c r="E139" t="s">
        <v>158</v>
      </c>
      <c r="F139">
        <v>36.075400000000002</v>
      </c>
      <c r="G139">
        <v>-115.1669</v>
      </c>
      <c r="I139" s="1">
        <v>110064134459</v>
      </c>
      <c r="J139">
        <v>4581</v>
      </c>
      <c r="K139" s="175" t="str">
        <f>INDEX('2022 SIC to NAICS'!B:B, MATCH('Processed Non-zero DMR Data'!$J139, '2022 SIC to NAICS'!$A:$A, 0))</f>
        <v>Airports, Flying Fields, and Services</v>
      </c>
      <c r="L139" s="175">
        <f>INDEX('2022 SIC to NAICS'!C:C, MATCH('Processed Non-zero DMR Data'!$J139, '2022 SIC to NAICS'!$A:$A, 0))</f>
        <v>488111</v>
      </c>
      <c r="M139" s="175" t="str">
        <f>INDEX('2022 SIC to NAICS'!D:D, MATCH('Processed Non-zero DMR Data'!$J139, '2022 SIC to NAICS'!$A:$A, 0))</f>
        <v>Air Traffic Control</v>
      </c>
      <c r="N139" s="90" t="str">
        <f>IFERROR(INDEX('NAICS Code to IS CDR Code'!B:B, MATCH('Processed Non-zero DMR Data'!L139,'NAICS Code to IS CDR Code'!A:A,0)), "NAICS/SIC Not Provided")</f>
        <v>IS46</v>
      </c>
      <c r="O139" s="91" t="str">
        <f>IFERROR(INDEX('NAICS Code to IS CDR Code'!C:C, MATCH('Processed Non-zero DMR Data'!L139,'NAICS Code to IS CDR Code'!A:A,0)), "NAICS/SIC Not Provided")</f>
        <v>Wholesale and Retail Trade</v>
      </c>
      <c r="P139" s="91" t="e">
        <f>INDEX('11DCA Mapping'!$K:$K, MATCH('Processed Non-zero DMR Data'!I384,'11DCA Mapping'!$J:$J,0))</f>
        <v>#N/A</v>
      </c>
      <c r="Q139" s="91" t="e">
        <f>INDEX('11DCA Mapping'!$L:$L, MATCH('Processed Non-zero DMR Data'!I384,'11DCA Mapping'!$J:$J,0))</f>
        <v>#N/A</v>
      </c>
      <c r="R139" s="91" t="str">
        <f>VLOOKUP(I139,'DMR POTW Flag'!$A$2:$B$960,2,FALSE)</f>
        <v>NON-POTW</v>
      </c>
      <c r="S139" s="7" t="s">
        <v>72</v>
      </c>
      <c r="T139" s="244" t="s">
        <v>579</v>
      </c>
      <c r="U139" s="8">
        <f>COUNTIFS('Raw Non-zero DMR Data'!$A:$A, 'Processed Non-zero DMR Data'!A139, 'Raw Non-zero DMR Data'!$C:$C, X139, 'Raw Non-zero DMR Data'!$U:$U,'Processed Non-zero DMR Data'!Y139)</f>
        <v>2</v>
      </c>
      <c r="V139" s="8">
        <f>COUNTIFS('Raw Non-zero DMR Data'!$A:$A, 'Processed Non-zero DMR Data'!A139, 'Raw Non-zero DMR Data'!$C:$C, X139, 'Raw Non-zero DMR Data'!$U:$U,'Processed Non-zero DMR Data'!Y139,'Raw Non-zero DMR Data'!$Z:$Z,"Yes")</f>
        <v>2</v>
      </c>
      <c r="W139">
        <v>2.847020225E-2</v>
      </c>
      <c r="X139" t="s">
        <v>580</v>
      </c>
      <c r="Y139" t="s">
        <v>581</v>
      </c>
      <c r="Z139" s="257">
        <v>150100150704</v>
      </c>
    </row>
    <row r="140" spans="1:26" ht="15" customHeight="1" x14ac:dyDescent="0.25">
      <c r="A140">
        <v>2020</v>
      </c>
      <c r="B140" t="s">
        <v>184</v>
      </c>
      <c r="C140" t="s">
        <v>185</v>
      </c>
      <c r="D140" t="s">
        <v>185</v>
      </c>
      <c r="E140" t="s">
        <v>186</v>
      </c>
      <c r="F140">
        <v>21.352499999999999</v>
      </c>
      <c r="G140">
        <v>-157.95813899999999</v>
      </c>
      <c r="I140" s="1">
        <v>110046184516</v>
      </c>
      <c r="J140">
        <v>3731</v>
      </c>
      <c r="K140" s="175" t="str">
        <f>INDEX('2022 SIC to NAICS'!B:B, MATCH('Processed Non-zero DMR Data'!$J140, '2022 SIC to NAICS'!$A:$A, 0))</f>
        <v>Shipbuilding and Repairing</v>
      </c>
      <c r="L140" s="175">
        <f>INDEX('2022 SIC to NAICS'!C:C, MATCH('Processed Non-zero DMR Data'!$J140, '2022 SIC to NAICS'!$A:$A, 0))</f>
        <v>336611</v>
      </c>
      <c r="M140" s="175" t="str">
        <f>INDEX('2022 SIC to NAICS'!D:D, MATCH('Processed Non-zero DMR Data'!$J140, '2022 SIC to NAICS'!$A:$A, 0))</f>
        <v xml:space="preserve">Ship Building and Repairing </v>
      </c>
      <c r="N140" s="90" t="str">
        <f>IFERROR(INDEX('NAICS Code to IS CDR Code'!B:B, MATCH('Processed Non-zero DMR Data'!L140,'NAICS Code to IS CDR Code'!A:A,0)), "NAICS/SIC Not Provided")</f>
        <v>IS43</v>
      </c>
      <c r="O140" s="91" t="str">
        <f>IFERROR(INDEX('NAICS Code to IS CDR Code'!C:C, MATCH('Processed Non-zero DMR Data'!L140,'NAICS Code to IS CDR Code'!A:A,0)), "NAICS/SIC Not Provided")</f>
        <v>Transportation Equipment Manufacturing</v>
      </c>
      <c r="P140" s="91" t="str">
        <f>INDEX('11DCA Mapping'!$K:$K, MATCH('Processed Non-zero DMR Data'!I459,'11DCA Mapping'!$J:$J,0))</f>
        <v>Natural Gas Engines</v>
      </c>
      <c r="Q140" s="91" t="str">
        <f>INDEX('11DCA Mapping'!$L:$L, MATCH('Processed Non-zero DMR Data'!I459,'11DCA Mapping'!$J:$J,0))</f>
        <v xml:space="preserve">The facility is a petroleum processes/refinery. 1,1 DCA detection may be originating from natural gas (if used) combusted at the site. </v>
      </c>
      <c r="R140" s="91" t="str">
        <f>VLOOKUP(I140,'DMR POTW Flag'!$A$2:$B$960,2,FALSE)</f>
        <v>FEDERAL</v>
      </c>
      <c r="S140" s="7" t="s">
        <v>72</v>
      </c>
      <c r="T140" s="244" t="s">
        <v>656</v>
      </c>
      <c r="U140" s="8">
        <f>COUNTIFS('Raw Non-zero DMR Data'!$A:$A, 'Processed Non-zero DMR Data'!A140, 'Raw Non-zero DMR Data'!$C:$C, X140, 'Raw Non-zero DMR Data'!$U:$U,'Processed Non-zero DMR Data'!Y140)</f>
        <v>1</v>
      </c>
      <c r="V140" s="8">
        <f>COUNTIFS('Raw Non-zero DMR Data'!$A:$A, 'Processed Non-zero DMR Data'!A140, 'Raw Non-zero DMR Data'!$C:$C, X140, 'Raw Non-zero DMR Data'!$U:$U,'Processed Non-zero DMR Data'!Y140,'Raw Non-zero DMR Data'!$Z:$Z,"Yes")</f>
        <v>1</v>
      </c>
      <c r="W140">
        <v>0.46971849999999998</v>
      </c>
      <c r="X140" t="s">
        <v>657</v>
      </c>
      <c r="Y140" t="s">
        <v>658</v>
      </c>
      <c r="Z140" s="257">
        <v>200600000401</v>
      </c>
    </row>
    <row r="141" spans="1:26" ht="15" customHeight="1" x14ac:dyDescent="0.25">
      <c r="A141">
        <v>2020</v>
      </c>
      <c r="B141" t="s">
        <v>231</v>
      </c>
      <c r="C141" t="s">
        <v>232</v>
      </c>
      <c r="D141" t="s">
        <v>659</v>
      </c>
      <c r="E141" t="s">
        <v>141</v>
      </c>
      <c r="F141">
        <v>38.2774</v>
      </c>
      <c r="G141">
        <v>-89.666899999999998</v>
      </c>
      <c r="I141" s="1">
        <v>110044852068</v>
      </c>
      <c r="J141">
        <v>4911</v>
      </c>
      <c r="K141" s="175" t="str">
        <f>INDEX('2022 SIC to NAICS'!B:B, MATCH('Processed Non-zero DMR Data'!$J141, '2022 SIC to NAICS'!$A:$A, 0))</f>
        <v>Electric Services</v>
      </c>
      <c r="L141" s="175">
        <f>INDEX('2022 SIC to NAICS'!C:C, MATCH('Processed Non-zero DMR Data'!$J141, '2022 SIC to NAICS'!$A:$A, 0))</f>
        <v>221111</v>
      </c>
      <c r="M141" s="175" t="str">
        <f>INDEX('2022 SIC to NAICS'!D:D, MATCH('Processed Non-zero DMR Data'!$J141, '2022 SIC to NAICS'!$A:$A, 0))</f>
        <v xml:space="preserve">Hydroelectric Power Generation </v>
      </c>
      <c r="N141" s="90" t="str">
        <f>IFERROR(INDEX('NAICS Code to IS CDR Code'!B:B, MATCH('Processed Non-zero DMR Data'!L141,'NAICS Code to IS CDR Code'!A:A,0)), "NAICS/SIC Not Provided")</f>
        <v>NAICS/SIC Not Provided</v>
      </c>
      <c r="O141" s="91" t="str">
        <f>IFERROR(INDEX('NAICS Code to IS CDR Code'!C:C, MATCH('Processed Non-zero DMR Data'!L141,'NAICS Code to IS CDR Code'!A:A,0)), "NAICS/SIC Not Provided")</f>
        <v>NAICS/SIC Not Provided</v>
      </c>
      <c r="P141" s="91" t="str">
        <f>INDEX('11DCA Mapping'!$K:$K, MATCH('Processed Non-zero DMR Data'!I473,'11DCA Mapping'!$J:$J,0))</f>
        <v>POTW</v>
      </c>
      <c r="Q141" s="91" t="str">
        <f>INDEX('11DCA Mapping'!$L:$L, MATCH('Processed Non-zero DMR Data'!I473,'11DCA Mapping'!$J:$J,0))</f>
        <v>Assigned POTW per "Facility Type Indicator"</v>
      </c>
      <c r="R141" s="91" t="str">
        <f>VLOOKUP(I141,'DMR POTW Flag'!$A$2:$B$960,2,FALSE)</f>
        <v>NON-POTW</v>
      </c>
      <c r="S141" s="7" t="s">
        <v>72</v>
      </c>
      <c r="T141" s="244" t="s">
        <v>660</v>
      </c>
      <c r="U141" s="8">
        <f>COUNTIFS('Raw Non-zero DMR Data'!$A:$A, 'Processed Non-zero DMR Data'!A141, 'Raw Non-zero DMR Data'!$C:$C, X141, 'Raw Non-zero DMR Data'!$U:$U,'Processed Non-zero DMR Data'!Y141)</f>
        <v>1</v>
      </c>
      <c r="V141" s="8">
        <f>COUNTIFS('Raw Non-zero DMR Data'!$A:$A, 'Processed Non-zero DMR Data'!A141, 'Raw Non-zero DMR Data'!$C:$C, X141, 'Raw Non-zero DMR Data'!$U:$U,'Processed Non-zero DMR Data'!Y141,'Raw Non-zero DMR Data'!$Z:$Z,"Yes")</f>
        <v>1</v>
      </c>
      <c r="W141">
        <v>2.0337429524999999</v>
      </c>
      <c r="X141" t="s">
        <v>661</v>
      </c>
      <c r="Y141" t="s">
        <v>662</v>
      </c>
      <c r="Z141" s="257">
        <v>71402040302</v>
      </c>
    </row>
    <row r="142" spans="1:26" ht="15" customHeight="1" x14ac:dyDescent="0.25">
      <c r="A142">
        <v>2021</v>
      </c>
      <c r="B142" t="s">
        <v>449</v>
      </c>
      <c r="C142" t="s">
        <v>450</v>
      </c>
      <c r="D142" t="s">
        <v>719</v>
      </c>
      <c r="E142" t="s">
        <v>138</v>
      </c>
      <c r="F142">
        <v>38.394444</v>
      </c>
      <c r="G142">
        <v>-84.284999999999997</v>
      </c>
      <c r="I142" s="1">
        <v>110020737540</v>
      </c>
      <c r="J142">
        <v>4952</v>
      </c>
      <c r="K142" s="175" t="str">
        <f>INDEX('2022 SIC to NAICS'!B:B, MATCH('Processed Non-zero DMR Data'!$J142, '2022 SIC to NAICS'!$A:$A, 0))</f>
        <v>Sewerage Systems</v>
      </c>
      <c r="L142" s="175">
        <f>INDEX('2022 SIC to NAICS'!C:C, MATCH('Processed Non-zero DMR Data'!$J142, '2022 SIC to NAICS'!$A:$A, 0))</f>
        <v>221320</v>
      </c>
      <c r="M142" s="175" t="str">
        <f>INDEX('2022 SIC to NAICS'!D:D, MATCH('Processed Non-zero DMR Data'!$J142, '2022 SIC to NAICS'!$A:$A, 0))</f>
        <v xml:space="preserve">Sewage Treatment Facilities </v>
      </c>
      <c r="N142" s="90" t="str">
        <f>IFERROR(INDEX('NAICS Code to IS CDR Code'!B:B, MATCH('Processed Non-zero DMR Data'!L142,'NAICS Code to IS CDR Code'!A:A,0)), "NAICS/SIC Not Provided")</f>
        <v>IS4</v>
      </c>
      <c r="O142" s="91" t="str">
        <f>IFERROR(INDEX('NAICS Code to IS CDR Code'!C:C, MATCH('Processed Non-zero DMR Data'!L142,'NAICS Code to IS CDR Code'!A:A,0)), "NAICS/SIC Not Provided")</f>
        <v>Utilities</v>
      </c>
      <c r="P142" s="91" t="e">
        <f>INDEX('11DCA Mapping'!$K:$K, MATCH('Processed Non-zero DMR Data'!I143,'11DCA Mapping'!$J:$J,0))</f>
        <v>#N/A</v>
      </c>
      <c r="Q142" s="91" t="e">
        <f>INDEX('11DCA Mapping'!$L:$L, MATCH('Processed Non-zero DMR Data'!I143,'11DCA Mapping'!$J:$J,0))</f>
        <v>#N/A</v>
      </c>
      <c r="R142" s="250" t="str">
        <f>VLOOKUP(I142,'DMR POTW Flag'!$A$2:$B$960,2,FALSE)</f>
        <v>POTW</v>
      </c>
      <c r="S142" s="7" t="s">
        <v>67</v>
      </c>
      <c r="T142" s="249" t="s">
        <v>586</v>
      </c>
      <c r="U142" s="8">
        <f>COUNTIFS('Raw Non-zero DMR Data'!$A:$A, 'Processed Non-zero DMR Data'!A142, 'Raw Non-zero DMR Data'!$C:$C, X142, 'Raw Non-zero DMR Data'!$U:$U,'Processed Non-zero DMR Data'!Y142)</f>
        <v>1</v>
      </c>
      <c r="V142" s="8">
        <f>COUNTIFS('Raw Non-zero DMR Data'!$A:$A, 'Processed Non-zero DMR Data'!A142, 'Raw Non-zero DMR Data'!$C:$C, X142, 'Raw Non-zero DMR Data'!$U:$U,'Processed Non-zero DMR Data'!Y142,'Raw Non-zero DMR Data'!$Z:$Z,"Yes")</f>
        <v>1</v>
      </c>
      <c r="W142">
        <v>2.9222707562500001</v>
      </c>
      <c r="X142" t="s">
        <v>720</v>
      </c>
      <c r="Y142" t="s">
        <v>721</v>
      </c>
      <c r="Z142" s="257">
        <v>51001020403</v>
      </c>
    </row>
    <row r="143" spans="1:26" ht="15" customHeight="1" x14ac:dyDescent="0.25">
      <c r="A143">
        <v>2022</v>
      </c>
      <c r="B143" t="s">
        <v>449</v>
      </c>
      <c r="C143" t="s">
        <v>450</v>
      </c>
      <c r="D143" t="s">
        <v>719</v>
      </c>
      <c r="E143" t="s">
        <v>138</v>
      </c>
      <c r="F143">
        <v>38.394444</v>
      </c>
      <c r="G143">
        <v>-84.284999999999997</v>
      </c>
      <c r="I143" s="1">
        <v>110020737540</v>
      </c>
      <c r="J143">
        <v>4952</v>
      </c>
      <c r="K143" s="175" t="str">
        <f>INDEX('2022 SIC to NAICS'!B:B, MATCH('Processed Non-zero DMR Data'!$J143, '2022 SIC to NAICS'!$A:$A, 0))</f>
        <v>Sewerage Systems</v>
      </c>
      <c r="L143" s="175">
        <f>INDEX('2022 SIC to NAICS'!C:C, MATCH('Processed Non-zero DMR Data'!$J143, '2022 SIC to NAICS'!$A:$A, 0))</f>
        <v>221320</v>
      </c>
      <c r="M143" s="175" t="str">
        <f>INDEX('2022 SIC to NAICS'!D:D, MATCH('Processed Non-zero DMR Data'!$J143, '2022 SIC to NAICS'!$A:$A, 0))</f>
        <v xml:space="preserve">Sewage Treatment Facilities </v>
      </c>
      <c r="N143" s="90" t="str">
        <f>IFERROR(INDEX('NAICS Code to IS CDR Code'!B:B, MATCH('Processed Non-zero DMR Data'!L143,'NAICS Code to IS CDR Code'!A:A,0)), "NAICS/SIC Not Provided")</f>
        <v>IS4</v>
      </c>
      <c r="O143" s="91" t="str">
        <f>IFERROR(INDEX('NAICS Code to IS CDR Code'!C:C, MATCH('Processed Non-zero DMR Data'!L143,'NAICS Code to IS CDR Code'!A:A,0)), "NAICS/SIC Not Provided")</f>
        <v>Utilities</v>
      </c>
      <c r="P143" s="91" t="e">
        <f>INDEX('11DCA Mapping'!$K:$K, MATCH('Processed Non-zero DMR Data'!I144,'11DCA Mapping'!$J:$J,0))</f>
        <v>#N/A</v>
      </c>
      <c r="Q143" s="91" t="e">
        <f>INDEX('11DCA Mapping'!$L:$L, MATCH('Processed Non-zero DMR Data'!I144,'11DCA Mapping'!$J:$J,0))</f>
        <v>#N/A</v>
      </c>
      <c r="R143" s="250" t="str">
        <f>VLOOKUP(I143,'DMR POTW Flag'!$A$2:$B$960,2,FALSE)</f>
        <v>POTW</v>
      </c>
      <c r="S143" s="7" t="s">
        <v>67</v>
      </c>
      <c r="T143" s="249" t="s">
        <v>586</v>
      </c>
      <c r="U143" s="8">
        <f>COUNTIFS('Raw Non-zero DMR Data'!$A:$A, 'Processed Non-zero DMR Data'!A143, 'Raw Non-zero DMR Data'!$C:$C, X143, 'Raw Non-zero DMR Data'!$U:$U,'Processed Non-zero DMR Data'!Y143)</f>
        <v>1</v>
      </c>
      <c r="V143" s="8">
        <f>COUNTIFS('Raw Non-zero DMR Data'!$A:$A, 'Processed Non-zero DMR Data'!A143, 'Raw Non-zero DMR Data'!$C:$C, X143, 'Raw Non-zero DMR Data'!$U:$U,'Processed Non-zero DMR Data'!Y143,'Raw Non-zero DMR Data'!$Z:$Z,"Yes")</f>
        <v>1</v>
      </c>
      <c r="W143">
        <v>2.7457809375000002</v>
      </c>
      <c r="X143" t="s">
        <v>720</v>
      </c>
      <c r="Y143" t="s">
        <v>721</v>
      </c>
      <c r="Z143" s="257">
        <v>51001020403</v>
      </c>
    </row>
    <row r="144" spans="1:26" ht="15" customHeight="1" x14ac:dyDescent="0.25">
      <c r="A144">
        <v>2023</v>
      </c>
      <c r="B144" t="s">
        <v>449</v>
      </c>
      <c r="C144" t="s">
        <v>450</v>
      </c>
      <c r="D144" t="s">
        <v>719</v>
      </c>
      <c r="E144" t="s">
        <v>138</v>
      </c>
      <c r="F144">
        <v>38.394444</v>
      </c>
      <c r="G144">
        <v>-84.284999999999997</v>
      </c>
      <c r="I144" s="1">
        <v>110020737540</v>
      </c>
      <c r="J144">
        <v>4952</v>
      </c>
      <c r="K144" s="175" t="str">
        <f>INDEX('2022 SIC to NAICS'!B:B, MATCH('Processed Non-zero DMR Data'!$J144, '2022 SIC to NAICS'!$A:$A, 0))</f>
        <v>Sewerage Systems</v>
      </c>
      <c r="L144" s="175">
        <f>INDEX('2022 SIC to NAICS'!C:C, MATCH('Processed Non-zero DMR Data'!$J144, '2022 SIC to NAICS'!$A:$A, 0))</f>
        <v>221320</v>
      </c>
      <c r="M144" s="175" t="str">
        <f>INDEX('2022 SIC to NAICS'!D:D, MATCH('Processed Non-zero DMR Data'!$J144, '2022 SIC to NAICS'!$A:$A, 0))</f>
        <v xml:space="preserve">Sewage Treatment Facilities </v>
      </c>
      <c r="N144" s="90" t="str">
        <f>IFERROR(INDEX('NAICS Code to IS CDR Code'!B:B, MATCH('Processed Non-zero DMR Data'!L144,'NAICS Code to IS CDR Code'!A:A,0)), "NAICS/SIC Not Provided")</f>
        <v>IS4</v>
      </c>
      <c r="O144" s="91" t="str">
        <f>IFERROR(INDEX('NAICS Code to IS CDR Code'!C:C, MATCH('Processed Non-zero DMR Data'!L144,'NAICS Code to IS CDR Code'!A:A,0)), "NAICS/SIC Not Provided")</f>
        <v>Utilities</v>
      </c>
      <c r="P144" s="91" t="e">
        <f>INDEX('11DCA Mapping'!$K:$K, MATCH('Processed Non-zero DMR Data'!I145,'11DCA Mapping'!$J:$J,0))</f>
        <v>#N/A</v>
      </c>
      <c r="Q144" s="91" t="e">
        <f>INDEX('11DCA Mapping'!$L:$L, MATCH('Processed Non-zero DMR Data'!I145,'11DCA Mapping'!$J:$J,0))</f>
        <v>#N/A</v>
      </c>
      <c r="R144" s="250" t="str">
        <f>VLOOKUP(I144,'DMR POTW Flag'!$A$2:$B$960,2,FALSE)</f>
        <v>POTW</v>
      </c>
      <c r="S144" s="7" t="s">
        <v>67</v>
      </c>
      <c r="T144" s="249" t="s">
        <v>586</v>
      </c>
      <c r="U144" s="8">
        <f>COUNTIFS('Raw Non-zero DMR Data'!$A:$A, 'Processed Non-zero DMR Data'!A144, 'Raw Non-zero DMR Data'!$C:$C, X144, 'Raw Non-zero DMR Data'!$U:$U,'Processed Non-zero DMR Data'!Y144)</f>
        <v>1</v>
      </c>
      <c r="V144" s="8">
        <f>COUNTIFS('Raw Non-zero DMR Data'!$A:$A, 'Processed Non-zero DMR Data'!A144, 'Raw Non-zero DMR Data'!$C:$C, X144, 'Raw Non-zero DMR Data'!$U:$U,'Processed Non-zero DMR Data'!Y144,'Raw Non-zero DMR Data'!$Z:$Z,"Yes")</f>
        <v>1</v>
      </c>
      <c r="W144">
        <v>2.9322868125000001</v>
      </c>
      <c r="X144" t="s">
        <v>720</v>
      </c>
      <c r="Y144" t="s">
        <v>721</v>
      </c>
      <c r="Z144" s="257">
        <v>51001020403</v>
      </c>
    </row>
    <row r="145" spans="1:26" ht="15" customHeight="1" x14ac:dyDescent="0.25">
      <c r="A145">
        <v>2021</v>
      </c>
      <c r="B145" t="s">
        <v>439</v>
      </c>
      <c r="C145" t="s">
        <v>440</v>
      </c>
      <c r="D145" t="s">
        <v>722</v>
      </c>
      <c r="E145" t="s">
        <v>138</v>
      </c>
      <c r="F145">
        <v>37.621431000000001</v>
      </c>
      <c r="G145">
        <v>-84.733756</v>
      </c>
      <c r="I145" s="1">
        <v>110000732351</v>
      </c>
      <c r="J145">
        <v>4952</v>
      </c>
      <c r="K145" s="175" t="str">
        <f>INDEX('2022 SIC to NAICS'!B:B, MATCH('Processed Non-zero DMR Data'!$J145, '2022 SIC to NAICS'!$A:$A, 0))</f>
        <v>Sewerage Systems</v>
      </c>
      <c r="L145" s="175">
        <f>INDEX('2022 SIC to NAICS'!C:C, MATCH('Processed Non-zero DMR Data'!$J145, '2022 SIC to NAICS'!$A:$A, 0))</f>
        <v>221320</v>
      </c>
      <c r="M145" s="175" t="str">
        <f>INDEX('2022 SIC to NAICS'!D:D, MATCH('Processed Non-zero DMR Data'!$J145, '2022 SIC to NAICS'!$A:$A, 0))</f>
        <v xml:space="preserve">Sewage Treatment Facilities </v>
      </c>
      <c r="N145" s="90" t="str">
        <f>IFERROR(INDEX('NAICS Code to IS CDR Code'!B:B, MATCH('Processed Non-zero DMR Data'!L145,'NAICS Code to IS CDR Code'!A:A,0)), "NAICS/SIC Not Provided")</f>
        <v>IS4</v>
      </c>
      <c r="O145" s="91" t="str">
        <f>IFERROR(INDEX('NAICS Code to IS CDR Code'!C:C, MATCH('Processed Non-zero DMR Data'!L145,'NAICS Code to IS CDR Code'!A:A,0)), "NAICS/SIC Not Provided")</f>
        <v>Utilities</v>
      </c>
      <c r="P145" s="91" t="e">
        <f>INDEX('11DCA Mapping'!$K:$K, MATCH('Processed Non-zero DMR Data'!I146,'11DCA Mapping'!$J:$J,0))</f>
        <v>#N/A</v>
      </c>
      <c r="Q145" s="91" t="e">
        <f>INDEX('11DCA Mapping'!$L:$L, MATCH('Processed Non-zero DMR Data'!I146,'11DCA Mapping'!$J:$J,0))</f>
        <v>#N/A</v>
      </c>
      <c r="R145" s="250" t="str">
        <f>VLOOKUP(I145,'DMR POTW Flag'!$A$2:$B$960,2,FALSE)</f>
        <v>POTW</v>
      </c>
      <c r="S145" s="7" t="s">
        <v>67</v>
      </c>
      <c r="T145" s="249" t="s">
        <v>586</v>
      </c>
      <c r="U145" s="8">
        <f>COUNTIFS('Raw Non-zero DMR Data'!$A:$A, 'Processed Non-zero DMR Data'!A145, 'Raw Non-zero DMR Data'!$C:$C, X145, 'Raw Non-zero DMR Data'!$U:$U,'Processed Non-zero DMR Data'!Y145)</f>
        <v>1</v>
      </c>
      <c r="V145" s="8">
        <f>COUNTIFS('Raw Non-zero DMR Data'!$A:$A, 'Processed Non-zero DMR Data'!A145, 'Raw Non-zero DMR Data'!$C:$C, X145, 'Raw Non-zero DMR Data'!$U:$U,'Processed Non-zero DMR Data'!Y145,'Raw Non-zero DMR Data'!$Z:$Z,"Yes")</f>
        <v>1</v>
      </c>
      <c r="W145">
        <v>25.316445625</v>
      </c>
      <c r="X145" t="s">
        <v>723</v>
      </c>
      <c r="Y145" t="s">
        <v>724</v>
      </c>
      <c r="Z145" s="257">
        <v>51002050505</v>
      </c>
    </row>
    <row r="146" spans="1:26" ht="15" customHeight="1" x14ac:dyDescent="0.25">
      <c r="A146">
        <v>2022</v>
      </c>
      <c r="B146" t="s">
        <v>439</v>
      </c>
      <c r="C146" t="s">
        <v>440</v>
      </c>
      <c r="D146" t="s">
        <v>722</v>
      </c>
      <c r="E146" t="s">
        <v>138</v>
      </c>
      <c r="F146">
        <v>37.621431000000001</v>
      </c>
      <c r="G146">
        <v>-84.733756</v>
      </c>
      <c r="I146" s="1">
        <v>110000732351</v>
      </c>
      <c r="J146">
        <v>4952</v>
      </c>
      <c r="K146" s="175" t="str">
        <f>INDEX('2022 SIC to NAICS'!B:B, MATCH('Processed Non-zero DMR Data'!$J146, '2022 SIC to NAICS'!$A:$A, 0))</f>
        <v>Sewerage Systems</v>
      </c>
      <c r="L146" s="175">
        <f>INDEX('2022 SIC to NAICS'!C:C, MATCH('Processed Non-zero DMR Data'!$J146, '2022 SIC to NAICS'!$A:$A, 0))</f>
        <v>221320</v>
      </c>
      <c r="M146" s="175" t="str">
        <f>INDEX('2022 SIC to NAICS'!D:D, MATCH('Processed Non-zero DMR Data'!$J146, '2022 SIC to NAICS'!$A:$A, 0))</f>
        <v xml:space="preserve">Sewage Treatment Facilities </v>
      </c>
      <c r="N146" s="90" t="str">
        <f>IFERROR(INDEX('NAICS Code to IS CDR Code'!B:B, MATCH('Processed Non-zero DMR Data'!L146,'NAICS Code to IS CDR Code'!A:A,0)), "NAICS/SIC Not Provided")</f>
        <v>IS4</v>
      </c>
      <c r="O146" s="91" t="str">
        <f>IFERROR(INDEX('NAICS Code to IS CDR Code'!C:C, MATCH('Processed Non-zero DMR Data'!L146,'NAICS Code to IS CDR Code'!A:A,0)), "NAICS/SIC Not Provided")</f>
        <v>Utilities</v>
      </c>
      <c r="P146" s="91" t="e">
        <f>INDEX('11DCA Mapping'!$K:$K, MATCH('Processed Non-zero DMR Data'!I147,'11DCA Mapping'!$J:$J,0))</f>
        <v>#N/A</v>
      </c>
      <c r="Q146" s="91" t="e">
        <f>INDEX('11DCA Mapping'!$L:$L, MATCH('Processed Non-zero DMR Data'!I147,'11DCA Mapping'!$J:$J,0))</f>
        <v>#N/A</v>
      </c>
      <c r="R146" s="250" t="str">
        <f>VLOOKUP(I146,'DMR POTW Flag'!$A$2:$B$960,2,FALSE)</f>
        <v>POTW</v>
      </c>
      <c r="S146" s="7" t="s">
        <v>67</v>
      </c>
      <c r="T146" s="249" t="s">
        <v>586</v>
      </c>
      <c r="U146" s="8">
        <f>COUNTIFS('Raw Non-zero DMR Data'!$A:$A, 'Processed Non-zero DMR Data'!A146, 'Raw Non-zero DMR Data'!$C:$C, X146, 'Raw Non-zero DMR Data'!$U:$U,'Processed Non-zero DMR Data'!Y146)</f>
        <v>1</v>
      </c>
      <c r="V146" s="8">
        <f>COUNTIFS('Raw Non-zero DMR Data'!$A:$A, 'Processed Non-zero DMR Data'!A146, 'Raw Non-zero DMR Data'!$C:$C, X146, 'Raw Non-zero DMR Data'!$U:$U,'Processed Non-zero DMR Data'!Y146,'Raw Non-zero DMR Data'!$Z:$Z,"Yes")</f>
        <v>1</v>
      </c>
      <c r="W146">
        <v>20.412031875</v>
      </c>
      <c r="X146" t="s">
        <v>723</v>
      </c>
      <c r="Y146" t="s">
        <v>724</v>
      </c>
      <c r="Z146" s="257">
        <v>51002050505</v>
      </c>
    </row>
    <row r="147" spans="1:26" ht="15" customHeight="1" x14ac:dyDescent="0.25">
      <c r="A147">
        <v>2023</v>
      </c>
      <c r="B147" t="s">
        <v>439</v>
      </c>
      <c r="C147" t="s">
        <v>440</v>
      </c>
      <c r="D147" t="s">
        <v>722</v>
      </c>
      <c r="E147" t="s">
        <v>138</v>
      </c>
      <c r="F147">
        <v>37.621431000000001</v>
      </c>
      <c r="G147">
        <v>-84.733756</v>
      </c>
      <c r="I147" s="1">
        <v>110000732351</v>
      </c>
      <c r="J147">
        <v>4952</v>
      </c>
      <c r="K147" s="175" t="str">
        <f>INDEX('2022 SIC to NAICS'!B:B, MATCH('Processed Non-zero DMR Data'!$J147, '2022 SIC to NAICS'!$A:$A, 0))</f>
        <v>Sewerage Systems</v>
      </c>
      <c r="L147" s="175">
        <f>INDEX('2022 SIC to NAICS'!C:C, MATCH('Processed Non-zero DMR Data'!$J147, '2022 SIC to NAICS'!$A:$A, 0))</f>
        <v>221320</v>
      </c>
      <c r="M147" s="175" t="str">
        <f>INDEX('2022 SIC to NAICS'!D:D, MATCH('Processed Non-zero DMR Data'!$J147, '2022 SIC to NAICS'!$A:$A, 0))</f>
        <v xml:space="preserve">Sewage Treatment Facilities </v>
      </c>
      <c r="N147" s="90" t="str">
        <f>IFERROR(INDEX('NAICS Code to IS CDR Code'!B:B, MATCH('Processed Non-zero DMR Data'!L147,'NAICS Code to IS CDR Code'!A:A,0)), "NAICS/SIC Not Provided")</f>
        <v>IS4</v>
      </c>
      <c r="O147" s="91" t="str">
        <f>IFERROR(INDEX('NAICS Code to IS CDR Code'!C:C, MATCH('Processed Non-zero DMR Data'!L147,'NAICS Code to IS CDR Code'!A:A,0)), "NAICS/SIC Not Provided")</f>
        <v>Utilities</v>
      </c>
      <c r="P147" s="91" t="str">
        <f>INDEX('11DCA Mapping'!$K:$K, MATCH('Processed Non-zero DMR Data'!I148,'11DCA Mapping'!$J:$J,0))</f>
        <v>Unknown</v>
      </c>
      <c r="Q147" s="91" t="str">
        <f>INDEX('11DCA Mapping'!$L:$L, MATCH('Processed Non-zero DMR Data'!I148,'11DCA Mapping'!$J:$J,0))</f>
        <v>Unknown - seems like this would be something like "distribution in commerce"</v>
      </c>
      <c r="R147" s="250" t="str">
        <f>VLOOKUP(I147,'DMR POTW Flag'!$A$2:$B$960,2,FALSE)</f>
        <v>POTW</v>
      </c>
      <c r="S147" s="7" t="s">
        <v>67</v>
      </c>
      <c r="T147" s="249" t="s">
        <v>586</v>
      </c>
      <c r="U147" s="8">
        <f>COUNTIFS('Raw Non-zero DMR Data'!$A:$A, 'Processed Non-zero DMR Data'!A147, 'Raw Non-zero DMR Data'!$C:$C, X147, 'Raw Non-zero DMR Data'!$U:$U,'Processed Non-zero DMR Data'!Y147)</f>
        <v>1</v>
      </c>
      <c r="V147" s="8">
        <f>COUNTIFS('Raw Non-zero DMR Data'!$A:$A, 'Processed Non-zero DMR Data'!A147, 'Raw Non-zero DMR Data'!$C:$C, X147, 'Raw Non-zero DMR Data'!$U:$U,'Processed Non-zero DMR Data'!Y147,'Raw Non-zero DMR Data'!$Z:$Z,"Yes")</f>
        <v>1</v>
      </c>
      <c r="W147">
        <v>15.404003749999999</v>
      </c>
      <c r="X147" t="s">
        <v>723</v>
      </c>
      <c r="Y147" t="s">
        <v>724</v>
      </c>
      <c r="Z147" s="257">
        <v>51002050505</v>
      </c>
    </row>
    <row r="148" spans="1:26" ht="15" customHeight="1" x14ac:dyDescent="0.25">
      <c r="A148">
        <v>2020</v>
      </c>
      <c r="B148" t="s">
        <v>339</v>
      </c>
      <c r="C148" t="s">
        <v>202</v>
      </c>
      <c r="D148" t="s">
        <v>663</v>
      </c>
      <c r="E148" t="s">
        <v>106</v>
      </c>
      <c r="F148">
        <v>30.233011999999999</v>
      </c>
      <c r="G148">
        <v>-91.022057000000004</v>
      </c>
      <c r="I148" s="1">
        <v>110000911309</v>
      </c>
      <c r="J148">
        <v>4789</v>
      </c>
      <c r="K148" s="175" t="str">
        <f>INDEX('2022 SIC to NAICS'!B:B, MATCH('Processed Non-zero DMR Data'!$J148, '2022 SIC to NAICS'!$A:$A, 0))</f>
        <v>Transportation Services, Nec</v>
      </c>
      <c r="L148" s="175">
        <f>INDEX('2022 SIC to NAICS'!C:C, MATCH('Processed Non-zero DMR Data'!$J148, '2022 SIC to NAICS'!$A:$A, 0))</f>
        <v>487110</v>
      </c>
      <c r="M148" s="175" t="str">
        <f>INDEX('2022 SIC to NAICS'!D:D, MATCH('Processed Non-zero DMR Data'!$J148, '2022 SIC to NAICS'!$A:$A, 0))</f>
        <v>Scenic and Sightseeing Transportation, Land</v>
      </c>
      <c r="N148" s="90" t="str">
        <f>IFERROR(INDEX('NAICS Code to IS CDR Code'!B:B, MATCH('Processed Non-zero DMR Data'!L148,'NAICS Code to IS CDR Code'!A:A,0)), "NAICS/SIC Not Provided")</f>
        <v>IS46</v>
      </c>
      <c r="O148" s="91" t="str">
        <f>IFERROR(INDEX('NAICS Code to IS CDR Code'!C:C, MATCH('Processed Non-zero DMR Data'!L148,'NAICS Code to IS CDR Code'!A:A,0)), "NAICS/SIC Not Provided")</f>
        <v>Wholesale and Retail Trade</v>
      </c>
      <c r="P148" s="91" t="e">
        <f>INDEX('11DCA Mapping'!$K:$K, MATCH('Processed Non-zero DMR Data'!I477,'11DCA Mapping'!$J:$J,0))</f>
        <v>#N/A</v>
      </c>
      <c r="Q148" s="91" t="e">
        <f>INDEX('11DCA Mapping'!$L:$L, MATCH('Processed Non-zero DMR Data'!I477,'11DCA Mapping'!$J:$J,0))</f>
        <v>#N/A</v>
      </c>
      <c r="R148" s="91" t="str">
        <f>VLOOKUP(I148,'DMR POTW Flag'!$A$2:$B$960,2,FALSE)</f>
        <v>NON-POTW</v>
      </c>
      <c r="S148" s="7" t="s">
        <v>72</v>
      </c>
      <c r="T148" s="244" t="s">
        <v>664</v>
      </c>
      <c r="U148" s="8">
        <f>COUNTIFS('Raw Non-zero DMR Data'!$A:$A, 'Processed Non-zero DMR Data'!A148, 'Raw Non-zero DMR Data'!$C:$C, X148, 'Raw Non-zero DMR Data'!$U:$U,'Processed Non-zero DMR Data'!Y148)</f>
        <v>1</v>
      </c>
      <c r="V148" s="8">
        <f>COUNTIFS('Raw Non-zero DMR Data'!$A:$A, 'Processed Non-zero DMR Data'!A148, 'Raw Non-zero DMR Data'!$C:$C, X148, 'Raw Non-zero DMR Data'!$U:$U,'Processed Non-zero DMR Data'!Y148,'Raw Non-zero DMR Data'!$Z:$Z,"Yes")</f>
        <v>1</v>
      </c>
      <c r="W148">
        <v>2.3930662500000002E-2</v>
      </c>
      <c r="X148" t="s">
        <v>665</v>
      </c>
      <c r="Y148" t="s">
        <v>666</v>
      </c>
      <c r="Z148" s="257">
        <v>80702040103</v>
      </c>
    </row>
    <row r="149" spans="1:26" ht="15" customHeight="1" x14ac:dyDescent="0.25">
      <c r="A149">
        <v>2019</v>
      </c>
      <c r="B149" t="s">
        <v>287</v>
      </c>
      <c r="C149" t="s">
        <v>288</v>
      </c>
      <c r="D149" t="s">
        <v>725</v>
      </c>
      <c r="E149" t="s">
        <v>289</v>
      </c>
      <c r="F149">
        <v>34.632592000000002</v>
      </c>
      <c r="G149">
        <v>-84.927667999999997</v>
      </c>
      <c r="I149" s="1">
        <v>110000611703</v>
      </c>
      <c r="J149">
        <v>2821</v>
      </c>
      <c r="K149" s="175" t="str">
        <f>INDEX('2022 SIC to NAICS'!B:B, MATCH('Processed Non-zero DMR Data'!$J149, '2022 SIC to NAICS'!$A:$A, 0))</f>
        <v>Plastics Materials and Resins</v>
      </c>
      <c r="L149" s="175">
        <f>INDEX('2022 SIC to NAICS'!C:C, MATCH('Processed Non-zero DMR Data'!$J149, '2022 SIC to NAICS'!$A:$A, 0))</f>
        <v>325211</v>
      </c>
      <c r="M149" s="175" t="str">
        <f>INDEX('2022 SIC to NAICS'!D:D, MATCH('Processed Non-zero DMR Data'!$J149, '2022 SIC to NAICS'!$A:$A, 0))</f>
        <v xml:space="preserve">Plastics Material and Resin Manufacturing </v>
      </c>
      <c r="N149" s="90" t="str">
        <f>IFERROR(INDEX('NAICS Code to IS CDR Code'!B:B, MATCH('Processed Non-zero DMR Data'!L149,'NAICS Code to IS CDR Code'!A:A,0)), "NAICS/SIC Not Provided")</f>
        <v>IS22</v>
      </c>
      <c r="O149" s="91" t="str">
        <f>IFERROR(INDEX('NAICS Code to IS CDR Code'!C:C, MATCH('Processed Non-zero DMR Data'!L149,'NAICS Code to IS CDR Code'!A:A,0)), "NAICS/SIC Not Provided")</f>
        <v>Plastic Material and Resin Manufacturing</v>
      </c>
      <c r="P149" s="91" t="str">
        <f>INDEX('11DCA Mapping'!$K:$K, MATCH('Processed Non-zero DMR Data'!I150,'11DCA Mapping'!$J:$J,0))</f>
        <v>Processing as a Reactant</v>
      </c>
      <c r="Q149" s="91" t="str">
        <f>INDEX('11DCA Mapping'!$L:$L, MATCH('Processed Non-zero DMR Data'!I150,'11DCA Mapping'!$J:$J,0))</f>
        <v>Based on SIC code</v>
      </c>
      <c r="R149" s="250" t="str">
        <f>VLOOKUP(I149,'DMR POTW Flag'!$A$2:$B$960,2,FALSE)</f>
        <v>NON-POTW</v>
      </c>
      <c r="S149" s="7" t="s">
        <v>63</v>
      </c>
      <c r="T149" s="7" t="s">
        <v>5470</v>
      </c>
      <c r="U149" s="8">
        <f>COUNTIFS('Raw Non-zero DMR Data'!$A:$A, 'Processed Non-zero DMR Data'!A149, 'Raw Non-zero DMR Data'!$C:$C, X149, 'Raw Non-zero DMR Data'!$U:$U,'Processed Non-zero DMR Data'!Y149)</f>
        <v>1</v>
      </c>
      <c r="V149" s="8">
        <f>COUNTIFS('Raw Non-zero DMR Data'!$A:$A, 'Processed Non-zero DMR Data'!A149, 'Raw Non-zero DMR Data'!$C:$C, X149, 'Raw Non-zero DMR Data'!$U:$U,'Processed Non-zero DMR Data'!Y149,'Raw Non-zero DMR Data'!$Z:$Z,"Yes")</f>
        <v>1</v>
      </c>
      <c r="W149">
        <v>2.1111000000000001E-2</v>
      </c>
      <c r="X149" t="s">
        <v>726</v>
      </c>
      <c r="Y149" t="s">
        <v>727</v>
      </c>
      <c r="Z149" s="257">
        <v>31501010504</v>
      </c>
    </row>
    <row r="150" spans="1:26" ht="15" customHeight="1" x14ac:dyDescent="0.25">
      <c r="A150">
        <v>2020</v>
      </c>
      <c r="B150" t="s">
        <v>287</v>
      </c>
      <c r="C150" t="s">
        <v>288</v>
      </c>
      <c r="D150" t="s">
        <v>725</v>
      </c>
      <c r="E150" t="s">
        <v>289</v>
      </c>
      <c r="F150">
        <v>34.632592000000002</v>
      </c>
      <c r="G150">
        <v>-84.927667999999997</v>
      </c>
      <c r="I150" s="1">
        <v>110000611703</v>
      </c>
      <c r="J150">
        <v>2821</v>
      </c>
      <c r="K150" s="175" t="str">
        <f>INDEX('2022 SIC to NAICS'!B:B, MATCH('Processed Non-zero DMR Data'!$J150, '2022 SIC to NAICS'!$A:$A, 0))</f>
        <v>Plastics Materials and Resins</v>
      </c>
      <c r="L150" s="175">
        <f>INDEX('2022 SIC to NAICS'!C:C, MATCH('Processed Non-zero DMR Data'!$J150, '2022 SIC to NAICS'!$A:$A, 0))</f>
        <v>325211</v>
      </c>
      <c r="M150" s="175" t="str">
        <f>INDEX('2022 SIC to NAICS'!D:D, MATCH('Processed Non-zero DMR Data'!$J150, '2022 SIC to NAICS'!$A:$A, 0))</f>
        <v xml:space="preserve">Plastics Material and Resin Manufacturing </v>
      </c>
      <c r="N150" s="90" t="str">
        <f>IFERROR(INDEX('NAICS Code to IS CDR Code'!B:B, MATCH('Processed Non-zero DMR Data'!L150,'NAICS Code to IS CDR Code'!A:A,0)), "NAICS/SIC Not Provided")</f>
        <v>IS22</v>
      </c>
      <c r="O150" s="91" t="str">
        <f>IFERROR(INDEX('NAICS Code to IS CDR Code'!C:C, MATCH('Processed Non-zero DMR Data'!L150,'NAICS Code to IS CDR Code'!A:A,0)), "NAICS/SIC Not Provided")</f>
        <v>Plastic Material and Resin Manufacturing</v>
      </c>
      <c r="P150" s="91" t="str">
        <f>INDEX('11DCA Mapping'!$K:$K, MATCH('Processed Non-zero DMR Data'!I151,'11DCA Mapping'!$J:$J,0))</f>
        <v>Processing as a Reactant</v>
      </c>
      <c r="Q150" s="91" t="str">
        <f>INDEX('11DCA Mapping'!$L:$L, MATCH('Processed Non-zero DMR Data'!I151,'11DCA Mapping'!$J:$J,0))</f>
        <v>Based on SIC code</v>
      </c>
      <c r="R150" s="250" t="str">
        <f>VLOOKUP(I150,'DMR POTW Flag'!$A$2:$B$960,2,FALSE)</f>
        <v>NON-POTW</v>
      </c>
      <c r="S150" s="7" t="s">
        <v>63</v>
      </c>
      <c r="T150" s="7" t="s">
        <v>5470</v>
      </c>
      <c r="U150" s="8">
        <f>COUNTIFS('Raw Non-zero DMR Data'!$A:$A, 'Processed Non-zero DMR Data'!A150, 'Raw Non-zero DMR Data'!$C:$C, X150, 'Raw Non-zero DMR Data'!$U:$U,'Processed Non-zero DMR Data'!Y150)</f>
        <v>1</v>
      </c>
      <c r="V150" s="8">
        <f>COUNTIFS('Raw Non-zero DMR Data'!$A:$A, 'Processed Non-zero DMR Data'!A150, 'Raw Non-zero DMR Data'!$C:$C, X150, 'Raw Non-zero DMR Data'!$U:$U,'Processed Non-zero DMR Data'!Y150,'Raw Non-zero DMR Data'!$Z:$Z,"Yes")</f>
        <v>0</v>
      </c>
      <c r="W150">
        <v>2.8147999999999999E-2</v>
      </c>
      <c r="X150" t="s">
        <v>726</v>
      </c>
      <c r="Y150" t="s">
        <v>727</v>
      </c>
      <c r="Z150" s="257">
        <v>31501010504</v>
      </c>
    </row>
    <row r="151" spans="1:26" ht="15" customHeight="1" x14ac:dyDescent="0.25">
      <c r="A151">
        <v>2021</v>
      </c>
      <c r="B151" t="s">
        <v>287</v>
      </c>
      <c r="C151" t="s">
        <v>288</v>
      </c>
      <c r="D151" t="s">
        <v>725</v>
      </c>
      <c r="E151" t="s">
        <v>289</v>
      </c>
      <c r="F151">
        <v>34.632592000000002</v>
      </c>
      <c r="G151">
        <v>-84.927667999999997</v>
      </c>
      <c r="I151" s="1">
        <v>110000611703</v>
      </c>
      <c r="J151">
        <v>2821</v>
      </c>
      <c r="K151" s="175" t="str">
        <f>INDEX('2022 SIC to NAICS'!B:B, MATCH('Processed Non-zero DMR Data'!$J151, '2022 SIC to NAICS'!$A:$A, 0))</f>
        <v>Plastics Materials and Resins</v>
      </c>
      <c r="L151" s="175">
        <f>INDEX('2022 SIC to NAICS'!C:C, MATCH('Processed Non-zero DMR Data'!$J151, '2022 SIC to NAICS'!$A:$A, 0))</f>
        <v>325211</v>
      </c>
      <c r="M151" s="175" t="str">
        <f>INDEX('2022 SIC to NAICS'!D:D, MATCH('Processed Non-zero DMR Data'!$J151, '2022 SIC to NAICS'!$A:$A, 0))</f>
        <v xml:space="preserve">Plastics Material and Resin Manufacturing </v>
      </c>
      <c r="N151" s="90" t="str">
        <f>IFERROR(INDEX('NAICS Code to IS CDR Code'!B:B, MATCH('Processed Non-zero DMR Data'!L151,'NAICS Code to IS CDR Code'!A:A,0)), "NAICS/SIC Not Provided")</f>
        <v>IS22</v>
      </c>
      <c r="O151" s="91" t="str">
        <f>IFERROR(INDEX('NAICS Code to IS CDR Code'!C:C, MATCH('Processed Non-zero DMR Data'!L151,'NAICS Code to IS CDR Code'!A:A,0)), "NAICS/SIC Not Provided")</f>
        <v>Plastic Material and Resin Manufacturing</v>
      </c>
      <c r="P151" s="91" t="str">
        <f>INDEX('11DCA Mapping'!$K:$K, MATCH('Processed Non-zero DMR Data'!I152,'11DCA Mapping'!$J:$J,0))</f>
        <v>POTW</v>
      </c>
      <c r="Q151" s="91" t="str">
        <f>INDEX('11DCA Mapping'!$L:$L, MATCH('Processed Non-zero DMR Data'!I152,'11DCA Mapping'!$J:$J,0))</f>
        <v>SIC description indicates POTW</v>
      </c>
      <c r="R151" s="250" t="str">
        <f>VLOOKUP(I151,'DMR POTW Flag'!$A$2:$B$960,2,FALSE)</f>
        <v>NON-POTW</v>
      </c>
      <c r="S151" s="7" t="s">
        <v>63</v>
      </c>
      <c r="T151" s="7" t="s">
        <v>5470</v>
      </c>
      <c r="U151" s="8">
        <f>COUNTIFS('Raw Non-zero DMR Data'!$A:$A, 'Processed Non-zero DMR Data'!A151, 'Raw Non-zero DMR Data'!$C:$C, X151, 'Raw Non-zero DMR Data'!$U:$U,'Processed Non-zero DMR Data'!Y151)</f>
        <v>1</v>
      </c>
      <c r="V151" s="8">
        <f>COUNTIFS('Raw Non-zero DMR Data'!$A:$A, 'Processed Non-zero DMR Data'!A151, 'Raw Non-zero DMR Data'!$C:$C, X151, 'Raw Non-zero DMR Data'!$U:$U,'Processed Non-zero DMR Data'!Y151,'Raw Non-zero DMR Data'!$Z:$Z,"Yes")</f>
        <v>1</v>
      </c>
      <c r="W151">
        <v>7.0369999999999999E-3</v>
      </c>
      <c r="X151" t="s">
        <v>726</v>
      </c>
      <c r="Y151" t="s">
        <v>727</v>
      </c>
      <c r="Z151" s="257">
        <v>31501010504</v>
      </c>
    </row>
    <row r="152" spans="1:26" ht="15" customHeight="1" x14ac:dyDescent="0.25">
      <c r="A152">
        <v>2020</v>
      </c>
      <c r="B152" t="s">
        <v>393</v>
      </c>
      <c r="C152" t="s">
        <v>394</v>
      </c>
      <c r="D152" t="s">
        <v>728</v>
      </c>
      <c r="E152" t="s">
        <v>146</v>
      </c>
      <c r="F152">
        <v>38.627777999999999</v>
      </c>
      <c r="G152">
        <v>-120.984167</v>
      </c>
      <c r="I152" s="1">
        <v>110070619860</v>
      </c>
      <c r="J152">
        <v>4952</v>
      </c>
      <c r="K152" s="175" t="str">
        <f>INDEX('2022 SIC to NAICS'!B:B, MATCH('Processed Non-zero DMR Data'!$J152, '2022 SIC to NAICS'!$A:$A, 0))</f>
        <v>Sewerage Systems</v>
      </c>
      <c r="L152" s="175">
        <f>INDEX('2022 SIC to NAICS'!C:C, MATCH('Processed Non-zero DMR Data'!$J152, '2022 SIC to NAICS'!$A:$A, 0))</f>
        <v>221320</v>
      </c>
      <c r="M152" s="175" t="str">
        <f>INDEX('2022 SIC to NAICS'!D:D, MATCH('Processed Non-zero DMR Data'!$J152, '2022 SIC to NAICS'!$A:$A, 0))</f>
        <v xml:space="preserve">Sewage Treatment Facilities </v>
      </c>
      <c r="N152" s="90" t="str">
        <f>IFERROR(INDEX('NAICS Code to IS CDR Code'!B:B, MATCH('Processed Non-zero DMR Data'!L152,'NAICS Code to IS CDR Code'!A:A,0)), "NAICS/SIC Not Provided")</f>
        <v>IS4</v>
      </c>
      <c r="O152" s="91" t="str">
        <f>IFERROR(INDEX('NAICS Code to IS CDR Code'!C:C, MATCH('Processed Non-zero DMR Data'!L152,'NAICS Code to IS CDR Code'!A:A,0)), "NAICS/SIC Not Provided")</f>
        <v>Utilities</v>
      </c>
      <c r="P152" s="91" t="str">
        <f>INDEX('11DCA Mapping'!$K:$K, MATCH('Processed Non-zero DMR Data'!I153,'11DCA Mapping'!$J:$J,0))</f>
        <v>POTW</v>
      </c>
      <c r="Q152" s="91" t="str">
        <f>INDEX('11DCA Mapping'!$L:$L, MATCH('Processed Non-zero DMR Data'!I153,'11DCA Mapping'!$J:$J,0))</f>
        <v>SIC description indicates POTW</v>
      </c>
      <c r="R152" s="250" t="str">
        <f>VLOOKUP(I152,'DMR POTW Flag'!$A$2:$B$960,2,FALSE)</f>
        <v>POTW</v>
      </c>
      <c r="S152" s="7" t="s">
        <v>67</v>
      </c>
      <c r="T152" s="249" t="s">
        <v>586</v>
      </c>
      <c r="U152" s="8">
        <f>COUNTIFS('Raw Non-zero DMR Data'!$A:$A, 'Processed Non-zero DMR Data'!A152, 'Raw Non-zero DMR Data'!$C:$C, X152, 'Raw Non-zero DMR Data'!$U:$U,'Processed Non-zero DMR Data'!Y152)</f>
        <v>1</v>
      </c>
      <c r="V152" s="8">
        <f>COUNTIFS('Raw Non-zero DMR Data'!$A:$A, 'Processed Non-zero DMR Data'!A152, 'Raw Non-zero DMR Data'!$C:$C, X152, 'Raw Non-zero DMR Data'!$U:$U,'Processed Non-zero DMR Data'!Y152,'Raw Non-zero DMR Data'!$Z:$Z,"Yes")</f>
        <v>1</v>
      </c>
      <c r="W152">
        <v>3.1600965000000002E-2</v>
      </c>
      <c r="X152" t="s">
        <v>729</v>
      </c>
      <c r="Y152" t="s">
        <v>730</v>
      </c>
      <c r="Z152" s="257">
        <v>180400130502</v>
      </c>
    </row>
    <row r="153" spans="1:26" ht="15" customHeight="1" x14ac:dyDescent="0.25">
      <c r="A153">
        <v>2021</v>
      </c>
      <c r="B153" t="s">
        <v>393</v>
      </c>
      <c r="C153" t="s">
        <v>394</v>
      </c>
      <c r="D153" t="s">
        <v>728</v>
      </c>
      <c r="E153" t="s">
        <v>146</v>
      </c>
      <c r="F153">
        <v>38.627777999999999</v>
      </c>
      <c r="G153">
        <v>-120.984167</v>
      </c>
      <c r="I153" s="1">
        <v>110070619860</v>
      </c>
      <c r="J153">
        <v>4952</v>
      </c>
      <c r="K153" s="175" t="str">
        <f>INDEX('2022 SIC to NAICS'!B:B, MATCH('Processed Non-zero DMR Data'!$J153, '2022 SIC to NAICS'!$A:$A, 0))</f>
        <v>Sewerage Systems</v>
      </c>
      <c r="L153" s="175">
        <f>INDEX('2022 SIC to NAICS'!C:C, MATCH('Processed Non-zero DMR Data'!$J153, '2022 SIC to NAICS'!$A:$A, 0))</f>
        <v>221320</v>
      </c>
      <c r="M153" s="175" t="str">
        <f>INDEX('2022 SIC to NAICS'!D:D, MATCH('Processed Non-zero DMR Data'!$J153, '2022 SIC to NAICS'!$A:$A, 0))</f>
        <v xml:space="preserve">Sewage Treatment Facilities </v>
      </c>
      <c r="N153" s="90" t="str">
        <f>IFERROR(INDEX('NAICS Code to IS CDR Code'!B:B, MATCH('Processed Non-zero DMR Data'!L153,'NAICS Code to IS CDR Code'!A:A,0)), "NAICS/SIC Not Provided")</f>
        <v>IS4</v>
      </c>
      <c r="O153" s="91" t="str">
        <f>IFERROR(INDEX('NAICS Code to IS CDR Code'!C:C, MATCH('Processed Non-zero DMR Data'!L153,'NAICS Code to IS CDR Code'!A:A,0)), "NAICS/SIC Not Provided")</f>
        <v>Utilities</v>
      </c>
      <c r="P153" s="91" t="str">
        <f>INDEX('11DCA Mapping'!$K:$K, MATCH('Processed Non-zero DMR Data'!I154,'11DCA Mapping'!$J:$J,0))</f>
        <v>Processing as a Reactant</v>
      </c>
      <c r="Q153" s="91" t="str">
        <f>INDEX('11DCA Mapping'!$L:$L, MATCH('Processed Non-zero DMR Data'!I154,'11DCA Mapping'!$J:$J,0))</f>
        <v>Used mapping of other site with same SIC description (Industrial Organic Chemicals)</v>
      </c>
      <c r="R153" s="250" t="str">
        <f>VLOOKUP(I153,'DMR POTW Flag'!$A$2:$B$960,2,FALSE)</f>
        <v>POTW</v>
      </c>
      <c r="S153" s="7" t="s">
        <v>67</v>
      </c>
      <c r="T153" s="249" t="s">
        <v>586</v>
      </c>
      <c r="U153" s="8">
        <f>COUNTIFS('Raw Non-zero DMR Data'!$A:$A, 'Processed Non-zero DMR Data'!A153, 'Raw Non-zero DMR Data'!$C:$C, X153, 'Raw Non-zero DMR Data'!$U:$U,'Processed Non-zero DMR Data'!Y153)</f>
        <v>1</v>
      </c>
      <c r="V153" s="8">
        <f>COUNTIFS('Raw Non-zero DMR Data'!$A:$A, 'Processed Non-zero DMR Data'!A153, 'Raw Non-zero DMR Data'!$C:$C, X153, 'Raw Non-zero DMR Data'!$U:$U,'Processed Non-zero DMR Data'!Y153,'Raw Non-zero DMR Data'!$Z:$Z,"Yes")</f>
        <v>1</v>
      </c>
      <c r="W153">
        <v>7.6614228899999998E-2</v>
      </c>
      <c r="X153" t="s">
        <v>729</v>
      </c>
      <c r="Y153" t="s">
        <v>730</v>
      </c>
      <c r="Z153" s="257">
        <v>180400130502</v>
      </c>
    </row>
    <row r="154" spans="1:26" ht="15" customHeight="1" x14ac:dyDescent="0.25">
      <c r="A154">
        <v>2019</v>
      </c>
      <c r="B154" t="s">
        <v>151</v>
      </c>
      <c r="C154" t="s">
        <v>152</v>
      </c>
      <c r="D154" t="s">
        <v>731</v>
      </c>
      <c r="E154" t="s">
        <v>153</v>
      </c>
      <c r="F154">
        <v>39.80142</v>
      </c>
      <c r="G154">
        <v>-75.354990000000001</v>
      </c>
      <c r="I154" s="1">
        <v>110000582003</v>
      </c>
      <c r="J154">
        <v>2869</v>
      </c>
      <c r="K154" s="175" t="str">
        <f>INDEX('2022 SIC to NAICS'!B:B, MATCH('Processed Non-zero DMR Data'!$J154, '2022 SIC to NAICS'!$A:$A, 0))</f>
        <v>Industrial Organic Chemicals, Nec</v>
      </c>
      <c r="L154" s="175">
        <f>INDEX('2022 SIC to NAICS'!C:C, MATCH('Processed Non-zero DMR Data'!$J154, '2022 SIC to NAICS'!$A:$A, 0))</f>
        <v>325110</v>
      </c>
      <c r="M154" s="175" t="str">
        <f>INDEX('2022 SIC to NAICS'!D:D, MATCH('Processed Non-zero DMR Data'!$J154, '2022 SIC to NAICS'!$A:$A, 0))</f>
        <v>Petrochemical Manufacturing</v>
      </c>
      <c r="N154" s="90" t="str">
        <f>IFERROR(INDEX('NAICS Code to IS CDR Code'!B:B, MATCH('Processed Non-zero DMR Data'!L154,'NAICS Code to IS CDR Code'!A:A,0)), "NAICS/SIC Not Provided")</f>
        <v>IS15</v>
      </c>
      <c r="O154" s="91" t="str">
        <f>IFERROR(INDEX('NAICS Code to IS CDR Code'!C:C, MATCH('Processed Non-zero DMR Data'!L154,'NAICS Code to IS CDR Code'!A:A,0)), "NAICS/SIC Not Provided")</f>
        <v>Petrochemical Manufacturing</v>
      </c>
      <c r="P154" s="91" t="str">
        <f>INDEX('11DCA Mapping'!$K:$K, MATCH('Processed Non-zero DMR Data'!I155,'11DCA Mapping'!$J:$J,0))</f>
        <v>Processing as a Reactant</v>
      </c>
      <c r="Q154" s="91" t="str">
        <f>INDEX('11DCA Mapping'!$L:$L, MATCH('Processed Non-zero DMR Data'!I155,'11DCA Mapping'!$J:$J,0))</f>
        <v>Used mapping of other site with same SIC description (Industrial Organic Chemicals)</v>
      </c>
      <c r="R154" s="250" t="str">
        <f>VLOOKUP(I154,'DMR POTW Flag'!$A$2:$B$960,2,FALSE)</f>
        <v>NON-POTW</v>
      </c>
      <c r="S154" s="7" t="s">
        <v>62</v>
      </c>
      <c r="T154" s="7" t="s">
        <v>601</v>
      </c>
      <c r="U154" s="8">
        <f>COUNTIFS('Raw Non-zero DMR Data'!$A:$A, 'Processed Non-zero DMR Data'!A154, 'Raw Non-zero DMR Data'!$C:$C, X154, 'Raw Non-zero DMR Data'!$U:$U,'Processed Non-zero DMR Data'!Y154)</f>
        <v>1</v>
      </c>
      <c r="V154" s="8">
        <f>COUNTIFS('Raw Non-zero DMR Data'!$A:$A, 'Processed Non-zero DMR Data'!A154, 'Raw Non-zero DMR Data'!$C:$C, X154, 'Raw Non-zero DMR Data'!$U:$U,'Processed Non-zero DMR Data'!Y154,'Raw Non-zero DMR Data'!$Z:$Z,"Yes")</f>
        <v>1</v>
      </c>
      <c r="W154">
        <v>0.2135</v>
      </c>
      <c r="X154" t="s">
        <v>732</v>
      </c>
      <c r="Y154" t="s">
        <v>733</v>
      </c>
      <c r="Z154" s="257">
        <v>20402020606</v>
      </c>
    </row>
    <row r="155" spans="1:26" ht="15" customHeight="1" x14ac:dyDescent="0.25">
      <c r="A155">
        <v>2020</v>
      </c>
      <c r="B155" t="s">
        <v>151</v>
      </c>
      <c r="C155" t="s">
        <v>152</v>
      </c>
      <c r="D155" t="s">
        <v>731</v>
      </c>
      <c r="E155" t="s">
        <v>153</v>
      </c>
      <c r="F155">
        <v>39.80142</v>
      </c>
      <c r="G155">
        <v>-75.354990000000001</v>
      </c>
      <c r="I155" s="1">
        <v>110000582003</v>
      </c>
      <c r="J155">
        <v>2869</v>
      </c>
      <c r="K155" s="175" t="str">
        <f>INDEX('2022 SIC to NAICS'!B:B, MATCH('Processed Non-zero DMR Data'!$J155, '2022 SIC to NAICS'!$A:$A, 0))</f>
        <v>Industrial Organic Chemicals, Nec</v>
      </c>
      <c r="L155" s="175">
        <f>INDEX('2022 SIC to NAICS'!C:C, MATCH('Processed Non-zero DMR Data'!$J155, '2022 SIC to NAICS'!$A:$A, 0))</f>
        <v>325110</v>
      </c>
      <c r="M155" s="175" t="str">
        <f>INDEX('2022 SIC to NAICS'!D:D, MATCH('Processed Non-zero DMR Data'!$J155, '2022 SIC to NAICS'!$A:$A, 0))</f>
        <v>Petrochemical Manufacturing</v>
      </c>
      <c r="N155" s="90" t="str">
        <f>IFERROR(INDEX('NAICS Code to IS CDR Code'!B:B, MATCH('Processed Non-zero DMR Data'!L155,'NAICS Code to IS CDR Code'!A:A,0)), "NAICS/SIC Not Provided")</f>
        <v>IS15</v>
      </c>
      <c r="O155" s="91" t="str">
        <f>IFERROR(INDEX('NAICS Code to IS CDR Code'!C:C, MATCH('Processed Non-zero DMR Data'!L155,'NAICS Code to IS CDR Code'!A:A,0)), "NAICS/SIC Not Provided")</f>
        <v>Petrochemical Manufacturing</v>
      </c>
      <c r="P155" s="91" t="str">
        <f>INDEX('11DCA Mapping'!$K:$K, MATCH('Processed Non-zero DMR Data'!I156,'11DCA Mapping'!$J:$J,0))</f>
        <v>Processing as a Reactant</v>
      </c>
      <c r="Q155" s="91" t="str">
        <f>INDEX('11DCA Mapping'!$L:$L, MATCH('Processed Non-zero DMR Data'!I156,'11DCA Mapping'!$J:$J,0))</f>
        <v>Used mapping of other site with same SIC description (Industrial Organic Chemicals)</v>
      </c>
      <c r="R155" s="250" t="str">
        <f>VLOOKUP(I155,'DMR POTW Flag'!$A$2:$B$960,2,FALSE)</f>
        <v>NON-POTW</v>
      </c>
      <c r="S155" s="7" t="s">
        <v>62</v>
      </c>
      <c r="T155" s="7" t="s">
        <v>601</v>
      </c>
      <c r="U155" s="8">
        <f>COUNTIFS('Raw Non-zero DMR Data'!$A:$A, 'Processed Non-zero DMR Data'!A155, 'Raw Non-zero DMR Data'!$C:$C, X155, 'Raw Non-zero DMR Data'!$U:$U,'Processed Non-zero DMR Data'!Y155)</f>
        <v>1</v>
      </c>
      <c r="V155" s="8">
        <f>COUNTIFS('Raw Non-zero DMR Data'!$A:$A, 'Processed Non-zero DMR Data'!A155, 'Raw Non-zero DMR Data'!$C:$C, X155, 'Raw Non-zero DMR Data'!$U:$U,'Processed Non-zero DMR Data'!Y155,'Raw Non-zero DMR Data'!$Z:$Z,"Yes")</f>
        <v>1</v>
      </c>
      <c r="W155">
        <v>0.22900000000000001</v>
      </c>
      <c r="X155" t="s">
        <v>732</v>
      </c>
      <c r="Y155" t="s">
        <v>733</v>
      </c>
      <c r="Z155" s="257">
        <v>20402020606</v>
      </c>
    </row>
    <row r="156" spans="1:26" ht="15" customHeight="1" x14ac:dyDescent="0.25">
      <c r="A156">
        <v>2021</v>
      </c>
      <c r="B156" t="s">
        <v>151</v>
      </c>
      <c r="C156" t="s">
        <v>152</v>
      </c>
      <c r="D156" t="s">
        <v>731</v>
      </c>
      <c r="E156" t="s">
        <v>153</v>
      </c>
      <c r="F156">
        <v>39.80142</v>
      </c>
      <c r="G156">
        <v>-75.354990000000001</v>
      </c>
      <c r="I156" s="1">
        <v>110000582003</v>
      </c>
      <c r="J156">
        <v>2869</v>
      </c>
      <c r="K156" s="175" t="str">
        <f>INDEX('2022 SIC to NAICS'!B:B, MATCH('Processed Non-zero DMR Data'!$J156, '2022 SIC to NAICS'!$A:$A, 0))</f>
        <v>Industrial Organic Chemicals, Nec</v>
      </c>
      <c r="L156" s="175">
        <f>INDEX('2022 SIC to NAICS'!C:C, MATCH('Processed Non-zero DMR Data'!$J156, '2022 SIC to NAICS'!$A:$A, 0))</f>
        <v>325110</v>
      </c>
      <c r="M156" s="175" t="str">
        <f>INDEX('2022 SIC to NAICS'!D:D, MATCH('Processed Non-zero DMR Data'!$J156, '2022 SIC to NAICS'!$A:$A, 0))</f>
        <v>Petrochemical Manufacturing</v>
      </c>
      <c r="N156" s="90" t="str">
        <f>IFERROR(INDEX('NAICS Code to IS CDR Code'!B:B, MATCH('Processed Non-zero DMR Data'!L156,'NAICS Code to IS CDR Code'!A:A,0)), "NAICS/SIC Not Provided")</f>
        <v>IS15</v>
      </c>
      <c r="O156" s="91" t="str">
        <f>IFERROR(INDEX('NAICS Code to IS CDR Code'!C:C, MATCH('Processed Non-zero DMR Data'!L156,'NAICS Code to IS CDR Code'!A:A,0)), "NAICS/SIC Not Provided")</f>
        <v>Petrochemical Manufacturing</v>
      </c>
      <c r="P156" s="91" t="str">
        <f>INDEX('11DCA Mapping'!$K:$K, MATCH('Processed Non-zero DMR Data'!I157,'11DCA Mapping'!$J:$J,0))</f>
        <v>Processing as a Reactant</v>
      </c>
      <c r="Q156" s="91" t="str">
        <f>INDEX('11DCA Mapping'!$L:$L, MATCH('Processed Non-zero DMR Data'!I157,'11DCA Mapping'!$J:$J,0))</f>
        <v>Used mapping of other site with same SIC description (Industrial Organic Chemicals)</v>
      </c>
      <c r="R156" s="250" t="str">
        <f>VLOOKUP(I156,'DMR POTW Flag'!$A$2:$B$960,2,FALSE)</f>
        <v>NON-POTW</v>
      </c>
      <c r="S156" s="7" t="s">
        <v>62</v>
      </c>
      <c r="T156" s="7" t="s">
        <v>601</v>
      </c>
      <c r="U156" s="8">
        <f>COUNTIFS('Raw Non-zero DMR Data'!$A:$A, 'Processed Non-zero DMR Data'!A156, 'Raw Non-zero DMR Data'!$C:$C, X156, 'Raw Non-zero DMR Data'!$U:$U,'Processed Non-zero DMR Data'!Y156)</f>
        <v>1</v>
      </c>
      <c r="V156" s="8">
        <f>COUNTIFS('Raw Non-zero DMR Data'!$A:$A, 'Processed Non-zero DMR Data'!A156, 'Raw Non-zero DMR Data'!$C:$C, X156, 'Raw Non-zero DMR Data'!$U:$U,'Processed Non-zero DMR Data'!Y156,'Raw Non-zero DMR Data'!$Z:$Z,"Yes")</f>
        <v>1</v>
      </c>
      <c r="W156">
        <v>1.0629999999999999</v>
      </c>
      <c r="X156" t="s">
        <v>732</v>
      </c>
      <c r="Y156" t="s">
        <v>733</v>
      </c>
      <c r="Z156" s="257">
        <v>20402020606</v>
      </c>
    </row>
    <row r="157" spans="1:26" ht="15" customHeight="1" x14ac:dyDescent="0.25">
      <c r="A157">
        <v>2022</v>
      </c>
      <c r="B157" t="s">
        <v>151</v>
      </c>
      <c r="C157" t="s">
        <v>152</v>
      </c>
      <c r="D157" t="s">
        <v>731</v>
      </c>
      <c r="E157" t="s">
        <v>153</v>
      </c>
      <c r="F157">
        <v>39.80142</v>
      </c>
      <c r="G157">
        <v>-75.354990000000001</v>
      </c>
      <c r="I157" s="1">
        <v>110000582003</v>
      </c>
      <c r="J157">
        <v>2869</v>
      </c>
      <c r="K157" s="175" t="str">
        <f>INDEX('2022 SIC to NAICS'!B:B, MATCH('Processed Non-zero DMR Data'!$J157, '2022 SIC to NAICS'!$A:$A, 0))</f>
        <v>Industrial Organic Chemicals, Nec</v>
      </c>
      <c r="L157" s="175">
        <f>INDEX('2022 SIC to NAICS'!C:C, MATCH('Processed Non-zero DMR Data'!$J157, '2022 SIC to NAICS'!$A:$A, 0))</f>
        <v>325110</v>
      </c>
      <c r="M157" s="175" t="str">
        <f>INDEX('2022 SIC to NAICS'!D:D, MATCH('Processed Non-zero DMR Data'!$J157, '2022 SIC to NAICS'!$A:$A, 0))</f>
        <v>Petrochemical Manufacturing</v>
      </c>
      <c r="N157" s="90" t="str">
        <f>IFERROR(INDEX('NAICS Code to IS CDR Code'!B:B, MATCH('Processed Non-zero DMR Data'!L157,'NAICS Code to IS CDR Code'!A:A,0)), "NAICS/SIC Not Provided")</f>
        <v>IS15</v>
      </c>
      <c r="O157" s="91" t="str">
        <f>IFERROR(INDEX('NAICS Code to IS CDR Code'!C:C, MATCH('Processed Non-zero DMR Data'!L157,'NAICS Code to IS CDR Code'!A:A,0)), "NAICS/SIC Not Provided")</f>
        <v>Petrochemical Manufacturing</v>
      </c>
      <c r="P157" s="91" t="str">
        <f>INDEX('11DCA Mapping'!$K:$K, MATCH('Processed Non-zero DMR Data'!I158,'11DCA Mapping'!$J:$J,0))</f>
        <v>Processing as a Reactant</v>
      </c>
      <c r="Q157" s="91" t="str">
        <f>INDEX('11DCA Mapping'!$L:$L, MATCH('Processed Non-zero DMR Data'!I158,'11DCA Mapping'!$J:$J,0))</f>
        <v>Used mapping of other site with same SIC description (Industrial Organic Chemicals)</v>
      </c>
      <c r="R157" s="250" t="str">
        <f>VLOOKUP(I157,'DMR POTW Flag'!$A$2:$B$960,2,FALSE)</f>
        <v>NON-POTW</v>
      </c>
      <c r="S157" s="7" t="s">
        <v>62</v>
      </c>
      <c r="T157" s="7" t="s">
        <v>601</v>
      </c>
      <c r="U157" s="8">
        <f>COUNTIFS('Raw Non-zero DMR Data'!$A:$A, 'Processed Non-zero DMR Data'!A157, 'Raw Non-zero DMR Data'!$C:$C, X157, 'Raw Non-zero DMR Data'!$U:$U,'Processed Non-zero DMR Data'!Y157)</f>
        <v>1</v>
      </c>
      <c r="V157" s="8">
        <f>COUNTIFS('Raw Non-zero DMR Data'!$A:$A, 'Processed Non-zero DMR Data'!A157, 'Raw Non-zero DMR Data'!$C:$C, X157, 'Raw Non-zero DMR Data'!$U:$U,'Processed Non-zero DMR Data'!Y157,'Raw Non-zero DMR Data'!$Z:$Z,"Yes")</f>
        <v>1</v>
      </c>
      <c r="W157">
        <v>0.84299999999999997</v>
      </c>
      <c r="X157" t="s">
        <v>732</v>
      </c>
      <c r="Y157" t="s">
        <v>733</v>
      </c>
      <c r="Z157" s="257">
        <v>20402020606</v>
      </c>
    </row>
    <row r="158" spans="1:26" ht="15" customHeight="1" x14ac:dyDescent="0.25">
      <c r="A158">
        <v>2023</v>
      </c>
      <c r="B158" t="s">
        <v>151</v>
      </c>
      <c r="C158" t="s">
        <v>152</v>
      </c>
      <c r="D158" t="s">
        <v>731</v>
      </c>
      <c r="E158" t="s">
        <v>153</v>
      </c>
      <c r="F158">
        <v>39.80142</v>
      </c>
      <c r="G158">
        <v>-75.354990000000001</v>
      </c>
      <c r="I158" s="1">
        <v>110000582003</v>
      </c>
      <c r="J158">
        <v>2869</v>
      </c>
      <c r="K158" s="175" t="str">
        <f>INDEX('2022 SIC to NAICS'!B:B, MATCH('Processed Non-zero DMR Data'!$J158, '2022 SIC to NAICS'!$A:$A, 0))</f>
        <v>Industrial Organic Chemicals, Nec</v>
      </c>
      <c r="L158" s="175">
        <f>INDEX('2022 SIC to NAICS'!C:C, MATCH('Processed Non-zero DMR Data'!$J158, '2022 SIC to NAICS'!$A:$A, 0))</f>
        <v>325110</v>
      </c>
      <c r="M158" s="175" t="str">
        <f>INDEX('2022 SIC to NAICS'!D:D, MATCH('Processed Non-zero DMR Data'!$J158, '2022 SIC to NAICS'!$A:$A, 0))</f>
        <v>Petrochemical Manufacturing</v>
      </c>
      <c r="N158" s="90" t="str">
        <f>IFERROR(INDEX('NAICS Code to IS CDR Code'!B:B, MATCH('Processed Non-zero DMR Data'!L158,'NAICS Code to IS CDR Code'!A:A,0)), "NAICS/SIC Not Provided")</f>
        <v>IS15</v>
      </c>
      <c r="O158" s="91" t="str">
        <f>IFERROR(INDEX('NAICS Code to IS CDR Code'!C:C, MATCH('Processed Non-zero DMR Data'!L158,'NAICS Code to IS CDR Code'!A:A,0)), "NAICS/SIC Not Provided")</f>
        <v>Petrochemical Manufacturing</v>
      </c>
      <c r="P158" s="91" t="str">
        <f>INDEX('11DCA Mapping'!$K:$K, MATCH('Processed Non-zero DMR Data'!I159,'11DCA Mapping'!$J:$J,0))</f>
        <v>POTW</v>
      </c>
      <c r="Q158" s="91" t="str">
        <f>INDEX('11DCA Mapping'!$L:$L, MATCH('Processed Non-zero DMR Data'!I159,'11DCA Mapping'!$J:$J,0))</f>
        <v>Assigned POTW per "Facility Type Indicator"</v>
      </c>
      <c r="R158" s="250" t="str">
        <f>VLOOKUP(I158,'DMR POTW Flag'!$A$2:$B$960,2,FALSE)</f>
        <v>NON-POTW</v>
      </c>
      <c r="S158" s="7" t="s">
        <v>62</v>
      </c>
      <c r="T158" s="7" t="s">
        <v>601</v>
      </c>
      <c r="U158" s="8">
        <f>COUNTIFS('Raw Non-zero DMR Data'!$A:$A, 'Processed Non-zero DMR Data'!A158, 'Raw Non-zero DMR Data'!$C:$C, X158, 'Raw Non-zero DMR Data'!$U:$U,'Processed Non-zero DMR Data'!Y158)</f>
        <v>1</v>
      </c>
      <c r="V158" s="8">
        <f>COUNTIFS('Raw Non-zero DMR Data'!$A:$A, 'Processed Non-zero DMR Data'!A158, 'Raw Non-zero DMR Data'!$C:$C, X158, 'Raw Non-zero DMR Data'!$U:$U,'Processed Non-zero DMR Data'!Y158,'Raw Non-zero DMR Data'!$Z:$Z,"Yes")</f>
        <v>1</v>
      </c>
      <c r="W158">
        <v>0.179255</v>
      </c>
      <c r="X158" t="s">
        <v>732</v>
      </c>
      <c r="Y158" t="s">
        <v>733</v>
      </c>
      <c r="Z158" s="257">
        <v>20402020606</v>
      </c>
    </row>
    <row r="159" spans="1:26" ht="15" customHeight="1" x14ac:dyDescent="0.25">
      <c r="A159">
        <v>2019</v>
      </c>
      <c r="B159" t="s">
        <v>295</v>
      </c>
      <c r="C159" t="s">
        <v>235</v>
      </c>
      <c r="D159" t="s">
        <v>600</v>
      </c>
      <c r="E159" t="s">
        <v>138</v>
      </c>
      <c r="F159">
        <v>38.08614</v>
      </c>
      <c r="G159">
        <v>-85.898780000000002</v>
      </c>
      <c r="I159" s="1">
        <v>110000732379</v>
      </c>
      <c r="J159">
        <v>4952</v>
      </c>
      <c r="K159" s="175" t="str">
        <f>INDEX('2022 SIC to NAICS'!B:B, MATCH('Processed Non-zero DMR Data'!$J159, '2022 SIC to NAICS'!$A:$A, 0))</f>
        <v>Sewerage Systems</v>
      </c>
      <c r="L159" s="175">
        <f>INDEX('2022 SIC to NAICS'!C:C, MATCH('Processed Non-zero DMR Data'!$J159, '2022 SIC to NAICS'!$A:$A, 0))</f>
        <v>221320</v>
      </c>
      <c r="M159" s="175" t="str">
        <f>INDEX('2022 SIC to NAICS'!D:D, MATCH('Processed Non-zero DMR Data'!$J159, '2022 SIC to NAICS'!$A:$A, 0))</f>
        <v xml:space="preserve">Sewage Treatment Facilities </v>
      </c>
      <c r="N159" s="90" t="str">
        <f>IFERROR(INDEX('NAICS Code to IS CDR Code'!B:B, MATCH('Processed Non-zero DMR Data'!L159,'NAICS Code to IS CDR Code'!A:A,0)), "NAICS/SIC Not Provided")</f>
        <v>IS4</v>
      </c>
      <c r="O159" s="91" t="str">
        <f>IFERROR(INDEX('NAICS Code to IS CDR Code'!C:C, MATCH('Processed Non-zero DMR Data'!L159,'NAICS Code to IS CDR Code'!A:A,0)), "NAICS/SIC Not Provided")</f>
        <v>Utilities</v>
      </c>
      <c r="P159" s="91" t="str">
        <f>INDEX('11DCA Mapping'!$K:$K, MATCH('Processed Non-zero DMR Data'!I160,'11DCA Mapping'!$J:$J,0))</f>
        <v>POTW</v>
      </c>
      <c r="Q159" s="91" t="str">
        <f>INDEX('11DCA Mapping'!$L:$L, MATCH('Processed Non-zero DMR Data'!I160,'11DCA Mapping'!$J:$J,0))</f>
        <v>Assigned POTW per "Facility Type Indicator"</v>
      </c>
      <c r="R159" s="250" t="str">
        <f>VLOOKUP(I159,'DMR POTW Flag'!$A$2:$B$960,2,FALSE)</f>
        <v>POTW</v>
      </c>
      <c r="S159" s="7" t="s">
        <v>67</v>
      </c>
      <c r="T159" s="249" t="s">
        <v>586</v>
      </c>
      <c r="U159" s="8">
        <f>COUNTIFS('Raw Non-zero DMR Data'!$A:$A, 'Processed Non-zero DMR Data'!A159, 'Raw Non-zero DMR Data'!$C:$C, X159, 'Raw Non-zero DMR Data'!$U:$U,'Processed Non-zero DMR Data'!Y159)</f>
        <v>1</v>
      </c>
      <c r="V159" s="8">
        <f>COUNTIFS('Raw Non-zero DMR Data'!$A:$A, 'Processed Non-zero DMR Data'!A159, 'Raw Non-zero DMR Data'!$C:$C, X159, 'Raw Non-zero DMR Data'!$U:$U,'Processed Non-zero DMR Data'!Y159,'Raw Non-zero DMR Data'!$Z:$Z,"Yes")</f>
        <v>1</v>
      </c>
      <c r="W159">
        <v>212.68922756250001</v>
      </c>
      <c r="X159" t="s">
        <v>734</v>
      </c>
      <c r="Y159" t="s">
        <v>735</v>
      </c>
      <c r="Z159" s="257">
        <v>51401010904</v>
      </c>
    </row>
    <row r="160" spans="1:26" ht="15" customHeight="1" x14ac:dyDescent="0.25">
      <c r="A160">
        <v>2020</v>
      </c>
      <c r="B160" t="s">
        <v>295</v>
      </c>
      <c r="C160" t="s">
        <v>235</v>
      </c>
      <c r="D160" t="s">
        <v>600</v>
      </c>
      <c r="E160" t="s">
        <v>138</v>
      </c>
      <c r="F160">
        <v>38.08614</v>
      </c>
      <c r="G160">
        <v>-85.898780000000002</v>
      </c>
      <c r="I160" s="1">
        <v>110000732379</v>
      </c>
      <c r="J160">
        <v>4952</v>
      </c>
      <c r="K160" s="175" t="str">
        <f>INDEX('2022 SIC to NAICS'!B:B, MATCH('Processed Non-zero DMR Data'!$J160, '2022 SIC to NAICS'!$A:$A, 0))</f>
        <v>Sewerage Systems</v>
      </c>
      <c r="L160" s="175">
        <f>INDEX('2022 SIC to NAICS'!C:C, MATCH('Processed Non-zero DMR Data'!$J160, '2022 SIC to NAICS'!$A:$A, 0))</f>
        <v>221320</v>
      </c>
      <c r="M160" s="175" t="str">
        <f>INDEX('2022 SIC to NAICS'!D:D, MATCH('Processed Non-zero DMR Data'!$J160, '2022 SIC to NAICS'!$A:$A, 0))</f>
        <v xml:space="preserve">Sewage Treatment Facilities </v>
      </c>
      <c r="N160" s="90" t="str">
        <f>IFERROR(INDEX('NAICS Code to IS CDR Code'!B:B, MATCH('Processed Non-zero DMR Data'!L160,'NAICS Code to IS CDR Code'!A:A,0)), "NAICS/SIC Not Provided")</f>
        <v>IS4</v>
      </c>
      <c r="O160" s="91" t="str">
        <f>IFERROR(INDEX('NAICS Code to IS CDR Code'!C:C, MATCH('Processed Non-zero DMR Data'!L160,'NAICS Code to IS CDR Code'!A:A,0)), "NAICS/SIC Not Provided")</f>
        <v>Utilities</v>
      </c>
      <c r="P160" s="91" t="str">
        <f>INDEX('11DCA Mapping'!$K:$K, MATCH('Processed Non-zero DMR Data'!I161,'11DCA Mapping'!$J:$J,0))</f>
        <v>POTW</v>
      </c>
      <c r="Q160" s="91" t="str">
        <f>INDEX('11DCA Mapping'!$L:$L, MATCH('Processed Non-zero DMR Data'!I161,'11DCA Mapping'!$J:$J,0))</f>
        <v>Assigned POTW per "Facility Type Indicator"</v>
      </c>
      <c r="R160" s="250" t="str">
        <f>VLOOKUP(I160,'DMR POTW Flag'!$A$2:$B$960,2,FALSE)</f>
        <v>POTW</v>
      </c>
      <c r="S160" s="7" t="s">
        <v>67</v>
      </c>
      <c r="T160" s="249" t="s">
        <v>586</v>
      </c>
      <c r="U160" s="8">
        <f>COUNTIFS('Raw Non-zero DMR Data'!$A:$A, 'Processed Non-zero DMR Data'!A160, 'Raw Non-zero DMR Data'!$C:$C, X160, 'Raw Non-zero DMR Data'!$U:$U,'Processed Non-zero DMR Data'!Y160)</f>
        <v>1</v>
      </c>
      <c r="V160" s="8">
        <f>COUNTIFS('Raw Non-zero DMR Data'!$A:$A, 'Processed Non-zero DMR Data'!A160, 'Raw Non-zero DMR Data'!$C:$C, X160, 'Raw Non-zero DMR Data'!$U:$U,'Processed Non-zero DMR Data'!Y160,'Raw Non-zero DMR Data'!$Z:$Z,"Yes")</f>
        <v>1</v>
      </c>
      <c r="W160">
        <v>167.30267749999999</v>
      </c>
      <c r="X160" t="s">
        <v>734</v>
      </c>
      <c r="Y160" t="s">
        <v>735</v>
      </c>
      <c r="Z160" s="257">
        <v>51401010904</v>
      </c>
    </row>
    <row r="161" spans="1:26" ht="15" customHeight="1" x14ac:dyDescent="0.25">
      <c r="A161">
        <v>2021</v>
      </c>
      <c r="B161" t="s">
        <v>295</v>
      </c>
      <c r="C161" t="s">
        <v>235</v>
      </c>
      <c r="D161" t="s">
        <v>600</v>
      </c>
      <c r="E161" t="s">
        <v>138</v>
      </c>
      <c r="F161">
        <v>38.08614</v>
      </c>
      <c r="G161">
        <v>-85.898780000000002</v>
      </c>
      <c r="I161" s="1">
        <v>110000732379</v>
      </c>
      <c r="J161">
        <v>4952</v>
      </c>
      <c r="K161" s="175" t="str">
        <f>INDEX('2022 SIC to NAICS'!B:B, MATCH('Processed Non-zero DMR Data'!$J161, '2022 SIC to NAICS'!$A:$A, 0))</f>
        <v>Sewerage Systems</v>
      </c>
      <c r="L161" s="175">
        <f>INDEX('2022 SIC to NAICS'!C:C, MATCH('Processed Non-zero DMR Data'!$J161, '2022 SIC to NAICS'!$A:$A, 0))</f>
        <v>221320</v>
      </c>
      <c r="M161" s="175" t="str">
        <f>INDEX('2022 SIC to NAICS'!D:D, MATCH('Processed Non-zero DMR Data'!$J161, '2022 SIC to NAICS'!$A:$A, 0))</f>
        <v xml:space="preserve">Sewage Treatment Facilities </v>
      </c>
      <c r="N161" s="90" t="str">
        <f>IFERROR(INDEX('NAICS Code to IS CDR Code'!B:B, MATCH('Processed Non-zero DMR Data'!L161,'NAICS Code to IS CDR Code'!A:A,0)), "NAICS/SIC Not Provided")</f>
        <v>IS4</v>
      </c>
      <c r="O161" s="91" t="str">
        <f>IFERROR(INDEX('NAICS Code to IS CDR Code'!C:C, MATCH('Processed Non-zero DMR Data'!L161,'NAICS Code to IS CDR Code'!A:A,0)), "NAICS/SIC Not Provided")</f>
        <v>Utilities</v>
      </c>
      <c r="P161" s="91" t="str">
        <f>INDEX('11DCA Mapping'!$K:$K, MATCH('Processed Non-zero DMR Data'!I162,'11DCA Mapping'!$J:$J,0))</f>
        <v>POTW</v>
      </c>
      <c r="Q161" s="91" t="str">
        <f>INDEX('11DCA Mapping'!$L:$L, MATCH('Processed Non-zero DMR Data'!I162,'11DCA Mapping'!$J:$J,0))</f>
        <v>Assigned POTW per "Facility Type Indicator"</v>
      </c>
      <c r="R161" s="250" t="str">
        <f>VLOOKUP(I161,'DMR POTW Flag'!$A$2:$B$960,2,FALSE)</f>
        <v>POTW</v>
      </c>
      <c r="S161" s="7" t="s">
        <v>67</v>
      </c>
      <c r="T161" s="249" t="s">
        <v>586</v>
      </c>
      <c r="U161" s="8">
        <f>COUNTIFS('Raw Non-zero DMR Data'!$A:$A, 'Processed Non-zero DMR Data'!A161, 'Raw Non-zero DMR Data'!$C:$C, X161, 'Raw Non-zero DMR Data'!$U:$U,'Processed Non-zero DMR Data'!Y161)</f>
        <v>1</v>
      </c>
      <c r="V161" s="8">
        <f>COUNTIFS('Raw Non-zero DMR Data'!$A:$A, 'Processed Non-zero DMR Data'!A161, 'Raw Non-zero DMR Data'!$C:$C, X161, 'Raw Non-zero DMR Data'!$U:$U,'Processed Non-zero DMR Data'!Y161,'Raw Non-zero DMR Data'!$Z:$Z,"Yes")</f>
        <v>1</v>
      </c>
      <c r="W161">
        <v>123.61194937499999</v>
      </c>
      <c r="X161" t="s">
        <v>734</v>
      </c>
      <c r="Y161" t="s">
        <v>735</v>
      </c>
      <c r="Z161" s="257">
        <v>51401010904</v>
      </c>
    </row>
    <row r="162" spans="1:26" ht="15" customHeight="1" x14ac:dyDescent="0.25">
      <c r="A162">
        <v>2022</v>
      </c>
      <c r="B162" t="s">
        <v>295</v>
      </c>
      <c r="C162" t="s">
        <v>235</v>
      </c>
      <c r="D162" t="s">
        <v>600</v>
      </c>
      <c r="E162" t="s">
        <v>138</v>
      </c>
      <c r="F162">
        <v>38.08614</v>
      </c>
      <c r="G162">
        <v>-85.898780000000002</v>
      </c>
      <c r="I162" s="1">
        <v>110000732379</v>
      </c>
      <c r="J162">
        <v>4952</v>
      </c>
      <c r="K162" s="175" t="str">
        <f>INDEX('2022 SIC to NAICS'!B:B, MATCH('Processed Non-zero DMR Data'!$J162, '2022 SIC to NAICS'!$A:$A, 0))</f>
        <v>Sewerage Systems</v>
      </c>
      <c r="L162" s="175">
        <f>INDEX('2022 SIC to NAICS'!C:C, MATCH('Processed Non-zero DMR Data'!$J162, '2022 SIC to NAICS'!$A:$A, 0))</f>
        <v>221320</v>
      </c>
      <c r="M162" s="175" t="str">
        <f>INDEX('2022 SIC to NAICS'!D:D, MATCH('Processed Non-zero DMR Data'!$J162, '2022 SIC to NAICS'!$A:$A, 0))</f>
        <v xml:space="preserve">Sewage Treatment Facilities </v>
      </c>
      <c r="N162" s="90" t="str">
        <f>IFERROR(INDEX('NAICS Code to IS CDR Code'!B:B, MATCH('Processed Non-zero DMR Data'!L162,'NAICS Code to IS CDR Code'!A:A,0)), "NAICS/SIC Not Provided")</f>
        <v>IS4</v>
      </c>
      <c r="O162" s="91" t="str">
        <f>IFERROR(INDEX('NAICS Code to IS CDR Code'!C:C, MATCH('Processed Non-zero DMR Data'!L162,'NAICS Code to IS CDR Code'!A:A,0)), "NAICS/SIC Not Provided")</f>
        <v>Utilities</v>
      </c>
      <c r="P162" s="91" t="str">
        <f>INDEX('11DCA Mapping'!$K:$K, MATCH('Processed Non-zero DMR Data'!I163,'11DCA Mapping'!$J:$J,0))</f>
        <v>POTW</v>
      </c>
      <c r="Q162" s="91" t="str">
        <f>INDEX('11DCA Mapping'!$L:$L, MATCH('Processed Non-zero DMR Data'!I163,'11DCA Mapping'!$J:$J,0))</f>
        <v>Assigned POTW per "Facility Type Indicator"</v>
      </c>
      <c r="R162" s="250" t="str">
        <f>VLOOKUP(I162,'DMR POTW Flag'!$A$2:$B$960,2,FALSE)</f>
        <v>POTW</v>
      </c>
      <c r="S162" s="7" t="s">
        <v>67</v>
      </c>
      <c r="T162" s="249" t="s">
        <v>586</v>
      </c>
      <c r="U162" s="8">
        <f>COUNTIFS('Raw Non-zero DMR Data'!$A:$A, 'Processed Non-zero DMR Data'!A162, 'Raw Non-zero DMR Data'!$C:$C, X162, 'Raw Non-zero DMR Data'!$U:$U,'Processed Non-zero DMR Data'!Y162)</f>
        <v>1</v>
      </c>
      <c r="V162" s="8">
        <f>COUNTIFS('Raw Non-zero DMR Data'!$A:$A, 'Processed Non-zero DMR Data'!A162, 'Raw Non-zero DMR Data'!$C:$C, X162, 'Raw Non-zero DMR Data'!$U:$U,'Processed Non-zero DMR Data'!Y162,'Raw Non-zero DMR Data'!$Z:$Z,"Yes")</f>
        <v>1</v>
      </c>
      <c r="W162">
        <v>107.309954375</v>
      </c>
      <c r="X162" t="s">
        <v>734</v>
      </c>
      <c r="Y162" t="s">
        <v>735</v>
      </c>
      <c r="Z162" s="257">
        <v>51401010904</v>
      </c>
    </row>
    <row r="163" spans="1:26" ht="15" customHeight="1" x14ac:dyDescent="0.25">
      <c r="A163">
        <v>2023</v>
      </c>
      <c r="B163" t="s">
        <v>295</v>
      </c>
      <c r="C163" t="s">
        <v>235</v>
      </c>
      <c r="D163" t="s">
        <v>600</v>
      </c>
      <c r="E163" t="s">
        <v>138</v>
      </c>
      <c r="F163">
        <v>38.08614</v>
      </c>
      <c r="G163">
        <v>-85.898780000000002</v>
      </c>
      <c r="I163" s="1">
        <v>110000732379</v>
      </c>
      <c r="J163">
        <v>4952</v>
      </c>
      <c r="K163" s="175" t="str">
        <f>INDEX('2022 SIC to NAICS'!B:B, MATCH('Processed Non-zero DMR Data'!$J163, '2022 SIC to NAICS'!$A:$A, 0))</f>
        <v>Sewerage Systems</v>
      </c>
      <c r="L163" s="175">
        <f>INDEX('2022 SIC to NAICS'!C:C, MATCH('Processed Non-zero DMR Data'!$J163, '2022 SIC to NAICS'!$A:$A, 0))</f>
        <v>221320</v>
      </c>
      <c r="M163" s="175" t="str">
        <f>INDEX('2022 SIC to NAICS'!D:D, MATCH('Processed Non-zero DMR Data'!$J163, '2022 SIC to NAICS'!$A:$A, 0))</f>
        <v xml:space="preserve">Sewage Treatment Facilities </v>
      </c>
      <c r="N163" s="90" t="str">
        <f>IFERROR(INDEX('NAICS Code to IS CDR Code'!B:B, MATCH('Processed Non-zero DMR Data'!L163,'NAICS Code to IS CDR Code'!A:A,0)), "NAICS/SIC Not Provided")</f>
        <v>IS4</v>
      </c>
      <c r="O163" s="91" t="str">
        <f>IFERROR(INDEX('NAICS Code to IS CDR Code'!C:C, MATCH('Processed Non-zero DMR Data'!L163,'NAICS Code to IS CDR Code'!A:A,0)), "NAICS/SIC Not Provided")</f>
        <v>Utilities</v>
      </c>
      <c r="P163" s="91" t="e">
        <f>INDEX('11DCA Mapping'!$K:$K, MATCH('Processed Non-zero DMR Data'!I164,'11DCA Mapping'!$J:$J,0))</f>
        <v>#N/A</v>
      </c>
      <c r="Q163" s="91" t="e">
        <f>INDEX('11DCA Mapping'!$L:$L, MATCH('Processed Non-zero DMR Data'!I164,'11DCA Mapping'!$J:$J,0))</f>
        <v>#N/A</v>
      </c>
      <c r="R163" s="250" t="str">
        <f>VLOOKUP(I163,'DMR POTW Flag'!$A$2:$B$960,2,FALSE)</f>
        <v>POTW</v>
      </c>
      <c r="S163" s="7" t="s">
        <v>67</v>
      </c>
      <c r="T163" s="249" t="s">
        <v>586</v>
      </c>
      <c r="U163" s="8">
        <f>COUNTIFS('Raw Non-zero DMR Data'!$A:$A, 'Processed Non-zero DMR Data'!A163, 'Raw Non-zero DMR Data'!$C:$C, X163, 'Raw Non-zero DMR Data'!$U:$U,'Processed Non-zero DMR Data'!Y163)</f>
        <v>1</v>
      </c>
      <c r="V163" s="8">
        <f>COUNTIFS('Raw Non-zero DMR Data'!$A:$A, 'Processed Non-zero DMR Data'!A163, 'Raw Non-zero DMR Data'!$C:$C, X163, 'Raw Non-zero DMR Data'!$U:$U,'Processed Non-zero DMR Data'!Y163,'Raw Non-zero DMR Data'!$Z:$Z,"Yes")</f>
        <v>1</v>
      </c>
      <c r="W163">
        <v>87.896074312500005</v>
      </c>
      <c r="X163" t="s">
        <v>734</v>
      </c>
      <c r="Y163" t="s">
        <v>735</v>
      </c>
      <c r="Z163" s="257">
        <v>51401010904</v>
      </c>
    </row>
    <row r="164" spans="1:26" ht="15" customHeight="1" x14ac:dyDescent="0.25">
      <c r="A164">
        <v>2021</v>
      </c>
      <c r="B164" t="s">
        <v>468</v>
      </c>
      <c r="C164" t="s">
        <v>469</v>
      </c>
      <c r="D164" t="s">
        <v>736</v>
      </c>
      <c r="E164" t="s">
        <v>146</v>
      </c>
      <c r="F164">
        <v>37.894722000000002</v>
      </c>
      <c r="G164">
        <v>-121.587222</v>
      </c>
      <c r="I164" s="1">
        <v>110001103911</v>
      </c>
      <c r="J164">
        <v>4952</v>
      </c>
      <c r="K164" s="175" t="str">
        <f>INDEX('2022 SIC to NAICS'!B:B, MATCH('Processed Non-zero DMR Data'!$J164, '2022 SIC to NAICS'!$A:$A, 0))</f>
        <v>Sewerage Systems</v>
      </c>
      <c r="L164" s="175">
        <f>INDEX('2022 SIC to NAICS'!C:C, MATCH('Processed Non-zero DMR Data'!$J164, '2022 SIC to NAICS'!$A:$A, 0))</f>
        <v>221320</v>
      </c>
      <c r="M164" s="175" t="str">
        <f>INDEX('2022 SIC to NAICS'!D:D, MATCH('Processed Non-zero DMR Data'!$J164, '2022 SIC to NAICS'!$A:$A, 0))</f>
        <v xml:space="preserve">Sewage Treatment Facilities </v>
      </c>
      <c r="N164" s="90" t="str">
        <f>IFERROR(INDEX('NAICS Code to IS CDR Code'!B:B, MATCH('Processed Non-zero DMR Data'!L164,'NAICS Code to IS CDR Code'!A:A,0)), "NAICS/SIC Not Provided")</f>
        <v>IS4</v>
      </c>
      <c r="O164" s="91" t="str">
        <f>IFERROR(INDEX('NAICS Code to IS CDR Code'!C:C, MATCH('Processed Non-zero DMR Data'!L164,'NAICS Code to IS CDR Code'!A:A,0)), "NAICS/SIC Not Provided")</f>
        <v>Utilities</v>
      </c>
      <c r="P164" s="91" t="str">
        <f>INDEX('11DCA Mapping'!$K:$K, MATCH('Processed Non-zero DMR Data'!I165,'11DCA Mapping'!$J:$J,0))</f>
        <v>Processing as a Reactant</v>
      </c>
      <c r="Q164" s="91" t="str">
        <f>INDEX('11DCA Mapping'!$L:$L, MATCH('Processed Non-zero DMR Data'!I165,'11DCA Mapping'!$J:$J,0))</f>
        <v>Used mapping of other site with similar SIC description</v>
      </c>
      <c r="R164" s="250" t="str">
        <f>VLOOKUP(I164,'DMR POTW Flag'!$A$2:$B$960,2,FALSE)</f>
        <v>POTW</v>
      </c>
      <c r="S164" s="7" t="s">
        <v>67</v>
      </c>
      <c r="T164" s="249" t="s">
        <v>586</v>
      </c>
      <c r="U164" s="8">
        <f>COUNTIFS('Raw Non-zero DMR Data'!$A:$A, 'Processed Non-zero DMR Data'!A164, 'Raw Non-zero DMR Data'!$C:$C, X164, 'Raw Non-zero DMR Data'!$U:$U,'Processed Non-zero DMR Data'!Y164)</f>
        <v>1</v>
      </c>
      <c r="V164" s="8">
        <f>COUNTIFS('Raw Non-zero DMR Data'!$A:$A, 'Processed Non-zero DMR Data'!A164, 'Raw Non-zero DMR Data'!$C:$C, X164, 'Raw Non-zero DMR Data'!$U:$U,'Processed Non-zero DMR Data'!Y164,'Raw Non-zero DMR Data'!$Z:$Z,"Yes")</f>
        <v>1</v>
      </c>
      <c r="W164">
        <v>6.99504336E-2</v>
      </c>
      <c r="X164" t="s">
        <v>737</v>
      </c>
      <c r="Y164" t="s">
        <v>738</v>
      </c>
      <c r="Z164" s="257">
        <v>180400030802</v>
      </c>
    </row>
    <row r="165" spans="1:26" ht="15" customHeight="1" x14ac:dyDescent="0.25">
      <c r="A165">
        <v>2019</v>
      </c>
      <c r="B165" t="s">
        <v>307</v>
      </c>
      <c r="C165" t="s">
        <v>308</v>
      </c>
      <c r="D165" t="s">
        <v>739</v>
      </c>
      <c r="E165" t="s">
        <v>309</v>
      </c>
      <c r="F165">
        <v>36.527054999999997</v>
      </c>
      <c r="G165">
        <v>-82.538579999999996</v>
      </c>
      <c r="I165" s="1">
        <v>110000574423</v>
      </c>
      <c r="J165">
        <v>2869</v>
      </c>
      <c r="K165" s="175" t="str">
        <f>INDEX('2022 SIC to NAICS'!B:B, MATCH('Processed Non-zero DMR Data'!$J165, '2022 SIC to NAICS'!$A:$A, 0))</f>
        <v>Industrial Organic Chemicals, Nec</v>
      </c>
      <c r="L165" s="175">
        <f>INDEX('2022 SIC to NAICS'!C:C, MATCH('Processed Non-zero DMR Data'!$J165, '2022 SIC to NAICS'!$A:$A, 0))</f>
        <v>325110</v>
      </c>
      <c r="M165" s="175" t="str">
        <f>INDEX('2022 SIC to NAICS'!D:D, MATCH('Processed Non-zero DMR Data'!$J165, '2022 SIC to NAICS'!$A:$A, 0))</f>
        <v>Petrochemical Manufacturing</v>
      </c>
      <c r="N165" s="90" t="str">
        <f>IFERROR(INDEX('NAICS Code to IS CDR Code'!B:B, MATCH('Processed Non-zero DMR Data'!L165,'NAICS Code to IS CDR Code'!A:A,0)), "NAICS/SIC Not Provided")</f>
        <v>IS15</v>
      </c>
      <c r="O165" s="91" t="str">
        <f>IFERROR(INDEX('NAICS Code to IS CDR Code'!C:C, MATCH('Processed Non-zero DMR Data'!L165,'NAICS Code to IS CDR Code'!A:A,0)), "NAICS/SIC Not Provided")</f>
        <v>Petrochemical Manufacturing</v>
      </c>
      <c r="P165" s="91" t="str">
        <f>INDEX('11DCA Mapping'!$K:$K, MATCH('Processed Non-zero DMR Data'!I166,'11DCA Mapping'!$J:$J,0))</f>
        <v>Processing as a Reactant</v>
      </c>
      <c r="Q165" s="91" t="str">
        <f>INDEX('11DCA Mapping'!$L:$L, MATCH('Processed Non-zero DMR Data'!I166,'11DCA Mapping'!$J:$J,0))</f>
        <v>Used mapping of other site with similar SIC description</v>
      </c>
      <c r="R165" s="250" t="str">
        <f>VLOOKUP(I165,'DMR POTW Flag'!$A$2:$B$960,2,FALSE)</f>
        <v>NON-POTW</v>
      </c>
      <c r="S165" s="7" t="s">
        <v>62</v>
      </c>
      <c r="T165" s="7" t="s">
        <v>601</v>
      </c>
      <c r="U165" s="8">
        <f>COUNTIFS('Raw Non-zero DMR Data'!$A:$A, 'Processed Non-zero DMR Data'!A165, 'Raw Non-zero DMR Data'!$C:$C, X165, 'Raw Non-zero DMR Data'!$U:$U,'Processed Non-zero DMR Data'!Y165)</f>
        <v>1</v>
      </c>
      <c r="V165" s="8">
        <f>COUNTIFS('Raw Non-zero DMR Data'!$A:$A, 'Processed Non-zero DMR Data'!A165, 'Raw Non-zero DMR Data'!$C:$C, X165, 'Raw Non-zero DMR Data'!$U:$U,'Processed Non-zero DMR Data'!Y165,'Raw Non-zero DMR Data'!$Z:$Z,"Yes")</f>
        <v>1</v>
      </c>
      <c r="W165">
        <v>0.44782927724999999</v>
      </c>
      <c r="X165" t="s">
        <v>740</v>
      </c>
      <c r="Y165" t="s">
        <v>741</v>
      </c>
      <c r="Z165" s="257">
        <v>60101020704</v>
      </c>
    </row>
    <row r="166" spans="1:26" ht="15" customHeight="1" x14ac:dyDescent="0.25">
      <c r="A166">
        <v>2023</v>
      </c>
      <c r="B166" t="s">
        <v>307</v>
      </c>
      <c r="C166" t="s">
        <v>308</v>
      </c>
      <c r="D166" t="s">
        <v>739</v>
      </c>
      <c r="E166" t="s">
        <v>309</v>
      </c>
      <c r="F166">
        <v>36.527054999999997</v>
      </c>
      <c r="G166">
        <v>-82.538579999999996</v>
      </c>
      <c r="I166" s="1">
        <v>110000574423</v>
      </c>
      <c r="J166">
        <v>2869</v>
      </c>
      <c r="K166" s="175" t="str">
        <f>INDEX('2022 SIC to NAICS'!B:B, MATCH('Processed Non-zero DMR Data'!$J166, '2022 SIC to NAICS'!$A:$A, 0))</f>
        <v>Industrial Organic Chemicals, Nec</v>
      </c>
      <c r="L166" s="175">
        <f>INDEX('2022 SIC to NAICS'!C:C, MATCH('Processed Non-zero DMR Data'!$J166, '2022 SIC to NAICS'!$A:$A, 0))</f>
        <v>325110</v>
      </c>
      <c r="M166" s="175" t="str">
        <f>INDEX('2022 SIC to NAICS'!D:D, MATCH('Processed Non-zero DMR Data'!$J166, '2022 SIC to NAICS'!$A:$A, 0))</f>
        <v>Petrochemical Manufacturing</v>
      </c>
      <c r="N166" s="90" t="str">
        <f>IFERROR(INDEX('NAICS Code to IS CDR Code'!B:B, MATCH('Processed Non-zero DMR Data'!L166,'NAICS Code to IS CDR Code'!A:A,0)), "NAICS/SIC Not Provided")</f>
        <v>IS15</v>
      </c>
      <c r="O166" s="91" t="str">
        <f>IFERROR(INDEX('NAICS Code to IS CDR Code'!C:C, MATCH('Processed Non-zero DMR Data'!L166,'NAICS Code to IS CDR Code'!A:A,0)), "NAICS/SIC Not Provided")</f>
        <v>Petrochemical Manufacturing</v>
      </c>
      <c r="P166" s="91" t="str">
        <f>INDEX('11DCA Mapping'!$K:$K, MATCH('Processed Non-zero DMR Data'!I167,'11DCA Mapping'!$J:$J,0))</f>
        <v>Processing as a Reactant</v>
      </c>
      <c r="Q166" s="91" t="str">
        <f>INDEX('11DCA Mapping'!$L:$L, MATCH('Processed Non-zero DMR Data'!I167,'11DCA Mapping'!$J:$J,0))</f>
        <v>Used mapping of other site with similar SIC description</v>
      </c>
      <c r="R166" s="250" t="str">
        <f>VLOOKUP(I166,'DMR POTW Flag'!$A$2:$B$960,2,FALSE)</f>
        <v>NON-POTW</v>
      </c>
      <c r="S166" s="7" t="s">
        <v>62</v>
      </c>
      <c r="T166" s="7" t="s">
        <v>601</v>
      </c>
      <c r="U166" s="8">
        <f>COUNTIFS('Raw Non-zero DMR Data'!$A:$A, 'Processed Non-zero DMR Data'!A166, 'Raw Non-zero DMR Data'!$C:$C, X166, 'Raw Non-zero DMR Data'!$U:$U,'Processed Non-zero DMR Data'!Y166)</f>
        <v>2</v>
      </c>
      <c r="V166" s="8">
        <f>COUNTIFS('Raw Non-zero DMR Data'!$A:$A, 'Processed Non-zero DMR Data'!A166, 'Raw Non-zero DMR Data'!$C:$C, X166, 'Raw Non-zero DMR Data'!$U:$U,'Processed Non-zero DMR Data'!Y166,'Raw Non-zero DMR Data'!$Z:$Z,"Yes")</f>
        <v>2</v>
      </c>
      <c r="W166">
        <v>0.21579420499999999</v>
      </c>
      <c r="X166" t="s">
        <v>740</v>
      </c>
      <c r="Y166" t="s">
        <v>741</v>
      </c>
      <c r="Z166" s="257">
        <v>60101020704</v>
      </c>
    </row>
    <row r="167" spans="1:26" ht="15" customHeight="1" x14ac:dyDescent="0.25">
      <c r="A167">
        <v>2023</v>
      </c>
      <c r="B167" t="s">
        <v>307</v>
      </c>
      <c r="C167" t="s">
        <v>308</v>
      </c>
      <c r="D167" t="s">
        <v>739</v>
      </c>
      <c r="E167" t="s">
        <v>309</v>
      </c>
      <c r="F167">
        <v>36.527054999999997</v>
      </c>
      <c r="G167">
        <v>-82.538579999999996</v>
      </c>
      <c r="I167" s="1">
        <v>110000574423</v>
      </c>
      <c r="J167">
        <v>2869</v>
      </c>
      <c r="K167" s="175" t="str">
        <f>INDEX('2022 SIC to NAICS'!B:B, MATCH('Processed Non-zero DMR Data'!$J167, '2022 SIC to NAICS'!$A:$A, 0))</f>
        <v>Industrial Organic Chemicals, Nec</v>
      </c>
      <c r="L167" s="175">
        <f>INDEX('2022 SIC to NAICS'!C:C, MATCH('Processed Non-zero DMR Data'!$J167, '2022 SIC to NAICS'!$A:$A, 0))</f>
        <v>325110</v>
      </c>
      <c r="M167" s="175" t="str">
        <f>INDEX('2022 SIC to NAICS'!D:D, MATCH('Processed Non-zero DMR Data'!$J167, '2022 SIC to NAICS'!$A:$A, 0))</f>
        <v>Petrochemical Manufacturing</v>
      </c>
      <c r="N167" s="90" t="str">
        <f>IFERROR(INDEX('NAICS Code to IS CDR Code'!B:B, MATCH('Processed Non-zero DMR Data'!L167,'NAICS Code to IS CDR Code'!A:A,0)), "NAICS/SIC Not Provided")</f>
        <v>IS15</v>
      </c>
      <c r="O167" s="91" t="str">
        <f>IFERROR(INDEX('NAICS Code to IS CDR Code'!C:C, MATCH('Processed Non-zero DMR Data'!L167,'NAICS Code to IS CDR Code'!A:A,0)), "NAICS/SIC Not Provided")</f>
        <v>Petrochemical Manufacturing</v>
      </c>
      <c r="P167" s="91" t="str">
        <f>INDEX('11DCA Mapping'!$K:$K, MATCH('Processed Non-zero DMR Data'!I168,'11DCA Mapping'!$J:$J,0))</f>
        <v>Processing as a Reactant</v>
      </c>
      <c r="Q167" s="91" t="str">
        <f>INDEX('11DCA Mapping'!$L:$L, MATCH('Processed Non-zero DMR Data'!I168,'11DCA Mapping'!$J:$J,0))</f>
        <v>Based on SIC code</v>
      </c>
      <c r="R167" s="250" t="str">
        <f>VLOOKUP(I167,'DMR POTW Flag'!$A$2:$B$960,2,FALSE)</f>
        <v>NON-POTW</v>
      </c>
      <c r="S167" s="7" t="s">
        <v>62</v>
      </c>
      <c r="T167" s="7" t="s">
        <v>601</v>
      </c>
      <c r="U167" s="8">
        <f>COUNTIFS('Raw Non-zero DMR Data'!$A:$A, 'Processed Non-zero DMR Data'!A167, 'Raw Non-zero DMR Data'!$C:$C, X167, 'Raw Non-zero DMR Data'!$U:$U,'Processed Non-zero DMR Data'!Y167)</f>
        <v>2</v>
      </c>
      <c r="V167" s="8">
        <f>COUNTIFS('Raw Non-zero DMR Data'!$A:$A, 'Processed Non-zero DMR Data'!A167, 'Raw Non-zero DMR Data'!$C:$C, X167, 'Raw Non-zero DMR Data'!$U:$U,'Processed Non-zero DMR Data'!Y167,'Raw Non-zero DMR Data'!$Z:$Z,"Yes")</f>
        <v>2</v>
      </c>
      <c r="W167">
        <v>8.6997750000000007</v>
      </c>
      <c r="X167" t="s">
        <v>740</v>
      </c>
      <c r="Y167" t="s">
        <v>741</v>
      </c>
      <c r="Z167" s="257">
        <v>60101020704</v>
      </c>
    </row>
    <row r="168" spans="1:26" ht="15" customHeight="1" x14ac:dyDescent="0.25">
      <c r="A168">
        <v>2019</v>
      </c>
      <c r="B168" t="s">
        <v>312</v>
      </c>
      <c r="C168" t="s">
        <v>313</v>
      </c>
      <c r="D168" t="s">
        <v>638</v>
      </c>
      <c r="E168" t="s">
        <v>114</v>
      </c>
      <c r="F168">
        <v>29.718139000000001</v>
      </c>
      <c r="G168">
        <v>-95.268749999999997</v>
      </c>
      <c r="I168" s="1">
        <v>110000460901</v>
      </c>
      <c r="J168">
        <v>2819</v>
      </c>
      <c r="K168" s="175" t="str">
        <f>INDEX('2022 SIC to NAICS'!B:B, MATCH('Processed Non-zero DMR Data'!$J168, '2022 SIC to NAICS'!$A:$A, 0))</f>
        <v>Industrial Inorganic Chemicals, Nec</v>
      </c>
      <c r="L168" s="175">
        <f>INDEX('2022 SIC to NAICS'!C:C, MATCH('Processed Non-zero DMR Data'!$J168, '2022 SIC to NAICS'!$A:$A, 0))</f>
        <v>211130</v>
      </c>
      <c r="M168" s="175" t="str">
        <f>INDEX('2022 SIC to NAICS'!D:D, MATCH('Processed Non-zero DMR Data'!$J168, '2022 SIC to NAICS'!$A:$A, 0))</f>
        <v xml:space="preserve">Natural Gas Extraction </v>
      </c>
      <c r="N168" s="90" t="str">
        <f>IFERROR(INDEX('NAICS Code to IS CDR Code'!B:B, MATCH('Processed Non-zero DMR Data'!L168,'NAICS Code to IS CDR Code'!A:A,0)), "NAICS/SIC Not Provided")</f>
        <v>IS2</v>
      </c>
      <c r="O168" s="91" t="str">
        <f>IFERROR(INDEX('NAICS Code to IS CDR Code'!C:C, MATCH('Processed Non-zero DMR Data'!L168,'NAICS Code to IS CDR Code'!A:A,0)), "NAICS/SIC Not Provided")</f>
        <v>Oil and Gas Drilling, Extraction, and Support Activities</v>
      </c>
      <c r="P168" s="91" t="str">
        <f>INDEX('11DCA Mapping'!$K:$K, MATCH('Processed Non-zero DMR Data'!I169,'11DCA Mapping'!$J:$J,0))</f>
        <v>Processing as a Reactant</v>
      </c>
      <c r="Q168" s="91" t="str">
        <f>INDEX('11DCA Mapping'!$L:$L, MATCH('Processed Non-zero DMR Data'!I169,'11DCA Mapping'!$J:$J,0))</f>
        <v>Based on SIC code</v>
      </c>
      <c r="R168" s="250" t="str">
        <f>VLOOKUP(I168,'DMR POTW Flag'!$A$2:$B$960,2,FALSE)</f>
        <v>NON-POTW</v>
      </c>
      <c r="S168" s="7" t="s">
        <v>62</v>
      </c>
      <c r="T168" s="7" t="s">
        <v>742</v>
      </c>
      <c r="U168" s="8">
        <f>COUNTIFS('Raw Non-zero DMR Data'!$A:$A, 'Processed Non-zero DMR Data'!A168, 'Raw Non-zero DMR Data'!$C:$C, X168, 'Raw Non-zero DMR Data'!$U:$U,'Processed Non-zero DMR Data'!Y168)</f>
        <v>1</v>
      </c>
      <c r="V168" s="8">
        <f>COUNTIFS('Raw Non-zero DMR Data'!$A:$A, 'Processed Non-zero DMR Data'!A168, 'Raw Non-zero DMR Data'!$C:$C, X168, 'Raw Non-zero DMR Data'!$U:$U,'Processed Non-zero DMR Data'!Y168,'Raw Non-zero DMR Data'!$Z:$Z,"Yes")</f>
        <v>0</v>
      </c>
      <c r="W168">
        <v>9.8608799999999999</v>
      </c>
      <c r="X168" t="s">
        <v>743</v>
      </c>
      <c r="Y168" t="s">
        <v>744</v>
      </c>
      <c r="Z168" s="257">
        <v>120401040502</v>
      </c>
    </row>
    <row r="169" spans="1:26" ht="15" customHeight="1" x14ac:dyDescent="0.25">
      <c r="A169">
        <v>2020</v>
      </c>
      <c r="B169" t="s">
        <v>312</v>
      </c>
      <c r="C169" t="s">
        <v>313</v>
      </c>
      <c r="D169" t="s">
        <v>638</v>
      </c>
      <c r="E169" t="s">
        <v>114</v>
      </c>
      <c r="F169">
        <v>29.718139000000001</v>
      </c>
      <c r="G169">
        <v>-95.268749999999997</v>
      </c>
      <c r="I169" s="1">
        <v>110000460901</v>
      </c>
      <c r="J169">
        <v>2819</v>
      </c>
      <c r="K169" s="175" t="str">
        <f>INDEX('2022 SIC to NAICS'!B:B, MATCH('Processed Non-zero DMR Data'!$J169, '2022 SIC to NAICS'!$A:$A, 0))</f>
        <v>Industrial Inorganic Chemicals, Nec</v>
      </c>
      <c r="L169" s="175">
        <f>INDEX('2022 SIC to NAICS'!C:C, MATCH('Processed Non-zero DMR Data'!$J169, '2022 SIC to NAICS'!$A:$A, 0))</f>
        <v>211130</v>
      </c>
      <c r="M169" s="175" t="str">
        <f>INDEX('2022 SIC to NAICS'!D:D, MATCH('Processed Non-zero DMR Data'!$J169, '2022 SIC to NAICS'!$A:$A, 0))</f>
        <v xml:space="preserve">Natural Gas Extraction </v>
      </c>
      <c r="N169" s="90" t="str">
        <f>IFERROR(INDEX('NAICS Code to IS CDR Code'!B:B, MATCH('Processed Non-zero DMR Data'!L169,'NAICS Code to IS CDR Code'!A:A,0)), "NAICS/SIC Not Provided")</f>
        <v>IS2</v>
      </c>
      <c r="O169" s="91" t="str">
        <f>IFERROR(INDEX('NAICS Code to IS CDR Code'!C:C, MATCH('Processed Non-zero DMR Data'!L169,'NAICS Code to IS CDR Code'!A:A,0)), "NAICS/SIC Not Provided")</f>
        <v>Oil and Gas Drilling, Extraction, and Support Activities</v>
      </c>
      <c r="P169" s="91" t="str">
        <f>INDEX('11DCA Mapping'!$K:$K, MATCH('Processed Non-zero DMR Data'!I170,'11DCA Mapping'!$J:$J,0))</f>
        <v>Processing as a Reactant</v>
      </c>
      <c r="Q169" s="91" t="str">
        <f>INDEX('11DCA Mapping'!$L:$L, MATCH('Processed Non-zero DMR Data'!I170,'11DCA Mapping'!$J:$J,0))</f>
        <v>Based on SIC code</v>
      </c>
      <c r="R169" s="250" t="str">
        <f>VLOOKUP(I169,'DMR POTW Flag'!$A$2:$B$960,2,FALSE)</f>
        <v>NON-POTW</v>
      </c>
      <c r="S169" s="7" t="s">
        <v>62</v>
      </c>
      <c r="T169" s="7" t="s">
        <v>742</v>
      </c>
      <c r="U169" s="8">
        <f>COUNTIFS('Raw Non-zero DMR Data'!$A:$A, 'Processed Non-zero DMR Data'!A169, 'Raw Non-zero DMR Data'!$C:$C, X169, 'Raw Non-zero DMR Data'!$U:$U,'Processed Non-zero DMR Data'!Y169)</f>
        <v>1</v>
      </c>
      <c r="V169" s="8">
        <f>COUNTIFS('Raw Non-zero DMR Data'!$A:$A, 'Processed Non-zero DMR Data'!A169, 'Raw Non-zero DMR Data'!$C:$C, X169, 'Raw Non-zero DMR Data'!$U:$U,'Processed Non-zero DMR Data'!Y169,'Raw Non-zero DMR Data'!$Z:$Z,"Yes")</f>
        <v>0</v>
      </c>
      <c r="W169">
        <v>9.9426000000000005</v>
      </c>
      <c r="X169" t="s">
        <v>743</v>
      </c>
      <c r="Y169" t="s">
        <v>744</v>
      </c>
      <c r="Z169" s="257">
        <v>120401040502</v>
      </c>
    </row>
    <row r="170" spans="1:26" ht="15" customHeight="1" x14ac:dyDescent="0.25">
      <c r="A170">
        <v>2021</v>
      </c>
      <c r="B170" t="s">
        <v>312</v>
      </c>
      <c r="C170" t="s">
        <v>313</v>
      </c>
      <c r="D170" t="s">
        <v>638</v>
      </c>
      <c r="E170" t="s">
        <v>114</v>
      </c>
      <c r="F170">
        <v>29.718139000000001</v>
      </c>
      <c r="G170">
        <v>-95.268749999999997</v>
      </c>
      <c r="I170" s="1">
        <v>110000460901</v>
      </c>
      <c r="J170">
        <v>2819</v>
      </c>
      <c r="K170" s="175" t="str">
        <f>INDEX('2022 SIC to NAICS'!B:B, MATCH('Processed Non-zero DMR Data'!$J170, '2022 SIC to NAICS'!$A:$A, 0))</f>
        <v>Industrial Inorganic Chemicals, Nec</v>
      </c>
      <c r="L170" s="175">
        <f>INDEX('2022 SIC to NAICS'!C:C, MATCH('Processed Non-zero DMR Data'!$J170, '2022 SIC to NAICS'!$A:$A, 0))</f>
        <v>211130</v>
      </c>
      <c r="M170" s="175" t="str">
        <f>INDEX('2022 SIC to NAICS'!D:D, MATCH('Processed Non-zero DMR Data'!$J170, '2022 SIC to NAICS'!$A:$A, 0))</f>
        <v xml:space="preserve">Natural Gas Extraction </v>
      </c>
      <c r="N170" s="90" t="str">
        <f>IFERROR(INDEX('NAICS Code to IS CDR Code'!B:B, MATCH('Processed Non-zero DMR Data'!L170,'NAICS Code to IS CDR Code'!A:A,0)), "NAICS/SIC Not Provided")</f>
        <v>IS2</v>
      </c>
      <c r="O170" s="91" t="str">
        <f>IFERROR(INDEX('NAICS Code to IS CDR Code'!C:C, MATCH('Processed Non-zero DMR Data'!L170,'NAICS Code to IS CDR Code'!A:A,0)), "NAICS/SIC Not Provided")</f>
        <v>Oil and Gas Drilling, Extraction, and Support Activities</v>
      </c>
      <c r="P170" s="91" t="str">
        <f>INDEX('11DCA Mapping'!$K:$K, MATCH('Processed Non-zero DMR Data'!I171,'11DCA Mapping'!$J:$J,0))</f>
        <v>Processing as a Reactant</v>
      </c>
      <c r="Q170" s="91" t="str">
        <f>INDEX('11DCA Mapping'!$L:$L, MATCH('Processed Non-zero DMR Data'!I171,'11DCA Mapping'!$J:$J,0))</f>
        <v>Based on SIC code</v>
      </c>
      <c r="R170" s="250" t="str">
        <f>VLOOKUP(I170,'DMR POTW Flag'!$A$2:$B$960,2,FALSE)</f>
        <v>NON-POTW</v>
      </c>
      <c r="S170" s="7" t="s">
        <v>62</v>
      </c>
      <c r="T170" s="7" t="s">
        <v>742</v>
      </c>
      <c r="U170" s="8">
        <f>COUNTIFS('Raw Non-zero DMR Data'!$A:$A, 'Processed Non-zero DMR Data'!A170, 'Raw Non-zero DMR Data'!$C:$C, X170, 'Raw Non-zero DMR Data'!$U:$U,'Processed Non-zero DMR Data'!Y170)</f>
        <v>1</v>
      </c>
      <c r="V170" s="8">
        <f>COUNTIFS('Raw Non-zero DMR Data'!$A:$A, 'Processed Non-zero DMR Data'!A170, 'Raw Non-zero DMR Data'!$C:$C, X170, 'Raw Non-zero DMR Data'!$U:$U,'Processed Non-zero DMR Data'!Y170,'Raw Non-zero DMR Data'!$Z:$Z,"Yes")</f>
        <v>0</v>
      </c>
      <c r="W170">
        <v>14.064920000000001</v>
      </c>
      <c r="X170" t="s">
        <v>743</v>
      </c>
      <c r="Y170" t="s">
        <v>744</v>
      </c>
      <c r="Z170" s="257">
        <v>120401040502</v>
      </c>
    </row>
    <row r="171" spans="1:26" ht="15" customHeight="1" x14ac:dyDescent="0.25">
      <c r="A171">
        <v>2022</v>
      </c>
      <c r="B171" t="s">
        <v>312</v>
      </c>
      <c r="C171" t="s">
        <v>313</v>
      </c>
      <c r="D171" t="s">
        <v>638</v>
      </c>
      <c r="E171" t="s">
        <v>114</v>
      </c>
      <c r="F171">
        <v>29.718139000000001</v>
      </c>
      <c r="G171">
        <v>-95.268749999999997</v>
      </c>
      <c r="I171" s="1">
        <v>110000460901</v>
      </c>
      <c r="J171">
        <v>2819</v>
      </c>
      <c r="K171" s="175" t="str">
        <f>INDEX('2022 SIC to NAICS'!B:B, MATCH('Processed Non-zero DMR Data'!$J171, '2022 SIC to NAICS'!$A:$A, 0))</f>
        <v>Industrial Inorganic Chemicals, Nec</v>
      </c>
      <c r="L171" s="175">
        <f>INDEX('2022 SIC to NAICS'!C:C, MATCH('Processed Non-zero DMR Data'!$J171, '2022 SIC to NAICS'!$A:$A, 0))</f>
        <v>211130</v>
      </c>
      <c r="M171" s="175" t="str">
        <f>INDEX('2022 SIC to NAICS'!D:D, MATCH('Processed Non-zero DMR Data'!$J171, '2022 SIC to NAICS'!$A:$A, 0))</f>
        <v xml:space="preserve">Natural Gas Extraction </v>
      </c>
      <c r="N171" s="90" t="str">
        <f>IFERROR(INDEX('NAICS Code to IS CDR Code'!B:B, MATCH('Processed Non-zero DMR Data'!L171,'NAICS Code to IS CDR Code'!A:A,0)), "NAICS/SIC Not Provided")</f>
        <v>IS2</v>
      </c>
      <c r="O171" s="91" t="str">
        <f>IFERROR(INDEX('NAICS Code to IS CDR Code'!C:C, MATCH('Processed Non-zero DMR Data'!L171,'NAICS Code to IS CDR Code'!A:A,0)), "NAICS/SIC Not Provided")</f>
        <v>Oil and Gas Drilling, Extraction, and Support Activities</v>
      </c>
      <c r="P171" s="91" t="str">
        <f>INDEX('11DCA Mapping'!$K:$K, MATCH('Processed Non-zero DMR Data'!I172,'11DCA Mapping'!$J:$J,0))</f>
        <v>Processing as a Reactant</v>
      </c>
      <c r="Q171" s="91" t="str">
        <f>INDEX('11DCA Mapping'!$L:$L, MATCH('Processed Non-zero DMR Data'!I172,'11DCA Mapping'!$J:$J,0))</f>
        <v>Based on SIC code</v>
      </c>
      <c r="R171" s="250" t="str">
        <f>VLOOKUP(I171,'DMR POTW Flag'!$A$2:$B$960,2,FALSE)</f>
        <v>NON-POTW</v>
      </c>
      <c r="S171" s="7" t="s">
        <v>62</v>
      </c>
      <c r="T171" s="7" t="s">
        <v>742</v>
      </c>
      <c r="U171" s="8">
        <f>COUNTIFS('Raw Non-zero DMR Data'!$A:$A, 'Processed Non-zero DMR Data'!A171, 'Raw Non-zero DMR Data'!$C:$C, X171, 'Raw Non-zero DMR Data'!$U:$U,'Processed Non-zero DMR Data'!Y171)</f>
        <v>3</v>
      </c>
      <c r="V171" s="8">
        <f>COUNTIFS('Raw Non-zero DMR Data'!$A:$A, 'Processed Non-zero DMR Data'!A171, 'Raw Non-zero DMR Data'!$C:$C, X171, 'Raw Non-zero DMR Data'!$U:$U,'Processed Non-zero DMR Data'!Y171,'Raw Non-zero DMR Data'!$Z:$Z,"Yes")</f>
        <v>0</v>
      </c>
      <c r="W171">
        <v>11.50436</v>
      </c>
      <c r="X171" t="s">
        <v>743</v>
      </c>
      <c r="Y171" t="s">
        <v>744</v>
      </c>
      <c r="Z171" s="257">
        <v>120401040502</v>
      </c>
    </row>
    <row r="172" spans="1:26" ht="15" customHeight="1" x14ac:dyDescent="0.25">
      <c r="A172">
        <v>2022</v>
      </c>
      <c r="B172" t="s">
        <v>312</v>
      </c>
      <c r="C172" t="s">
        <v>313</v>
      </c>
      <c r="D172" t="s">
        <v>638</v>
      </c>
      <c r="E172" t="s">
        <v>114</v>
      </c>
      <c r="F172">
        <v>29.718139000000001</v>
      </c>
      <c r="G172">
        <v>-95.268749999999997</v>
      </c>
      <c r="I172" s="1">
        <v>110000460901</v>
      </c>
      <c r="J172">
        <v>2819</v>
      </c>
      <c r="K172" s="175" t="str">
        <f>INDEX('2022 SIC to NAICS'!B:B, MATCH('Processed Non-zero DMR Data'!$J172, '2022 SIC to NAICS'!$A:$A, 0))</f>
        <v>Industrial Inorganic Chemicals, Nec</v>
      </c>
      <c r="L172" s="175">
        <f>INDEX('2022 SIC to NAICS'!C:C, MATCH('Processed Non-zero DMR Data'!$J172, '2022 SIC to NAICS'!$A:$A, 0))</f>
        <v>211130</v>
      </c>
      <c r="M172" s="175" t="str">
        <f>INDEX('2022 SIC to NAICS'!D:D, MATCH('Processed Non-zero DMR Data'!$J172, '2022 SIC to NAICS'!$A:$A, 0))</f>
        <v xml:space="preserve">Natural Gas Extraction </v>
      </c>
      <c r="N172" s="90" t="str">
        <f>IFERROR(INDEX('NAICS Code to IS CDR Code'!B:B, MATCH('Processed Non-zero DMR Data'!L172,'NAICS Code to IS CDR Code'!A:A,0)), "NAICS/SIC Not Provided")</f>
        <v>IS2</v>
      </c>
      <c r="O172" s="91" t="str">
        <f>IFERROR(INDEX('NAICS Code to IS CDR Code'!C:C, MATCH('Processed Non-zero DMR Data'!L172,'NAICS Code to IS CDR Code'!A:A,0)), "NAICS/SIC Not Provided")</f>
        <v>Oil and Gas Drilling, Extraction, and Support Activities</v>
      </c>
      <c r="P172" s="91" t="str">
        <f>INDEX('11DCA Mapping'!$K:$K, MATCH('Processed Non-zero DMR Data'!I174,'11DCA Mapping'!$J:$J,0))</f>
        <v>POTW</v>
      </c>
      <c r="Q172" s="91" t="str">
        <f>INDEX('11DCA Mapping'!$L:$L, MATCH('Processed Non-zero DMR Data'!I174,'11DCA Mapping'!$J:$J,0))</f>
        <v>Based on DMR "Facility Type Indicator"</v>
      </c>
      <c r="R172" s="250" t="str">
        <f>VLOOKUP(I172,'DMR POTW Flag'!$A$2:$B$960,2,FALSE)</f>
        <v>NON-POTW</v>
      </c>
      <c r="S172" s="7" t="s">
        <v>62</v>
      </c>
      <c r="T172" s="7" t="s">
        <v>742</v>
      </c>
      <c r="U172" s="8">
        <f>COUNTIFS('Raw Non-zero DMR Data'!$A:$A, 'Processed Non-zero DMR Data'!A172, 'Raw Non-zero DMR Data'!$C:$C, X172, 'Raw Non-zero DMR Data'!$U:$U,'Processed Non-zero DMR Data'!Y172)</f>
        <v>3</v>
      </c>
      <c r="V172" s="8">
        <f>COUNTIFS('Raw Non-zero DMR Data'!$A:$A, 'Processed Non-zero DMR Data'!A172, 'Raw Non-zero DMR Data'!$C:$C, X172, 'Raw Non-zero DMR Data'!$U:$U,'Processed Non-zero DMR Data'!Y172,'Raw Non-zero DMR Data'!$Z:$Z,"Yes")</f>
        <v>0</v>
      </c>
      <c r="W172">
        <v>12.43506</v>
      </c>
      <c r="X172" t="s">
        <v>743</v>
      </c>
      <c r="Y172" t="s">
        <v>744</v>
      </c>
      <c r="Z172" s="257">
        <v>120401040502</v>
      </c>
    </row>
    <row r="173" spans="1:26" ht="15" customHeight="1" x14ac:dyDescent="0.25">
      <c r="A173">
        <v>2023</v>
      </c>
      <c r="B173" t="s">
        <v>312</v>
      </c>
      <c r="C173" t="s">
        <v>313</v>
      </c>
      <c r="D173" t="s">
        <v>638</v>
      </c>
      <c r="E173" t="s">
        <v>114</v>
      </c>
      <c r="F173">
        <v>29.718139000000001</v>
      </c>
      <c r="G173">
        <v>-95.268749999999997</v>
      </c>
      <c r="I173" s="1">
        <v>110000460901</v>
      </c>
      <c r="J173">
        <v>2819</v>
      </c>
      <c r="K173" s="175" t="str">
        <f>INDEX('2022 SIC to NAICS'!B:B, MATCH('Processed Non-zero DMR Data'!$J173, '2022 SIC to NAICS'!$A:$A, 0))</f>
        <v>Industrial Inorganic Chemicals, Nec</v>
      </c>
      <c r="L173" s="175">
        <f>INDEX('2022 SIC to NAICS'!C:C, MATCH('Processed Non-zero DMR Data'!$J173, '2022 SIC to NAICS'!$A:$A, 0))</f>
        <v>211130</v>
      </c>
      <c r="M173" s="175" t="str">
        <f>INDEX('2022 SIC to NAICS'!D:D, MATCH('Processed Non-zero DMR Data'!$J173, '2022 SIC to NAICS'!$A:$A, 0))</f>
        <v xml:space="preserve">Natural Gas Extraction </v>
      </c>
      <c r="N173" s="90" t="str">
        <f>IFERROR(INDEX('NAICS Code to IS CDR Code'!B:B, MATCH('Processed Non-zero DMR Data'!L173,'NAICS Code to IS CDR Code'!A:A,0)), "NAICS/SIC Not Provided")</f>
        <v>IS2</v>
      </c>
      <c r="O173" s="91" t="str">
        <f>IFERROR(INDEX('NAICS Code to IS CDR Code'!C:C, MATCH('Processed Non-zero DMR Data'!L173,'NAICS Code to IS CDR Code'!A:A,0)), "NAICS/SIC Not Provided")</f>
        <v>Oil and Gas Drilling, Extraction, and Support Activities</v>
      </c>
      <c r="P173" s="91" t="str">
        <f>INDEX('11DCA Mapping'!$K:$K, MATCH('Processed Non-zero DMR Data'!I175,'11DCA Mapping'!$J:$J,0))</f>
        <v>Unknown</v>
      </c>
      <c r="Q173" s="91" t="str">
        <f>INDEX('11DCA Mapping'!$L:$L, MATCH('Processed Non-zero DMR Data'!I175,'11DCA Mapping'!$J:$J,0))</f>
        <v>Unknown how 1,1-DCA is used in hotels and motels</v>
      </c>
      <c r="R173" s="250" t="str">
        <f>VLOOKUP(I173,'DMR POTW Flag'!$A$2:$B$960,2,FALSE)</f>
        <v>NON-POTW</v>
      </c>
      <c r="S173" s="7" t="s">
        <v>62</v>
      </c>
      <c r="T173" s="7" t="s">
        <v>742</v>
      </c>
      <c r="U173" s="8">
        <f>COUNTIFS('Raw Non-zero DMR Data'!$A:$A, 'Processed Non-zero DMR Data'!A173, 'Raw Non-zero DMR Data'!$C:$C, X173, 'Raw Non-zero DMR Data'!$U:$U,'Processed Non-zero DMR Data'!Y173)</f>
        <v>2</v>
      </c>
      <c r="V173" s="8">
        <f>COUNTIFS('Raw Non-zero DMR Data'!$A:$A, 'Processed Non-zero DMR Data'!A173, 'Raw Non-zero DMR Data'!$C:$C, X173, 'Raw Non-zero DMR Data'!$U:$U,'Processed Non-zero DMR Data'!Y173,'Raw Non-zero DMR Data'!$Z:$Z,"Yes")</f>
        <v>0</v>
      </c>
      <c r="W173">
        <v>12.42144</v>
      </c>
      <c r="X173" t="s">
        <v>743</v>
      </c>
      <c r="Y173" t="s">
        <v>744</v>
      </c>
      <c r="Z173" s="257">
        <v>120401040502</v>
      </c>
    </row>
    <row r="174" spans="1:26" ht="15" customHeight="1" x14ac:dyDescent="0.25">
      <c r="A174">
        <v>2019</v>
      </c>
      <c r="B174" t="s">
        <v>304</v>
      </c>
      <c r="C174" t="s">
        <v>305</v>
      </c>
      <c r="D174" t="s">
        <v>745</v>
      </c>
      <c r="E174" t="s">
        <v>138</v>
      </c>
      <c r="F174">
        <v>37.075277999999997</v>
      </c>
      <c r="G174">
        <v>-88.09</v>
      </c>
      <c r="I174" s="1">
        <v>110009938719</v>
      </c>
      <c r="J174">
        <v>4952</v>
      </c>
      <c r="K174" s="175" t="str">
        <f>INDEX('2022 SIC to NAICS'!B:B, MATCH('Processed Non-zero DMR Data'!$J174, '2022 SIC to NAICS'!$A:$A, 0))</f>
        <v>Sewerage Systems</v>
      </c>
      <c r="L174" s="175">
        <f>INDEX('2022 SIC to NAICS'!C:C, MATCH('Processed Non-zero DMR Data'!$J174, '2022 SIC to NAICS'!$A:$A, 0))</f>
        <v>221320</v>
      </c>
      <c r="M174" s="175" t="str">
        <f>INDEX('2022 SIC to NAICS'!D:D, MATCH('Processed Non-zero DMR Data'!$J174, '2022 SIC to NAICS'!$A:$A, 0))</f>
        <v xml:space="preserve">Sewage Treatment Facilities </v>
      </c>
      <c r="N174" s="90" t="str">
        <f>IFERROR(INDEX('NAICS Code to IS CDR Code'!B:B, MATCH('Processed Non-zero DMR Data'!L174,'NAICS Code to IS CDR Code'!A:A,0)), "NAICS/SIC Not Provided")</f>
        <v>IS4</v>
      </c>
      <c r="O174" s="91" t="str">
        <f>IFERROR(INDEX('NAICS Code to IS CDR Code'!C:C, MATCH('Processed Non-zero DMR Data'!L174,'NAICS Code to IS CDR Code'!A:A,0)), "NAICS/SIC Not Provided")</f>
        <v>Utilities</v>
      </c>
      <c r="P174" s="91" t="str">
        <f>INDEX('11DCA Mapping'!$K:$K, MATCH('Processed Non-zero DMR Data'!I177,'11DCA Mapping'!$J:$J,0))</f>
        <v>Unknown</v>
      </c>
      <c r="Q174" s="91">
        <f>INDEX('11DCA Mapping'!$L:$L, MATCH('Processed Non-zero DMR Data'!I177,'11DCA Mapping'!$J:$J,0))</f>
        <v>0</v>
      </c>
      <c r="R174" s="250" t="str">
        <f>VLOOKUP(I174,'DMR POTW Flag'!$A$2:$B$960,2,FALSE)</f>
        <v>POTW</v>
      </c>
      <c r="S174" s="7" t="s">
        <v>67</v>
      </c>
      <c r="T174" s="249" t="s">
        <v>586</v>
      </c>
      <c r="U174" s="8">
        <f>COUNTIFS('Raw Non-zero DMR Data'!$A:$A, 'Processed Non-zero DMR Data'!A174, 'Raw Non-zero DMR Data'!$C:$C, X174, 'Raw Non-zero DMR Data'!$U:$U,'Processed Non-zero DMR Data'!Y174)</f>
        <v>1</v>
      </c>
      <c r="V174" s="8">
        <f>COUNTIFS('Raw Non-zero DMR Data'!$A:$A, 'Processed Non-zero DMR Data'!A174, 'Raw Non-zero DMR Data'!$C:$C, X174, 'Raw Non-zero DMR Data'!$U:$U,'Processed Non-zero DMR Data'!Y174,'Raw Non-zero DMR Data'!$Z:$Z,"Yes")</f>
        <v>1</v>
      </c>
      <c r="W174">
        <v>1.8616049374999999</v>
      </c>
      <c r="X174" t="s">
        <v>746</v>
      </c>
      <c r="Y174" t="s">
        <v>747</v>
      </c>
      <c r="Z174" s="257">
        <v>51302050707</v>
      </c>
    </row>
    <row r="175" spans="1:26" ht="15" customHeight="1" x14ac:dyDescent="0.25">
      <c r="A175">
        <v>2020</v>
      </c>
      <c r="B175" t="s">
        <v>171</v>
      </c>
      <c r="C175" t="s">
        <v>157</v>
      </c>
      <c r="D175" t="s">
        <v>554</v>
      </c>
      <c r="E175" t="s">
        <v>158</v>
      </c>
      <c r="F175">
        <v>36.132570000000001</v>
      </c>
      <c r="G175">
        <v>-115.16477</v>
      </c>
      <c r="I175" s="1">
        <v>110041253256</v>
      </c>
      <c r="J175">
        <v>7011</v>
      </c>
      <c r="K175" s="175" t="str">
        <f>INDEX('2022 SIC to NAICS'!B:B, MATCH('Processed Non-zero DMR Data'!$J175, '2022 SIC to NAICS'!$A:$A, 0))</f>
        <v>Hotels and Motels</v>
      </c>
      <c r="L175" s="175">
        <f>INDEX('2022 SIC to NAICS'!C:C, MATCH('Processed Non-zero DMR Data'!$J175, '2022 SIC to NAICS'!$A:$A, 0))</f>
        <v>721110</v>
      </c>
      <c r="M175" s="175" t="str">
        <f>INDEX('2022 SIC to NAICS'!D:D, MATCH('Processed Non-zero DMR Data'!$J175, '2022 SIC to NAICS'!$A:$A, 0))</f>
        <v xml:space="preserve">Hotels (except Casino Hotels) and Motels </v>
      </c>
      <c r="N175" s="90" t="str">
        <f>IFERROR(INDEX('NAICS Code to IS CDR Code'!B:B, MATCH('Processed Non-zero DMR Data'!L175,'NAICS Code to IS CDR Code'!A:A,0)), "NAICS/SIC Not Provided")</f>
        <v>IS47</v>
      </c>
      <c r="O175" s="91" t="str">
        <f>IFERROR(INDEX('NAICS Code to IS CDR Code'!C:C, MATCH('Processed Non-zero DMR Data'!L175,'NAICS Code to IS CDR Code'!A:A,0)), "NAICS/SIC Not Provided")</f>
        <v>Services</v>
      </c>
      <c r="P175" s="91" t="str">
        <f>INDEX('11DCA Mapping'!$K:$K, MATCH('Processed Non-zero DMR Data'!I484,'11DCA Mapping'!$J:$J,0))</f>
        <v>POTW</v>
      </c>
      <c r="Q175" s="91" t="str">
        <f>INDEX('11DCA Mapping'!$L:$L, MATCH('Processed Non-zero DMR Data'!I484,'11DCA Mapping'!$J:$J,0))</f>
        <v>Based on DMR "Facility Type Indicator"</v>
      </c>
      <c r="R175" s="91" t="str">
        <f>VLOOKUP(I175,'DMR POTW Flag'!$A$2:$B$960,2,FALSE)</f>
        <v>NON-POTW</v>
      </c>
      <c r="S175" s="7" t="s">
        <v>72</v>
      </c>
      <c r="T175" s="244" t="s">
        <v>667</v>
      </c>
      <c r="U175" s="8">
        <f>COUNTIFS('Raw Non-zero DMR Data'!$A:$A, 'Processed Non-zero DMR Data'!A175, 'Raw Non-zero DMR Data'!$C:$C, X175, 'Raw Non-zero DMR Data'!$U:$U,'Processed Non-zero DMR Data'!Y175)</f>
        <v>1</v>
      </c>
      <c r="V175" s="8">
        <f>COUNTIFS('Raw Non-zero DMR Data'!$A:$A, 'Processed Non-zero DMR Data'!A175, 'Raw Non-zero DMR Data'!$C:$C, X175, 'Raw Non-zero DMR Data'!$U:$U,'Processed Non-zero DMR Data'!Y175,'Raw Non-zero DMR Data'!$Z:$Z,"Yes")</f>
        <v>1</v>
      </c>
      <c r="W175">
        <v>0.1222649625</v>
      </c>
      <c r="X175" t="s">
        <v>668</v>
      </c>
      <c r="Y175" t="s">
        <v>578</v>
      </c>
      <c r="Z175" s="257">
        <v>150100150604</v>
      </c>
    </row>
    <row r="176" spans="1:26" ht="15" customHeight="1" x14ac:dyDescent="0.25">
      <c r="A176">
        <v>2020</v>
      </c>
      <c r="B176" t="s">
        <v>240</v>
      </c>
      <c r="C176" t="s">
        <v>241</v>
      </c>
      <c r="D176" t="s">
        <v>669</v>
      </c>
      <c r="E176" t="s">
        <v>114</v>
      </c>
      <c r="F176">
        <v>29.378699999999998</v>
      </c>
      <c r="G176">
        <v>-98.551670000000001</v>
      </c>
      <c r="I176" s="1">
        <v>110042004915</v>
      </c>
      <c r="J176">
        <v>9711</v>
      </c>
      <c r="K176" s="175" t="str">
        <f>INDEX('2022 SIC to NAICS'!B:B, MATCH('Processed Non-zero DMR Data'!$J176, '2022 SIC to NAICS'!$A:$A, 0))</f>
        <v>National Security</v>
      </c>
      <c r="L176" s="175">
        <f>INDEX('2022 SIC to NAICS'!C:C, MATCH('Processed Non-zero DMR Data'!$J176, '2022 SIC to NAICS'!$A:$A, 0))</f>
        <v>928110</v>
      </c>
      <c r="M176" s="175" t="str">
        <f>INDEX('2022 SIC to NAICS'!D:D, MATCH('Processed Non-zero DMR Data'!$J176, '2022 SIC to NAICS'!$A:$A, 0))</f>
        <v xml:space="preserve">National Security </v>
      </c>
      <c r="N176" s="90" t="str">
        <f>IFERROR(INDEX('NAICS Code to IS CDR Code'!B:B, MATCH('Processed Non-zero DMR Data'!L176,'NAICS Code to IS CDR Code'!A:A,0)), "NAICS/SIC Not Provided")</f>
        <v>IS47</v>
      </c>
      <c r="O176" s="91" t="str">
        <f>IFERROR(INDEX('NAICS Code to IS CDR Code'!C:C, MATCH('Processed Non-zero DMR Data'!L176,'NAICS Code to IS CDR Code'!A:A,0)), "NAICS/SIC Not Provided")</f>
        <v>Services</v>
      </c>
      <c r="P176" s="91" t="str">
        <f>INDEX('11DCA Mapping'!$K:$K, MATCH('Processed Non-zero DMR Data'!I595,'11DCA Mapping'!$J:$J,0))</f>
        <v>POTW</v>
      </c>
      <c r="Q176" s="91" t="str">
        <f>INDEX('11DCA Mapping'!$L:$L, MATCH('Processed Non-zero DMR Data'!I595,'11DCA Mapping'!$J:$J,0))</f>
        <v>SIC description indicates POTW</v>
      </c>
      <c r="R176" s="91" t="str">
        <f>VLOOKUP(I176,'DMR POTW Flag'!$A$2:$B$960,2,FALSE)</f>
        <v>FEDERAL</v>
      </c>
      <c r="S176" s="7" t="s">
        <v>72</v>
      </c>
      <c r="T176" s="7" t="s">
        <v>670</v>
      </c>
      <c r="U176" s="8">
        <f>COUNTIFS('Raw Non-zero DMR Data'!$A:$A, 'Processed Non-zero DMR Data'!A176, 'Raw Non-zero DMR Data'!$C:$C, X176, 'Raw Non-zero DMR Data'!$U:$U,'Processed Non-zero DMR Data'!Y176)</f>
        <v>1</v>
      </c>
      <c r="V176" s="8">
        <f>COUNTIFS('Raw Non-zero DMR Data'!$A:$A, 'Processed Non-zero DMR Data'!A176, 'Raw Non-zero DMR Data'!$C:$C, X176, 'Raw Non-zero DMR Data'!$U:$U,'Processed Non-zero DMR Data'!Y176,'Raw Non-zero DMR Data'!$Z:$Z,"Yes")</f>
        <v>1</v>
      </c>
      <c r="W176">
        <v>2.5634075444250001E-2</v>
      </c>
      <c r="X176" t="s">
        <v>671</v>
      </c>
      <c r="Y176" t="s">
        <v>672</v>
      </c>
      <c r="Z176" s="257">
        <v>121003010203</v>
      </c>
    </row>
    <row r="177" spans="1:26" ht="15" customHeight="1" x14ac:dyDescent="0.25">
      <c r="A177">
        <v>2020</v>
      </c>
      <c r="B177" t="s">
        <v>431</v>
      </c>
      <c r="C177" t="s">
        <v>157</v>
      </c>
      <c r="D177" t="s">
        <v>575</v>
      </c>
      <c r="E177" t="s">
        <v>158</v>
      </c>
      <c r="F177">
        <v>36.19997</v>
      </c>
      <c r="G177">
        <v>-115.19658</v>
      </c>
      <c r="I177" s="1">
        <v>110064418553</v>
      </c>
      <c r="J177">
        <v>5541</v>
      </c>
      <c r="K177" s="175" t="str">
        <f>INDEX('2022 SIC to NAICS'!B:B, MATCH('Processed Non-zero DMR Data'!$J177, '2022 SIC to NAICS'!$A:$A, 0))</f>
        <v>Gasoline Service Stations</v>
      </c>
      <c r="L177" s="175">
        <f>INDEX('2022 SIC to NAICS'!C:C, MATCH('Processed Non-zero DMR Data'!$J177, '2022 SIC to NAICS'!$A:$A, 0))</f>
        <v>457110</v>
      </c>
      <c r="M177" s="175" t="str">
        <f>INDEX('2022 SIC to NAICS'!D:D, MATCH('Processed Non-zero DMR Data'!$J177, '2022 SIC to NAICS'!$A:$A, 0))</f>
        <v xml:space="preserve">Gasoline Stations with Convenience Stores </v>
      </c>
      <c r="N177" s="90" t="str">
        <f>IFERROR(INDEX('NAICS Code to IS CDR Code'!B:B, MATCH('Processed Non-zero DMR Data'!L177,'NAICS Code to IS CDR Code'!A:A,0)), "NAICS/SIC Not Provided")</f>
        <v>NAICS/SIC Not Provided</v>
      </c>
      <c r="O177" s="91" t="str">
        <f>IFERROR(INDEX('NAICS Code to IS CDR Code'!C:C, MATCH('Processed Non-zero DMR Data'!L177,'NAICS Code to IS CDR Code'!A:A,0)), "NAICS/SIC Not Provided")</f>
        <v>NAICS/SIC Not Provided</v>
      </c>
      <c r="P177" s="91" t="str">
        <f>INDEX('11DCA Mapping'!$K:$K, MATCH('Processed Non-zero DMR Data'!I635,'11DCA Mapping'!$J:$J,0))</f>
        <v>POTW</v>
      </c>
      <c r="Q177" s="91" t="str">
        <f>INDEX('11DCA Mapping'!$L:$L, MATCH('Processed Non-zero DMR Data'!I635,'11DCA Mapping'!$J:$J,0))</f>
        <v>Assigned POTW per "Facility Type Indicator"</v>
      </c>
      <c r="R177" s="91" t="str">
        <f>VLOOKUP(I177,'DMR POTW Flag'!$A$2:$B$960,2,FALSE)</f>
        <v>NON-POTW</v>
      </c>
      <c r="S177" s="7" t="s">
        <v>72</v>
      </c>
      <c r="T177" s="244" t="s">
        <v>748</v>
      </c>
      <c r="U177" s="8">
        <f>COUNTIFS('Raw Non-zero DMR Data'!$A:$A, 'Processed Non-zero DMR Data'!A177, 'Raw Non-zero DMR Data'!$C:$C, X177, 'Raw Non-zero DMR Data'!$U:$U,'Processed Non-zero DMR Data'!Y177)</f>
        <v>1</v>
      </c>
      <c r="V177" s="8">
        <f>COUNTIFS('Raw Non-zero DMR Data'!$A:$A, 'Processed Non-zero DMR Data'!A177, 'Raw Non-zero DMR Data'!$C:$C, X177, 'Raw Non-zero DMR Data'!$U:$U,'Processed Non-zero DMR Data'!Y177,'Raw Non-zero DMR Data'!$Z:$Z,"Yes")</f>
        <v>1</v>
      </c>
      <c r="W177">
        <v>7.2530062500000001E-3</v>
      </c>
      <c r="X177" t="s">
        <v>749</v>
      </c>
      <c r="Y177" t="s">
        <v>578</v>
      </c>
      <c r="Z177" s="257">
        <v>150100150604</v>
      </c>
    </row>
    <row r="178" spans="1:26" ht="15" customHeight="1" x14ac:dyDescent="0.25">
      <c r="A178">
        <v>2021</v>
      </c>
      <c r="B178" t="s">
        <v>457</v>
      </c>
      <c r="C178" t="s">
        <v>157</v>
      </c>
      <c r="D178" t="s">
        <v>575</v>
      </c>
      <c r="E178" t="s">
        <v>158</v>
      </c>
      <c r="F178">
        <v>36.090899999999998</v>
      </c>
      <c r="G178">
        <v>-115.1833</v>
      </c>
      <c r="I178" s="1">
        <v>110070948151</v>
      </c>
      <c r="J178">
        <v>7941</v>
      </c>
      <c r="K178" s="175" t="str">
        <f>INDEX('2022 SIC to NAICS'!B:B, MATCH('Processed Non-zero DMR Data'!$J178, '2022 SIC to NAICS'!$A:$A, 0))</f>
        <v>Sports Clubs, Managers, and Promoters</v>
      </c>
      <c r="L178" s="175">
        <f>INDEX('2022 SIC to NAICS'!C:C, MATCH('Processed Non-zero DMR Data'!$J178, '2022 SIC to NAICS'!$A:$A, 0))</f>
        <v>711211</v>
      </c>
      <c r="M178" s="175" t="str">
        <f>INDEX('2022 SIC to NAICS'!D:D, MATCH('Processed Non-zero DMR Data'!$J178, '2022 SIC to NAICS'!$A:$A, 0))</f>
        <v xml:space="preserve">Sports Teams and Clubs </v>
      </c>
      <c r="N178" s="90" t="str">
        <f>IFERROR(INDEX('NAICS Code to IS CDR Code'!B:B, MATCH('Processed Non-zero DMR Data'!L178,'NAICS Code to IS CDR Code'!A:A,0)), "NAICS/SIC Not Provided")</f>
        <v>IS47</v>
      </c>
      <c r="O178" s="91" t="str">
        <f>IFERROR(INDEX('NAICS Code to IS CDR Code'!C:C, MATCH('Processed Non-zero DMR Data'!L178,'NAICS Code to IS CDR Code'!A:A,0)), "NAICS/SIC Not Provided")</f>
        <v>Services</v>
      </c>
      <c r="P178" s="91" t="e">
        <f>INDEX('11DCA Mapping'!$K:$K, MATCH('Processed Non-zero DMR Data'!I5,'11DCA Mapping'!$J:$J,0))</f>
        <v>#N/A</v>
      </c>
      <c r="Q178" s="91" t="e">
        <f>INDEX('11DCA Mapping'!$L:$L, MATCH('Processed Non-zero DMR Data'!I5,'11DCA Mapping'!$J:$J,0))</f>
        <v>#N/A</v>
      </c>
      <c r="R178" s="91" t="str">
        <f>VLOOKUP(I178,'DMR POTW Flag'!$A$2:$B$960,2,FALSE)</f>
        <v>NON-POTW</v>
      </c>
      <c r="S178" s="7" t="s">
        <v>72</v>
      </c>
      <c r="T178" s="244" t="s">
        <v>750</v>
      </c>
      <c r="U178" s="8">
        <f>COUNTIFS('Raw Non-zero DMR Data'!$A:$A, 'Processed Non-zero DMR Data'!A178, 'Raw Non-zero DMR Data'!$C:$C, X178, 'Raw Non-zero DMR Data'!$U:$U,'Processed Non-zero DMR Data'!Y178)</f>
        <v>1</v>
      </c>
      <c r="V178" s="8">
        <f>COUNTIFS('Raw Non-zero DMR Data'!$A:$A, 'Processed Non-zero DMR Data'!A178, 'Raw Non-zero DMR Data'!$C:$C, X178, 'Raw Non-zero DMR Data'!$U:$U,'Processed Non-zero DMR Data'!Y178,'Raw Non-zero DMR Data'!$Z:$Z,"Yes")</f>
        <v>1</v>
      </c>
      <c r="W178">
        <v>4.0706634125000002E-2</v>
      </c>
      <c r="X178" t="s">
        <v>751</v>
      </c>
      <c r="Y178" t="s">
        <v>557</v>
      </c>
      <c r="Z178" s="257">
        <v>150100150505</v>
      </c>
    </row>
    <row r="179" spans="1:26" ht="15" customHeight="1" x14ac:dyDescent="0.25">
      <c r="A179">
        <v>2021</v>
      </c>
      <c r="B179" t="s">
        <v>462</v>
      </c>
      <c r="C179" t="s">
        <v>463</v>
      </c>
      <c r="D179" t="s">
        <v>752</v>
      </c>
      <c r="E179" t="s">
        <v>186</v>
      </c>
      <c r="F179">
        <v>21.994944</v>
      </c>
      <c r="G179">
        <v>-159.75363899999999</v>
      </c>
      <c r="I179" s="1">
        <v>110006777247</v>
      </c>
      <c r="J179" s="186" t="s">
        <v>753</v>
      </c>
      <c r="K179" s="175" t="e">
        <f>INDEX('2022 SIC to NAICS'!B:B, MATCH('Processed Non-zero DMR Data'!$J179, '2022 SIC to NAICS'!$A:$A, 0))</f>
        <v>#N/A</v>
      </c>
      <c r="L179" s="175" t="e">
        <f>INDEX('2022 SIC to NAICS'!C:C, MATCH('Processed Non-zero DMR Data'!$J179, '2022 SIC to NAICS'!$A:$A, 0))</f>
        <v>#N/A</v>
      </c>
      <c r="M179" s="175" t="e">
        <f>INDEX('2022 SIC to NAICS'!D:D, MATCH('Processed Non-zero DMR Data'!$J179, '2022 SIC to NAICS'!$A:$A, 0))</f>
        <v>#N/A</v>
      </c>
      <c r="N179" s="90" t="str">
        <f>IFERROR(INDEX('NAICS Code to IS CDR Code'!B:B, MATCH('Processed Non-zero DMR Data'!L179,'NAICS Code to IS CDR Code'!A:A,0)), "NAICS/SIC Not Provided")</f>
        <v>NAICS/SIC Not Provided</v>
      </c>
      <c r="O179" s="91" t="str">
        <f>IFERROR(INDEX('NAICS Code to IS CDR Code'!C:C, MATCH('Processed Non-zero DMR Data'!L179,'NAICS Code to IS CDR Code'!A:A,0)), "NAICS/SIC Not Provided")</f>
        <v>NAICS/SIC Not Provided</v>
      </c>
      <c r="P179" s="91" t="str">
        <f>INDEX('11DCA Mapping'!$K:$K, MATCH('Processed Non-zero DMR Data'!I8,'11DCA Mapping'!$J:$J,0))</f>
        <v>Unknown</v>
      </c>
      <c r="Q179" s="91" t="str">
        <f>INDEX('11DCA Mapping'!$L:$L, MATCH('Processed Non-zero DMR Data'!I8,'11DCA Mapping'!$J:$J,0))</f>
        <v>Unknown how 1,1-DCA is used in apartment buildings</v>
      </c>
      <c r="R179" s="91" t="str">
        <f>VLOOKUP(I179,'DMR POTW Flag'!$A$2:$B$960,2,FALSE)</f>
        <v>NON-POTW</v>
      </c>
      <c r="S179" s="7" t="s">
        <v>72</v>
      </c>
      <c r="T179" s="244" t="s">
        <v>754</v>
      </c>
      <c r="U179" s="8">
        <f>COUNTIFS('Raw Non-zero DMR Data'!$A:$A, 'Processed Non-zero DMR Data'!A179, 'Raw Non-zero DMR Data'!$C:$C, X179, 'Raw Non-zero DMR Data'!$U:$U,'Processed Non-zero DMR Data'!Y179)</f>
        <v>1</v>
      </c>
      <c r="V179" s="8">
        <f>COUNTIFS('Raw Non-zero DMR Data'!$A:$A, 'Processed Non-zero DMR Data'!A179, 'Raw Non-zero DMR Data'!$C:$C, X179, 'Raw Non-zero DMR Data'!$U:$U,'Processed Non-zero DMR Data'!Y179,'Raw Non-zero DMR Data'!$Z:$Z,"Yes")</f>
        <v>1</v>
      </c>
      <c r="W179">
        <v>0.22380705000000001</v>
      </c>
      <c r="X179" t="s">
        <v>755</v>
      </c>
      <c r="Y179" t="s">
        <v>756</v>
      </c>
      <c r="Z179" s="257">
        <v>200700000501</v>
      </c>
    </row>
    <row r="180" spans="1:26" ht="15" customHeight="1" x14ac:dyDescent="0.25">
      <c r="A180">
        <v>2021</v>
      </c>
      <c r="B180" t="s">
        <v>489</v>
      </c>
      <c r="C180" t="s">
        <v>484</v>
      </c>
      <c r="D180" t="s">
        <v>757</v>
      </c>
      <c r="E180" t="s">
        <v>485</v>
      </c>
      <c r="F180">
        <v>36.688809999999997</v>
      </c>
      <c r="G180">
        <v>-108.48036</v>
      </c>
      <c r="I180" s="1">
        <v>110042068473</v>
      </c>
      <c r="J180">
        <v>4911</v>
      </c>
      <c r="K180" s="175" t="str">
        <f>INDEX('2022 SIC to NAICS'!B:B, MATCH('Processed Non-zero DMR Data'!$J180, '2022 SIC to NAICS'!$A:$A, 0))</f>
        <v>Electric Services</v>
      </c>
      <c r="L180" s="175">
        <f>INDEX('2022 SIC to NAICS'!C:C, MATCH('Processed Non-zero DMR Data'!$J180, '2022 SIC to NAICS'!$A:$A, 0))</f>
        <v>221111</v>
      </c>
      <c r="M180" s="175" t="str">
        <f>INDEX('2022 SIC to NAICS'!D:D, MATCH('Processed Non-zero DMR Data'!$J180, '2022 SIC to NAICS'!$A:$A, 0))</f>
        <v xml:space="preserve">Hydroelectric Power Generation </v>
      </c>
      <c r="N180" s="90" t="str">
        <f>IFERROR(INDEX('NAICS Code to IS CDR Code'!B:B, MATCH('Processed Non-zero DMR Data'!L180,'NAICS Code to IS CDR Code'!A:A,0)), "NAICS/SIC Not Provided")</f>
        <v>NAICS/SIC Not Provided</v>
      </c>
      <c r="O180" s="91" t="str">
        <f>IFERROR(INDEX('NAICS Code to IS CDR Code'!C:C, MATCH('Processed Non-zero DMR Data'!L180,'NAICS Code to IS CDR Code'!A:A,0)), "NAICS/SIC Not Provided")</f>
        <v>NAICS/SIC Not Provided</v>
      </c>
      <c r="P180" s="91" t="str">
        <f>INDEX('11DCA Mapping'!$K:$K, MATCH('Processed Non-zero DMR Data'!I14,'11DCA Mapping'!$J:$J,0))</f>
        <v>POTW</v>
      </c>
      <c r="Q180" s="91" t="str">
        <f>INDEX('11DCA Mapping'!$L:$L, MATCH('Processed Non-zero DMR Data'!I14,'11DCA Mapping'!$J:$J,0))</f>
        <v>Assigned POTW per "Facility Type Indicator"</v>
      </c>
      <c r="R180" s="91" t="str">
        <f>VLOOKUP(I180,'DMR POTW Flag'!$A$2:$B$960,2,FALSE)</f>
        <v>NON-POTW</v>
      </c>
      <c r="S180" s="7" t="s">
        <v>72</v>
      </c>
      <c r="T180" s="244" t="s">
        <v>758</v>
      </c>
      <c r="U180" s="8">
        <f>COUNTIFS('Raw Non-zero DMR Data'!$A:$A, 'Processed Non-zero DMR Data'!A180, 'Raw Non-zero DMR Data'!$C:$C, X180, 'Raw Non-zero DMR Data'!$U:$U,'Processed Non-zero DMR Data'!Y180)</f>
        <v>1</v>
      </c>
      <c r="V180" s="8">
        <f>COUNTIFS('Raw Non-zero DMR Data'!$A:$A, 'Processed Non-zero DMR Data'!A180, 'Raw Non-zero DMR Data'!$C:$C, X180, 'Raw Non-zero DMR Data'!$U:$U,'Processed Non-zero DMR Data'!Y180,'Raw Non-zero DMR Data'!$Z:$Z,"Yes")</f>
        <v>1</v>
      </c>
      <c r="W180">
        <v>1.6192230000000001</v>
      </c>
      <c r="X180" t="s">
        <v>759</v>
      </c>
      <c r="Y180" t="s">
        <v>760</v>
      </c>
      <c r="Z180" s="257">
        <v>140801062008</v>
      </c>
    </row>
    <row r="181" spans="1:26" ht="15" customHeight="1" x14ac:dyDescent="0.25">
      <c r="A181">
        <v>2021</v>
      </c>
      <c r="B181" t="s">
        <v>167</v>
      </c>
      <c r="C181" t="s">
        <v>157</v>
      </c>
      <c r="D181" t="s">
        <v>554</v>
      </c>
      <c r="E181" t="s">
        <v>158</v>
      </c>
      <c r="F181">
        <v>36.116160999999998</v>
      </c>
      <c r="G181">
        <v>-115.172741</v>
      </c>
      <c r="I181" s="1">
        <v>110015972562</v>
      </c>
      <c r="J181">
        <v>7011</v>
      </c>
      <c r="K181" s="175" t="str">
        <f>INDEX('2022 SIC to NAICS'!B:B, MATCH('Processed Non-zero DMR Data'!$J181, '2022 SIC to NAICS'!$A:$A, 0))</f>
        <v>Hotels and Motels</v>
      </c>
      <c r="L181" s="175">
        <f>INDEX('2022 SIC to NAICS'!C:C, MATCH('Processed Non-zero DMR Data'!$J181, '2022 SIC to NAICS'!$A:$A, 0))</f>
        <v>721110</v>
      </c>
      <c r="M181" s="175" t="str">
        <f>INDEX('2022 SIC to NAICS'!D:D, MATCH('Processed Non-zero DMR Data'!$J181, '2022 SIC to NAICS'!$A:$A, 0))</f>
        <v xml:space="preserve">Hotels (except Casino Hotels) and Motels </v>
      </c>
      <c r="N181" s="90" t="str">
        <f>IFERROR(INDEX('NAICS Code to IS CDR Code'!B:B, MATCH('Processed Non-zero DMR Data'!L181,'NAICS Code to IS CDR Code'!A:A,0)), "NAICS/SIC Not Provided")</f>
        <v>IS47</v>
      </c>
      <c r="O181" s="91" t="str">
        <f>IFERROR(INDEX('NAICS Code to IS CDR Code'!C:C, MATCH('Processed Non-zero DMR Data'!L181,'NAICS Code to IS CDR Code'!A:A,0)), "NAICS/SIC Not Provided")</f>
        <v>Services</v>
      </c>
      <c r="P181" s="91" t="str">
        <f>INDEX('11DCA Mapping'!$K:$K, MATCH('Processed Non-zero DMR Data'!I77,'11DCA Mapping'!$J:$J,0))</f>
        <v>Unknown</v>
      </c>
      <c r="Q181" s="91" t="str">
        <f>INDEX('11DCA Mapping'!$L:$L, MATCH('Processed Non-zero DMR Data'!I77,'11DCA Mapping'!$J:$J,0))</f>
        <v>Unknown how 1,1-DCA is used in hotels and motels</v>
      </c>
      <c r="R181" s="91" t="str">
        <f>VLOOKUP(I181,'DMR POTW Flag'!$A$2:$B$960,2,FALSE)</f>
        <v>NON-POTW</v>
      </c>
      <c r="S181" s="7" t="s">
        <v>72</v>
      </c>
      <c r="T181" s="244" t="s">
        <v>555</v>
      </c>
      <c r="U181" s="8">
        <f>COUNTIFS('Raw Non-zero DMR Data'!$A:$A, 'Processed Non-zero DMR Data'!A181, 'Raw Non-zero DMR Data'!$C:$C, X181, 'Raw Non-zero DMR Data'!$U:$U,'Processed Non-zero DMR Data'!Y181)</f>
        <v>2</v>
      </c>
      <c r="V181" s="8">
        <f>COUNTIFS('Raw Non-zero DMR Data'!$A:$A, 'Processed Non-zero DMR Data'!A181, 'Raw Non-zero DMR Data'!$C:$C, X181, 'Raw Non-zero DMR Data'!$U:$U,'Processed Non-zero DMR Data'!Y181,'Raw Non-zero DMR Data'!$Z:$Z,"Yes")</f>
        <v>2</v>
      </c>
      <c r="W181">
        <v>4.0748288049999998E-2</v>
      </c>
      <c r="X181" t="s">
        <v>556</v>
      </c>
      <c r="Y181" t="s">
        <v>557</v>
      </c>
      <c r="Z181" s="257">
        <v>150100150505</v>
      </c>
    </row>
    <row r="182" spans="1:26" ht="15" customHeight="1" x14ac:dyDescent="0.25">
      <c r="A182">
        <v>2021</v>
      </c>
      <c r="B182" t="s">
        <v>460</v>
      </c>
      <c r="C182" t="s">
        <v>461</v>
      </c>
      <c r="D182" t="s">
        <v>761</v>
      </c>
      <c r="E182" t="s">
        <v>138</v>
      </c>
      <c r="F182">
        <v>38.369734999999999</v>
      </c>
      <c r="G182">
        <v>-85.180234999999996</v>
      </c>
      <c r="I182" s="1">
        <v>110064268260</v>
      </c>
      <c r="J182">
        <v>4952</v>
      </c>
      <c r="K182" s="175" t="str">
        <f>INDEX('2022 SIC to NAICS'!B:B, MATCH('Processed Non-zero DMR Data'!$J182, '2022 SIC to NAICS'!$A:$A, 0))</f>
        <v>Sewerage Systems</v>
      </c>
      <c r="L182" s="175">
        <f>INDEX('2022 SIC to NAICS'!C:C, MATCH('Processed Non-zero DMR Data'!$J182, '2022 SIC to NAICS'!$A:$A, 0))</f>
        <v>221320</v>
      </c>
      <c r="M182" s="175" t="str">
        <f>INDEX('2022 SIC to NAICS'!D:D, MATCH('Processed Non-zero DMR Data'!$J182, '2022 SIC to NAICS'!$A:$A, 0))</f>
        <v xml:space="preserve">Sewage Treatment Facilities </v>
      </c>
      <c r="N182" s="90" t="str">
        <f>IFERROR(INDEX('NAICS Code to IS CDR Code'!B:B, MATCH('Processed Non-zero DMR Data'!L182,'NAICS Code to IS CDR Code'!A:A,0)), "NAICS/SIC Not Provided")</f>
        <v>IS4</v>
      </c>
      <c r="O182" s="91" t="str">
        <f>IFERROR(INDEX('NAICS Code to IS CDR Code'!C:C, MATCH('Processed Non-zero DMR Data'!L182,'NAICS Code to IS CDR Code'!A:A,0)), "NAICS/SIC Not Provided")</f>
        <v>Utilities</v>
      </c>
      <c r="P182" s="91" t="str">
        <f>INDEX('11DCA Mapping'!$K:$K, MATCH('Processed Non-zero DMR Data'!I185,'11DCA Mapping'!$J:$J,0))</f>
        <v>Processing as a Reactant</v>
      </c>
      <c r="Q182" s="91" t="str">
        <f>INDEX('11DCA Mapping'!$L:$L, MATCH('Processed Non-zero DMR Data'!I185,'11DCA Mapping'!$J:$J,0))</f>
        <v>Based on SIC code</v>
      </c>
      <c r="R182" s="250" t="str">
        <f>VLOOKUP(I182,'DMR POTW Flag'!$A$2:$B$960,2,FALSE)</f>
        <v>POTW</v>
      </c>
      <c r="S182" s="7" t="s">
        <v>67</v>
      </c>
      <c r="T182" s="249" t="s">
        <v>586</v>
      </c>
      <c r="U182" s="8">
        <f>COUNTIFS('Raw Non-zero DMR Data'!$A:$A, 'Processed Non-zero DMR Data'!A182, 'Raw Non-zero DMR Data'!$C:$C, X182, 'Raw Non-zero DMR Data'!$U:$U,'Processed Non-zero DMR Data'!Y182)</f>
        <v>1</v>
      </c>
      <c r="V182" s="8">
        <f>COUNTIFS('Raw Non-zero DMR Data'!$A:$A, 'Processed Non-zero DMR Data'!A182, 'Raw Non-zero DMR Data'!$C:$C, X182, 'Raw Non-zero DMR Data'!$U:$U,'Processed Non-zero DMR Data'!Y182,'Raw Non-zero DMR Data'!$Z:$Z,"Yes")</f>
        <v>1</v>
      </c>
      <c r="W182">
        <v>2.3520463125000002</v>
      </c>
      <c r="X182" t="s">
        <v>762</v>
      </c>
      <c r="Y182" t="s">
        <v>763</v>
      </c>
      <c r="Z182" s="257">
        <v>51401020404</v>
      </c>
    </row>
    <row r="183" spans="1:26" ht="15" customHeight="1" x14ac:dyDescent="0.25">
      <c r="A183">
        <v>2022</v>
      </c>
      <c r="B183" t="s">
        <v>460</v>
      </c>
      <c r="C183" t="s">
        <v>461</v>
      </c>
      <c r="D183" t="s">
        <v>761</v>
      </c>
      <c r="E183" t="s">
        <v>138</v>
      </c>
      <c r="F183">
        <v>38.369734999999999</v>
      </c>
      <c r="G183">
        <v>-85.180234999999996</v>
      </c>
      <c r="I183" s="1">
        <v>110064268260</v>
      </c>
      <c r="J183">
        <v>4952</v>
      </c>
      <c r="K183" s="175" t="str">
        <f>INDEX('2022 SIC to NAICS'!B:B, MATCH('Processed Non-zero DMR Data'!$J183, '2022 SIC to NAICS'!$A:$A, 0))</f>
        <v>Sewerage Systems</v>
      </c>
      <c r="L183" s="175">
        <f>INDEX('2022 SIC to NAICS'!C:C, MATCH('Processed Non-zero DMR Data'!$J183, '2022 SIC to NAICS'!$A:$A, 0))</f>
        <v>221320</v>
      </c>
      <c r="M183" s="175" t="str">
        <f>INDEX('2022 SIC to NAICS'!D:D, MATCH('Processed Non-zero DMR Data'!$J183, '2022 SIC to NAICS'!$A:$A, 0))</f>
        <v xml:space="preserve">Sewage Treatment Facilities </v>
      </c>
      <c r="N183" s="90" t="str">
        <f>IFERROR(INDEX('NAICS Code to IS CDR Code'!B:B, MATCH('Processed Non-zero DMR Data'!L183,'NAICS Code to IS CDR Code'!A:A,0)), "NAICS/SIC Not Provided")</f>
        <v>IS4</v>
      </c>
      <c r="O183" s="91" t="str">
        <f>IFERROR(INDEX('NAICS Code to IS CDR Code'!C:C, MATCH('Processed Non-zero DMR Data'!L183,'NAICS Code to IS CDR Code'!A:A,0)), "NAICS/SIC Not Provided")</f>
        <v>Utilities</v>
      </c>
      <c r="P183" s="91" t="str">
        <f>INDEX('11DCA Mapping'!$K:$K, MATCH('Processed Non-zero DMR Data'!I186,'11DCA Mapping'!$J:$J,0))</f>
        <v>Processing as a Reactant</v>
      </c>
      <c r="Q183" s="91" t="str">
        <f>INDEX('11DCA Mapping'!$L:$L, MATCH('Processed Non-zero DMR Data'!I186,'11DCA Mapping'!$J:$J,0))</f>
        <v>Based on SIC code</v>
      </c>
      <c r="R183" s="250" t="str">
        <f>VLOOKUP(I183,'DMR POTW Flag'!$A$2:$B$960,2,FALSE)</f>
        <v>POTW</v>
      </c>
      <c r="S183" s="7" t="s">
        <v>67</v>
      </c>
      <c r="T183" s="249" t="s">
        <v>586</v>
      </c>
      <c r="U183" s="8">
        <f>COUNTIFS('Raw Non-zero DMR Data'!$A:$A, 'Processed Non-zero DMR Data'!A183, 'Raw Non-zero DMR Data'!$C:$C, X183, 'Raw Non-zero DMR Data'!$U:$U,'Processed Non-zero DMR Data'!Y183)</f>
        <v>1</v>
      </c>
      <c r="V183" s="8">
        <f>COUNTIFS('Raw Non-zero DMR Data'!$A:$A, 'Processed Non-zero DMR Data'!A183, 'Raw Non-zero DMR Data'!$C:$C, X183, 'Raw Non-zero DMR Data'!$U:$U,'Processed Non-zero DMR Data'!Y183,'Raw Non-zero DMR Data'!$Z:$Z,"Yes")</f>
        <v>1</v>
      </c>
      <c r="W183">
        <v>1.3746173749999999</v>
      </c>
      <c r="X183" t="s">
        <v>762</v>
      </c>
      <c r="Y183" t="s">
        <v>763</v>
      </c>
      <c r="Z183" s="257">
        <v>51401020404</v>
      </c>
    </row>
    <row r="184" spans="1:26" ht="15" customHeight="1" x14ac:dyDescent="0.25">
      <c r="A184">
        <v>2023</v>
      </c>
      <c r="B184" t="s">
        <v>460</v>
      </c>
      <c r="C184" t="s">
        <v>461</v>
      </c>
      <c r="D184" t="s">
        <v>761</v>
      </c>
      <c r="E184" t="s">
        <v>138</v>
      </c>
      <c r="F184">
        <v>38.369734999999999</v>
      </c>
      <c r="G184">
        <v>-85.180234999999996</v>
      </c>
      <c r="I184" s="1">
        <v>110064268260</v>
      </c>
      <c r="J184">
        <v>4952</v>
      </c>
      <c r="K184" s="175" t="str">
        <f>INDEX('2022 SIC to NAICS'!B:B, MATCH('Processed Non-zero DMR Data'!$J184, '2022 SIC to NAICS'!$A:$A, 0))</f>
        <v>Sewerage Systems</v>
      </c>
      <c r="L184" s="175">
        <f>INDEX('2022 SIC to NAICS'!C:C, MATCH('Processed Non-zero DMR Data'!$J184, '2022 SIC to NAICS'!$A:$A, 0))</f>
        <v>221320</v>
      </c>
      <c r="M184" s="175" t="str">
        <f>INDEX('2022 SIC to NAICS'!D:D, MATCH('Processed Non-zero DMR Data'!$J184, '2022 SIC to NAICS'!$A:$A, 0))</f>
        <v xml:space="preserve">Sewage Treatment Facilities </v>
      </c>
      <c r="N184" s="90" t="str">
        <f>IFERROR(INDEX('NAICS Code to IS CDR Code'!B:B, MATCH('Processed Non-zero DMR Data'!L184,'NAICS Code to IS CDR Code'!A:A,0)), "NAICS/SIC Not Provided")</f>
        <v>IS4</v>
      </c>
      <c r="O184" s="91" t="str">
        <f>IFERROR(INDEX('NAICS Code to IS CDR Code'!C:C, MATCH('Processed Non-zero DMR Data'!L184,'NAICS Code to IS CDR Code'!A:A,0)), "NAICS/SIC Not Provided")</f>
        <v>Utilities</v>
      </c>
      <c r="P184" s="91" t="str">
        <f>INDEX('11DCA Mapping'!$K:$K, MATCH('Processed Non-zero DMR Data'!I187,'11DCA Mapping'!$J:$J,0))</f>
        <v>Processing as a Reactant</v>
      </c>
      <c r="Q184" s="91" t="str">
        <f>INDEX('11DCA Mapping'!$L:$L, MATCH('Processed Non-zero DMR Data'!I187,'11DCA Mapping'!$J:$J,0))</f>
        <v>Based on SIC code</v>
      </c>
      <c r="R184" s="250" t="str">
        <f>VLOOKUP(I184,'DMR POTW Flag'!$A$2:$B$960,2,FALSE)</f>
        <v>POTW</v>
      </c>
      <c r="S184" s="7" t="s">
        <v>67</v>
      </c>
      <c r="T184" s="249" t="s">
        <v>586</v>
      </c>
      <c r="U184" s="8">
        <f>COUNTIFS('Raw Non-zero DMR Data'!$A:$A, 'Processed Non-zero DMR Data'!A184, 'Raw Non-zero DMR Data'!$C:$C, X184, 'Raw Non-zero DMR Data'!$U:$U,'Processed Non-zero DMR Data'!Y184)</f>
        <v>1</v>
      </c>
      <c r="V184" s="8">
        <f>COUNTIFS('Raw Non-zero DMR Data'!$A:$A, 'Processed Non-zero DMR Data'!A184, 'Raw Non-zero DMR Data'!$C:$C, X184, 'Raw Non-zero DMR Data'!$U:$U,'Processed Non-zero DMR Data'!Y184,'Raw Non-zero DMR Data'!$Z:$Z,"Yes")</f>
        <v>1</v>
      </c>
      <c r="W184">
        <v>0.79783068749999997</v>
      </c>
      <c r="X184" t="s">
        <v>762</v>
      </c>
      <c r="Y184" t="s">
        <v>763</v>
      </c>
      <c r="Z184" s="257">
        <v>51401020404</v>
      </c>
    </row>
    <row r="185" spans="1:26" ht="15" customHeight="1" x14ac:dyDescent="0.25">
      <c r="A185">
        <v>2019</v>
      </c>
      <c r="B185" t="s">
        <v>302</v>
      </c>
      <c r="C185" t="s">
        <v>303</v>
      </c>
      <c r="D185" t="s">
        <v>638</v>
      </c>
      <c r="E185" t="s">
        <v>114</v>
      </c>
      <c r="F185">
        <v>29.741954</v>
      </c>
      <c r="G185">
        <v>-95.165228999999997</v>
      </c>
      <c r="I185" s="1">
        <v>110060340162</v>
      </c>
      <c r="J185">
        <v>2869</v>
      </c>
      <c r="K185" s="175" t="str">
        <f>INDEX('2022 SIC to NAICS'!B:B, MATCH('Processed Non-zero DMR Data'!$J185, '2022 SIC to NAICS'!$A:$A, 0))</f>
        <v>Industrial Organic Chemicals, Nec</v>
      </c>
      <c r="L185" s="175">
        <f>INDEX('2022 SIC to NAICS'!C:C, MATCH('Processed Non-zero DMR Data'!$J185, '2022 SIC to NAICS'!$A:$A, 0))</f>
        <v>325110</v>
      </c>
      <c r="M185" s="175" t="str">
        <f>INDEX('2022 SIC to NAICS'!D:D, MATCH('Processed Non-zero DMR Data'!$J185, '2022 SIC to NAICS'!$A:$A, 0))</f>
        <v>Petrochemical Manufacturing</v>
      </c>
      <c r="N185" s="90" t="str">
        <f>IFERROR(INDEX('NAICS Code to IS CDR Code'!B:B, MATCH('Processed Non-zero DMR Data'!L185,'NAICS Code to IS CDR Code'!A:A,0)), "NAICS/SIC Not Provided")</f>
        <v>IS15</v>
      </c>
      <c r="O185" s="91" t="str">
        <f>IFERROR(INDEX('NAICS Code to IS CDR Code'!C:C, MATCH('Processed Non-zero DMR Data'!L185,'NAICS Code to IS CDR Code'!A:A,0)), "NAICS/SIC Not Provided")</f>
        <v>Petrochemical Manufacturing</v>
      </c>
      <c r="P185" s="91" t="str">
        <f>INDEX('11DCA Mapping'!$K:$K, MATCH('Processed Non-zero DMR Data'!I188,'11DCA Mapping'!$J:$J,0))</f>
        <v>Processing as a Reactant</v>
      </c>
      <c r="Q185" s="91" t="str">
        <f>INDEX('11DCA Mapping'!$L:$L, MATCH('Processed Non-zero DMR Data'!I188,'11DCA Mapping'!$J:$J,0))</f>
        <v>Based on SIC code</v>
      </c>
      <c r="R185" s="250" t="str">
        <f>VLOOKUP(I185,'DMR POTW Flag'!$A$2:$B$960,2,FALSE)</f>
        <v>NON-POTW</v>
      </c>
      <c r="S185" s="7" t="s">
        <v>62</v>
      </c>
      <c r="T185" s="7" t="s">
        <v>601</v>
      </c>
      <c r="U185" s="8">
        <f>COUNTIFS('Raw Non-zero DMR Data'!$A:$A, 'Processed Non-zero DMR Data'!A185, 'Raw Non-zero DMR Data'!$C:$C, X185, 'Raw Non-zero DMR Data'!$U:$U,'Processed Non-zero DMR Data'!Y185)</f>
        <v>1</v>
      </c>
      <c r="V185" s="8">
        <f>COUNTIFS('Raw Non-zero DMR Data'!$A:$A, 'Processed Non-zero DMR Data'!A185, 'Raw Non-zero DMR Data'!$C:$C, X185, 'Raw Non-zero DMR Data'!$U:$U,'Processed Non-zero DMR Data'!Y185,'Raw Non-zero DMR Data'!$Z:$Z,"Yes")</f>
        <v>0</v>
      </c>
      <c r="W185">
        <v>0.82891499999999996</v>
      </c>
      <c r="X185" t="s">
        <v>764</v>
      </c>
      <c r="Y185" t="s">
        <v>765</v>
      </c>
      <c r="Z185" s="257">
        <v>120401040703</v>
      </c>
    </row>
    <row r="186" spans="1:26" ht="15" customHeight="1" x14ac:dyDescent="0.25">
      <c r="A186">
        <v>2020</v>
      </c>
      <c r="B186" t="s">
        <v>302</v>
      </c>
      <c r="C186" t="s">
        <v>303</v>
      </c>
      <c r="D186" t="s">
        <v>638</v>
      </c>
      <c r="E186" t="s">
        <v>114</v>
      </c>
      <c r="F186">
        <v>29.741954</v>
      </c>
      <c r="G186">
        <v>-95.165228999999997</v>
      </c>
      <c r="I186" s="1">
        <v>110060340162</v>
      </c>
      <c r="J186">
        <v>2869</v>
      </c>
      <c r="K186" s="175" t="str">
        <f>INDEX('2022 SIC to NAICS'!B:B, MATCH('Processed Non-zero DMR Data'!$J186, '2022 SIC to NAICS'!$A:$A, 0))</f>
        <v>Industrial Organic Chemicals, Nec</v>
      </c>
      <c r="L186" s="175">
        <f>INDEX('2022 SIC to NAICS'!C:C, MATCH('Processed Non-zero DMR Data'!$J186, '2022 SIC to NAICS'!$A:$A, 0))</f>
        <v>325110</v>
      </c>
      <c r="M186" s="175" t="str">
        <f>INDEX('2022 SIC to NAICS'!D:D, MATCH('Processed Non-zero DMR Data'!$J186, '2022 SIC to NAICS'!$A:$A, 0))</f>
        <v>Petrochemical Manufacturing</v>
      </c>
      <c r="N186" s="90" t="str">
        <f>IFERROR(INDEX('NAICS Code to IS CDR Code'!B:B, MATCH('Processed Non-zero DMR Data'!L186,'NAICS Code to IS CDR Code'!A:A,0)), "NAICS/SIC Not Provided")</f>
        <v>IS15</v>
      </c>
      <c r="O186" s="91" t="str">
        <f>IFERROR(INDEX('NAICS Code to IS CDR Code'!C:C, MATCH('Processed Non-zero DMR Data'!L186,'NAICS Code to IS CDR Code'!A:A,0)), "NAICS/SIC Not Provided")</f>
        <v>Petrochemical Manufacturing</v>
      </c>
      <c r="P186" s="91" t="str">
        <f>INDEX('11DCA Mapping'!$K:$K, MATCH('Processed Non-zero DMR Data'!I189,'11DCA Mapping'!$J:$J,0))</f>
        <v>Processing as a Reactant</v>
      </c>
      <c r="Q186" s="91" t="str">
        <f>INDEX('11DCA Mapping'!$L:$L, MATCH('Processed Non-zero DMR Data'!I189,'11DCA Mapping'!$J:$J,0))</f>
        <v>Based on SIC code</v>
      </c>
      <c r="R186" s="250" t="str">
        <f>VLOOKUP(I186,'DMR POTW Flag'!$A$2:$B$960,2,FALSE)</f>
        <v>NON-POTW</v>
      </c>
      <c r="S186" s="7" t="s">
        <v>62</v>
      </c>
      <c r="T186" s="7" t="s">
        <v>601</v>
      </c>
      <c r="U186" s="8">
        <f>COUNTIFS('Raw Non-zero DMR Data'!$A:$A, 'Processed Non-zero DMR Data'!A186, 'Raw Non-zero DMR Data'!$C:$C, X186, 'Raw Non-zero DMR Data'!$U:$U,'Processed Non-zero DMR Data'!Y186)</f>
        <v>1</v>
      </c>
      <c r="V186" s="8">
        <f>COUNTIFS('Raw Non-zero DMR Data'!$A:$A, 'Processed Non-zero DMR Data'!A186, 'Raw Non-zero DMR Data'!$C:$C, X186, 'Raw Non-zero DMR Data'!$U:$U,'Processed Non-zero DMR Data'!Y186,'Raw Non-zero DMR Data'!$Z:$Z,"Yes")</f>
        <v>1</v>
      </c>
      <c r="W186">
        <v>0.75983875000000001</v>
      </c>
      <c r="X186" t="s">
        <v>764</v>
      </c>
      <c r="Y186" t="s">
        <v>765</v>
      </c>
      <c r="Z186" s="257">
        <v>120401040703</v>
      </c>
    </row>
    <row r="187" spans="1:26" ht="15" customHeight="1" x14ac:dyDescent="0.25">
      <c r="A187">
        <v>2021</v>
      </c>
      <c r="B187" t="s">
        <v>302</v>
      </c>
      <c r="C187" t="s">
        <v>303</v>
      </c>
      <c r="D187" t="s">
        <v>638</v>
      </c>
      <c r="E187" t="s">
        <v>114</v>
      </c>
      <c r="F187">
        <v>29.741954</v>
      </c>
      <c r="G187">
        <v>-95.165228999999997</v>
      </c>
      <c r="I187" s="1">
        <v>110060340162</v>
      </c>
      <c r="J187">
        <v>2869</v>
      </c>
      <c r="K187" s="175" t="str">
        <f>INDEX('2022 SIC to NAICS'!B:B, MATCH('Processed Non-zero DMR Data'!$J187, '2022 SIC to NAICS'!$A:$A, 0))</f>
        <v>Industrial Organic Chemicals, Nec</v>
      </c>
      <c r="L187" s="175">
        <f>INDEX('2022 SIC to NAICS'!C:C, MATCH('Processed Non-zero DMR Data'!$J187, '2022 SIC to NAICS'!$A:$A, 0))</f>
        <v>325110</v>
      </c>
      <c r="M187" s="175" t="str">
        <f>INDEX('2022 SIC to NAICS'!D:D, MATCH('Processed Non-zero DMR Data'!$J187, '2022 SIC to NAICS'!$A:$A, 0))</f>
        <v>Petrochemical Manufacturing</v>
      </c>
      <c r="N187" s="90" t="str">
        <f>IFERROR(INDEX('NAICS Code to IS CDR Code'!B:B, MATCH('Processed Non-zero DMR Data'!L187,'NAICS Code to IS CDR Code'!A:A,0)), "NAICS/SIC Not Provided")</f>
        <v>IS15</v>
      </c>
      <c r="O187" s="91" t="str">
        <f>IFERROR(INDEX('NAICS Code to IS CDR Code'!C:C, MATCH('Processed Non-zero DMR Data'!L187,'NAICS Code to IS CDR Code'!A:A,0)), "NAICS/SIC Not Provided")</f>
        <v>Petrochemical Manufacturing</v>
      </c>
      <c r="P187" s="91" t="str">
        <f>INDEX('11DCA Mapping'!$K:$K, MATCH('Processed Non-zero DMR Data'!I190,'11DCA Mapping'!$J:$J,0))</f>
        <v>Processing as a Reactant</v>
      </c>
      <c r="Q187" s="91" t="str">
        <f>INDEX('11DCA Mapping'!$L:$L, MATCH('Processed Non-zero DMR Data'!I190,'11DCA Mapping'!$J:$J,0))</f>
        <v>Assuming processing as a reactant based on SIC description</v>
      </c>
      <c r="R187" s="250" t="str">
        <f>VLOOKUP(I187,'DMR POTW Flag'!$A$2:$B$960,2,FALSE)</f>
        <v>NON-POTW</v>
      </c>
      <c r="S187" s="7" t="s">
        <v>62</v>
      </c>
      <c r="T187" s="7" t="s">
        <v>601</v>
      </c>
      <c r="U187" s="8">
        <f>COUNTIFS('Raw Non-zero DMR Data'!$A:$A, 'Processed Non-zero DMR Data'!A187, 'Raw Non-zero DMR Data'!$C:$C, X187, 'Raw Non-zero DMR Data'!$U:$U,'Processed Non-zero DMR Data'!Y187)</f>
        <v>1</v>
      </c>
      <c r="V187" s="8">
        <f>COUNTIFS('Raw Non-zero DMR Data'!$A:$A, 'Processed Non-zero DMR Data'!A187, 'Raw Non-zero DMR Data'!$C:$C, X187, 'Raw Non-zero DMR Data'!$U:$U,'Processed Non-zero DMR Data'!Y187,'Raw Non-zero DMR Data'!$Z:$Z,"Yes")</f>
        <v>1</v>
      </c>
      <c r="W187">
        <v>0.71839299999999995</v>
      </c>
      <c r="X187" t="s">
        <v>764</v>
      </c>
      <c r="Y187" t="s">
        <v>765</v>
      </c>
      <c r="Z187" s="257">
        <v>120401040703</v>
      </c>
    </row>
    <row r="188" spans="1:26" ht="15" customHeight="1" x14ac:dyDescent="0.25">
      <c r="A188">
        <v>2022</v>
      </c>
      <c r="B188" t="s">
        <v>302</v>
      </c>
      <c r="C188" t="s">
        <v>303</v>
      </c>
      <c r="D188" t="s">
        <v>638</v>
      </c>
      <c r="E188" t="s">
        <v>114</v>
      </c>
      <c r="F188">
        <v>29.741954</v>
      </c>
      <c r="G188">
        <v>-95.165228999999997</v>
      </c>
      <c r="I188" s="1">
        <v>110060340162</v>
      </c>
      <c r="J188">
        <v>2869</v>
      </c>
      <c r="K188" s="175" t="str">
        <f>INDEX('2022 SIC to NAICS'!B:B, MATCH('Processed Non-zero DMR Data'!$J188, '2022 SIC to NAICS'!$A:$A, 0))</f>
        <v>Industrial Organic Chemicals, Nec</v>
      </c>
      <c r="L188" s="175">
        <f>INDEX('2022 SIC to NAICS'!C:C, MATCH('Processed Non-zero DMR Data'!$J188, '2022 SIC to NAICS'!$A:$A, 0))</f>
        <v>325110</v>
      </c>
      <c r="M188" s="175" t="str">
        <f>INDEX('2022 SIC to NAICS'!D:D, MATCH('Processed Non-zero DMR Data'!$J188, '2022 SIC to NAICS'!$A:$A, 0))</f>
        <v>Petrochemical Manufacturing</v>
      </c>
      <c r="N188" s="90" t="str">
        <f>IFERROR(INDEX('NAICS Code to IS CDR Code'!B:B, MATCH('Processed Non-zero DMR Data'!L188,'NAICS Code to IS CDR Code'!A:A,0)), "NAICS/SIC Not Provided")</f>
        <v>IS15</v>
      </c>
      <c r="O188" s="91" t="str">
        <f>IFERROR(INDEX('NAICS Code to IS CDR Code'!C:C, MATCH('Processed Non-zero DMR Data'!L188,'NAICS Code to IS CDR Code'!A:A,0)), "NAICS/SIC Not Provided")</f>
        <v>Petrochemical Manufacturing</v>
      </c>
      <c r="P188" s="91" t="str">
        <f>INDEX('11DCA Mapping'!$K:$K, MATCH('Processed Non-zero DMR Data'!I191,'11DCA Mapping'!$J:$J,0))</f>
        <v>Processing as a Reactant</v>
      </c>
      <c r="Q188" s="91" t="str">
        <f>INDEX('11DCA Mapping'!$L:$L, MATCH('Processed Non-zero DMR Data'!I191,'11DCA Mapping'!$J:$J,0))</f>
        <v>Assuming processing as a reactant based on SIC description</v>
      </c>
      <c r="R188" s="250" t="str">
        <f>VLOOKUP(I188,'DMR POTW Flag'!$A$2:$B$960,2,FALSE)</f>
        <v>NON-POTW</v>
      </c>
      <c r="S188" s="7" t="s">
        <v>62</v>
      </c>
      <c r="T188" s="7" t="s">
        <v>601</v>
      </c>
      <c r="U188" s="8">
        <f>COUNTIFS('Raw Non-zero DMR Data'!$A:$A, 'Processed Non-zero DMR Data'!A188, 'Raw Non-zero DMR Data'!$C:$C, X188, 'Raw Non-zero DMR Data'!$U:$U,'Processed Non-zero DMR Data'!Y188)</f>
        <v>1</v>
      </c>
      <c r="V188" s="8">
        <f>COUNTIFS('Raw Non-zero DMR Data'!$A:$A, 'Processed Non-zero DMR Data'!A188, 'Raw Non-zero DMR Data'!$C:$C, X188, 'Raw Non-zero DMR Data'!$U:$U,'Processed Non-zero DMR Data'!Y188,'Raw Non-zero DMR Data'!$Z:$Z,"Yes")</f>
        <v>1</v>
      </c>
      <c r="W188">
        <v>0.56642524999999999</v>
      </c>
      <c r="X188" t="s">
        <v>764</v>
      </c>
      <c r="Y188" t="s">
        <v>765</v>
      </c>
      <c r="Z188" s="257">
        <v>120401040703</v>
      </c>
    </row>
    <row r="189" spans="1:26" ht="15" customHeight="1" x14ac:dyDescent="0.25">
      <c r="A189">
        <v>2023</v>
      </c>
      <c r="B189" t="s">
        <v>302</v>
      </c>
      <c r="C189" t="s">
        <v>303</v>
      </c>
      <c r="D189" t="s">
        <v>638</v>
      </c>
      <c r="E189" t="s">
        <v>114</v>
      </c>
      <c r="F189">
        <v>29.741954</v>
      </c>
      <c r="G189">
        <v>-95.165228999999997</v>
      </c>
      <c r="I189" s="1">
        <v>110060340162</v>
      </c>
      <c r="J189">
        <v>2869</v>
      </c>
      <c r="K189" s="175" t="str">
        <f>INDEX('2022 SIC to NAICS'!B:B, MATCH('Processed Non-zero DMR Data'!$J189, '2022 SIC to NAICS'!$A:$A, 0))</f>
        <v>Industrial Organic Chemicals, Nec</v>
      </c>
      <c r="L189" s="175">
        <f>INDEX('2022 SIC to NAICS'!C:C, MATCH('Processed Non-zero DMR Data'!$J189, '2022 SIC to NAICS'!$A:$A, 0))</f>
        <v>325110</v>
      </c>
      <c r="M189" s="175" t="str">
        <f>INDEX('2022 SIC to NAICS'!D:D, MATCH('Processed Non-zero DMR Data'!$J189, '2022 SIC to NAICS'!$A:$A, 0))</f>
        <v>Petrochemical Manufacturing</v>
      </c>
      <c r="N189" s="90" t="str">
        <f>IFERROR(INDEX('NAICS Code to IS CDR Code'!B:B, MATCH('Processed Non-zero DMR Data'!L189,'NAICS Code to IS CDR Code'!A:A,0)), "NAICS/SIC Not Provided")</f>
        <v>IS15</v>
      </c>
      <c r="O189" s="91" t="str">
        <f>IFERROR(INDEX('NAICS Code to IS CDR Code'!C:C, MATCH('Processed Non-zero DMR Data'!L189,'NAICS Code to IS CDR Code'!A:A,0)), "NAICS/SIC Not Provided")</f>
        <v>Petrochemical Manufacturing</v>
      </c>
      <c r="P189" s="91" t="str">
        <f>INDEX('11DCA Mapping'!$K:$K, MATCH('Processed Non-zero DMR Data'!I192,'11DCA Mapping'!$J:$J,0))</f>
        <v>Processing as a Reactant</v>
      </c>
      <c r="Q189" s="91" t="str">
        <f>INDEX('11DCA Mapping'!$L:$L, MATCH('Processed Non-zero DMR Data'!I192,'11DCA Mapping'!$J:$J,0))</f>
        <v>Assuming processing as a reactant based on SIC description</v>
      </c>
      <c r="R189" s="250" t="str">
        <f>VLOOKUP(I189,'DMR POTW Flag'!$A$2:$B$960,2,FALSE)</f>
        <v>NON-POTW</v>
      </c>
      <c r="S189" s="7" t="s">
        <v>62</v>
      </c>
      <c r="T189" s="7" t="s">
        <v>601</v>
      </c>
      <c r="U189" s="8">
        <f>COUNTIFS('Raw Non-zero DMR Data'!$A:$A, 'Processed Non-zero DMR Data'!A189, 'Raw Non-zero DMR Data'!$C:$C, X189, 'Raw Non-zero DMR Data'!$U:$U,'Processed Non-zero DMR Data'!Y189)</f>
        <v>1</v>
      </c>
      <c r="V189" s="8">
        <f>COUNTIFS('Raw Non-zero DMR Data'!$A:$A, 'Processed Non-zero DMR Data'!A189, 'Raw Non-zero DMR Data'!$C:$C, X189, 'Raw Non-zero DMR Data'!$U:$U,'Processed Non-zero DMR Data'!Y189,'Raw Non-zero DMR Data'!$Z:$Z,"Yes")</f>
        <v>1</v>
      </c>
      <c r="W189">
        <v>6.4240912499999997E-2</v>
      </c>
      <c r="X189" t="s">
        <v>764</v>
      </c>
      <c r="Y189" t="s">
        <v>765</v>
      </c>
      <c r="Z189" s="257">
        <v>120401040703</v>
      </c>
    </row>
    <row r="190" spans="1:26" ht="15" customHeight="1" x14ac:dyDescent="0.25">
      <c r="A190">
        <v>2019</v>
      </c>
      <c r="B190" t="s">
        <v>174</v>
      </c>
      <c r="C190" t="s">
        <v>175</v>
      </c>
      <c r="D190" t="s">
        <v>630</v>
      </c>
      <c r="E190" t="s">
        <v>106</v>
      </c>
      <c r="F190">
        <v>30.193916000000002</v>
      </c>
      <c r="G190">
        <v>-93.321347000000003</v>
      </c>
      <c r="I190" s="1">
        <v>110000597266</v>
      </c>
      <c r="J190">
        <v>2821</v>
      </c>
      <c r="K190" s="175" t="str">
        <f>INDEX('2022 SIC to NAICS'!B:B, MATCH('Processed Non-zero DMR Data'!$J190, '2022 SIC to NAICS'!$A:$A, 0))</f>
        <v>Plastics Materials and Resins</v>
      </c>
      <c r="L190" s="175">
        <f>INDEX('2022 SIC to NAICS'!C:C, MATCH('Processed Non-zero DMR Data'!$J190, '2022 SIC to NAICS'!$A:$A, 0))</f>
        <v>325211</v>
      </c>
      <c r="M190" s="175" t="str">
        <f>INDEX('2022 SIC to NAICS'!D:D, MATCH('Processed Non-zero DMR Data'!$J190, '2022 SIC to NAICS'!$A:$A, 0))</f>
        <v xml:space="preserve">Plastics Material and Resin Manufacturing </v>
      </c>
      <c r="N190" s="90" t="str">
        <f>IFERROR(INDEX('NAICS Code to IS CDR Code'!B:B, MATCH('Processed Non-zero DMR Data'!L190,'NAICS Code to IS CDR Code'!A:A,0)), "NAICS/SIC Not Provided")</f>
        <v>IS22</v>
      </c>
      <c r="O190" s="91" t="str">
        <f>IFERROR(INDEX('NAICS Code to IS CDR Code'!C:C, MATCH('Processed Non-zero DMR Data'!L190,'NAICS Code to IS CDR Code'!A:A,0)), "NAICS/SIC Not Provided")</f>
        <v>Plastic Material and Resin Manufacturing</v>
      </c>
      <c r="P190" s="91" t="str">
        <f>INDEX('11DCA Mapping'!$K:$K, MATCH('Processed Non-zero DMR Data'!I193,'11DCA Mapping'!$J:$J,0))</f>
        <v>Processing as a Reactant</v>
      </c>
      <c r="Q190" s="91" t="str">
        <f>INDEX('11DCA Mapping'!$L:$L, MATCH('Processed Non-zero DMR Data'!I193,'11DCA Mapping'!$J:$J,0))</f>
        <v>Assumed processing as an intermediate based on SIC code</v>
      </c>
      <c r="R190" s="250" t="str">
        <f>VLOOKUP(I190,'DMR POTW Flag'!$A$2:$B$960,2,FALSE)</f>
        <v>NON-POTW</v>
      </c>
      <c r="S190" s="7" t="s">
        <v>63</v>
      </c>
      <c r="T190" s="7" t="s">
        <v>5470</v>
      </c>
      <c r="U190" s="8">
        <f>COUNTIFS('Raw Non-zero DMR Data'!$A:$A, 'Processed Non-zero DMR Data'!A190, 'Raw Non-zero DMR Data'!$C:$C, X190, 'Raw Non-zero DMR Data'!$U:$U,'Processed Non-zero DMR Data'!Y190)</f>
        <v>1</v>
      </c>
      <c r="V190" s="8">
        <f>COUNTIFS('Raw Non-zero DMR Data'!$A:$A, 'Processed Non-zero DMR Data'!A190, 'Raw Non-zero DMR Data'!$C:$C, X190, 'Raw Non-zero DMR Data'!$U:$U,'Processed Non-zero DMR Data'!Y190,'Raw Non-zero DMR Data'!$Z:$Z,"Yes")</f>
        <v>1</v>
      </c>
      <c r="W190">
        <v>0.414275</v>
      </c>
      <c r="X190" t="s">
        <v>766</v>
      </c>
      <c r="Y190" t="s">
        <v>767</v>
      </c>
      <c r="Z190" s="257">
        <v>80802060301</v>
      </c>
    </row>
    <row r="191" spans="1:26" ht="15" customHeight="1" x14ac:dyDescent="0.25">
      <c r="A191">
        <v>2020</v>
      </c>
      <c r="B191" t="s">
        <v>174</v>
      </c>
      <c r="C191" t="s">
        <v>175</v>
      </c>
      <c r="D191" t="s">
        <v>630</v>
      </c>
      <c r="E191" t="s">
        <v>106</v>
      </c>
      <c r="F191">
        <v>30.193916000000002</v>
      </c>
      <c r="G191">
        <v>-93.321347000000003</v>
      </c>
      <c r="I191" s="1">
        <v>110000597266</v>
      </c>
      <c r="J191">
        <v>2821</v>
      </c>
      <c r="K191" s="175" t="str">
        <f>INDEX('2022 SIC to NAICS'!B:B, MATCH('Processed Non-zero DMR Data'!$J191, '2022 SIC to NAICS'!$A:$A, 0))</f>
        <v>Plastics Materials and Resins</v>
      </c>
      <c r="L191" s="175">
        <f>INDEX('2022 SIC to NAICS'!C:C, MATCH('Processed Non-zero DMR Data'!$J191, '2022 SIC to NAICS'!$A:$A, 0))</f>
        <v>325211</v>
      </c>
      <c r="M191" s="175" t="str">
        <f>INDEX('2022 SIC to NAICS'!D:D, MATCH('Processed Non-zero DMR Data'!$J191, '2022 SIC to NAICS'!$A:$A, 0))</f>
        <v xml:space="preserve">Plastics Material and Resin Manufacturing </v>
      </c>
      <c r="N191" s="90" t="str">
        <f>IFERROR(INDEX('NAICS Code to IS CDR Code'!B:B, MATCH('Processed Non-zero DMR Data'!L191,'NAICS Code to IS CDR Code'!A:A,0)), "NAICS/SIC Not Provided")</f>
        <v>IS22</v>
      </c>
      <c r="O191" s="91" t="str">
        <f>IFERROR(INDEX('NAICS Code to IS CDR Code'!C:C, MATCH('Processed Non-zero DMR Data'!L191,'NAICS Code to IS CDR Code'!A:A,0)), "NAICS/SIC Not Provided")</f>
        <v>Plastic Material and Resin Manufacturing</v>
      </c>
      <c r="P191" s="91" t="str">
        <f>INDEX('11DCA Mapping'!$K:$K, MATCH('Processed Non-zero DMR Data'!I194,'11DCA Mapping'!$J:$J,0))</f>
        <v>Processing as a Reactant</v>
      </c>
      <c r="Q191" s="91" t="str">
        <f>INDEX('11DCA Mapping'!$L:$L, MATCH('Processed Non-zero DMR Data'!I194,'11DCA Mapping'!$J:$J,0))</f>
        <v>Assumed processing as an intermediate based on SIC code</v>
      </c>
      <c r="R191" s="250" t="str">
        <f>VLOOKUP(I191,'DMR POTW Flag'!$A$2:$B$960,2,FALSE)</f>
        <v>NON-POTW</v>
      </c>
      <c r="S191" s="7" t="s">
        <v>63</v>
      </c>
      <c r="T191" s="7" t="s">
        <v>5470</v>
      </c>
      <c r="U191" s="8">
        <f>COUNTIFS('Raw Non-zero DMR Data'!$A:$A, 'Processed Non-zero DMR Data'!A191, 'Raw Non-zero DMR Data'!$C:$C, X191, 'Raw Non-zero DMR Data'!$U:$U,'Processed Non-zero DMR Data'!Y191)</f>
        <v>1</v>
      </c>
      <c r="V191" s="8">
        <f>COUNTIFS('Raw Non-zero DMR Data'!$A:$A, 'Processed Non-zero DMR Data'!A191, 'Raw Non-zero DMR Data'!$C:$C, X191, 'Raw Non-zero DMR Data'!$U:$U,'Processed Non-zero DMR Data'!Y191,'Raw Non-zero DMR Data'!$Z:$Z,"Yes")</f>
        <v>1</v>
      </c>
      <c r="W191">
        <v>0.414275</v>
      </c>
      <c r="X191" t="s">
        <v>766</v>
      </c>
      <c r="Y191" t="s">
        <v>767</v>
      </c>
      <c r="Z191" s="257">
        <v>80802060301</v>
      </c>
    </row>
    <row r="192" spans="1:26" ht="15" customHeight="1" x14ac:dyDescent="0.25">
      <c r="A192">
        <v>2021</v>
      </c>
      <c r="B192" t="s">
        <v>174</v>
      </c>
      <c r="C192" t="s">
        <v>175</v>
      </c>
      <c r="D192" t="s">
        <v>630</v>
      </c>
      <c r="E192" t="s">
        <v>106</v>
      </c>
      <c r="F192">
        <v>30.193916000000002</v>
      </c>
      <c r="G192">
        <v>-93.321347000000003</v>
      </c>
      <c r="I192" s="1">
        <v>110000597266</v>
      </c>
      <c r="J192">
        <v>2821</v>
      </c>
      <c r="K192" s="175" t="str">
        <f>INDEX('2022 SIC to NAICS'!B:B, MATCH('Processed Non-zero DMR Data'!$J192, '2022 SIC to NAICS'!$A:$A, 0))</f>
        <v>Plastics Materials and Resins</v>
      </c>
      <c r="L192" s="175">
        <f>INDEX('2022 SIC to NAICS'!C:C, MATCH('Processed Non-zero DMR Data'!$J192, '2022 SIC to NAICS'!$A:$A, 0))</f>
        <v>325211</v>
      </c>
      <c r="M192" s="175" t="str">
        <f>INDEX('2022 SIC to NAICS'!D:D, MATCH('Processed Non-zero DMR Data'!$J192, '2022 SIC to NAICS'!$A:$A, 0))</f>
        <v xml:space="preserve">Plastics Material and Resin Manufacturing </v>
      </c>
      <c r="N192" s="90" t="str">
        <f>IFERROR(INDEX('NAICS Code to IS CDR Code'!B:B, MATCH('Processed Non-zero DMR Data'!L192,'NAICS Code to IS CDR Code'!A:A,0)), "NAICS/SIC Not Provided")</f>
        <v>IS22</v>
      </c>
      <c r="O192" s="91" t="str">
        <f>IFERROR(INDEX('NAICS Code to IS CDR Code'!C:C, MATCH('Processed Non-zero DMR Data'!L192,'NAICS Code to IS CDR Code'!A:A,0)), "NAICS/SIC Not Provided")</f>
        <v>Plastic Material and Resin Manufacturing</v>
      </c>
      <c r="P192" s="91" t="str">
        <f>INDEX('11DCA Mapping'!$K:$K, MATCH('Processed Non-zero DMR Data'!I195,'11DCA Mapping'!$J:$J,0))</f>
        <v>Processing as a Reactant</v>
      </c>
      <c r="Q192" s="91" t="str">
        <f>INDEX('11DCA Mapping'!$L:$L, MATCH('Processed Non-zero DMR Data'!I195,'11DCA Mapping'!$J:$J,0))</f>
        <v>Assumed processing as an intermediate based on SIC code</v>
      </c>
      <c r="R192" s="250" t="str">
        <f>VLOOKUP(I192,'DMR POTW Flag'!$A$2:$B$960,2,FALSE)</f>
        <v>NON-POTW</v>
      </c>
      <c r="S192" s="7" t="s">
        <v>63</v>
      </c>
      <c r="T192" s="7" t="s">
        <v>5470</v>
      </c>
      <c r="U192" s="8">
        <f>COUNTIFS('Raw Non-zero DMR Data'!$A:$A, 'Processed Non-zero DMR Data'!A192, 'Raw Non-zero DMR Data'!$C:$C, X192, 'Raw Non-zero DMR Data'!$U:$U,'Processed Non-zero DMR Data'!Y192)</f>
        <v>1</v>
      </c>
      <c r="V192" s="8">
        <f>COUNTIFS('Raw Non-zero DMR Data'!$A:$A, 'Processed Non-zero DMR Data'!A192, 'Raw Non-zero DMR Data'!$C:$C, X192, 'Raw Non-zero DMR Data'!$U:$U,'Processed Non-zero DMR Data'!Y192,'Raw Non-zero DMR Data'!$Z:$Z,"Yes")</f>
        <v>0</v>
      </c>
      <c r="W192">
        <v>0.82855000000000001</v>
      </c>
      <c r="X192" t="s">
        <v>766</v>
      </c>
      <c r="Y192" t="s">
        <v>767</v>
      </c>
      <c r="Z192" s="257">
        <v>80802060301</v>
      </c>
    </row>
    <row r="193" spans="1:26" ht="15" customHeight="1" x14ac:dyDescent="0.25">
      <c r="A193">
        <v>2019</v>
      </c>
      <c r="B193" t="s">
        <v>255</v>
      </c>
      <c r="C193" t="s">
        <v>256</v>
      </c>
      <c r="D193" t="s">
        <v>768</v>
      </c>
      <c r="E193" t="s">
        <v>141</v>
      </c>
      <c r="F193">
        <v>39.795811999999998</v>
      </c>
      <c r="G193">
        <v>-88.347945999999993</v>
      </c>
      <c r="I193" s="1">
        <v>110000746211</v>
      </c>
      <c r="J193">
        <v>2869</v>
      </c>
      <c r="K193" s="175" t="str">
        <f>INDEX('2022 SIC to NAICS'!B:B, MATCH('Processed Non-zero DMR Data'!$J193, '2022 SIC to NAICS'!$A:$A, 0))</f>
        <v>Industrial Organic Chemicals, Nec</v>
      </c>
      <c r="L193" s="175">
        <f>INDEX('2022 SIC to NAICS'!C:C, MATCH('Processed Non-zero DMR Data'!$J193, '2022 SIC to NAICS'!$A:$A, 0))</f>
        <v>325110</v>
      </c>
      <c r="M193" s="175" t="str">
        <f>INDEX('2022 SIC to NAICS'!D:D, MATCH('Processed Non-zero DMR Data'!$J193, '2022 SIC to NAICS'!$A:$A, 0))</f>
        <v>Petrochemical Manufacturing</v>
      </c>
      <c r="N193" s="90" t="str">
        <f>IFERROR(INDEX('NAICS Code to IS CDR Code'!B:B, MATCH('Processed Non-zero DMR Data'!L193,'NAICS Code to IS CDR Code'!A:A,0)), "NAICS/SIC Not Provided")</f>
        <v>IS15</v>
      </c>
      <c r="O193" s="91" t="str">
        <f>IFERROR(INDEX('NAICS Code to IS CDR Code'!C:C, MATCH('Processed Non-zero DMR Data'!L193,'NAICS Code to IS CDR Code'!A:A,0)), "NAICS/SIC Not Provided")</f>
        <v>Petrochemical Manufacturing</v>
      </c>
      <c r="P193" s="91" t="str">
        <f>INDEX('11DCA Mapping'!$K:$K, MATCH('Processed Non-zero DMR Data'!I196,'11DCA Mapping'!$J:$J,0))</f>
        <v>Processing as a Reactant</v>
      </c>
      <c r="Q193" s="91" t="str">
        <f>INDEX('11DCA Mapping'!$L:$L, MATCH('Processed Non-zero DMR Data'!I196,'11DCA Mapping'!$J:$J,0))</f>
        <v>Assumed processing as an intermediate based on SIC code</v>
      </c>
      <c r="R193" s="250" t="str">
        <f>VLOOKUP(I193,'DMR POTW Flag'!$A$2:$B$960,2,FALSE)</f>
        <v>NON-POTW</v>
      </c>
      <c r="S193" s="7" t="s">
        <v>62</v>
      </c>
      <c r="T193" s="7" t="s">
        <v>601</v>
      </c>
      <c r="U193" s="8">
        <f>COUNTIFS('Raw Non-zero DMR Data'!$A:$A, 'Processed Non-zero DMR Data'!A193, 'Raw Non-zero DMR Data'!$C:$C, X193, 'Raw Non-zero DMR Data'!$U:$U,'Processed Non-zero DMR Data'!Y193)</f>
        <v>1</v>
      </c>
      <c r="V193" s="8">
        <f>COUNTIFS('Raw Non-zero DMR Data'!$A:$A, 'Processed Non-zero DMR Data'!A193, 'Raw Non-zero DMR Data'!$C:$C, X193, 'Raw Non-zero DMR Data'!$U:$U,'Processed Non-zero DMR Data'!Y193,'Raw Non-zero DMR Data'!$Z:$Z,"Yes")</f>
        <v>1</v>
      </c>
      <c r="W193">
        <v>3.3970549999999999</v>
      </c>
      <c r="X193" t="s">
        <v>769</v>
      </c>
      <c r="Y193" t="s">
        <v>770</v>
      </c>
      <c r="Z193" s="257">
        <v>71402010206</v>
      </c>
    </row>
    <row r="194" spans="1:26" ht="15" customHeight="1" x14ac:dyDescent="0.25">
      <c r="A194">
        <v>2020</v>
      </c>
      <c r="B194" t="s">
        <v>255</v>
      </c>
      <c r="C194" t="s">
        <v>256</v>
      </c>
      <c r="D194" t="s">
        <v>768</v>
      </c>
      <c r="E194" t="s">
        <v>141</v>
      </c>
      <c r="F194">
        <v>39.795811999999998</v>
      </c>
      <c r="G194">
        <v>-88.347945999999993</v>
      </c>
      <c r="I194" s="1">
        <v>110000746211</v>
      </c>
      <c r="J194">
        <v>2869</v>
      </c>
      <c r="K194" s="175" t="str">
        <f>INDEX('2022 SIC to NAICS'!B:B, MATCH('Processed Non-zero DMR Data'!$J194, '2022 SIC to NAICS'!$A:$A, 0))</f>
        <v>Industrial Organic Chemicals, Nec</v>
      </c>
      <c r="L194" s="175">
        <f>INDEX('2022 SIC to NAICS'!C:C, MATCH('Processed Non-zero DMR Data'!$J194, '2022 SIC to NAICS'!$A:$A, 0))</f>
        <v>325110</v>
      </c>
      <c r="M194" s="175" t="str">
        <f>INDEX('2022 SIC to NAICS'!D:D, MATCH('Processed Non-zero DMR Data'!$J194, '2022 SIC to NAICS'!$A:$A, 0))</f>
        <v>Petrochemical Manufacturing</v>
      </c>
      <c r="N194" s="90" t="str">
        <f>IFERROR(INDEX('NAICS Code to IS CDR Code'!B:B, MATCH('Processed Non-zero DMR Data'!L194,'NAICS Code to IS CDR Code'!A:A,0)), "NAICS/SIC Not Provided")</f>
        <v>IS15</v>
      </c>
      <c r="O194" s="91" t="str">
        <f>IFERROR(INDEX('NAICS Code to IS CDR Code'!C:C, MATCH('Processed Non-zero DMR Data'!L194,'NAICS Code to IS CDR Code'!A:A,0)), "NAICS/SIC Not Provided")</f>
        <v>Petrochemical Manufacturing</v>
      </c>
      <c r="P194" s="91" t="str">
        <f>INDEX('11DCA Mapping'!$K:$K, MATCH('Processed Non-zero DMR Data'!I197,'11DCA Mapping'!$J:$J,0))</f>
        <v>Processing as a Reactant</v>
      </c>
      <c r="Q194" s="91" t="str">
        <f>INDEX('11DCA Mapping'!$L:$L, MATCH('Processed Non-zero DMR Data'!I197,'11DCA Mapping'!$J:$J,0))</f>
        <v>Based on SIC code</v>
      </c>
      <c r="R194" s="250" t="str">
        <f>VLOOKUP(I194,'DMR POTW Flag'!$A$2:$B$960,2,FALSE)</f>
        <v>NON-POTW</v>
      </c>
      <c r="S194" s="7" t="s">
        <v>62</v>
      </c>
      <c r="T194" s="7" t="s">
        <v>601</v>
      </c>
      <c r="U194" s="8">
        <f>COUNTIFS('Raw Non-zero DMR Data'!$A:$A, 'Processed Non-zero DMR Data'!A194, 'Raw Non-zero DMR Data'!$C:$C, X194, 'Raw Non-zero DMR Data'!$U:$U,'Processed Non-zero DMR Data'!Y194)</f>
        <v>1</v>
      </c>
      <c r="V194" s="8">
        <f>COUNTIFS('Raw Non-zero DMR Data'!$A:$A, 'Processed Non-zero DMR Data'!A194, 'Raw Non-zero DMR Data'!$C:$C, X194, 'Raw Non-zero DMR Data'!$U:$U,'Processed Non-zero DMR Data'!Y194,'Raw Non-zero DMR Data'!$Z:$Z,"Yes")</f>
        <v>1</v>
      </c>
      <c r="W194">
        <v>7.0363015384615304</v>
      </c>
      <c r="X194" t="s">
        <v>769</v>
      </c>
      <c r="Y194" t="s">
        <v>770</v>
      </c>
      <c r="Z194" s="257">
        <v>71402010206</v>
      </c>
    </row>
    <row r="195" spans="1:26" ht="15" customHeight="1" x14ac:dyDescent="0.25">
      <c r="A195">
        <v>2021</v>
      </c>
      <c r="B195" t="s">
        <v>255</v>
      </c>
      <c r="C195" t="s">
        <v>256</v>
      </c>
      <c r="D195" t="s">
        <v>768</v>
      </c>
      <c r="E195" t="s">
        <v>141</v>
      </c>
      <c r="F195">
        <v>39.795811999999998</v>
      </c>
      <c r="G195">
        <v>-88.347945999999993</v>
      </c>
      <c r="I195" s="1">
        <v>110000746211</v>
      </c>
      <c r="J195">
        <v>2869</v>
      </c>
      <c r="K195" s="175" t="str">
        <f>INDEX('2022 SIC to NAICS'!B:B, MATCH('Processed Non-zero DMR Data'!$J195, '2022 SIC to NAICS'!$A:$A, 0))</f>
        <v>Industrial Organic Chemicals, Nec</v>
      </c>
      <c r="L195" s="175">
        <f>INDEX('2022 SIC to NAICS'!C:C, MATCH('Processed Non-zero DMR Data'!$J195, '2022 SIC to NAICS'!$A:$A, 0))</f>
        <v>325110</v>
      </c>
      <c r="M195" s="175" t="str">
        <f>INDEX('2022 SIC to NAICS'!D:D, MATCH('Processed Non-zero DMR Data'!$J195, '2022 SIC to NAICS'!$A:$A, 0))</f>
        <v>Petrochemical Manufacturing</v>
      </c>
      <c r="N195" s="90" t="str">
        <f>IFERROR(INDEX('NAICS Code to IS CDR Code'!B:B, MATCH('Processed Non-zero DMR Data'!L195,'NAICS Code to IS CDR Code'!A:A,0)), "NAICS/SIC Not Provided")</f>
        <v>IS15</v>
      </c>
      <c r="O195" s="91" t="str">
        <f>IFERROR(INDEX('NAICS Code to IS CDR Code'!C:C, MATCH('Processed Non-zero DMR Data'!L195,'NAICS Code to IS CDR Code'!A:A,0)), "NAICS/SIC Not Provided")</f>
        <v>Petrochemical Manufacturing</v>
      </c>
      <c r="P195" s="91" t="str">
        <f>INDEX('11DCA Mapping'!$K:$K, MATCH('Processed Non-zero DMR Data'!I198,'11DCA Mapping'!$J:$J,0))</f>
        <v>Processing as a Reactant</v>
      </c>
      <c r="Q195" s="91" t="str">
        <f>INDEX('11DCA Mapping'!$L:$L, MATCH('Processed Non-zero DMR Data'!I198,'11DCA Mapping'!$J:$J,0))</f>
        <v>Based on SIC code</v>
      </c>
      <c r="R195" s="250" t="str">
        <f>VLOOKUP(I195,'DMR POTW Flag'!$A$2:$B$960,2,FALSE)</f>
        <v>NON-POTW</v>
      </c>
      <c r="S195" s="7" t="s">
        <v>62</v>
      </c>
      <c r="T195" s="7" t="s">
        <v>601</v>
      </c>
      <c r="U195" s="8">
        <f>COUNTIFS('Raw Non-zero DMR Data'!$A:$A, 'Processed Non-zero DMR Data'!A195, 'Raw Non-zero DMR Data'!$C:$C, X195, 'Raw Non-zero DMR Data'!$U:$U,'Processed Non-zero DMR Data'!Y195)</f>
        <v>1</v>
      </c>
      <c r="V195" s="8">
        <f>COUNTIFS('Raw Non-zero DMR Data'!$A:$A, 'Processed Non-zero DMR Data'!A195, 'Raw Non-zero DMR Data'!$C:$C, X195, 'Raw Non-zero DMR Data'!$U:$U,'Processed Non-zero DMR Data'!Y195,'Raw Non-zero DMR Data'!$Z:$Z,"Yes")</f>
        <v>1</v>
      </c>
      <c r="W195">
        <v>5.1074999999999999</v>
      </c>
      <c r="X195" t="s">
        <v>769</v>
      </c>
      <c r="Y195" t="s">
        <v>770</v>
      </c>
      <c r="Z195" s="257">
        <v>71402010206</v>
      </c>
    </row>
    <row r="196" spans="1:26" ht="15" customHeight="1" x14ac:dyDescent="0.25">
      <c r="A196">
        <v>2022</v>
      </c>
      <c r="B196" t="s">
        <v>255</v>
      </c>
      <c r="C196" t="s">
        <v>256</v>
      </c>
      <c r="D196" t="s">
        <v>768</v>
      </c>
      <c r="E196" t="s">
        <v>141</v>
      </c>
      <c r="F196">
        <v>39.795811999999998</v>
      </c>
      <c r="G196">
        <v>-88.347945999999993</v>
      </c>
      <c r="I196" s="1">
        <v>110000746211</v>
      </c>
      <c r="J196">
        <v>2869</v>
      </c>
      <c r="K196" s="175" t="str">
        <f>INDEX('2022 SIC to NAICS'!B:B, MATCH('Processed Non-zero DMR Data'!$J196, '2022 SIC to NAICS'!$A:$A, 0))</f>
        <v>Industrial Organic Chemicals, Nec</v>
      </c>
      <c r="L196" s="175">
        <f>INDEX('2022 SIC to NAICS'!C:C, MATCH('Processed Non-zero DMR Data'!$J196, '2022 SIC to NAICS'!$A:$A, 0))</f>
        <v>325110</v>
      </c>
      <c r="M196" s="175" t="str">
        <f>INDEX('2022 SIC to NAICS'!D:D, MATCH('Processed Non-zero DMR Data'!$J196, '2022 SIC to NAICS'!$A:$A, 0))</f>
        <v>Petrochemical Manufacturing</v>
      </c>
      <c r="N196" s="90" t="str">
        <f>IFERROR(INDEX('NAICS Code to IS CDR Code'!B:B, MATCH('Processed Non-zero DMR Data'!L196,'NAICS Code to IS CDR Code'!A:A,0)), "NAICS/SIC Not Provided")</f>
        <v>IS15</v>
      </c>
      <c r="O196" s="91" t="str">
        <f>IFERROR(INDEX('NAICS Code to IS CDR Code'!C:C, MATCH('Processed Non-zero DMR Data'!L196,'NAICS Code to IS CDR Code'!A:A,0)), "NAICS/SIC Not Provided")</f>
        <v>Petrochemical Manufacturing</v>
      </c>
      <c r="P196" s="91" t="str">
        <f>INDEX('11DCA Mapping'!$K:$K, MATCH('Processed Non-zero DMR Data'!I199,'11DCA Mapping'!$J:$J,0))</f>
        <v>Processing as a Reactant</v>
      </c>
      <c r="Q196" s="91" t="str">
        <f>INDEX('11DCA Mapping'!$L:$L, MATCH('Processed Non-zero DMR Data'!I199,'11DCA Mapping'!$J:$J,0))</f>
        <v>Based on SIC code</v>
      </c>
      <c r="R196" s="250" t="str">
        <f>VLOOKUP(I196,'DMR POTW Flag'!$A$2:$B$960,2,FALSE)</f>
        <v>NON-POTW</v>
      </c>
      <c r="S196" s="7" t="s">
        <v>62</v>
      </c>
      <c r="T196" s="7" t="s">
        <v>601</v>
      </c>
      <c r="U196" s="8">
        <f>COUNTIFS('Raw Non-zero DMR Data'!$A:$A, 'Processed Non-zero DMR Data'!A196, 'Raw Non-zero DMR Data'!$C:$C, X196, 'Raw Non-zero DMR Data'!$U:$U,'Processed Non-zero DMR Data'!Y196)</f>
        <v>1</v>
      </c>
      <c r="V196" s="8">
        <f>COUNTIFS('Raw Non-zero DMR Data'!$A:$A, 'Processed Non-zero DMR Data'!A196, 'Raw Non-zero DMR Data'!$C:$C, X196, 'Raw Non-zero DMR Data'!$U:$U,'Processed Non-zero DMR Data'!Y196,'Raw Non-zero DMR Data'!$Z:$Z,"Yes")</f>
        <v>1</v>
      </c>
      <c r="W196">
        <v>4.9631280000000002</v>
      </c>
      <c r="X196" t="s">
        <v>769</v>
      </c>
      <c r="Y196" t="s">
        <v>770</v>
      </c>
      <c r="Z196" s="257">
        <v>71402010206</v>
      </c>
    </row>
    <row r="197" spans="1:26" ht="15" customHeight="1" x14ac:dyDescent="0.25">
      <c r="A197">
        <v>2019</v>
      </c>
      <c r="B197" t="s">
        <v>223</v>
      </c>
      <c r="C197" t="s">
        <v>224</v>
      </c>
      <c r="D197" t="s">
        <v>771</v>
      </c>
      <c r="E197" t="s">
        <v>141</v>
      </c>
      <c r="F197">
        <v>41.412897000000001</v>
      </c>
      <c r="G197">
        <v>-88.329773000000003</v>
      </c>
      <c r="I197" s="1">
        <v>110000433013</v>
      </c>
      <c r="J197">
        <v>2821</v>
      </c>
      <c r="K197" s="175" t="str">
        <f>INDEX('2022 SIC to NAICS'!B:B, MATCH('Processed Non-zero DMR Data'!$J197, '2022 SIC to NAICS'!$A:$A, 0))</f>
        <v>Plastics Materials and Resins</v>
      </c>
      <c r="L197" s="175">
        <f>INDEX('2022 SIC to NAICS'!C:C, MATCH('Processed Non-zero DMR Data'!$J197, '2022 SIC to NAICS'!$A:$A, 0))</f>
        <v>325211</v>
      </c>
      <c r="M197" s="175" t="str">
        <f>INDEX('2022 SIC to NAICS'!D:D, MATCH('Processed Non-zero DMR Data'!$J197, '2022 SIC to NAICS'!$A:$A, 0))</f>
        <v xml:space="preserve">Plastics Material and Resin Manufacturing </v>
      </c>
      <c r="N197" s="90" t="str">
        <f>IFERROR(INDEX('NAICS Code to IS CDR Code'!B:B, MATCH('Processed Non-zero DMR Data'!L197,'NAICS Code to IS CDR Code'!A:A,0)), "NAICS/SIC Not Provided")</f>
        <v>IS22</v>
      </c>
      <c r="O197" s="91" t="str">
        <f>IFERROR(INDEX('NAICS Code to IS CDR Code'!C:C, MATCH('Processed Non-zero DMR Data'!L197,'NAICS Code to IS CDR Code'!A:A,0)), "NAICS/SIC Not Provided")</f>
        <v>Plastic Material and Resin Manufacturing</v>
      </c>
      <c r="P197" s="91" t="str">
        <f>INDEX('11DCA Mapping'!$K:$K, MATCH('Processed Non-zero DMR Data'!I200,'11DCA Mapping'!$J:$J,0))</f>
        <v>Processing as a Reactant</v>
      </c>
      <c r="Q197" s="91" t="str">
        <f>INDEX('11DCA Mapping'!$L:$L, MATCH('Processed Non-zero DMR Data'!I200,'11DCA Mapping'!$J:$J,0))</f>
        <v>Based on SIC code</v>
      </c>
      <c r="R197" s="250" t="str">
        <f>VLOOKUP(I197,'DMR POTW Flag'!$A$2:$B$960,2,FALSE)</f>
        <v>NON-POTW</v>
      </c>
      <c r="S197" s="7" t="s">
        <v>63</v>
      </c>
      <c r="T197" s="7" t="s">
        <v>5470</v>
      </c>
      <c r="U197" s="8">
        <f>COUNTIFS('Raw Non-zero DMR Data'!$A:$A, 'Processed Non-zero DMR Data'!A197, 'Raw Non-zero DMR Data'!$C:$C, X197, 'Raw Non-zero DMR Data'!$U:$U,'Processed Non-zero DMR Data'!Y197)</f>
        <v>2</v>
      </c>
      <c r="V197" s="8">
        <f>COUNTIFS('Raw Non-zero DMR Data'!$A:$A, 'Processed Non-zero DMR Data'!A197, 'Raw Non-zero DMR Data'!$C:$C, X197, 'Raw Non-zero DMR Data'!$U:$U,'Processed Non-zero DMR Data'!Y197,'Raw Non-zero DMR Data'!$Z:$Z,"Yes")</f>
        <v>2</v>
      </c>
      <c r="W197">
        <v>1.097772</v>
      </c>
      <c r="X197" t="s">
        <v>772</v>
      </c>
      <c r="Y197" t="s">
        <v>773</v>
      </c>
      <c r="Z197" s="257">
        <v>71200050106</v>
      </c>
    </row>
    <row r="198" spans="1:26" ht="15" customHeight="1" x14ac:dyDescent="0.25">
      <c r="A198">
        <v>2019</v>
      </c>
      <c r="B198" t="s">
        <v>223</v>
      </c>
      <c r="C198" t="s">
        <v>224</v>
      </c>
      <c r="D198" t="s">
        <v>771</v>
      </c>
      <c r="E198" t="s">
        <v>141</v>
      </c>
      <c r="F198">
        <v>41.412897000000001</v>
      </c>
      <c r="G198">
        <v>-88.329773000000003</v>
      </c>
      <c r="I198" s="1">
        <v>110000433013</v>
      </c>
      <c r="J198">
        <v>2821</v>
      </c>
      <c r="K198" s="175" t="str">
        <f>INDEX('2022 SIC to NAICS'!B:B, MATCH('Processed Non-zero DMR Data'!$J198, '2022 SIC to NAICS'!$A:$A, 0))</f>
        <v>Plastics Materials and Resins</v>
      </c>
      <c r="L198" s="175">
        <f>INDEX('2022 SIC to NAICS'!C:C, MATCH('Processed Non-zero DMR Data'!$J198, '2022 SIC to NAICS'!$A:$A, 0))</f>
        <v>325211</v>
      </c>
      <c r="M198" s="175" t="str">
        <f>INDEX('2022 SIC to NAICS'!D:D, MATCH('Processed Non-zero DMR Data'!$J198, '2022 SIC to NAICS'!$A:$A, 0))</f>
        <v xml:space="preserve">Plastics Material and Resin Manufacturing </v>
      </c>
      <c r="N198" s="90" t="str">
        <f>IFERROR(INDEX('NAICS Code to IS CDR Code'!B:B, MATCH('Processed Non-zero DMR Data'!L198,'NAICS Code to IS CDR Code'!A:A,0)), "NAICS/SIC Not Provided")</f>
        <v>IS22</v>
      </c>
      <c r="O198" s="91" t="str">
        <f>IFERROR(INDEX('NAICS Code to IS CDR Code'!C:C, MATCH('Processed Non-zero DMR Data'!L198,'NAICS Code to IS CDR Code'!A:A,0)), "NAICS/SIC Not Provided")</f>
        <v>Plastic Material and Resin Manufacturing</v>
      </c>
      <c r="P198" s="91" t="str">
        <f>INDEX('11DCA Mapping'!$K:$K, MATCH('Processed Non-zero DMR Data'!I201,'11DCA Mapping'!$J:$J,0))</f>
        <v>Processing as a Reactant</v>
      </c>
      <c r="Q198" s="91" t="str">
        <f>INDEX('11DCA Mapping'!$L:$L, MATCH('Processed Non-zero DMR Data'!I201,'11DCA Mapping'!$J:$J,0))</f>
        <v>Based on SIC code</v>
      </c>
      <c r="R198" s="250" t="str">
        <f>VLOOKUP(I198,'DMR POTW Flag'!$A$2:$B$960,2,FALSE)</f>
        <v>NON-POTW</v>
      </c>
      <c r="S198" s="7" t="s">
        <v>63</v>
      </c>
      <c r="T198" s="7" t="s">
        <v>5470</v>
      </c>
      <c r="U198" s="8">
        <f>COUNTIFS('Raw Non-zero DMR Data'!$A:$A, 'Processed Non-zero DMR Data'!A198, 'Raw Non-zero DMR Data'!$C:$C, X198, 'Raw Non-zero DMR Data'!$U:$U,'Processed Non-zero DMR Data'!Y198)</f>
        <v>2</v>
      </c>
      <c r="V198" s="8">
        <f>COUNTIFS('Raw Non-zero DMR Data'!$A:$A, 'Processed Non-zero DMR Data'!A198, 'Raw Non-zero DMR Data'!$C:$C, X198, 'Raw Non-zero DMR Data'!$U:$U,'Processed Non-zero DMR Data'!Y198,'Raw Non-zero DMR Data'!$Z:$Z,"Yes")</f>
        <v>2</v>
      </c>
      <c r="W198">
        <v>0.3039984</v>
      </c>
      <c r="X198" t="s">
        <v>772</v>
      </c>
      <c r="Y198" t="s">
        <v>773</v>
      </c>
      <c r="Z198" s="257">
        <v>71200050106</v>
      </c>
    </row>
    <row r="199" spans="1:26" ht="15" customHeight="1" x14ac:dyDescent="0.25">
      <c r="A199">
        <v>2020</v>
      </c>
      <c r="B199" t="s">
        <v>223</v>
      </c>
      <c r="C199" t="s">
        <v>224</v>
      </c>
      <c r="D199" t="s">
        <v>771</v>
      </c>
      <c r="E199" t="s">
        <v>141</v>
      </c>
      <c r="F199">
        <v>41.412897000000001</v>
      </c>
      <c r="G199">
        <v>-88.329773000000003</v>
      </c>
      <c r="I199" s="1">
        <v>110000433013</v>
      </c>
      <c r="J199">
        <v>2821</v>
      </c>
      <c r="K199" s="175" t="str">
        <f>INDEX('2022 SIC to NAICS'!B:B, MATCH('Processed Non-zero DMR Data'!$J199, '2022 SIC to NAICS'!$A:$A, 0))</f>
        <v>Plastics Materials and Resins</v>
      </c>
      <c r="L199" s="175">
        <f>INDEX('2022 SIC to NAICS'!C:C, MATCH('Processed Non-zero DMR Data'!$J199, '2022 SIC to NAICS'!$A:$A, 0))</f>
        <v>325211</v>
      </c>
      <c r="M199" s="175" t="str">
        <f>INDEX('2022 SIC to NAICS'!D:D, MATCH('Processed Non-zero DMR Data'!$J199, '2022 SIC to NAICS'!$A:$A, 0))</f>
        <v xml:space="preserve">Plastics Material and Resin Manufacturing </v>
      </c>
      <c r="N199" s="90" t="str">
        <f>IFERROR(INDEX('NAICS Code to IS CDR Code'!B:B, MATCH('Processed Non-zero DMR Data'!L199,'NAICS Code to IS CDR Code'!A:A,0)), "NAICS/SIC Not Provided")</f>
        <v>IS22</v>
      </c>
      <c r="O199" s="91" t="str">
        <f>IFERROR(INDEX('NAICS Code to IS CDR Code'!C:C, MATCH('Processed Non-zero DMR Data'!L199,'NAICS Code to IS CDR Code'!A:A,0)), "NAICS/SIC Not Provided")</f>
        <v>Plastic Material and Resin Manufacturing</v>
      </c>
      <c r="P199" s="91" t="str">
        <f>INDEX('11DCA Mapping'!$K:$K, MATCH('Processed Non-zero DMR Data'!I202,'11DCA Mapping'!$J:$J,0))</f>
        <v>Processing as a Reactant</v>
      </c>
      <c r="Q199" s="91" t="str">
        <f>INDEX('11DCA Mapping'!$L:$L, MATCH('Processed Non-zero DMR Data'!I202,'11DCA Mapping'!$J:$J,0))</f>
        <v>Based on SIC code</v>
      </c>
      <c r="R199" s="250" t="str">
        <f>VLOOKUP(I199,'DMR POTW Flag'!$A$2:$B$960,2,FALSE)</f>
        <v>NON-POTW</v>
      </c>
      <c r="S199" s="7" t="s">
        <v>63</v>
      </c>
      <c r="T199" s="7" t="s">
        <v>5470</v>
      </c>
      <c r="U199" s="8">
        <f>COUNTIFS('Raw Non-zero DMR Data'!$A:$A, 'Processed Non-zero DMR Data'!A199, 'Raw Non-zero DMR Data'!$C:$C, X199, 'Raw Non-zero DMR Data'!$U:$U,'Processed Non-zero DMR Data'!Y199)</f>
        <v>2</v>
      </c>
      <c r="V199" s="8">
        <f>COUNTIFS('Raw Non-zero DMR Data'!$A:$A, 'Processed Non-zero DMR Data'!A199, 'Raw Non-zero DMR Data'!$C:$C, X199, 'Raw Non-zero DMR Data'!$U:$U,'Processed Non-zero DMR Data'!Y199,'Raw Non-zero DMR Data'!$Z:$Z,"Yes")</f>
        <v>2</v>
      </c>
      <c r="W199">
        <v>0.83082</v>
      </c>
      <c r="X199" t="s">
        <v>772</v>
      </c>
      <c r="Y199" t="s">
        <v>773</v>
      </c>
      <c r="Z199" s="257">
        <v>71200050106</v>
      </c>
    </row>
    <row r="200" spans="1:26" ht="15" customHeight="1" x14ac:dyDescent="0.25">
      <c r="A200">
        <v>2021</v>
      </c>
      <c r="B200" t="s">
        <v>223</v>
      </c>
      <c r="C200" t="s">
        <v>224</v>
      </c>
      <c r="D200" t="s">
        <v>771</v>
      </c>
      <c r="E200" t="s">
        <v>141</v>
      </c>
      <c r="F200">
        <v>41.412897000000001</v>
      </c>
      <c r="G200">
        <v>-88.329773000000003</v>
      </c>
      <c r="I200" s="1">
        <v>110000433013</v>
      </c>
      <c r="J200">
        <v>2821</v>
      </c>
      <c r="K200" s="175" t="str">
        <f>INDEX('2022 SIC to NAICS'!B:B, MATCH('Processed Non-zero DMR Data'!$J200, '2022 SIC to NAICS'!$A:$A, 0))</f>
        <v>Plastics Materials and Resins</v>
      </c>
      <c r="L200" s="175">
        <f>INDEX('2022 SIC to NAICS'!C:C, MATCH('Processed Non-zero DMR Data'!$J200, '2022 SIC to NAICS'!$A:$A, 0))</f>
        <v>325211</v>
      </c>
      <c r="M200" s="175" t="str">
        <f>INDEX('2022 SIC to NAICS'!D:D, MATCH('Processed Non-zero DMR Data'!$J200, '2022 SIC to NAICS'!$A:$A, 0))</f>
        <v xml:space="preserve">Plastics Material and Resin Manufacturing </v>
      </c>
      <c r="N200" s="90" t="str">
        <f>IFERROR(INDEX('NAICS Code to IS CDR Code'!B:B, MATCH('Processed Non-zero DMR Data'!L200,'NAICS Code to IS CDR Code'!A:A,0)), "NAICS/SIC Not Provided")</f>
        <v>IS22</v>
      </c>
      <c r="O200" s="91" t="str">
        <f>IFERROR(INDEX('NAICS Code to IS CDR Code'!C:C, MATCH('Processed Non-zero DMR Data'!L200,'NAICS Code to IS CDR Code'!A:A,0)), "NAICS/SIC Not Provided")</f>
        <v>Plastic Material and Resin Manufacturing</v>
      </c>
      <c r="P200" s="91" t="str">
        <f>INDEX('11DCA Mapping'!$K:$K, MATCH('Processed Non-zero DMR Data'!I204,'11DCA Mapping'!$J:$J,0))</f>
        <v>Processing as a Reactant</v>
      </c>
      <c r="Q200" s="91" t="str">
        <f>INDEX('11DCA Mapping'!$L:$L, MATCH('Processed Non-zero DMR Data'!I204,'11DCA Mapping'!$J:$J,0))</f>
        <v>Based on SIC code</v>
      </c>
      <c r="R200" s="250" t="str">
        <f>VLOOKUP(I200,'DMR POTW Flag'!$A$2:$B$960,2,FALSE)</f>
        <v>NON-POTW</v>
      </c>
      <c r="S200" s="7" t="s">
        <v>63</v>
      </c>
      <c r="T200" s="7" t="s">
        <v>5470</v>
      </c>
      <c r="U200" s="8">
        <f>COUNTIFS('Raw Non-zero DMR Data'!$A:$A, 'Processed Non-zero DMR Data'!A200, 'Raw Non-zero DMR Data'!$C:$C, X200, 'Raw Non-zero DMR Data'!$U:$U,'Processed Non-zero DMR Data'!Y200)</f>
        <v>2</v>
      </c>
      <c r="V200" s="8">
        <f>COUNTIFS('Raw Non-zero DMR Data'!$A:$A, 'Processed Non-zero DMR Data'!A200, 'Raw Non-zero DMR Data'!$C:$C, X200, 'Raw Non-zero DMR Data'!$U:$U,'Processed Non-zero DMR Data'!Y200,'Raw Non-zero DMR Data'!$Z:$Z,"Yes")</f>
        <v>2</v>
      </c>
      <c r="W200">
        <v>0.83082</v>
      </c>
      <c r="X200" t="s">
        <v>772</v>
      </c>
      <c r="Y200" t="s">
        <v>773</v>
      </c>
      <c r="Z200" s="257">
        <v>71200050106</v>
      </c>
    </row>
    <row r="201" spans="1:26" ht="15" customHeight="1" x14ac:dyDescent="0.25">
      <c r="A201">
        <v>2022</v>
      </c>
      <c r="B201" t="s">
        <v>223</v>
      </c>
      <c r="C201" t="s">
        <v>224</v>
      </c>
      <c r="D201" t="s">
        <v>771</v>
      </c>
      <c r="E201" t="s">
        <v>141</v>
      </c>
      <c r="F201">
        <v>41.412897000000001</v>
      </c>
      <c r="G201">
        <v>-88.329773000000003</v>
      </c>
      <c r="I201" s="1">
        <v>110000433013</v>
      </c>
      <c r="J201">
        <v>2821</v>
      </c>
      <c r="K201" s="175" t="str">
        <f>INDEX('2022 SIC to NAICS'!B:B, MATCH('Processed Non-zero DMR Data'!$J201, '2022 SIC to NAICS'!$A:$A, 0))</f>
        <v>Plastics Materials and Resins</v>
      </c>
      <c r="L201" s="175">
        <f>INDEX('2022 SIC to NAICS'!C:C, MATCH('Processed Non-zero DMR Data'!$J201, '2022 SIC to NAICS'!$A:$A, 0))</f>
        <v>325211</v>
      </c>
      <c r="M201" s="175" t="str">
        <f>INDEX('2022 SIC to NAICS'!D:D, MATCH('Processed Non-zero DMR Data'!$J201, '2022 SIC to NAICS'!$A:$A, 0))</f>
        <v xml:space="preserve">Plastics Material and Resin Manufacturing </v>
      </c>
      <c r="N201" s="90" t="str">
        <f>IFERROR(INDEX('NAICS Code to IS CDR Code'!B:B, MATCH('Processed Non-zero DMR Data'!L201,'NAICS Code to IS CDR Code'!A:A,0)), "NAICS/SIC Not Provided")</f>
        <v>IS22</v>
      </c>
      <c r="O201" s="91" t="str">
        <f>IFERROR(INDEX('NAICS Code to IS CDR Code'!C:C, MATCH('Processed Non-zero DMR Data'!L201,'NAICS Code to IS CDR Code'!A:A,0)), "NAICS/SIC Not Provided")</f>
        <v>Plastic Material and Resin Manufacturing</v>
      </c>
      <c r="P201" s="91" t="str">
        <f>INDEX('11DCA Mapping'!$K:$K, MATCH('Processed Non-zero DMR Data'!I206,'11DCA Mapping'!$J:$J,0))</f>
        <v>Processing as a Reactant</v>
      </c>
      <c r="Q201" s="91" t="str">
        <f>INDEX('11DCA Mapping'!$L:$L, MATCH('Processed Non-zero DMR Data'!I206,'11DCA Mapping'!$J:$J,0))</f>
        <v>Based on SIC code</v>
      </c>
      <c r="R201" s="250" t="str">
        <f>VLOOKUP(I201,'DMR POTW Flag'!$A$2:$B$960,2,FALSE)</f>
        <v>NON-POTW</v>
      </c>
      <c r="S201" s="7" t="s">
        <v>63</v>
      </c>
      <c r="T201" s="7" t="s">
        <v>5470</v>
      </c>
      <c r="U201" s="8">
        <f>COUNTIFS('Raw Non-zero DMR Data'!$A:$A, 'Processed Non-zero DMR Data'!A201, 'Raw Non-zero DMR Data'!$C:$C, X201, 'Raw Non-zero DMR Data'!$U:$U,'Processed Non-zero DMR Data'!Y201)</f>
        <v>2</v>
      </c>
      <c r="V201" s="8">
        <f>COUNTIFS('Raw Non-zero DMR Data'!$A:$A, 'Processed Non-zero DMR Data'!A201, 'Raw Non-zero DMR Data'!$C:$C, X201, 'Raw Non-zero DMR Data'!$U:$U,'Processed Non-zero DMR Data'!Y201,'Raw Non-zero DMR Data'!$Z:$Z,"Yes")</f>
        <v>2</v>
      </c>
      <c r="W201">
        <v>0.83082</v>
      </c>
      <c r="X201" t="s">
        <v>772</v>
      </c>
      <c r="Y201" t="s">
        <v>773</v>
      </c>
      <c r="Z201" s="257">
        <v>71200050106</v>
      </c>
    </row>
    <row r="202" spans="1:26" ht="15" customHeight="1" x14ac:dyDescent="0.25">
      <c r="A202">
        <v>2023</v>
      </c>
      <c r="B202" t="s">
        <v>223</v>
      </c>
      <c r="C202" t="s">
        <v>224</v>
      </c>
      <c r="D202" t="s">
        <v>771</v>
      </c>
      <c r="E202" t="s">
        <v>141</v>
      </c>
      <c r="F202">
        <v>41.412897000000001</v>
      </c>
      <c r="G202">
        <v>-88.329773000000003</v>
      </c>
      <c r="I202" s="1">
        <v>110000433013</v>
      </c>
      <c r="J202">
        <v>2821</v>
      </c>
      <c r="K202" s="175" t="str">
        <f>INDEX('2022 SIC to NAICS'!B:B, MATCH('Processed Non-zero DMR Data'!$J202, '2022 SIC to NAICS'!$A:$A, 0))</f>
        <v>Plastics Materials and Resins</v>
      </c>
      <c r="L202" s="175">
        <f>INDEX('2022 SIC to NAICS'!C:C, MATCH('Processed Non-zero DMR Data'!$J202, '2022 SIC to NAICS'!$A:$A, 0))</f>
        <v>325211</v>
      </c>
      <c r="M202" s="175" t="str">
        <f>INDEX('2022 SIC to NAICS'!D:D, MATCH('Processed Non-zero DMR Data'!$J202, '2022 SIC to NAICS'!$A:$A, 0))</f>
        <v xml:space="preserve">Plastics Material and Resin Manufacturing </v>
      </c>
      <c r="N202" s="90" t="str">
        <f>IFERROR(INDEX('NAICS Code to IS CDR Code'!B:B, MATCH('Processed Non-zero DMR Data'!L202,'NAICS Code to IS CDR Code'!A:A,0)), "NAICS/SIC Not Provided")</f>
        <v>IS22</v>
      </c>
      <c r="O202" s="91" t="str">
        <f>IFERROR(INDEX('NAICS Code to IS CDR Code'!C:C, MATCH('Processed Non-zero DMR Data'!L202,'NAICS Code to IS CDR Code'!A:A,0)), "NAICS/SIC Not Provided")</f>
        <v>Plastic Material and Resin Manufacturing</v>
      </c>
      <c r="P202" s="91" t="e">
        <f>INDEX('11DCA Mapping'!$K:$K, MATCH('Processed Non-zero DMR Data'!I208,'11DCA Mapping'!$J:$J,0))</f>
        <v>#N/A</v>
      </c>
      <c r="Q202" s="91" t="e">
        <f>INDEX('11DCA Mapping'!$L:$L, MATCH('Processed Non-zero DMR Data'!I208,'11DCA Mapping'!$J:$J,0))</f>
        <v>#N/A</v>
      </c>
      <c r="R202" s="250" t="str">
        <f>VLOOKUP(I202,'DMR POTW Flag'!$A$2:$B$960,2,FALSE)</f>
        <v>NON-POTW</v>
      </c>
      <c r="S202" s="7" t="s">
        <v>63</v>
      </c>
      <c r="T202" s="7" t="s">
        <v>5470</v>
      </c>
      <c r="U202" s="8">
        <f>COUNTIFS('Raw Non-zero DMR Data'!$A:$A, 'Processed Non-zero DMR Data'!A202, 'Raw Non-zero DMR Data'!$C:$C, X202, 'Raw Non-zero DMR Data'!$U:$U,'Processed Non-zero DMR Data'!Y202)</f>
        <v>2</v>
      </c>
      <c r="V202" s="8">
        <f>COUNTIFS('Raw Non-zero DMR Data'!$A:$A, 'Processed Non-zero DMR Data'!A202, 'Raw Non-zero DMR Data'!$C:$C, X202, 'Raw Non-zero DMR Data'!$U:$U,'Processed Non-zero DMR Data'!Y202,'Raw Non-zero DMR Data'!$Z:$Z,"Yes")</f>
        <v>2</v>
      </c>
      <c r="W202">
        <v>1.2530399999999999</v>
      </c>
      <c r="X202" t="s">
        <v>772</v>
      </c>
      <c r="Y202" t="s">
        <v>773</v>
      </c>
      <c r="Z202" s="257">
        <v>71200050106</v>
      </c>
    </row>
    <row r="203" spans="1:26" ht="15" customHeight="1" x14ac:dyDescent="0.25">
      <c r="A203">
        <v>2023</v>
      </c>
      <c r="B203" t="s">
        <v>223</v>
      </c>
      <c r="C203" t="s">
        <v>224</v>
      </c>
      <c r="D203" t="s">
        <v>771</v>
      </c>
      <c r="E203" t="s">
        <v>141</v>
      </c>
      <c r="F203">
        <v>41.412897000000001</v>
      </c>
      <c r="G203">
        <v>-88.329773000000003</v>
      </c>
      <c r="I203" s="1">
        <v>110000433013</v>
      </c>
      <c r="J203">
        <v>2821</v>
      </c>
      <c r="K203" s="175" t="str">
        <f>INDEX('2022 SIC to NAICS'!B:B, MATCH('Processed Non-zero DMR Data'!$J203, '2022 SIC to NAICS'!$A:$A, 0))</f>
        <v>Plastics Materials and Resins</v>
      </c>
      <c r="L203" s="175">
        <f>INDEX('2022 SIC to NAICS'!C:C, MATCH('Processed Non-zero DMR Data'!$J203, '2022 SIC to NAICS'!$A:$A, 0))</f>
        <v>325211</v>
      </c>
      <c r="M203" s="175" t="str">
        <f>INDEX('2022 SIC to NAICS'!D:D, MATCH('Processed Non-zero DMR Data'!$J203, '2022 SIC to NAICS'!$A:$A, 0))</f>
        <v xml:space="preserve">Plastics Material and Resin Manufacturing </v>
      </c>
      <c r="N203" s="90" t="str">
        <f>IFERROR(INDEX('NAICS Code to IS CDR Code'!B:B, MATCH('Processed Non-zero DMR Data'!L203,'NAICS Code to IS CDR Code'!A:A,0)), "NAICS/SIC Not Provided")</f>
        <v>IS22</v>
      </c>
      <c r="O203" s="91" t="str">
        <f>IFERROR(INDEX('NAICS Code to IS CDR Code'!C:C, MATCH('Processed Non-zero DMR Data'!L203,'NAICS Code to IS CDR Code'!A:A,0)), "NAICS/SIC Not Provided")</f>
        <v>Plastic Material and Resin Manufacturing</v>
      </c>
      <c r="P203" s="91" t="e">
        <f>INDEX('11DCA Mapping'!$K:$K, MATCH('Processed Non-zero DMR Data'!I209,'11DCA Mapping'!$J:$J,0))</f>
        <v>#N/A</v>
      </c>
      <c r="Q203" s="91" t="e">
        <f>INDEX('11DCA Mapping'!$L:$L, MATCH('Processed Non-zero DMR Data'!I209,'11DCA Mapping'!$J:$J,0))</f>
        <v>#N/A</v>
      </c>
      <c r="R203" s="250" t="str">
        <f>VLOOKUP(I203,'DMR POTW Flag'!$A$2:$B$960,2,FALSE)</f>
        <v>NON-POTW</v>
      </c>
      <c r="S203" s="7" t="s">
        <v>63</v>
      </c>
      <c r="T203" s="7" t="s">
        <v>5470</v>
      </c>
      <c r="U203" s="8">
        <f>COUNTIFS('Raw Non-zero DMR Data'!$A:$A, 'Processed Non-zero DMR Data'!A203, 'Raw Non-zero DMR Data'!$C:$C, X203, 'Raw Non-zero DMR Data'!$U:$U,'Processed Non-zero DMR Data'!Y203)</f>
        <v>2</v>
      </c>
      <c r="V203" s="8">
        <f>COUNTIFS('Raw Non-zero DMR Data'!$A:$A, 'Processed Non-zero DMR Data'!A203, 'Raw Non-zero DMR Data'!$C:$C, X203, 'Raw Non-zero DMR Data'!$U:$U,'Processed Non-zero DMR Data'!Y203,'Raw Non-zero DMR Data'!$Z:$Z,"Yes")</f>
        <v>2</v>
      </c>
      <c r="W203">
        <v>2.09748</v>
      </c>
      <c r="X203" t="s">
        <v>772</v>
      </c>
      <c r="Y203" t="s">
        <v>773</v>
      </c>
      <c r="Z203" s="257">
        <v>71200050106</v>
      </c>
    </row>
    <row r="204" spans="1:26" ht="15" customHeight="1" x14ac:dyDescent="0.25">
      <c r="A204">
        <v>2019</v>
      </c>
      <c r="B204" t="s">
        <v>187</v>
      </c>
      <c r="C204" t="s">
        <v>188</v>
      </c>
      <c r="D204" t="s">
        <v>638</v>
      </c>
      <c r="E204" t="s">
        <v>114</v>
      </c>
      <c r="F204">
        <v>29.717471</v>
      </c>
      <c r="G204">
        <v>-95.068008000000006</v>
      </c>
      <c r="I204" s="1">
        <v>110034641635</v>
      </c>
      <c r="J204">
        <v>2869</v>
      </c>
      <c r="K204" s="175" t="str">
        <f>INDEX('2022 SIC to NAICS'!B:B, MATCH('Processed Non-zero DMR Data'!$J204, '2022 SIC to NAICS'!$A:$A, 0))</f>
        <v>Industrial Organic Chemicals, Nec</v>
      </c>
      <c r="L204" s="175">
        <f>INDEX('2022 SIC to NAICS'!C:C, MATCH('Processed Non-zero DMR Data'!$J204, '2022 SIC to NAICS'!$A:$A, 0))</f>
        <v>325110</v>
      </c>
      <c r="M204" s="175" t="str">
        <f>INDEX('2022 SIC to NAICS'!D:D, MATCH('Processed Non-zero DMR Data'!$J204, '2022 SIC to NAICS'!$A:$A, 0))</f>
        <v>Petrochemical Manufacturing</v>
      </c>
      <c r="N204" s="90" t="str">
        <f>IFERROR(INDEX('NAICS Code to IS CDR Code'!B:B, MATCH('Processed Non-zero DMR Data'!L204,'NAICS Code to IS CDR Code'!A:A,0)), "NAICS/SIC Not Provided")</f>
        <v>IS15</v>
      </c>
      <c r="O204" s="91" t="str">
        <f>IFERROR(INDEX('NAICS Code to IS CDR Code'!C:C, MATCH('Processed Non-zero DMR Data'!L204,'NAICS Code to IS CDR Code'!A:A,0)), "NAICS/SIC Not Provided")</f>
        <v>Petrochemical Manufacturing</v>
      </c>
      <c r="P204" s="91" t="str">
        <f>INDEX('11DCA Mapping'!$K:$K, MATCH('Processed Non-zero DMR Data'!I210,'11DCA Mapping'!$J:$J,0))</f>
        <v>Processing as a Reactant</v>
      </c>
      <c r="Q204" s="91" t="str">
        <f>INDEX('11DCA Mapping'!$L:$L, MATCH('Processed Non-zero DMR Data'!I210,'11DCA Mapping'!$J:$J,0))</f>
        <v>Used mapping of other site with same SIC description (Industrial Organic Chemicals)</v>
      </c>
      <c r="R204" s="250" t="str">
        <f>VLOOKUP(I204,'DMR POTW Flag'!$A$2:$B$960,2,FALSE)</f>
        <v>NON-POTW</v>
      </c>
      <c r="S204" s="7" t="s">
        <v>62</v>
      </c>
      <c r="T204" s="7" t="s">
        <v>601</v>
      </c>
      <c r="U204" s="8">
        <f>COUNTIFS('Raw Non-zero DMR Data'!$A:$A, 'Processed Non-zero DMR Data'!A204, 'Raw Non-zero DMR Data'!$C:$C, X204, 'Raw Non-zero DMR Data'!$U:$U,'Processed Non-zero DMR Data'!Y204)</f>
        <v>4</v>
      </c>
      <c r="V204" s="8">
        <f>COUNTIFS('Raw Non-zero DMR Data'!$A:$A, 'Processed Non-zero DMR Data'!A204, 'Raw Non-zero DMR Data'!$C:$C, X204, 'Raw Non-zero DMR Data'!$U:$U,'Processed Non-zero DMR Data'!Y204,'Raw Non-zero DMR Data'!$Z:$Z,"Yes")</f>
        <v>0</v>
      </c>
      <c r="W204">
        <v>1.32568</v>
      </c>
      <c r="X204" t="s">
        <v>774</v>
      </c>
      <c r="Y204" t="s">
        <v>640</v>
      </c>
      <c r="Z204" s="257">
        <v>120401040706</v>
      </c>
    </row>
    <row r="205" spans="1:26" ht="15" customHeight="1" x14ac:dyDescent="0.25">
      <c r="A205">
        <v>2019</v>
      </c>
      <c r="B205" t="s">
        <v>187</v>
      </c>
      <c r="C205" t="s">
        <v>188</v>
      </c>
      <c r="D205" t="s">
        <v>638</v>
      </c>
      <c r="E205" t="s">
        <v>114</v>
      </c>
      <c r="F205">
        <v>29.717471</v>
      </c>
      <c r="G205">
        <v>-95.068008000000006</v>
      </c>
      <c r="I205" s="1">
        <v>110034641635</v>
      </c>
      <c r="J205">
        <v>2869</v>
      </c>
      <c r="K205" s="175" t="str">
        <f>INDEX('2022 SIC to NAICS'!B:B, MATCH('Processed Non-zero DMR Data'!$J205, '2022 SIC to NAICS'!$A:$A, 0))</f>
        <v>Industrial Organic Chemicals, Nec</v>
      </c>
      <c r="L205" s="175">
        <f>INDEX('2022 SIC to NAICS'!C:C, MATCH('Processed Non-zero DMR Data'!$J205, '2022 SIC to NAICS'!$A:$A, 0))</f>
        <v>325110</v>
      </c>
      <c r="M205" s="175" t="str">
        <f>INDEX('2022 SIC to NAICS'!D:D, MATCH('Processed Non-zero DMR Data'!$J205, '2022 SIC to NAICS'!$A:$A, 0))</f>
        <v>Petrochemical Manufacturing</v>
      </c>
      <c r="N205" s="90" t="str">
        <f>IFERROR(INDEX('NAICS Code to IS CDR Code'!B:B, MATCH('Processed Non-zero DMR Data'!L205,'NAICS Code to IS CDR Code'!A:A,0)), "NAICS/SIC Not Provided")</f>
        <v>IS15</v>
      </c>
      <c r="O205" s="91" t="str">
        <f>IFERROR(INDEX('NAICS Code to IS CDR Code'!C:C, MATCH('Processed Non-zero DMR Data'!L205,'NAICS Code to IS CDR Code'!A:A,0)), "NAICS/SIC Not Provided")</f>
        <v>Petrochemical Manufacturing</v>
      </c>
      <c r="P205" s="91" t="str">
        <f>INDEX('11DCA Mapping'!$K:$K, MATCH('Processed Non-zero DMR Data'!I211,'11DCA Mapping'!$J:$J,0))</f>
        <v>Processing as a Reactant</v>
      </c>
      <c r="Q205" s="91" t="str">
        <f>INDEX('11DCA Mapping'!$L:$L, MATCH('Processed Non-zero DMR Data'!I211,'11DCA Mapping'!$J:$J,0))</f>
        <v>Used mapping of other site with same SIC description (Industrial Organic Chemicals)</v>
      </c>
      <c r="R205" s="250" t="str">
        <f>VLOOKUP(I205,'DMR POTW Flag'!$A$2:$B$960,2,FALSE)</f>
        <v>NON-POTW</v>
      </c>
      <c r="S205" s="7" t="s">
        <v>62</v>
      </c>
      <c r="T205" s="7" t="s">
        <v>601</v>
      </c>
      <c r="U205" s="8">
        <f>COUNTIFS('Raw Non-zero DMR Data'!$A:$A, 'Processed Non-zero DMR Data'!A205, 'Raw Non-zero DMR Data'!$C:$C, X205, 'Raw Non-zero DMR Data'!$U:$U,'Processed Non-zero DMR Data'!Y205)</f>
        <v>4</v>
      </c>
      <c r="V205" s="8">
        <f>COUNTIFS('Raw Non-zero DMR Data'!$A:$A, 'Processed Non-zero DMR Data'!A205, 'Raw Non-zero DMR Data'!$C:$C, X205, 'Raw Non-zero DMR Data'!$U:$U,'Processed Non-zero DMR Data'!Y205,'Raw Non-zero DMR Data'!$Z:$Z,"Yes")</f>
        <v>0</v>
      </c>
      <c r="W205">
        <v>4.4208800000000004</v>
      </c>
      <c r="X205" t="s">
        <v>774</v>
      </c>
      <c r="Y205" t="s">
        <v>640</v>
      </c>
      <c r="Z205" s="257">
        <v>120401040706</v>
      </c>
    </row>
    <row r="206" spans="1:26" ht="15" customHeight="1" x14ac:dyDescent="0.25">
      <c r="A206">
        <v>2019</v>
      </c>
      <c r="B206" t="s">
        <v>187</v>
      </c>
      <c r="C206" t="s">
        <v>188</v>
      </c>
      <c r="D206" t="s">
        <v>638</v>
      </c>
      <c r="E206" t="s">
        <v>114</v>
      </c>
      <c r="F206">
        <v>29.717471</v>
      </c>
      <c r="G206">
        <v>-95.068008000000006</v>
      </c>
      <c r="I206" s="1">
        <v>110034641635</v>
      </c>
      <c r="J206">
        <v>2869</v>
      </c>
      <c r="K206" s="175" t="str">
        <f>INDEX('2022 SIC to NAICS'!B:B, MATCH('Processed Non-zero DMR Data'!$J206, '2022 SIC to NAICS'!$A:$A, 0))</f>
        <v>Industrial Organic Chemicals, Nec</v>
      </c>
      <c r="L206" s="175">
        <f>INDEX('2022 SIC to NAICS'!C:C, MATCH('Processed Non-zero DMR Data'!$J206, '2022 SIC to NAICS'!$A:$A, 0))</f>
        <v>325110</v>
      </c>
      <c r="M206" s="175" t="str">
        <f>INDEX('2022 SIC to NAICS'!D:D, MATCH('Processed Non-zero DMR Data'!$J206, '2022 SIC to NAICS'!$A:$A, 0))</f>
        <v>Petrochemical Manufacturing</v>
      </c>
      <c r="N206" s="90" t="str">
        <f>IFERROR(INDEX('NAICS Code to IS CDR Code'!B:B, MATCH('Processed Non-zero DMR Data'!L206,'NAICS Code to IS CDR Code'!A:A,0)), "NAICS/SIC Not Provided")</f>
        <v>IS15</v>
      </c>
      <c r="O206" s="91" t="str">
        <f>IFERROR(INDEX('NAICS Code to IS CDR Code'!C:C, MATCH('Processed Non-zero DMR Data'!L206,'NAICS Code to IS CDR Code'!A:A,0)), "NAICS/SIC Not Provided")</f>
        <v>Petrochemical Manufacturing</v>
      </c>
      <c r="P206" s="91" t="str">
        <f>INDEX('11DCA Mapping'!$K:$K, MATCH('Processed Non-zero DMR Data'!I212,'11DCA Mapping'!$J:$J,0))</f>
        <v>Processing as a Reactant</v>
      </c>
      <c r="Q206" s="91" t="str">
        <f>INDEX('11DCA Mapping'!$L:$L, MATCH('Processed Non-zero DMR Data'!I212,'11DCA Mapping'!$J:$J,0))</f>
        <v>Used mapping of other site with same SIC description (Industrial Organic Chemicals)</v>
      </c>
      <c r="R206" s="250" t="str">
        <f>VLOOKUP(I206,'DMR POTW Flag'!$A$2:$B$960,2,FALSE)</f>
        <v>NON-POTW</v>
      </c>
      <c r="S206" s="7" t="s">
        <v>62</v>
      </c>
      <c r="T206" s="7" t="s">
        <v>601</v>
      </c>
      <c r="U206" s="8">
        <f>COUNTIFS('Raw Non-zero DMR Data'!$A:$A, 'Processed Non-zero DMR Data'!A206, 'Raw Non-zero DMR Data'!$C:$C, X206, 'Raw Non-zero DMR Data'!$U:$U,'Processed Non-zero DMR Data'!Y206)</f>
        <v>4</v>
      </c>
      <c r="V206" s="8">
        <f>COUNTIFS('Raw Non-zero DMR Data'!$A:$A, 'Processed Non-zero DMR Data'!A206, 'Raw Non-zero DMR Data'!$C:$C, X206, 'Raw Non-zero DMR Data'!$U:$U,'Processed Non-zero DMR Data'!Y206,'Raw Non-zero DMR Data'!$Z:$Z,"Yes")</f>
        <v>0</v>
      </c>
      <c r="W206">
        <v>2.4856500000000001</v>
      </c>
      <c r="X206" t="s">
        <v>774</v>
      </c>
      <c r="Y206" t="s">
        <v>640</v>
      </c>
      <c r="Z206" s="257">
        <v>120401040706</v>
      </c>
    </row>
    <row r="207" spans="1:26" ht="15" customHeight="1" x14ac:dyDescent="0.25">
      <c r="A207">
        <v>2019</v>
      </c>
      <c r="B207" t="s">
        <v>187</v>
      </c>
      <c r="C207" t="s">
        <v>188</v>
      </c>
      <c r="D207" t="s">
        <v>638</v>
      </c>
      <c r="E207" t="s">
        <v>114</v>
      </c>
      <c r="F207">
        <v>29.717471</v>
      </c>
      <c r="G207">
        <v>-95.068008000000006</v>
      </c>
      <c r="I207" s="1">
        <v>110034641635</v>
      </c>
      <c r="J207">
        <v>2869</v>
      </c>
      <c r="K207" s="175" t="str">
        <f>INDEX('2022 SIC to NAICS'!B:B, MATCH('Processed Non-zero DMR Data'!$J207, '2022 SIC to NAICS'!$A:$A, 0))</f>
        <v>Industrial Organic Chemicals, Nec</v>
      </c>
      <c r="L207" s="175">
        <f>INDEX('2022 SIC to NAICS'!C:C, MATCH('Processed Non-zero DMR Data'!$J207, '2022 SIC to NAICS'!$A:$A, 0))</f>
        <v>325110</v>
      </c>
      <c r="M207" s="175" t="str">
        <f>INDEX('2022 SIC to NAICS'!D:D, MATCH('Processed Non-zero DMR Data'!$J207, '2022 SIC to NAICS'!$A:$A, 0))</f>
        <v>Petrochemical Manufacturing</v>
      </c>
      <c r="N207" s="90" t="str">
        <f>IFERROR(INDEX('NAICS Code to IS CDR Code'!B:B, MATCH('Processed Non-zero DMR Data'!L207,'NAICS Code to IS CDR Code'!A:A,0)), "NAICS/SIC Not Provided")</f>
        <v>IS15</v>
      </c>
      <c r="O207" s="91" t="str">
        <f>IFERROR(INDEX('NAICS Code to IS CDR Code'!C:C, MATCH('Processed Non-zero DMR Data'!L207,'NAICS Code to IS CDR Code'!A:A,0)), "NAICS/SIC Not Provided")</f>
        <v>Petrochemical Manufacturing</v>
      </c>
      <c r="P207" s="91" t="str">
        <f>INDEX('11DCA Mapping'!$K:$K, MATCH('Processed Non-zero DMR Data'!I213,'11DCA Mapping'!$J:$J,0))</f>
        <v>Processing as a Reactant</v>
      </c>
      <c r="Q207" s="91" t="str">
        <f>INDEX('11DCA Mapping'!$L:$L, MATCH('Processed Non-zero DMR Data'!I213,'11DCA Mapping'!$J:$J,0))</f>
        <v>Used mapping of other site with same SIC description (Industrial Organic Chemicals)</v>
      </c>
      <c r="R207" s="250" t="str">
        <f>VLOOKUP(I207,'DMR POTW Flag'!$A$2:$B$960,2,FALSE)</f>
        <v>NON-POTW</v>
      </c>
      <c r="S207" s="7" t="s">
        <v>62</v>
      </c>
      <c r="T207" s="7" t="s">
        <v>601</v>
      </c>
      <c r="U207" s="8">
        <f>COUNTIFS('Raw Non-zero DMR Data'!$A:$A, 'Processed Non-zero DMR Data'!A207, 'Raw Non-zero DMR Data'!$C:$C, X207, 'Raw Non-zero DMR Data'!$U:$U,'Processed Non-zero DMR Data'!Y207)</f>
        <v>4</v>
      </c>
      <c r="V207" s="8">
        <f>COUNTIFS('Raw Non-zero DMR Data'!$A:$A, 'Processed Non-zero DMR Data'!A207, 'Raw Non-zero DMR Data'!$C:$C, X207, 'Raw Non-zero DMR Data'!$U:$U,'Processed Non-zero DMR Data'!Y207,'Raw Non-zero DMR Data'!$Z:$Z,"Yes")</f>
        <v>0</v>
      </c>
      <c r="W207">
        <v>3.3142</v>
      </c>
      <c r="X207" t="s">
        <v>774</v>
      </c>
      <c r="Y207" t="s">
        <v>640</v>
      </c>
      <c r="Z207" s="257">
        <v>120401040706</v>
      </c>
    </row>
    <row r="208" spans="1:26" ht="15" customHeight="1" x14ac:dyDescent="0.25">
      <c r="A208">
        <v>2021</v>
      </c>
      <c r="B208" t="s">
        <v>481</v>
      </c>
      <c r="C208" t="s">
        <v>482</v>
      </c>
      <c r="D208" t="s">
        <v>775</v>
      </c>
      <c r="E208" t="s">
        <v>158</v>
      </c>
      <c r="F208">
        <v>39.463894000000003</v>
      </c>
      <c r="G208">
        <v>-118.75532800000001</v>
      </c>
      <c r="I208" s="1">
        <v>110000734616</v>
      </c>
      <c r="J208">
        <v>4952</v>
      </c>
      <c r="K208" s="175" t="str">
        <f>INDEX('2022 SIC to NAICS'!B:B, MATCH('Processed Non-zero DMR Data'!$J208, '2022 SIC to NAICS'!$A:$A, 0))</f>
        <v>Sewerage Systems</v>
      </c>
      <c r="L208" s="175">
        <f>INDEX('2022 SIC to NAICS'!C:C, MATCH('Processed Non-zero DMR Data'!$J208, '2022 SIC to NAICS'!$A:$A, 0))</f>
        <v>221320</v>
      </c>
      <c r="M208" s="175" t="str">
        <f>INDEX('2022 SIC to NAICS'!D:D, MATCH('Processed Non-zero DMR Data'!$J208, '2022 SIC to NAICS'!$A:$A, 0))</f>
        <v xml:space="preserve">Sewage Treatment Facilities </v>
      </c>
      <c r="N208" s="90" t="str">
        <f>IFERROR(INDEX('NAICS Code to IS CDR Code'!B:B, MATCH('Processed Non-zero DMR Data'!L208,'NAICS Code to IS CDR Code'!A:A,0)), "NAICS/SIC Not Provided")</f>
        <v>IS4</v>
      </c>
      <c r="O208" s="91" t="str">
        <f>IFERROR(INDEX('NAICS Code to IS CDR Code'!C:C, MATCH('Processed Non-zero DMR Data'!L208,'NAICS Code to IS CDR Code'!A:A,0)), "NAICS/SIC Not Provided")</f>
        <v>Utilities</v>
      </c>
      <c r="P208" s="91" t="str">
        <f>INDEX('11DCA Mapping'!$K:$K, MATCH('Processed Non-zero DMR Data'!I214,'11DCA Mapping'!$J:$J,0))</f>
        <v>Processing as a Reactant</v>
      </c>
      <c r="Q208" s="91" t="str">
        <f>INDEX('11DCA Mapping'!$L:$L, MATCH('Processed Non-zero DMR Data'!I214,'11DCA Mapping'!$J:$J,0))</f>
        <v>Used mapping of other site with same SIC description (Industrial Organic Chemicals)</v>
      </c>
      <c r="R208" s="250" t="str">
        <f>VLOOKUP(I208,'DMR POTW Flag'!$A$2:$B$960,2,FALSE)</f>
        <v>POTW</v>
      </c>
      <c r="S208" s="7" t="s">
        <v>67</v>
      </c>
      <c r="T208" s="249" t="s">
        <v>586</v>
      </c>
      <c r="U208" s="8">
        <f>COUNTIFS('Raw Non-zero DMR Data'!$A:$A, 'Processed Non-zero DMR Data'!A208, 'Raw Non-zero DMR Data'!$C:$C, X208, 'Raw Non-zero DMR Data'!$U:$U,'Processed Non-zero DMR Data'!Y208)</f>
        <v>1</v>
      </c>
      <c r="V208" s="8">
        <f>COUNTIFS('Raw Non-zero DMR Data'!$A:$A, 'Processed Non-zero DMR Data'!A208, 'Raw Non-zero DMR Data'!$C:$C, X208, 'Raw Non-zero DMR Data'!$U:$U,'Processed Non-zero DMR Data'!Y208,'Raw Non-zero DMR Data'!$Z:$Z,"Yes")</f>
        <v>1</v>
      </c>
      <c r="W208">
        <v>3.5919650000000001</v>
      </c>
      <c r="X208" t="s">
        <v>776</v>
      </c>
      <c r="Y208" t="s">
        <v>777</v>
      </c>
      <c r="Z208" s="257">
        <v>160502030306</v>
      </c>
    </row>
    <row r="209" spans="1:26" ht="15" customHeight="1" x14ac:dyDescent="0.25">
      <c r="A209">
        <v>2023</v>
      </c>
      <c r="B209" t="s">
        <v>528</v>
      </c>
      <c r="C209" t="s">
        <v>529</v>
      </c>
      <c r="D209" t="s">
        <v>778</v>
      </c>
      <c r="E209" t="s">
        <v>138</v>
      </c>
      <c r="F209">
        <v>38.691943999999999</v>
      </c>
      <c r="G209">
        <v>-84.325000000000003</v>
      </c>
      <c r="I209" s="1">
        <v>110023140420</v>
      </c>
      <c r="J209">
        <v>4952</v>
      </c>
      <c r="K209" s="175" t="str">
        <f>INDEX('2022 SIC to NAICS'!B:B, MATCH('Processed Non-zero DMR Data'!$J209, '2022 SIC to NAICS'!$A:$A, 0))</f>
        <v>Sewerage Systems</v>
      </c>
      <c r="L209" s="175">
        <f>INDEX('2022 SIC to NAICS'!C:C, MATCH('Processed Non-zero DMR Data'!$J209, '2022 SIC to NAICS'!$A:$A, 0))</f>
        <v>221320</v>
      </c>
      <c r="M209" s="175" t="str">
        <f>INDEX('2022 SIC to NAICS'!D:D, MATCH('Processed Non-zero DMR Data'!$J209, '2022 SIC to NAICS'!$A:$A, 0))</f>
        <v xml:space="preserve">Sewage Treatment Facilities </v>
      </c>
      <c r="N209" s="90" t="str">
        <f>IFERROR(INDEX('NAICS Code to IS CDR Code'!B:B, MATCH('Processed Non-zero DMR Data'!L209,'NAICS Code to IS CDR Code'!A:A,0)), "NAICS/SIC Not Provided")</f>
        <v>IS4</v>
      </c>
      <c r="O209" s="91" t="str">
        <f>IFERROR(INDEX('NAICS Code to IS CDR Code'!C:C, MATCH('Processed Non-zero DMR Data'!L209,'NAICS Code to IS CDR Code'!A:A,0)), "NAICS/SIC Not Provided")</f>
        <v>Utilities</v>
      </c>
      <c r="P209" s="91" t="str">
        <f>INDEX('11DCA Mapping'!$K:$K, MATCH('Processed Non-zero DMR Data'!I215,'11DCA Mapping'!$J:$J,0))</f>
        <v>POTW</v>
      </c>
      <c r="Q209" s="91" t="str">
        <f>INDEX('11DCA Mapping'!$L:$L, MATCH('Processed Non-zero DMR Data'!I215,'11DCA Mapping'!$J:$J,0))</f>
        <v>Assigned POTW per "Facility Type Indicator"</v>
      </c>
      <c r="R209" s="250" t="str">
        <f>VLOOKUP(I209,'DMR POTW Flag'!$A$2:$B$960,2,FALSE)</f>
        <v>POTW</v>
      </c>
      <c r="S209" s="7" t="s">
        <v>67</v>
      </c>
      <c r="T209" s="249" t="s">
        <v>586</v>
      </c>
      <c r="U209" s="8">
        <f>COUNTIFS('Raw Non-zero DMR Data'!$A:$A, 'Processed Non-zero DMR Data'!A209, 'Raw Non-zero DMR Data'!$C:$C, X209, 'Raw Non-zero DMR Data'!$U:$U,'Processed Non-zero DMR Data'!Y209)</f>
        <v>1</v>
      </c>
      <c r="V209" s="8">
        <f>COUNTIFS('Raw Non-zero DMR Data'!$A:$A, 'Processed Non-zero DMR Data'!A209, 'Raw Non-zero DMR Data'!$C:$C, X209, 'Raw Non-zero DMR Data'!$U:$U,'Processed Non-zero DMR Data'!Y209,'Raw Non-zero DMR Data'!$Z:$Z,"Yes")</f>
        <v>1</v>
      </c>
      <c r="W209">
        <v>1.4194029616874999</v>
      </c>
      <c r="X209" t="s">
        <v>779</v>
      </c>
      <c r="Y209" t="s">
        <v>780</v>
      </c>
      <c r="Z209" s="257">
        <v>51001011203</v>
      </c>
    </row>
    <row r="210" spans="1:26" ht="15" customHeight="1" x14ac:dyDescent="0.25">
      <c r="A210">
        <v>2019</v>
      </c>
      <c r="B210" t="s">
        <v>282</v>
      </c>
      <c r="C210" t="s">
        <v>283</v>
      </c>
      <c r="D210" t="s">
        <v>781</v>
      </c>
      <c r="E210" t="s">
        <v>153</v>
      </c>
      <c r="F210">
        <v>40.331944</v>
      </c>
      <c r="G210">
        <v>-74.619721999999996</v>
      </c>
      <c r="I210" s="1">
        <v>110000321651</v>
      </c>
      <c r="J210">
        <v>2869</v>
      </c>
      <c r="K210" s="175" t="str">
        <f>INDEX('2022 SIC to NAICS'!B:B, MATCH('Processed Non-zero DMR Data'!$J210, '2022 SIC to NAICS'!$A:$A, 0))</f>
        <v>Industrial Organic Chemicals, Nec</v>
      </c>
      <c r="L210" s="175">
        <f>INDEX('2022 SIC to NAICS'!C:C, MATCH('Processed Non-zero DMR Data'!$J210, '2022 SIC to NAICS'!$A:$A, 0))</f>
        <v>325110</v>
      </c>
      <c r="M210" s="175" t="str">
        <f>INDEX('2022 SIC to NAICS'!D:D, MATCH('Processed Non-zero DMR Data'!$J210, '2022 SIC to NAICS'!$A:$A, 0))</f>
        <v>Petrochemical Manufacturing</v>
      </c>
      <c r="N210" s="90" t="str">
        <f>IFERROR(INDEX('NAICS Code to IS CDR Code'!B:B, MATCH('Processed Non-zero DMR Data'!L210,'NAICS Code to IS CDR Code'!A:A,0)), "NAICS/SIC Not Provided")</f>
        <v>IS15</v>
      </c>
      <c r="O210" s="91" t="str">
        <f>IFERROR(INDEX('NAICS Code to IS CDR Code'!C:C, MATCH('Processed Non-zero DMR Data'!L210,'NAICS Code to IS CDR Code'!A:A,0)), "NAICS/SIC Not Provided")</f>
        <v>Petrochemical Manufacturing</v>
      </c>
      <c r="P210" s="91" t="str">
        <f>INDEX('11DCA Mapping'!$K:$K, MATCH('Processed Non-zero DMR Data'!I216,'11DCA Mapping'!$J:$J,0))</f>
        <v>POTW</v>
      </c>
      <c r="Q210" s="91" t="str">
        <f>INDEX('11DCA Mapping'!$L:$L, MATCH('Processed Non-zero DMR Data'!I216,'11DCA Mapping'!$J:$J,0))</f>
        <v>Assigned POTW per "Facility Type Indicator"</v>
      </c>
      <c r="R210" s="250" t="str">
        <f>VLOOKUP(I210,'DMR POTW Flag'!$A$2:$B$960,2,FALSE)</f>
        <v>NON-POTW</v>
      </c>
      <c r="S210" s="7" t="s">
        <v>62</v>
      </c>
      <c r="T210" s="7" t="s">
        <v>601</v>
      </c>
      <c r="U210" s="8">
        <f>COUNTIFS('Raw Non-zero DMR Data'!$A:$A, 'Processed Non-zero DMR Data'!A210, 'Raw Non-zero DMR Data'!$C:$C, X210, 'Raw Non-zero DMR Data'!$U:$U,'Processed Non-zero DMR Data'!Y210)</f>
        <v>1</v>
      </c>
      <c r="V210" s="8">
        <f>COUNTIFS('Raw Non-zero DMR Data'!$A:$A, 'Processed Non-zero DMR Data'!A210, 'Raw Non-zero DMR Data'!$C:$C, X210, 'Raw Non-zero DMR Data'!$U:$U,'Processed Non-zero DMR Data'!Y210,'Raw Non-zero DMR Data'!$Z:$Z,"Yes")</f>
        <v>1</v>
      </c>
      <c r="W210">
        <v>8.9099999999999995E-3</v>
      </c>
      <c r="X210" t="s">
        <v>782</v>
      </c>
      <c r="Y210" t="s">
        <v>783</v>
      </c>
      <c r="Z210" s="257">
        <v>20301050306</v>
      </c>
    </row>
    <row r="211" spans="1:26" ht="15" customHeight="1" x14ac:dyDescent="0.25">
      <c r="A211">
        <v>2020</v>
      </c>
      <c r="B211" t="s">
        <v>282</v>
      </c>
      <c r="C211" t="s">
        <v>283</v>
      </c>
      <c r="D211" t="s">
        <v>781</v>
      </c>
      <c r="E211" t="s">
        <v>153</v>
      </c>
      <c r="F211">
        <v>40.331944</v>
      </c>
      <c r="G211">
        <v>-74.619721999999996</v>
      </c>
      <c r="I211" s="1">
        <v>110000321651</v>
      </c>
      <c r="J211">
        <v>2869</v>
      </c>
      <c r="K211" s="175" t="str">
        <f>INDEX('2022 SIC to NAICS'!B:B, MATCH('Processed Non-zero DMR Data'!$J211, '2022 SIC to NAICS'!$A:$A, 0))</f>
        <v>Industrial Organic Chemicals, Nec</v>
      </c>
      <c r="L211" s="175">
        <f>INDEX('2022 SIC to NAICS'!C:C, MATCH('Processed Non-zero DMR Data'!$J211, '2022 SIC to NAICS'!$A:$A, 0))</f>
        <v>325110</v>
      </c>
      <c r="M211" s="175" t="str">
        <f>INDEX('2022 SIC to NAICS'!D:D, MATCH('Processed Non-zero DMR Data'!$J211, '2022 SIC to NAICS'!$A:$A, 0))</f>
        <v>Petrochemical Manufacturing</v>
      </c>
      <c r="N211" s="90" t="str">
        <f>IFERROR(INDEX('NAICS Code to IS CDR Code'!B:B, MATCH('Processed Non-zero DMR Data'!L211,'NAICS Code to IS CDR Code'!A:A,0)), "NAICS/SIC Not Provided")</f>
        <v>IS15</v>
      </c>
      <c r="O211" s="91" t="str">
        <f>IFERROR(INDEX('NAICS Code to IS CDR Code'!C:C, MATCH('Processed Non-zero DMR Data'!L211,'NAICS Code to IS CDR Code'!A:A,0)), "NAICS/SIC Not Provided")</f>
        <v>Petrochemical Manufacturing</v>
      </c>
      <c r="P211" s="91" t="str">
        <f>INDEX('11DCA Mapping'!$K:$K, MATCH('Processed Non-zero DMR Data'!I217,'11DCA Mapping'!$J:$J,0))</f>
        <v>POTW</v>
      </c>
      <c r="Q211" s="91" t="str">
        <f>INDEX('11DCA Mapping'!$L:$L, MATCH('Processed Non-zero DMR Data'!I217,'11DCA Mapping'!$J:$J,0))</f>
        <v>Assigned POTW per "Facility Type Indicator"</v>
      </c>
      <c r="R211" s="250" t="str">
        <f>VLOOKUP(I211,'DMR POTW Flag'!$A$2:$B$960,2,FALSE)</f>
        <v>NON-POTW</v>
      </c>
      <c r="S211" s="7" t="s">
        <v>62</v>
      </c>
      <c r="T211" s="7" t="s">
        <v>601</v>
      </c>
      <c r="U211" s="8">
        <f>COUNTIFS('Raw Non-zero DMR Data'!$A:$A, 'Processed Non-zero DMR Data'!A211, 'Raw Non-zero DMR Data'!$C:$C, X211, 'Raw Non-zero DMR Data'!$U:$U,'Processed Non-zero DMR Data'!Y211)</f>
        <v>1</v>
      </c>
      <c r="V211" s="8">
        <f>COUNTIFS('Raw Non-zero DMR Data'!$A:$A, 'Processed Non-zero DMR Data'!A211, 'Raw Non-zero DMR Data'!$C:$C, X211, 'Raw Non-zero DMR Data'!$U:$U,'Processed Non-zero DMR Data'!Y211,'Raw Non-zero DMR Data'!$Z:$Z,"Yes")</f>
        <v>1</v>
      </c>
      <c r="W211">
        <v>9.0500000000000008E-3</v>
      </c>
      <c r="X211" t="s">
        <v>782</v>
      </c>
      <c r="Y211" t="s">
        <v>783</v>
      </c>
      <c r="Z211" s="257">
        <v>20301050306</v>
      </c>
    </row>
    <row r="212" spans="1:26" ht="15" customHeight="1" x14ac:dyDescent="0.25">
      <c r="A212">
        <v>2021</v>
      </c>
      <c r="B212" t="s">
        <v>282</v>
      </c>
      <c r="C212" t="s">
        <v>283</v>
      </c>
      <c r="D212" t="s">
        <v>781</v>
      </c>
      <c r="E212" t="s">
        <v>153</v>
      </c>
      <c r="F212">
        <v>40.331944</v>
      </c>
      <c r="G212">
        <v>-74.619721999999996</v>
      </c>
      <c r="I212" s="1">
        <v>110000321651</v>
      </c>
      <c r="J212">
        <v>2869</v>
      </c>
      <c r="K212" s="175" t="str">
        <f>INDEX('2022 SIC to NAICS'!B:B, MATCH('Processed Non-zero DMR Data'!$J212, '2022 SIC to NAICS'!$A:$A, 0))</f>
        <v>Industrial Organic Chemicals, Nec</v>
      </c>
      <c r="L212" s="175">
        <f>INDEX('2022 SIC to NAICS'!C:C, MATCH('Processed Non-zero DMR Data'!$J212, '2022 SIC to NAICS'!$A:$A, 0))</f>
        <v>325110</v>
      </c>
      <c r="M212" s="175" t="str">
        <f>INDEX('2022 SIC to NAICS'!D:D, MATCH('Processed Non-zero DMR Data'!$J212, '2022 SIC to NAICS'!$A:$A, 0))</f>
        <v>Petrochemical Manufacturing</v>
      </c>
      <c r="N212" s="90" t="str">
        <f>IFERROR(INDEX('NAICS Code to IS CDR Code'!B:B, MATCH('Processed Non-zero DMR Data'!L212,'NAICS Code to IS CDR Code'!A:A,0)), "NAICS/SIC Not Provided")</f>
        <v>IS15</v>
      </c>
      <c r="O212" s="91" t="str">
        <f>IFERROR(INDEX('NAICS Code to IS CDR Code'!C:C, MATCH('Processed Non-zero DMR Data'!L212,'NAICS Code to IS CDR Code'!A:A,0)), "NAICS/SIC Not Provided")</f>
        <v>Petrochemical Manufacturing</v>
      </c>
      <c r="P212" s="91" t="str">
        <f>INDEX('11DCA Mapping'!$K:$K, MATCH('Processed Non-zero DMR Data'!I218,'11DCA Mapping'!$J:$J,0))</f>
        <v>POTW</v>
      </c>
      <c r="Q212" s="91" t="str">
        <f>INDEX('11DCA Mapping'!$L:$L, MATCH('Processed Non-zero DMR Data'!I218,'11DCA Mapping'!$J:$J,0))</f>
        <v>Assigned POTW per "Facility Type Indicator"</v>
      </c>
      <c r="R212" s="250" t="str">
        <f>VLOOKUP(I212,'DMR POTW Flag'!$A$2:$B$960,2,FALSE)</f>
        <v>NON-POTW</v>
      </c>
      <c r="S212" s="7" t="s">
        <v>62</v>
      </c>
      <c r="T212" s="7" t="s">
        <v>601</v>
      </c>
      <c r="U212" s="8">
        <f>COUNTIFS('Raw Non-zero DMR Data'!$A:$A, 'Processed Non-zero DMR Data'!A212, 'Raw Non-zero DMR Data'!$C:$C, X212, 'Raw Non-zero DMR Data'!$U:$U,'Processed Non-zero DMR Data'!Y212)</f>
        <v>1</v>
      </c>
      <c r="V212" s="8">
        <f>COUNTIFS('Raw Non-zero DMR Data'!$A:$A, 'Processed Non-zero DMR Data'!A212, 'Raw Non-zero DMR Data'!$C:$C, X212, 'Raw Non-zero DMR Data'!$U:$U,'Processed Non-zero DMR Data'!Y212,'Raw Non-zero DMR Data'!$Z:$Z,"Yes")</f>
        <v>1</v>
      </c>
      <c r="W212">
        <v>1.9700499999999999E-2</v>
      </c>
      <c r="X212" t="s">
        <v>782</v>
      </c>
      <c r="Y212" t="s">
        <v>783</v>
      </c>
      <c r="Z212" s="257">
        <v>20301050306</v>
      </c>
    </row>
    <row r="213" spans="1:26" ht="15" customHeight="1" x14ac:dyDescent="0.25">
      <c r="A213">
        <v>2022</v>
      </c>
      <c r="B213" t="s">
        <v>282</v>
      </c>
      <c r="C213" t="s">
        <v>283</v>
      </c>
      <c r="D213" t="s">
        <v>781</v>
      </c>
      <c r="E213" t="s">
        <v>153</v>
      </c>
      <c r="F213">
        <v>40.331944</v>
      </c>
      <c r="G213">
        <v>-74.619721999999996</v>
      </c>
      <c r="I213" s="1">
        <v>110000321651</v>
      </c>
      <c r="J213">
        <v>2869</v>
      </c>
      <c r="K213" s="175" t="str">
        <f>INDEX('2022 SIC to NAICS'!B:B, MATCH('Processed Non-zero DMR Data'!$J213, '2022 SIC to NAICS'!$A:$A, 0))</f>
        <v>Industrial Organic Chemicals, Nec</v>
      </c>
      <c r="L213" s="175">
        <f>INDEX('2022 SIC to NAICS'!C:C, MATCH('Processed Non-zero DMR Data'!$J213, '2022 SIC to NAICS'!$A:$A, 0))</f>
        <v>325110</v>
      </c>
      <c r="M213" s="175" t="str">
        <f>INDEX('2022 SIC to NAICS'!D:D, MATCH('Processed Non-zero DMR Data'!$J213, '2022 SIC to NAICS'!$A:$A, 0))</f>
        <v>Petrochemical Manufacturing</v>
      </c>
      <c r="N213" s="90" t="str">
        <f>IFERROR(INDEX('NAICS Code to IS CDR Code'!B:B, MATCH('Processed Non-zero DMR Data'!L213,'NAICS Code to IS CDR Code'!A:A,0)), "NAICS/SIC Not Provided")</f>
        <v>IS15</v>
      </c>
      <c r="O213" s="91" t="str">
        <f>IFERROR(INDEX('NAICS Code to IS CDR Code'!C:C, MATCH('Processed Non-zero DMR Data'!L213,'NAICS Code to IS CDR Code'!A:A,0)), "NAICS/SIC Not Provided")</f>
        <v>Petrochemical Manufacturing</v>
      </c>
      <c r="P213" s="91" t="str">
        <f>INDEX('11DCA Mapping'!$K:$K, MATCH('Processed Non-zero DMR Data'!I219,'11DCA Mapping'!$J:$J,0))</f>
        <v>POTW</v>
      </c>
      <c r="Q213" s="91" t="str">
        <f>INDEX('11DCA Mapping'!$L:$L, MATCH('Processed Non-zero DMR Data'!I219,'11DCA Mapping'!$J:$J,0))</f>
        <v>Assigned POTW per "Facility Type Indicator"</v>
      </c>
      <c r="R213" s="250" t="str">
        <f>VLOOKUP(I213,'DMR POTW Flag'!$A$2:$B$960,2,FALSE)</f>
        <v>NON-POTW</v>
      </c>
      <c r="S213" s="7" t="s">
        <v>62</v>
      </c>
      <c r="T213" s="7" t="s">
        <v>601</v>
      </c>
      <c r="U213" s="8">
        <f>COUNTIFS('Raw Non-zero DMR Data'!$A:$A, 'Processed Non-zero DMR Data'!A213, 'Raw Non-zero DMR Data'!$C:$C, X213, 'Raw Non-zero DMR Data'!$U:$U,'Processed Non-zero DMR Data'!Y213)</f>
        <v>1</v>
      </c>
      <c r="V213" s="8">
        <f>COUNTIFS('Raw Non-zero DMR Data'!$A:$A, 'Processed Non-zero DMR Data'!A213, 'Raw Non-zero DMR Data'!$C:$C, X213, 'Raw Non-zero DMR Data'!$U:$U,'Processed Non-zero DMR Data'!Y213,'Raw Non-zero DMR Data'!$Z:$Z,"Yes")</f>
        <v>1</v>
      </c>
      <c r="W213">
        <v>3.0695E-2</v>
      </c>
      <c r="X213" t="s">
        <v>782</v>
      </c>
      <c r="Y213" t="s">
        <v>783</v>
      </c>
      <c r="Z213" s="257">
        <v>20301050306</v>
      </c>
    </row>
    <row r="214" spans="1:26" ht="15" customHeight="1" x14ac:dyDescent="0.25">
      <c r="A214">
        <v>2023</v>
      </c>
      <c r="B214" t="s">
        <v>282</v>
      </c>
      <c r="C214" t="s">
        <v>283</v>
      </c>
      <c r="D214" t="s">
        <v>781</v>
      </c>
      <c r="E214" t="s">
        <v>153</v>
      </c>
      <c r="F214">
        <v>40.331944</v>
      </c>
      <c r="G214">
        <v>-74.619721999999996</v>
      </c>
      <c r="I214" s="1">
        <v>110000321651</v>
      </c>
      <c r="J214">
        <v>2869</v>
      </c>
      <c r="K214" s="175" t="str">
        <f>INDEX('2022 SIC to NAICS'!B:B, MATCH('Processed Non-zero DMR Data'!$J214, '2022 SIC to NAICS'!$A:$A, 0))</f>
        <v>Industrial Organic Chemicals, Nec</v>
      </c>
      <c r="L214" s="175">
        <f>INDEX('2022 SIC to NAICS'!C:C, MATCH('Processed Non-zero DMR Data'!$J214, '2022 SIC to NAICS'!$A:$A, 0))</f>
        <v>325110</v>
      </c>
      <c r="M214" s="175" t="str">
        <f>INDEX('2022 SIC to NAICS'!D:D, MATCH('Processed Non-zero DMR Data'!$J214, '2022 SIC to NAICS'!$A:$A, 0))</f>
        <v>Petrochemical Manufacturing</v>
      </c>
      <c r="N214" s="90" t="str">
        <f>IFERROR(INDEX('NAICS Code to IS CDR Code'!B:B, MATCH('Processed Non-zero DMR Data'!L214,'NAICS Code to IS CDR Code'!A:A,0)), "NAICS/SIC Not Provided")</f>
        <v>IS15</v>
      </c>
      <c r="O214" s="91" t="str">
        <f>IFERROR(INDEX('NAICS Code to IS CDR Code'!C:C, MATCH('Processed Non-zero DMR Data'!L214,'NAICS Code to IS CDR Code'!A:A,0)), "NAICS/SIC Not Provided")</f>
        <v>Petrochemical Manufacturing</v>
      </c>
      <c r="P214" s="91" t="str">
        <f>INDEX('11DCA Mapping'!$K:$K, MATCH('Processed Non-zero DMR Data'!I220,'11DCA Mapping'!$J:$J,0))</f>
        <v>POTW</v>
      </c>
      <c r="Q214" s="91" t="str">
        <f>INDEX('11DCA Mapping'!$L:$L, MATCH('Processed Non-zero DMR Data'!I220,'11DCA Mapping'!$J:$J,0))</f>
        <v>Assigned POTW per "Facility Type Indicator"</v>
      </c>
      <c r="R214" s="250" t="str">
        <f>VLOOKUP(I214,'DMR POTW Flag'!$A$2:$B$960,2,FALSE)</f>
        <v>NON-POTW</v>
      </c>
      <c r="S214" s="7" t="s">
        <v>62</v>
      </c>
      <c r="T214" s="7" t="s">
        <v>601</v>
      </c>
      <c r="U214" s="8">
        <f>COUNTIFS('Raw Non-zero DMR Data'!$A:$A, 'Processed Non-zero DMR Data'!A214, 'Raw Non-zero DMR Data'!$C:$C, X214, 'Raw Non-zero DMR Data'!$U:$U,'Processed Non-zero DMR Data'!Y214)</f>
        <v>1</v>
      </c>
      <c r="V214" s="8">
        <f>COUNTIFS('Raw Non-zero DMR Data'!$A:$A, 'Processed Non-zero DMR Data'!A214, 'Raw Non-zero DMR Data'!$C:$C, X214, 'Raw Non-zero DMR Data'!$U:$U,'Processed Non-zero DMR Data'!Y214,'Raw Non-zero DMR Data'!$Z:$Z,"Yes")</f>
        <v>1</v>
      </c>
      <c r="W214">
        <v>3.0999999999999999E-3</v>
      </c>
      <c r="X214" t="s">
        <v>782</v>
      </c>
      <c r="Y214" t="s">
        <v>783</v>
      </c>
      <c r="Z214" s="257">
        <v>20301050306</v>
      </c>
    </row>
    <row r="215" spans="1:26" ht="15" customHeight="1" x14ac:dyDescent="0.25">
      <c r="A215">
        <v>2019</v>
      </c>
      <c r="B215" t="s">
        <v>154</v>
      </c>
      <c r="C215" t="s">
        <v>155</v>
      </c>
      <c r="D215" t="s">
        <v>784</v>
      </c>
      <c r="E215" t="s">
        <v>138</v>
      </c>
      <c r="F215">
        <v>38.421495999999998</v>
      </c>
      <c r="G215">
        <v>-83.734424000000004</v>
      </c>
      <c r="I215" s="1">
        <v>110003251427</v>
      </c>
      <c r="J215">
        <v>4952</v>
      </c>
      <c r="K215" s="175" t="str">
        <f>INDEX('2022 SIC to NAICS'!B:B, MATCH('Processed Non-zero DMR Data'!$J215, '2022 SIC to NAICS'!$A:$A, 0))</f>
        <v>Sewerage Systems</v>
      </c>
      <c r="L215" s="175">
        <f>INDEX('2022 SIC to NAICS'!C:C, MATCH('Processed Non-zero DMR Data'!$J215, '2022 SIC to NAICS'!$A:$A, 0))</f>
        <v>221320</v>
      </c>
      <c r="M215" s="175" t="str">
        <f>INDEX('2022 SIC to NAICS'!D:D, MATCH('Processed Non-zero DMR Data'!$J215, '2022 SIC to NAICS'!$A:$A, 0))</f>
        <v xml:space="preserve">Sewage Treatment Facilities </v>
      </c>
      <c r="N215" s="90" t="str">
        <f>IFERROR(INDEX('NAICS Code to IS CDR Code'!B:B, MATCH('Processed Non-zero DMR Data'!L215,'NAICS Code to IS CDR Code'!A:A,0)), "NAICS/SIC Not Provided")</f>
        <v>IS4</v>
      </c>
      <c r="O215" s="91" t="str">
        <f>IFERROR(INDEX('NAICS Code to IS CDR Code'!C:C, MATCH('Processed Non-zero DMR Data'!L215,'NAICS Code to IS CDR Code'!A:A,0)), "NAICS/SIC Not Provided")</f>
        <v>Utilities</v>
      </c>
      <c r="P215" s="91" t="str">
        <f>INDEX('11DCA Mapping'!$K:$K, MATCH('Processed Non-zero DMR Data'!I221,'11DCA Mapping'!$J:$J,0))</f>
        <v>POTW</v>
      </c>
      <c r="Q215" s="91" t="str">
        <f>INDEX('11DCA Mapping'!$L:$L, MATCH('Processed Non-zero DMR Data'!I221,'11DCA Mapping'!$J:$J,0))</f>
        <v>Assigned POTW per "Facility Type Indicator"</v>
      </c>
      <c r="R215" s="250" t="str">
        <f>VLOOKUP(I215,'DMR POTW Flag'!$A$2:$B$960,2,FALSE)</f>
        <v>POTW</v>
      </c>
      <c r="S215" s="7" t="s">
        <v>67</v>
      </c>
      <c r="T215" s="249" t="s">
        <v>586</v>
      </c>
      <c r="U215" s="8">
        <f>COUNTIFS('Raw Non-zero DMR Data'!$A:$A, 'Processed Non-zero DMR Data'!A215, 'Raw Non-zero DMR Data'!$C:$C, X215, 'Raw Non-zero DMR Data'!$U:$U,'Processed Non-zero DMR Data'!Y215)</f>
        <v>1</v>
      </c>
      <c r="V215" s="8">
        <f>COUNTIFS('Raw Non-zero DMR Data'!$A:$A, 'Processed Non-zero DMR Data'!A215, 'Raw Non-zero DMR Data'!$C:$C, X215, 'Raw Non-zero DMR Data'!$U:$U,'Processed Non-zero DMR Data'!Y215,'Raw Non-zero DMR Data'!$Z:$Z,"Yes")</f>
        <v>1</v>
      </c>
      <c r="W215">
        <v>0.47524460000000002</v>
      </c>
      <c r="X215" t="s">
        <v>785</v>
      </c>
      <c r="Y215" t="s">
        <v>786</v>
      </c>
      <c r="Z215" s="257">
        <v>51001010903</v>
      </c>
    </row>
    <row r="216" spans="1:26" ht="15" customHeight="1" x14ac:dyDescent="0.25">
      <c r="A216">
        <v>2020</v>
      </c>
      <c r="B216" t="s">
        <v>154</v>
      </c>
      <c r="C216" t="s">
        <v>155</v>
      </c>
      <c r="D216" t="s">
        <v>784</v>
      </c>
      <c r="E216" t="s">
        <v>138</v>
      </c>
      <c r="F216">
        <v>38.421495999999998</v>
      </c>
      <c r="G216">
        <v>-83.734424000000004</v>
      </c>
      <c r="I216" s="1">
        <v>110003251427</v>
      </c>
      <c r="J216">
        <v>4952</v>
      </c>
      <c r="K216" s="175" t="str">
        <f>INDEX('2022 SIC to NAICS'!B:B, MATCH('Processed Non-zero DMR Data'!$J216, '2022 SIC to NAICS'!$A:$A, 0))</f>
        <v>Sewerage Systems</v>
      </c>
      <c r="L216" s="175">
        <f>INDEX('2022 SIC to NAICS'!C:C, MATCH('Processed Non-zero DMR Data'!$J216, '2022 SIC to NAICS'!$A:$A, 0))</f>
        <v>221320</v>
      </c>
      <c r="M216" s="175" t="str">
        <f>INDEX('2022 SIC to NAICS'!D:D, MATCH('Processed Non-zero DMR Data'!$J216, '2022 SIC to NAICS'!$A:$A, 0))</f>
        <v xml:space="preserve">Sewage Treatment Facilities </v>
      </c>
      <c r="N216" s="90" t="str">
        <f>IFERROR(INDEX('NAICS Code to IS CDR Code'!B:B, MATCH('Processed Non-zero DMR Data'!L216,'NAICS Code to IS CDR Code'!A:A,0)), "NAICS/SIC Not Provided")</f>
        <v>IS4</v>
      </c>
      <c r="O216" s="91" t="str">
        <f>IFERROR(INDEX('NAICS Code to IS CDR Code'!C:C, MATCH('Processed Non-zero DMR Data'!L216,'NAICS Code to IS CDR Code'!A:A,0)), "NAICS/SIC Not Provided")</f>
        <v>Utilities</v>
      </c>
      <c r="P216" s="91" t="str">
        <f>INDEX('11DCA Mapping'!$K:$K, MATCH('Processed Non-zero DMR Data'!I222,'11DCA Mapping'!$J:$J,0))</f>
        <v>POTW</v>
      </c>
      <c r="Q216" s="91" t="str">
        <f>INDEX('11DCA Mapping'!$L:$L, MATCH('Processed Non-zero DMR Data'!I222,'11DCA Mapping'!$J:$J,0))</f>
        <v>Assigned POTW per "Facility Type Indicator"</v>
      </c>
      <c r="R216" s="250" t="str">
        <f>VLOOKUP(I216,'DMR POTW Flag'!$A$2:$B$960,2,FALSE)</f>
        <v>POTW</v>
      </c>
      <c r="S216" s="7" t="s">
        <v>67</v>
      </c>
      <c r="T216" s="249" t="s">
        <v>586</v>
      </c>
      <c r="U216" s="8">
        <f>COUNTIFS('Raw Non-zero DMR Data'!$A:$A, 'Processed Non-zero DMR Data'!A216, 'Raw Non-zero DMR Data'!$C:$C, X216, 'Raw Non-zero DMR Data'!$U:$U,'Processed Non-zero DMR Data'!Y216)</f>
        <v>1</v>
      </c>
      <c r="V216" s="8">
        <f>COUNTIFS('Raw Non-zero DMR Data'!$A:$A, 'Processed Non-zero DMR Data'!A216, 'Raw Non-zero DMR Data'!$C:$C, X216, 'Raw Non-zero DMR Data'!$U:$U,'Processed Non-zero DMR Data'!Y216,'Raw Non-zero DMR Data'!$Z:$Z,"Yes")</f>
        <v>1</v>
      </c>
      <c r="W216">
        <v>0.27008813749999999</v>
      </c>
      <c r="X216" t="s">
        <v>785</v>
      </c>
      <c r="Y216" t="s">
        <v>786</v>
      </c>
      <c r="Z216" s="257">
        <v>51001010903</v>
      </c>
    </row>
    <row r="217" spans="1:26" ht="15" customHeight="1" x14ac:dyDescent="0.25">
      <c r="A217">
        <v>2021</v>
      </c>
      <c r="B217" t="s">
        <v>154</v>
      </c>
      <c r="C217" t="s">
        <v>155</v>
      </c>
      <c r="D217" t="s">
        <v>784</v>
      </c>
      <c r="E217" t="s">
        <v>138</v>
      </c>
      <c r="F217">
        <v>38.421495999999998</v>
      </c>
      <c r="G217">
        <v>-83.734424000000004</v>
      </c>
      <c r="I217" s="1">
        <v>110003251427</v>
      </c>
      <c r="J217">
        <v>4952</v>
      </c>
      <c r="K217" s="175" t="str">
        <f>INDEX('2022 SIC to NAICS'!B:B, MATCH('Processed Non-zero DMR Data'!$J217, '2022 SIC to NAICS'!$A:$A, 0))</f>
        <v>Sewerage Systems</v>
      </c>
      <c r="L217" s="175">
        <f>INDEX('2022 SIC to NAICS'!C:C, MATCH('Processed Non-zero DMR Data'!$J217, '2022 SIC to NAICS'!$A:$A, 0))</f>
        <v>221320</v>
      </c>
      <c r="M217" s="175" t="str">
        <f>INDEX('2022 SIC to NAICS'!D:D, MATCH('Processed Non-zero DMR Data'!$J217, '2022 SIC to NAICS'!$A:$A, 0))</f>
        <v xml:space="preserve">Sewage Treatment Facilities </v>
      </c>
      <c r="N217" s="90" t="str">
        <f>IFERROR(INDEX('NAICS Code to IS CDR Code'!B:B, MATCH('Processed Non-zero DMR Data'!L217,'NAICS Code to IS CDR Code'!A:A,0)), "NAICS/SIC Not Provided")</f>
        <v>IS4</v>
      </c>
      <c r="O217" s="91" t="str">
        <f>IFERROR(INDEX('NAICS Code to IS CDR Code'!C:C, MATCH('Processed Non-zero DMR Data'!L217,'NAICS Code to IS CDR Code'!A:A,0)), "NAICS/SIC Not Provided")</f>
        <v>Utilities</v>
      </c>
      <c r="P217" s="91" t="str">
        <f>INDEX('11DCA Mapping'!$K:$K, MATCH('Processed Non-zero DMR Data'!I223,'11DCA Mapping'!$J:$J,0))</f>
        <v>Waste Handling, Disposal, Treatment, and Recycling</v>
      </c>
      <c r="Q217" s="91" t="str">
        <f>INDEX('11DCA Mapping'!$L:$L, MATCH('Processed Non-zero DMR Data'!I223,'11DCA Mapping'!$J:$J,0))</f>
        <v>SIC and NAICS description indicate waste treatment and disposal</v>
      </c>
      <c r="R217" s="250" t="str">
        <f>VLOOKUP(I217,'DMR POTW Flag'!$A$2:$B$960,2,FALSE)</f>
        <v>POTW</v>
      </c>
      <c r="S217" s="7" t="s">
        <v>67</v>
      </c>
      <c r="T217" s="249" t="s">
        <v>586</v>
      </c>
      <c r="U217" s="8">
        <f>COUNTIFS('Raw Non-zero DMR Data'!$A:$A, 'Processed Non-zero DMR Data'!A217, 'Raw Non-zero DMR Data'!$C:$C, X217, 'Raw Non-zero DMR Data'!$U:$U,'Processed Non-zero DMR Data'!Y217)</f>
        <v>1</v>
      </c>
      <c r="V217" s="8">
        <f>COUNTIFS('Raw Non-zero DMR Data'!$A:$A, 'Processed Non-zero DMR Data'!A217, 'Raw Non-zero DMR Data'!$C:$C, X217, 'Raw Non-zero DMR Data'!$U:$U,'Processed Non-zero DMR Data'!Y217,'Raw Non-zero DMR Data'!$Z:$Z,"Yes")</f>
        <v>1</v>
      </c>
      <c r="W217">
        <v>0.29150177500000002</v>
      </c>
      <c r="X217" t="s">
        <v>785</v>
      </c>
      <c r="Y217" t="s">
        <v>786</v>
      </c>
      <c r="Z217" s="257">
        <v>51001010903</v>
      </c>
    </row>
    <row r="218" spans="1:26" ht="15" customHeight="1" x14ac:dyDescent="0.25">
      <c r="A218">
        <v>2019</v>
      </c>
      <c r="B218" t="s">
        <v>277</v>
      </c>
      <c r="C218" t="s">
        <v>235</v>
      </c>
      <c r="D218" t="s">
        <v>600</v>
      </c>
      <c r="E218" t="s">
        <v>138</v>
      </c>
      <c r="F218">
        <v>38.236699999999999</v>
      </c>
      <c r="G218">
        <v>-85.466710000000006</v>
      </c>
      <c r="I218" s="1">
        <v>110043486457</v>
      </c>
      <c r="J218">
        <v>4952</v>
      </c>
      <c r="K218" s="175" t="str">
        <f>INDEX('2022 SIC to NAICS'!B:B, MATCH('Processed Non-zero DMR Data'!$J218, '2022 SIC to NAICS'!$A:$A, 0))</f>
        <v>Sewerage Systems</v>
      </c>
      <c r="L218" s="175">
        <f>INDEX('2022 SIC to NAICS'!C:C, MATCH('Processed Non-zero DMR Data'!$J218, '2022 SIC to NAICS'!$A:$A, 0))</f>
        <v>221320</v>
      </c>
      <c r="M218" s="175" t="str">
        <f>INDEX('2022 SIC to NAICS'!D:D, MATCH('Processed Non-zero DMR Data'!$J218, '2022 SIC to NAICS'!$A:$A, 0))</f>
        <v xml:space="preserve">Sewage Treatment Facilities </v>
      </c>
      <c r="N218" s="90" t="str">
        <f>IFERROR(INDEX('NAICS Code to IS CDR Code'!B:B, MATCH('Processed Non-zero DMR Data'!L218,'NAICS Code to IS CDR Code'!A:A,0)), "NAICS/SIC Not Provided")</f>
        <v>IS4</v>
      </c>
      <c r="O218" s="91" t="str">
        <f>IFERROR(INDEX('NAICS Code to IS CDR Code'!C:C, MATCH('Processed Non-zero DMR Data'!L218,'NAICS Code to IS CDR Code'!A:A,0)), "NAICS/SIC Not Provided")</f>
        <v>Utilities</v>
      </c>
      <c r="P218" s="91" t="str">
        <f>INDEX('11DCA Mapping'!$K:$K, MATCH('Processed Non-zero DMR Data'!I224,'11DCA Mapping'!$J:$J,0))</f>
        <v>Waste Handling, Disposal, Treatment, and Recycling</v>
      </c>
      <c r="Q218" s="91" t="str">
        <f>INDEX('11DCA Mapping'!$L:$L, MATCH('Processed Non-zero DMR Data'!I224,'11DCA Mapping'!$J:$J,0))</f>
        <v>SIC and NAICS description indicate waste treatment and disposal</v>
      </c>
      <c r="R218" s="250" t="str">
        <f>VLOOKUP(I218,'DMR POTW Flag'!$A$2:$B$960,2,FALSE)</f>
        <v>POTW</v>
      </c>
      <c r="S218" s="7" t="s">
        <v>67</v>
      </c>
      <c r="T218" s="249" t="s">
        <v>586</v>
      </c>
      <c r="U218" s="8">
        <f>COUNTIFS('Raw Non-zero DMR Data'!$A:$A, 'Processed Non-zero DMR Data'!A218, 'Raw Non-zero DMR Data'!$C:$C, X218, 'Raw Non-zero DMR Data'!$U:$U,'Processed Non-zero DMR Data'!Y218)</f>
        <v>1</v>
      </c>
      <c r="V218" s="8">
        <f>COUNTIFS('Raw Non-zero DMR Data'!$A:$A, 'Processed Non-zero DMR Data'!A218, 'Raw Non-zero DMR Data'!$C:$C, X218, 'Raw Non-zero DMR Data'!$U:$U,'Processed Non-zero DMR Data'!Y218,'Raw Non-zero DMR Data'!$Z:$Z,"Yes")</f>
        <v>1</v>
      </c>
      <c r="W218">
        <v>15.645770625000001</v>
      </c>
      <c r="X218" t="s">
        <v>787</v>
      </c>
      <c r="Y218" t="s">
        <v>788</v>
      </c>
      <c r="Z218" s="257">
        <v>51401020804</v>
      </c>
    </row>
    <row r="219" spans="1:26" ht="15" customHeight="1" x14ac:dyDescent="0.25">
      <c r="A219">
        <v>2020</v>
      </c>
      <c r="B219" t="s">
        <v>277</v>
      </c>
      <c r="C219" t="s">
        <v>235</v>
      </c>
      <c r="D219" t="s">
        <v>600</v>
      </c>
      <c r="E219" t="s">
        <v>138</v>
      </c>
      <c r="F219">
        <v>38.236699999999999</v>
      </c>
      <c r="G219">
        <v>-85.466710000000006</v>
      </c>
      <c r="I219" s="1">
        <v>110043486457</v>
      </c>
      <c r="J219">
        <v>4952</v>
      </c>
      <c r="K219" s="175" t="str">
        <f>INDEX('2022 SIC to NAICS'!B:B, MATCH('Processed Non-zero DMR Data'!$J219, '2022 SIC to NAICS'!$A:$A, 0))</f>
        <v>Sewerage Systems</v>
      </c>
      <c r="L219" s="175">
        <f>INDEX('2022 SIC to NAICS'!C:C, MATCH('Processed Non-zero DMR Data'!$J219, '2022 SIC to NAICS'!$A:$A, 0))</f>
        <v>221320</v>
      </c>
      <c r="M219" s="175" t="str">
        <f>INDEX('2022 SIC to NAICS'!D:D, MATCH('Processed Non-zero DMR Data'!$J219, '2022 SIC to NAICS'!$A:$A, 0))</f>
        <v xml:space="preserve">Sewage Treatment Facilities </v>
      </c>
      <c r="N219" s="90" t="str">
        <f>IFERROR(INDEX('NAICS Code to IS CDR Code'!B:B, MATCH('Processed Non-zero DMR Data'!L219,'NAICS Code to IS CDR Code'!A:A,0)), "NAICS/SIC Not Provided")</f>
        <v>IS4</v>
      </c>
      <c r="O219" s="91" t="str">
        <f>IFERROR(INDEX('NAICS Code to IS CDR Code'!C:C, MATCH('Processed Non-zero DMR Data'!L219,'NAICS Code to IS CDR Code'!A:A,0)), "NAICS/SIC Not Provided")</f>
        <v>Utilities</v>
      </c>
      <c r="P219" s="91" t="str">
        <f>INDEX('11DCA Mapping'!$K:$K, MATCH('Processed Non-zero DMR Data'!I225,'11DCA Mapping'!$J:$J,0))</f>
        <v>Remediation</v>
      </c>
      <c r="Q219" s="91" t="str">
        <f>INDEX('11DCA Mapping'!$L:$L, MATCH('Processed Non-zero DMR Data'!I225,'11DCA Mapping'!$J:$J,0))</f>
        <v>Internet search indicates remediation (https://brownandcaldwell.com/project/fast-track-remediation-and-redevelopment-of-former-manufacturing-site/)</v>
      </c>
      <c r="R219" s="250" t="str">
        <f>VLOOKUP(I219,'DMR POTW Flag'!$A$2:$B$960,2,FALSE)</f>
        <v>POTW</v>
      </c>
      <c r="S219" s="7" t="s">
        <v>67</v>
      </c>
      <c r="T219" s="249" t="s">
        <v>586</v>
      </c>
      <c r="U219" s="8">
        <f>COUNTIFS('Raw Non-zero DMR Data'!$A:$A, 'Processed Non-zero DMR Data'!A219, 'Raw Non-zero DMR Data'!$C:$C, X219, 'Raw Non-zero DMR Data'!$U:$U,'Processed Non-zero DMR Data'!Y219)</f>
        <v>1</v>
      </c>
      <c r="V219" s="8">
        <f>COUNTIFS('Raw Non-zero DMR Data'!$A:$A, 'Processed Non-zero DMR Data'!A219, 'Raw Non-zero DMR Data'!$C:$C, X219, 'Raw Non-zero DMR Data'!$U:$U,'Processed Non-zero DMR Data'!Y219,'Raw Non-zero DMR Data'!$Z:$Z,"Yes")</f>
        <v>1</v>
      </c>
      <c r="W219">
        <v>12.509708874999999</v>
      </c>
      <c r="X219" t="s">
        <v>787</v>
      </c>
      <c r="Y219" t="s">
        <v>788</v>
      </c>
      <c r="Z219" s="257">
        <v>51401020804</v>
      </c>
    </row>
    <row r="220" spans="1:26" ht="15" customHeight="1" x14ac:dyDescent="0.25">
      <c r="A220">
        <v>2021</v>
      </c>
      <c r="B220" t="s">
        <v>277</v>
      </c>
      <c r="C220" t="s">
        <v>235</v>
      </c>
      <c r="D220" t="s">
        <v>600</v>
      </c>
      <c r="E220" t="s">
        <v>138</v>
      </c>
      <c r="F220">
        <v>38.236699999999999</v>
      </c>
      <c r="G220">
        <v>-85.466710000000006</v>
      </c>
      <c r="I220" s="1">
        <v>110043486457</v>
      </c>
      <c r="J220">
        <v>4952</v>
      </c>
      <c r="K220" s="175" t="str">
        <f>INDEX('2022 SIC to NAICS'!B:B, MATCH('Processed Non-zero DMR Data'!$J220, '2022 SIC to NAICS'!$A:$A, 0))</f>
        <v>Sewerage Systems</v>
      </c>
      <c r="L220" s="175">
        <f>INDEX('2022 SIC to NAICS'!C:C, MATCH('Processed Non-zero DMR Data'!$J220, '2022 SIC to NAICS'!$A:$A, 0))</f>
        <v>221320</v>
      </c>
      <c r="M220" s="175" t="str">
        <f>INDEX('2022 SIC to NAICS'!D:D, MATCH('Processed Non-zero DMR Data'!$J220, '2022 SIC to NAICS'!$A:$A, 0))</f>
        <v xml:space="preserve">Sewage Treatment Facilities </v>
      </c>
      <c r="N220" s="90" t="str">
        <f>IFERROR(INDEX('NAICS Code to IS CDR Code'!B:B, MATCH('Processed Non-zero DMR Data'!L220,'NAICS Code to IS CDR Code'!A:A,0)), "NAICS/SIC Not Provided")</f>
        <v>IS4</v>
      </c>
      <c r="O220" s="91" t="str">
        <f>IFERROR(INDEX('NAICS Code to IS CDR Code'!C:C, MATCH('Processed Non-zero DMR Data'!L220,'NAICS Code to IS CDR Code'!A:A,0)), "NAICS/SIC Not Provided")</f>
        <v>Utilities</v>
      </c>
      <c r="P220" s="91" t="str">
        <f>INDEX('11DCA Mapping'!$K:$K, MATCH('Processed Non-zero DMR Data'!I226,'11DCA Mapping'!$J:$J,0))</f>
        <v>Remediation</v>
      </c>
      <c r="Q220" s="91" t="str">
        <f>INDEX('11DCA Mapping'!$L:$L, MATCH('Processed Non-zero DMR Data'!I226,'11DCA Mapping'!$J:$J,0))</f>
        <v>Internet search indicates remediation (https://brownandcaldwell.com/project/fast-track-remediation-and-redevelopment-of-former-manufacturing-site/)</v>
      </c>
      <c r="R220" s="250" t="str">
        <f>VLOOKUP(I220,'DMR POTW Flag'!$A$2:$B$960,2,FALSE)</f>
        <v>POTW</v>
      </c>
      <c r="S220" s="7" t="s">
        <v>67</v>
      </c>
      <c r="T220" s="249" t="s">
        <v>586</v>
      </c>
      <c r="U220" s="8">
        <f>COUNTIFS('Raw Non-zero DMR Data'!$A:$A, 'Processed Non-zero DMR Data'!A220, 'Raw Non-zero DMR Data'!$C:$C, X220, 'Raw Non-zero DMR Data'!$U:$U,'Processed Non-zero DMR Data'!Y220)</f>
        <v>1</v>
      </c>
      <c r="V220" s="8">
        <f>COUNTIFS('Raw Non-zero DMR Data'!$A:$A, 'Processed Non-zero DMR Data'!A220, 'Raw Non-zero DMR Data'!$C:$C, X220, 'Raw Non-zero DMR Data'!$U:$U,'Processed Non-zero DMR Data'!Y220,'Raw Non-zero DMR Data'!$Z:$Z,"Yes")</f>
        <v>1</v>
      </c>
      <c r="W220">
        <v>12.817098187499999</v>
      </c>
      <c r="X220" t="s">
        <v>787</v>
      </c>
      <c r="Y220" t="s">
        <v>788</v>
      </c>
      <c r="Z220" s="257">
        <v>51401020804</v>
      </c>
    </row>
    <row r="221" spans="1:26" ht="15" customHeight="1" x14ac:dyDescent="0.25">
      <c r="A221">
        <v>2022</v>
      </c>
      <c r="B221" t="s">
        <v>277</v>
      </c>
      <c r="C221" t="s">
        <v>235</v>
      </c>
      <c r="D221" t="s">
        <v>600</v>
      </c>
      <c r="E221" t="s">
        <v>138</v>
      </c>
      <c r="F221">
        <v>38.236699999999999</v>
      </c>
      <c r="G221">
        <v>-85.466710000000006</v>
      </c>
      <c r="I221" s="1">
        <v>110043486457</v>
      </c>
      <c r="J221">
        <v>4952</v>
      </c>
      <c r="K221" s="175" t="str">
        <f>INDEX('2022 SIC to NAICS'!B:B, MATCH('Processed Non-zero DMR Data'!$J221, '2022 SIC to NAICS'!$A:$A, 0))</f>
        <v>Sewerage Systems</v>
      </c>
      <c r="L221" s="175">
        <f>INDEX('2022 SIC to NAICS'!C:C, MATCH('Processed Non-zero DMR Data'!$J221, '2022 SIC to NAICS'!$A:$A, 0))</f>
        <v>221320</v>
      </c>
      <c r="M221" s="175" t="str">
        <f>INDEX('2022 SIC to NAICS'!D:D, MATCH('Processed Non-zero DMR Data'!$J221, '2022 SIC to NAICS'!$A:$A, 0))</f>
        <v xml:space="preserve">Sewage Treatment Facilities </v>
      </c>
      <c r="N221" s="90" t="str">
        <f>IFERROR(INDEX('NAICS Code to IS CDR Code'!B:B, MATCH('Processed Non-zero DMR Data'!L221,'NAICS Code to IS CDR Code'!A:A,0)), "NAICS/SIC Not Provided")</f>
        <v>IS4</v>
      </c>
      <c r="O221" s="91" t="str">
        <f>IFERROR(INDEX('NAICS Code to IS CDR Code'!C:C, MATCH('Processed Non-zero DMR Data'!L221,'NAICS Code to IS CDR Code'!A:A,0)), "NAICS/SIC Not Provided")</f>
        <v>Utilities</v>
      </c>
      <c r="P221" s="91" t="str">
        <f>INDEX('11DCA Mapping'!$K:$K, MATCH('Processed Non-zero DMR Data'!I227,'11DCA Mapping'!$J:$J,0))</f>
        <v>Remediation</v>
      </c>
      <c r="Q221" s="91" t="str">
        <f>INDEX('11DCA Mapping'!$L:$L, MATCH('Processed Non-zero DMR Data'!I227,'11DCA Mapping'!$J:$J,0))</f>
        <v>Internet search indicates remediation (https://brownandcaldwell.com/project/fast-track-remediation-and-redevelopment-of-former-manufacturing-site/)</v>
      </c>
      <c r="R221" s="250" t="str">
        <f>VLOOKUP(I221,'DMR POTW Flag'!$A$2:$B$960,2,FALSE)</f>
        <v>POTW</v>
      </c>
      <c r="S221" s="7" t="s">
        <v>67</v>
      </c>
      <c r="T221" s="249" t="s">
        <v>586</v>
      </c>
      <c r="U221" s="8">
        <f>COUNTIFS('Raw Non-zero DMR Data'!$A:$A, 'Processed Non-zero DMR Data'!A221, 'Raw Non-zero DMR Data'!$C:$C, X221, 'Raw Non-zero DMR Data'!$U:$U,'Processed Non-zero DMR Data'!Y221)</f>
        <v>1</v>
      </c>
      <c r="V221" s="8">
        <f>COUNTIFS('Raw Non-zero DMR Data'!$A:$A, 'Processed Non-zero DMR Data'!A221, 'Raw Non-zero DMR Data'!$C:$C, X221, 'Raw Non-zero DMR Data'!$U:$U,'Processed Non-zero DMR Data'!Y221,'Raw Non-zero DMR Data'!$Z:$Z,"Yes")</f>
        <v>1</v>
      </c>
      <c r="W221">
        <v>14.457659124999999</v>
      </c>
      <c r="X221" t="s">
        <v>787</v>
      </c>
      <c r="Y221" t="s">
        <v>788</v>
      </c>
      <c r="Z221" s="257">
        <v>51401020804</v>
      </c>
    </row>
    <row r="222" spans="1:26" ht="15" customHeight="1" x14ac:dyDescent="0.25">
      <c r="A222">
        <v>2023</v>
      </c>
      <c r="B222" t="s">
        <v>277</v>
      </c>
      <c r="C222" t="s">
        <v>235</v>
      </c>
      <c r="D222" t="s">
        <v>600</v>
      </c>
      <c r="E222" t="s">
        <v>138</v>
      </c>
      <c r="F222">
        <v>38.236699999999999</v>
      </c>
      <c r="G222">
        <v>-85.466710000000006</v>
      </c>
      <c r="I222" s="1">
        <v>110043486457</v>
      </c>
      <c r="J222">
        <v>4952</v>
      </c>
      <c r="K222" s="175" t="str">
        <f>INDEX('2022 SIC to NAICS'!B:B, MATCH('Processed Non-zero DMR Data'!$J222, '2022 SIC to NAICS'!$A:$A, 0))</f>
        <v>Sewerage Systems</v>
      </c>
      <c r="L222" s="175">
        <f>INDEX('2022 SIC to NAICS'!C:C, MATCH('Processed Non-zero DMR Data'!$J222, '2022 SIC to NAICS'!$A:$A, 0))</f>
        <v>221320</v>
      </c>
      <c r="M222" s="175" t="str">
        <f>INDEX('2022 SIC to NAICS'!D:D, MATCH('Processed Non-zero DMR Data'!$J222, '2022 SIC to NAICS'!$A:$A, 0))</f>
        <v xml:space="preserve">Sewage Treatment Facilities </v>
      </c>
      <c r="N222" s="90" t="str">
        <f>IFERROR(INDEX('NAICS Code to IS CDR Code'!B:B, MATCH('Processed Non-zero DMR Data'!L222,'NAICS Code to IS CDR Code'!A:A,0)), "NAICS/SIC Not Provided")</f>
        <v>IS4</v>
      </c>
      <c r="O222" s="91" t="str">
        <f>IFERROR(INDEX('NAICS Code to IS CDR Code'!C:C, MATCH('Processed Non-zero DMR Data'!L222,'NAICS Code to IS CDR Code'!A:A,0)), "NAICS/SIC Not Provided")</f>
        <v>Utilities</v>
      </c>
      <c r="P222" s="91" t="str">
        <f>INDEX('11DCA Mapping'!$K:$K, MATCH('Processed Non-zero DMR Data'!I228,'11DCA Mapping'!$J:$J,0))</f>
        <v>Processing as a Reactant</v>
      </c>
      <c r="Q222" s="91" t="str">
        <f>INDEX('11DCA Mapping'!$L:$L, MATCH('Processed Non-zero DMR Data'!I228,'11DCA Mapping'!$J:$J,0))</f>
        <v>Assuming processing as a reactant based on SIC description</v>
      </c>
      <c r="R222" s="250" t="str">
        <f>VLOOKUP(I222,'DMR POTW Flag'!$A$2:$B$960,2,FALSE)</f>
        <v>POTW</v>
      </c>
      <c r="S222" s="7" t="s">
        <v>67</v>
      </c>
      <c r="T222" s="249" t="s">
        <v>586</v>
      </c>
      <c r="U222" s="8">
        <f>COUNTIFS('Raw Non-zero DMR Data'!$A:$A, 'Processed Non-zero DMR Data'!A222, 'Raw Non-zero DMR Data'!$C:$C, X222, 'Raw Non-zero DMR Data'!$U:$U,'Processed Non-zero DMR Data'!Y222)</f>
        <v>1</v>
      </c>
      <c r="V222" s="8">
        <f>COUNTIFS('Raw Non-zero DMR Data'!$A:$A, 'Processed Non-zero DMR Data'!A222, 'Raw Non-zero DMR Data'!$C:$C, X222, 'Raw Non-zero DMR Data'!$U:$U,'Processed Non-zero DMR Data'!Y222,'Raw Non-zero DMR Data'!$Z:$Z,"Yes")</f>
        <v>1</v>
      </c>
      <c r="W222">
        <v>11.722239625</v>
      </c>
      <c r="X222" t="s">
        <v>787</v>
      </c>
      <c r="Y222" t="s">
        <v>788</v>
      </c>
      <c r="Z222" s="257">
        <v>51401020804</v>
      </c>
    </row>
    <row r="223" spans="1:26" ht="15" customHeight="1" x14ac:dyDescent="0.25">
      <c r="A223">
        <v>2019</v>
      </c>
      <c r="B223" t="s">
        <v>263</v>
      </c>
      <c r="C223" t="s">
        <v>264</v>
      </c>
      <c r="D223" t="s">
        <v>789</v>
      </c>
      <c r="E223" t="s">
        <v>118</v>
      </c>
      <c r="F223">
        <v>41.775967999999999</v>
      </c>
      <c r="G223">
        <v>-86.654864000000003</v>
      </c>
      <c r="I223" s="1">
        <v>110001847761</v>
      </c>
      <c r="J223">
        <v>4953</v>
      </c>
      <c r="K223" s="175" t="str">
        <f>INDEX('2022 SIC to NAICS'!B:B, MATCH('Processed Non-zero DMR Data'!$J223, '2022 SIC to NAICS'!$A:$A, 0))</f>
        <v>Refuse Systems</v>
      </c>
      <c r="L223" s="175">
        <f>INDEX('2022 SIC to NAICS'!C:C, MATCH('Processed Non-zero DMR Data'!$J223, '2022 SIC to NAICS'!$A:$A, 0))</f>
        <v>562211</v>
      </c>
      <c r="M223" s="175" t="str">
        <f>INDEX('2022 SIC to NAICS'!D:D, MATCH('Processed Non-zero DMR Data'!$J223, '2022 SIC to NAICS'!$A:$A, 0))</f>
        <v xml:space="preserve">Hazardous Waste Treatment and Disposal </v>
      </c>
      <c r="N223" s="90" t="str">
        <f>IFERROR(INDEX('NAICS Code to IS CDR Code'!B:B, MATCH('Processed Non-zero DMR Data'!L223,'NAICS Code to IS CDR Code'!A:A,0)), "NAICS/SIC Not Provided")</f>
        <v>IS47</v>
      </c>
      <c r="O223" s="91" t="str">
        <f>IFERROR(INDEX('NAICS Code to IS CDR Code'!C:C, MATCH('Processed Non-zero DMR Data'!L223,'NAICS Code to IS CDR Code'!A:A,0)), "NAICS/SIC Not Provided")</f>
        <v>Services</v>
      </c>
      <c r="P223" s="91" t="str">
        <f>INDEX('11DCA Mapping'!$K:$K, MATCH('Processed Non-zero DMR Data'!I229,'11DCA Mapping'!$J:$J,0))</f>
        <v>Unknown</v>
      </c>
      <c r="Q223" s="91" t="str">
        <f>INDEX('11DCA Mapping'!$L:$L, MATCH('Processed Non-zero DMR Data'!I229,'11DCA Mapping'!$J:$J,0))</f>
        <v>Unknown how 1,1-DCA is used in hotels and motels</v>
      </c>
      <c r="R223" s="250" t="str">
        <f>VLOOKUP(I223,'DMR POTW Flag'!$A$2:$B$960,2,FALSE)</f>
        <v>NON-POTW</v>
      </c>
      <c r="S223" s="249" t="s">
        <v>69</v>
      </c>
      <c r="T223" s="249" t="s">
        <v>790</v>
      </c>
      <c r="U223" s="8">
        <f>COUNTIFS('Raw Non-zero DMR Data'!$A:$A, 'Processed Non-zero DMR Data'!A223, 'Raw Non-zero DMR Data'!$C:$C, X223, 'Raw Non-zero DMR Data'!$U:$U,'Processed Non-zero DMR Data'!Y223)</f>
        <v>1</v>
      </c>
      <c r="V223" s="8">
        <f>COUNTIFS('Raw Non-zero DMR Data'!$A:$A, 'Processed Non-zero DMR Data'!A223, 'Raw Non-zero DMR Data'!$C:$C, X223, 'Raw Non-zero DMR Data'!$U:$U,'Processed Non-zero DMR Data'!Y223,'Raw Non-zero DMR Data'!$Z:$Z,"Yes")</f>
        <v>1</v>
      </c>
      <c r="W223">
        <v>3.5931349090908997E-2</v>
      </c>
      <c r="X223" t="s">
        <v>791</v>
      </c>
      <c r="Y223" t="s">
        <v>792</v>
      </c>
      <c r="Z223" s="257">
        <v>40400010206</v>
      </c>
    </row>
    <row r="224" spans="1:26" ht="15" customHeight="1" x14ac:dyDescent="0.25">
      <c r="A224">
        <v>2020</v>
      </c>
      <c r="B224" t="s">
        <v>263</v>
      </c>
      <c r="C224" t="s">
        <v>264</v>
      </c>
      <c r="D224" t="s">
        <v>789</v>
      </c>
      <c r="E224" t="s">
        <v>118</v>
      </c>
      <c r="F224">
        <v>41.775967999999999</v>
      </c>
      <c r="G224">
        <v>-86.654864000000003</v>
      </c>
      <c r="I224" s="1">
        <v>110001847761</v>
      </c>
      <c r="J224">
        <v>4953</v>
      </c>
      <c r="K224" s="175" t="str">
        <f>INDEX('2022 SIC to NAICS'!B:B, MATCH('Processed Non-zero DMR Data'!$J224, '2022 SIC to NAICS'!$A:$A, 0))</f>
        <v>Refuse Systems</v>
      </c>
      <c r="L224" s="175">
        <f>INDEX('2022 SIC to NAICS'!C:C, MATCH('Processed Non-zero DMR Data'!$J224, '2022 SIC to NAICS'!$A:$A, 0))</f>
        <v>562211</v>
      </c>
      <c r="M224" s="175" t="str">
        <f>INDEX('2022 SIC to NAICS'!D:D, MATCH('Processed Non-zero DMR Data'!$J224, '2022 SIC to NAICS'!$A:$A, 0))</f>
        <v xml:space="preserve">Hazardous Waste Treatment and Disposal </v>
      </c>
      <c r="N224" s="90" t="str">
        <f>IFERROR(INDEX('NAICS Code to IS CDR Code'!B:B, MATCH('Processed Non-zero DMR Data'!L224,'NAICS Code to IS CDR Code'!A:A,0)), "NAICS/SIC Not Provided")</f>
        <v>IS47</v>
      </c>
      <c r="O224" s="91" t="str">
        <f>IFERROR(INDEX('NAICS Code to IS CDR Code'!C:C, MATCH('Processed Non-zero DMR Data'!L224,'NAICS Code to IS CDR Code'!A:A,0)), "NAICS/SIC Not Provided")</f>
        <v>Services</v>
      </c>
      <c r="P224" s="91" t="str">
        <f>INDEX('11DCA Mapping'!$K:$K, MATCH('Processed Non-zero DMR Data'!I230,'11DCA Mapping'!$J:$J,0))</f>
        <v>Natural Gas Engines</v>
      </c>
      <c r="Q224" s="91" t="str">
        <f>INDEX('11DCA Mapping'!$L:$L, MATCH('Processed Non-zero DMR Data'!I230,'11DCA Mapping'!$J:$J,0))</f>
        <v>Suggested OES, “Natural gas engines.” Based on https://www.powereng.com/library/el-centro-unit-3-combined-cycle-repower-oe &amp; https://www.energy.ca.gov/powerplant/simple-cycle/el-centro-generating-station-unit-3</v>
      </c>
      <c r="R224" s="250" t="str">
        <f>VLOOKUP(I224,'DMR POTW Flag'!$A$2:$B$960,2,FALSE)</f>
        <v>NON-POTW</v>
      </c>
      <c r="S224" s="249" t="s">
        <v>69</v>
      </c>
      <c r="T224" s="249" t="s">
        <v>790</v>
      </c>
      <c r="U224" s="8">
        <f>COUNTIFS('Raw Non-zero DMR Data'!$A:$A, 'Processed Non-zero DMR Data'!A224, 'Raw Non-zero DMR Data'!$C:$C, X224, 'Raw Non-zero DMR Data'!$U:$U,'Processed Non-zero DMR Data'!Y224)</f>
        <v>1</v>
      </c>
      <c r="V224" s="8">
        <f>COUNTIFS('Raw Non-zero DMR Data'!$A:$A, 'Processed Non-zero DMR Data'!A224, 'Raw Non-zero DMR Data'!$C:$C, X224, 'Raw Non-zero DMR Data'!$U:$U,'Processed Non-zero DMR Data'!Y224,'Raw Non-zero DMR Data'!$Z:$Z,"Yes")</f>
        <v>1</v>
      </c>
      <c r="W224">
        <v>5.8307924999999997E-2</v>
      </c>
      <c r="X224" t="s">
        <v>791</v>
      </c>
      <c r="Y224" t="s">
        <v>792</v>
      </c>
      <c r="Z224" s="257">
        <v>40400010206</v>
      </c>
    </row>
    <row r="225" spans="1:26" ht="15" customHeight="1" x14ac:dyDescent="0.25">
      <c r="A225">
        <v>2020</v>
      </c>
      <c r="B225" t="s">
        <v>419</v>
      </c>
      <c r="C225" t="s">
        <v>420</v>
      </c>
      <c r="D225" t="s">
        <v>781</v>
      </c>
      <c r="E225" t="s">
        <v>153</v>
      </c>
      <c r="F225">
        <v>40.515906999999999</v>
      </c>
      <c r="G225">
        <v>-74.325175999999999</v>
      </c>
      <c r="I225" s="1">
        <v>110070215141</v>
      </c>
      <c r="J225"/>
      <c r="K225" s="175" t="e">
        <f>INDEX('2022 SIC to NAICS'!B:B, MATCH('Processed Non-zero DMR Data'!$J225, '2022 SIC to NAICS'!$A:$A, 0))</f>
        <v>#N/A</v>
      </c>
      <c r="L225" s="175" t="e">
        <f>INDEX('2022 SIC to NAICS'!C:C, MATCH('Processed Non-zero DMR Data'!$J225, '2022 SIC to NAICS'!$A:$A, 0))</f>
        <v>#N/A</v>
      </c>
      <c r="M225" s="175" t="e">
        <f>INDEX('2022 SIC to NAICS'!D:D, MATCH('Processed Non-zero DMR Data'!$J225, '2022 SIC to NAICS'!$A:$A, 0))</f>
        <v>#N/A</v>
      </c>
      <c r="N225" s="90" t="str">
        <f>IFERROR(INDEX('NAICS Code to IS CDR Code'!B:B, MATCH('Processed Non-zero DMR Data'!L225,'NAICS Code to IS CDR Code'!A:A,0)), "NAICS/SIC Not Provided")</f>
        <v>NAICS/SIC Not Provided</v>
      </c>
      <c r="O225" s="91" t="str">
        <f>IFERROR(INDEX('NAICS Code to IS CDR Code'!C:C, MATCH('Processed Non-zero DMR Data'!L225,'NAICS Code to IS CDR Code'!A:A,0)), "NAICS/SIC Not Provided")</f>
        <v>NAICS/SIC Not Provided</v>
      </c>
      <c r="P225" s="91" t="str">
        <f>INDEX('11DCA Mapping'!$K:$K, MATCH('Processed Non-zero DMR Data'!I231,'11DCA Mapping'!$J:$J,0))</f>
        <v>Natural Gas Engines</v>
      </c>
      <c r="Q225" s="91" t="str">
        <f>INDEX('11DCA Mapping'!$L:$L, MATCH('Processed Non-zero DMR Data'!I231,'11DCA Mapping'!$J:$J,0))</f>
        <v>Suggested OES, “Natural gas engines.” Based on https://www.powereng.com/library/el-centro-unit-3-combined-cycle-repower-oe &amp; https://www.energy.ca.gov/powerplant/simple-cycle/el-centro-generating-station-unit-3</v>
      </c>
      <c r="R225" s="250" t="str">
        <f>VLOOKUP(I225,'DMR POTW Flag'!$A$2:$B$960,2,FALSE)</f>
        <v>NON-POTW</v>
      </c>
      <c r="S225" s="7" t="s">
        <v>71</v>
      </c>
      <c r="T225" s="7" t="s">
        <v>793</v>
      </c>
      <c r="U225" s="8">
        <f>COUNTIFS('Raw Non-zero DMR Data'!$A:$A, 'Processed Non-zero DMR Data'!A225, 'Raw Non-zero DMR Data'!$C:$C, X225, 'Raw Non-zero DMR Data'!$U:$U,'Processed Non-zero DMR Data'!Y225)</f>
        <v>1</v>
      </c>
      <c r="V225" s="8">
        <f>COUNTIFS('Raw Non-zero DMR Data'!$A:$A, 'Processed Non-zero DMR Data'!A225, 'Raw Non-zero DMR Data'!$C:$C, X225, 'Raw Non-zero DMR Data'!$U:$U,'Processed Non-zero DMR Data'!Y225,'Raw Non-zero DMR Data'!$Z:$Z,"Yes")</f>
        <v>1</v>
      </c>
      <c r="W225">
        <v>3.27622787E-3</v>
      </c>
      <c r="X225" t="s">
        <v>794</v>
      </c>
      <c r="Y225" t="s">
        <v>795</v>
      </c>
      <c r="Z225" s="257">
        <v>20301050507</v>
      </c>
    </row>
    <row r="226" spans="1:26" ht="15" customHeight="1" x14ac:dyDescent="0.25">
      <c r="A226">
        <v>2021</v>
      </c>
      <c r="B226" t="s">
        <v>419</v>
      </c>
      <c r="C226" t="s">
        <v>420</v>
      </c>
      <c r="D226" t="s">
        <v>781</v>
      </c>
      <c r="E226" t="s">
        <v>153</v>
      </c>
      <c r="F226">
        <v>40.515906999999999</v>
      </c>
      <c r="G226">
        <v>-74.325175999999999</v>
      </c>
      <c r="I226" s="1">
        <v>110070215141</v>
      </c>
      <c r="J226"/>
      <c r="K226" s="175" t="e">
        <f>INDEX('2022 SIC to NAICS'!B:B, MATCH('Processed Non-zero DMR Data'!$J226, '2022 SIC to NAICS'!$A:$A, 0))</f>
        <v>#N/A</v>
      </c>
      <c r="L226" s="175" t="e">
        <f>INDEX('2022 SIC to NAICS'!C:C, MATCH('Processed Non-zero DMR Data'!$J226, '2022 SIC to NAICS'!$A:$A, 0))</f>
        <v>#N/A</v>
      </c>
      <c r="M226" s="175" t="e">
        <f>INDEX('2022 SIC to NAICS'!D:D, MATCH('Processed Non-zero DMR Data'!$J226, '2022 SIC to NAICS'!$A:$A, 0))</f>
        <v>#N/A</v>
      </c>
      <c r="N226" s="90" t="str">
        <f>IFERROR(INDEX('NAICS Code to IS CDR Code'!B:B, MATCH('Processed Non-zero DMR Data'!L226,'NAICS Code to IS CDR Code'!A:A,0)), "NAICS/SIC Not Provided")</f>
        <v>NAICS/SIC Not Provided</v>
      </c>
      <c r="O226" s="91" t="str">
        <f>IFERROR(INDEX('NAICS Code to IS CDR Code'!C:C, MATCH('Processed Non-zero DMR Data'!L226,'NAICS Code to IS CDR Code'!A:A,0)), "NAICS/SIC Not Provided")</f>
        <v>NAICS/SIC Not Provided</v>
      </c>
      <c r="P226" s="91" t="e">
        <f>INDEX('11DCA Mapping'!$K:$K, MATCH('Processed Non-zero DMR Data'!I232,'11DCA Mapping'!$J:$J,0))</f>
        <v>#N/A</v>
      </c>
      <c r="Q226" s="91" t="e">
        <f>INDEX('11DCA Mapping'!$L:$L, MATCH('Processed Non-zero DMR Data'!I232,'11DCA Mapping'!$J:$J,0))</f>
        <v>#N/A</v>
      </c>
      <c r="R226" s="250" t="str">
        <f>VLOOKUP(I226,'DMR POTW Flag'!$A$2:$B$960,2,FALSE)</f>
        <v>NON-POTW</v>
      </c>
      <c r="S226" s="7" t="s">
        <v>71</v>
      </c>
      <c r="T226" s="7" t="s">
        <v>793</v>
      </c>
      <c r="U226" s="8">
        <f>COUNTIFS('Raw Non-zero DMR Data'!$A:$A, 'Processed Non-zero DMR Data'!A226, 'Raw Non-zero DMR Data'!$C:$C, X226, 'Raw Non-zero DMR Data'!$U:$U,'Processed Non-zero DMR Data'!Y226)</f>
        <v>1</v>
      </c>
      <c r="V226" s="8">
        <f>COUNTIFS('Raw Non-zero DMR Data'!$A:$A, 'Processed Non-zero DMR Data'!A226, 'Raw Non-zero DMR Data'!$C:$C, X226, 'Raw Non-zero DMR Data'!$U:$U,'Processed Non-zero DMR Data'!Y226,'Raw Non-zero DMR Data'!$Z:$Z,"Yes")</f>
        <v>1</v>
      </c>
      <c r="W226">
        <v>7.2203965825000001E-3</v>
      </c>
      <c r="X226" t="s">
        <v>794</v>
      </c>
      <c r="Y226" t="s">
        <v>795</v>
      </c>
      <c r="Z226" s="257">
        <v>20301050507</v>
      </c>
    </row>
    <row r="227" spans="1:26" ht="15" customHeight="1" x14ac:dyDescent="0.25">
      <c r="A227">
        <v>2023</v>
      </c>
      <c r="B227" t="s">
        <v>419</v>
      </c>
      <c r="C227" t="s">
        <v>420</v>
      </c>
      <c r="D227" t="s">
        <v>781</v>
      </c>
      <c r="E227" t="s">
        <v>153</v>
      </c>
      <c r="F227">
        <v>40.515906999999999</v>
      </c>
      <c r="G227">
        <v>-74.325175999999999</v>
      </c>
      <c r="I227" s="1">
        <v>110070215141</v>
      </c>
      <c r="J227"/>
      <c r="K227" s="175" t="e">
        <f>INDEX('2022 SIC to NAICS'!B:B, MATCH('Processed Non-zero DMR Data'!$J227, '2022 SIC to NAICS'!$A:$A, 0))</f>
        <v>#N/A</v>
      </c>
      <c r="L227" s="175" t="e">
        <f>INDEX('2022 SIC to NAICS'!C:C, MATCH('Processed Non-zero DMR Data'!$J227, '2022 SIC to NAICS'!$A:$A, 0))</f>
        <v>#N/A</v>
      </c>
      <c r="M227" s="175" t="e">
        <f>INDEX('2022 SIC to NAICS'!D:D, MATCH('Processed Non-zero DMR Data'!$J227, '2022 SIC to NAICS'!$A:$A, 0))</f>
        <v>#N/A</v>
      </c>
      <c r="N227" s="90" t="str">
        <f>IFERROR(INDEX('NAICS Code to IS CDR Code'!B:B, MATCH('Processed Non-zero DMR Data'!L227,'NAICS Code to IS CDR Code'!A:A,0)), "NAICS/SIC Not Provided")</f>
        <v>NAICS/SIC Not Provided</v>
      </c>
      <c r="O227" s="91" t="str">
        <f>IFERROR(INDEX('NAICS Code to IS CDR Code'!C:C, MATCH('Processed Non-zero DMR Data'!L227,'NAICS Code to IS CDR Code'!A:A,0)), "NAICS/SIC Not Provided")</f>
        <v>NAICS/SIC Not Provided</v>
      </c>
      <c r="P227" s="91" t="str">
        <f>INDEX('11DCA Mapping'!$K:$K, MATCH('Processed Non-zero DMR Data'!I233,'11DCA Mapping'!$J:$J,0))</f>
        <v>Unknown</v>
      </c>
      <c r="Q227" s="91">
        <f>INDEX('11DCA Mapping'!$L:$L, MATCH('Processed Non-zero DMR Data'!I233,'11DCA Mapping'!$J:$J,0))</f>
        <v>0</v>
      </c>
      <c r="R227" s="250" t="str">
        <f>VLOOKUP(I227,'DMR POTW Flag'!$A$2:$B$960,2,FALSE)</f>
        <v>NON-POTW</v>
      </c>
      <c r="S227" s="7" t="s">
        <v>71</v>
      </c>
      <c r="T227" s="7" t="s">
        <v>793</v>
      </c>
      <c r="U227" s="8">
        <f>COUNTIFS('Raw Non-zero DMR Data'!$A:$A, 'Processed Non-zero DMR Data'!A227, 'Raw Non-zero DMR Data'!$C:$C, X227, 'Raw Non-zero DMR Data'!$U:$U,'Processed Non-zero DMR Data'!Y227)</f>
        <v>2</v>
      </c>
      <c r="V227" s="8">
        <f>COUNTIFS('Raw Non-zero DMR Data'!$A:$A, 'Processed Non-zero DMR Data'!A227, 'Raw Non-zero DMR Data'!$C:$C, X227, 'Raw Non-zero DMR Data'!$U:$U,'Processed Non-zero DMR Data'!Y227,'Raw Non-zero DMR Data'!$Z:$Z,"Yes")</f>
        <v>2</v>
      </c>
      <c r="W227">
        <v>2.7346469815000001E-3</v>
      </c>
      <c r="X227" t="s">
        <v>794</v>
      </c>
      <c r="Y227" t="s">
        <v>795</v>
      </c>
      <c r="Z227" s="257">
        <v>20301050507</v>
      </c>
    </row>
    <row r="228" spans="1:26" ht="15" customHeight="1" x14ac:dyDescent="0.25">
      <c r="A228">
        <v>2019</v>
      </c>
      <c r="B228" t="s">
        <v>342</v>
      </c>
      <c r="C228" t="s">
        <v>343</v>
      </c>
      <c r="D228" t="s">
        <v>796</v>
      </c>
      <c r="E228" t="s">
        <v>344</v>
      </c>
      <c r="F228">
        <v>39.585099999999997</v>
      </c>
      <c r="G228">
        <v>-75.649199999999993</v>
      </c>
      <c r="I228" s="1">
        <v>110000338536</v>
      </c>
      <c r="J228">
        <v>2821</v>
      </c>
      <c r="K228" s="175" t="str">
        <f>INDEX('2022 SIC to NAICS'!B:B, MATCH('Processed Non-zero DMR Data'!$J228, '2022 SIC to NAICS'!$A:$A, 0))</f>
        <v>Plastics Materials and Resins</v>
      </c>
      <c r="L228" s="175">
        <f>INDEX('2022 SIC to NAICS'!C:C, MATCH('Processed Non-zero DMR Data'!$J228, '2022 SIC to NAICS'!$A:$A, 0))</f>
        <v>325211</v>
      </c>
      <c r="M228" s="175" t="str">
        <f>INDEX('2022 SIC to NAICS'!D:D, MATCH('Processed Non-zero DMR Data'!$J228, '2022 SIC to NAICS'!$A:$A, 0))</f>
        <v xml:space="preserve">Plastics Material and Resin Manufacturing </v>
      </c>
      <c r="N228" s="90" t="str">
        <f>IFERROR(INDEX('NAICS Code to IS CDR Code'!B:B, MATCH('Processed Non-zero DMR Data'!L228,'NAICS Code to IS CDR Code'!A:A,0)), "NAICS/SIC Not Provided")</f>
        <v>IS22</v>
      </c>
      <c r="O228" s="91" t="str">
        <f>IFERROR(INDEX('NAICS Code to IS CDR Code'!C:C, MATCH('Processed Non-zero DMR Data'!L228,'NAICS Code to IS CDR Code'!A:A,0)), "NAICS/SIC Not Provided")</f>
        <v>Plastic Material and Resin Manufacturing</v>
      </c>
      <c r="P228" s="91" t="e">
        <f>INDEX('11DCA Mapping'!$K:$K, MATCH('Processed Non-zero DMR Data'!I234,'11DCA Mapping'!$J:$J,0))</f>
        <v>#N/A</v>
      </c>
      <c r="Q228" s="91" t="e">
        <f>INDEX('11DCA Mapping'!$L:$L, MATCH('Processed Non-zero DMR Data'!I234,'11DCA Mapping'!$J:$J,0))</f>
        <v>#N/A</v>
      </c>
      <c r="R228" s="250" t="str">
        <f>VLOOKUP(I228,'DMR POTW Flag'!$A$2:$B$960,2,FALSE)</f>
        <v>NON-POTW</v>
      </c>
      <c r="S228" s="7" t="s">
        <v>63</v>
      </c>
      <c r="T228" s="7" t="s">
        <v>5470</v>
      </c>
      <c r="U228" s="8">
        <f>COUNTIFS('Raw Non-zero DMR Data'!$A:$A, 'Processed Non-zero DMR Data'!A228, 'Raw Non-zero DMR Data'!$C:$C, X228, 'Raw Non-zero DMR Data'!$U:$U,'Processed Non-zero DMR Data'!Y228)</f>
        <v>1</v>
      </c>
      <c r="V228" s="8">
        <f>COUNTIFS('Raw Non-zero DMR Data'!$A:$A, 'Processed Non-zero DMR Data'!A228, 'Raw Non-zero DMR Data'!$C:$C, X228, 'Raw Non-zero DMR Data'!$U:$U,'Processed Non-zero DMR Data'!Y228,'Raw Non-zero DMR Data'!$Z:$Z,"Yes")</f>
        <v>1</v>
      </c>
      <c r="W228">
        <v>5.4479999999999997E-3</v>
      </c>
      <c r="X228" t="s">
        <v>797</v>
      </c>
      <c r="Y228" t="s">
        <v>798</v>
      </c>
      <c r="Z228" s="257">
        <v>20402050704</v>
      </c>
    </row>
    <row r="229" spans="1:26" ht="15" customHeight="1" x14ac:dyDescent="0.25">
      <c r="A229">
        <v>2021</v>
      </c>
      <c r="B229" t="s">
        <v>167</v>
      </c>
      <c r="C229" t="s">
        <v>157</v>
      </c>
      <c r="D229" t="s">
        <v>554</v>
      </c>
      <c r="E229" t="s">
        <v>158</v>
      </c>
      <c r="F229">
        <v>36.116160999999998</v>
      </c>
      <c r="G229">
        <v>-115.172741</v>
      </c>
      <c r="I229" s="1">
        <v>110015972562</v>
      </c>
      <c r="J229">
        <v>7011</v>
      </c>
      <c r="K229" s="175" t="str">
        <f>INDEX('2022 SIC to NAICS'!B:B, MATCH('Processed Non-zero DMR Data'!$J229, '2022 SIC to NAICS'!$A:$A, 0))</f>
        <v>Hotels and Motels</v>
      </c>
      <c r="L229" s="175">
        <f>INDEX('2022 SIC to NAICS'!C:C, MATCH('Processed Non-zero DMR Data'!$J229, '2022 SIC to NAICS'!$A:$A, 0))</f>
        <v>721110</v>
      </c>
      <c r="M229" s="175" t="str">
        <f>INDEX('2022 SIC to NAICS'!D:D, MATCH('Processed Non-zero DMR Data'!$J229, '2022 SIC to NAICS'!$A:$A, 0))</f>
        <v xml:space="preserve">Hotels (except Casino Hotels) and Motels </v>
      </c>
      <c r="N229" s="90" t="str">
        <f>IFERROR(INDEX('NAICS Code to IS CDR Code'!B:B, MATCH('Processed Non-zero DMR Data'!L229,'NAICS Code to IS CDR Code'!A:A,0)), "NAICS/SIC Not Provided")</f>
        <v>IS47</v>
      </c>
      <c r="O229" s="91" t="str">
        <f>IFERROR(INDEX('NAICS Code to IS CDR Code'!C:C, MATCH('Processed Non-zero DMR Data'!L229,'NAICS Code to IS CDR Code'!A:A,0)), "NAICS/SIC Not Provided")</f>
        <v>Services</v>
      </c>
      <c r="P229" s="91" t="str">
        <f>INDEX('11DCA Mapping'!$K:$K, MATCH('Processed Non-zero DMR Data'!I78,'11DCA Mapping'!$J:$J,0))</f>
        <v>Unknown</v>
      </c>
      <c r="Q229" s="91" t="str">
        <f>INDEX('11DCA Mapping'!$L:$L, MATCH('Processed Non-zero DMR Data'!I78,'11DCA Mapping'!$J:$J,0))</f>
        <v>Unknown how 1,1-DCA is used in hotels and motels</v>
      </c>
      <c r="R229" s="91" t="str">
        <f>VLOOKUP(I229,'DMR POTW Flag'!$A$2:$B$960,2,FALSE)</f>
        <v>NON-POTW</v>
      </c>
      <c r="S229" s="7" t="s">
        <v>72</v>
      </c>
      <c r="T229" s="244" t="s">
        <v>555</v>
      </c>
      <c r="U229" s="8">
        <f>COUNTIFS('Raw Non-zero DMR Data'!$A:$A, 'Processed Non-zero DMR Data'!A229, 'Raw Non-zero DMR Data'!$C:$C, X229, 'Raw Non-zero DMR Data'!$U:$U,'Processed Non-zero DMR Data'!Y229)</f>
        <v>2</v>
      </c>
      <c r="V229" s="8">
        <f>COUNTIFS('Raw Non-zero DMR Data'!$A:$A, 'Processed Non-zero DMR Data'!A229, 'Raw Non-zero DMR Data'!$C:$C, X229, 'Raw Non-zero DMR Data'!$U:$U,'Processed Non-zero DMR Data'!Y229,'Raw Non-zero DMR Data'!$Z:$Z,"Yes")</f>
        <v>2</v>
      </c>
      <c r="W229">
        <v>0.16047586224999999</v>
      </c>
      <c r="X229" t="s">
        <v>556</v>
      </c>
      <c r="Y229" t="s">
        <v>557</v>
      </c>
      <c r="Z229" s="257">
        <v>150100150505</v>
      </c>
    </row>
    <row r="230" spans="1:26" ht="15" customHeight="1" x14ac:dyDescent="0.25">
      <c r="A230">
        <v>2021</v>
      </c>
      <c r="B230" t="s">
        <v>189</v>
      </c>
      <c r="C230" t="s">
        <v>190</v>
      </c>
      <c r="D230" t="s">
        <v>566</v>
      </c>
      <c r="E230" t="s">
        <v>146</v>
      </c>
      <c r="F230">
        <v>32.803809999999999</v>
      </c>
      <c r="G230">
        <v>-115.53973999999999</v>
      </c>
      <c r="I230" s="1">
        <v>110002672484</v>
      </c>
      <c r="J230" s="186" t="s">
        <v>567</v>
      </c>
      <c r="K230" s="175" t="str">
        <f>INDEX('2022 SIC to NAICS'!B:B, MATCH('Processed Non-zero DMR Data'!$J230, '2022 SIC to NAICS'!$A:$A, 0))</f>
        <v>Fish Hatcheries and Preserves</v>
      </c>
      <c r="L230" s="175">
        <f>INDEX('2022 SIC to NAICS'!C:C, MATCH('Processed Non-zero DMR Data'!$J230, '2022 SIC to NAICS'!$A:$A, 0))</f>
        <v>112511</v>
      </c>
      <c r="M230" s="175" t="str">
        <f>INDEX('2022 SIC to NAICS'!D:D, MATCH('Processed Non-zero DMR Data'!$J230, '2022 SIC to NAICS'!$A:$A, 0))</f>
        <v xml:space="preserve">Finfish Farming and Fish Hatcheries </v>
      </c>
      <c r="N230" s="90" t="str">
        <f>IFERROR(INDEX('NAICS Code to IS CDR Code'!B:B, MATCH('Processed Non-zero DMR Data'!L230,'NAICS Code to IS CDR Code'!A:A,0)), "NAICS/SIC Not Provided")</f>
        <v>IS1</v>
      </c>
      <c r="O230" s="91" t="str">
        <f>IFERROR(INDEX('NAICS Code to IS CDR Code'!C:C, MATCH('Processed Non-zero DMR Data'!L230,'NAICS Code to IS CDR Code'!A:A,0)), "NAICS/SIC Not Provided")</f>
        <v>Agriculture, Forestry, Fishing and Hunting</v>
      </c>
      <c r="P230" s="91" t="str">
        <f>INDEX('11DCA Mapping'!$K:$K, MATCH('Processed Non-zero DMR Data'!I181,'11DCA Mapping'!$J:$J,0))</f>
        <v>Unknown</v>
      </c>
      <c r="Q230" s="91" t="str">
        <f>INDEX('11DCA Mapping'!$L:$L, MATCH('Processed Non-zero DMR Data'!I181,'11DCA Mapping'!$J:$J,0))</f>
        <v>Unknown how 1,1-DCA is used in hotels and motels</v>
      </c>
      <c r="R230" s="91" t="str">
        <f>VLOOKUP(I230,'DMR POTW Flag'!$A$2:$B$960,2,FALSE)</f>
        <v>NON-POTW</v>
      </c>
      <c r="S230" s="7" t="s">
        <v>72</v>
      </c>
      <c r="T230" s="244" t="s">
        <v>568</v>
      </c>
      <c r="U230" s="8">
        <f>COUNTIFS('Raw Non-zero DMR Data'!$A:$A, 'Processed Non-zero DMR Data'!A230, 'Raw Non-zero DMR Data'!$C:$C, X230, 'Raw Non-zero DMR Data'!$U:$U,'Processed Non-zero DMR Data'!Y230)</f>
        <v>2</v>
      </c>
      <c r="V230" s="8">
        <f>COUNTIFS('Raw Non-zero DMR Data'!$A:$A, 'Processed Non-zero DMR Data'!A230, 'Raw Non-zero DMR Data'!$C:$C, X230, 'Raw Non-zero DMR Data'!$U:$U,'Processed Non-zero DMR Data'!Y230,'Raw Non-zero DMR Data'!$Z:$Z,"Yes")</f>
        <v>0</v>
      </c>
      <c r="W230">
        <v>2.0032112500000001E-2</v>
      </c>
      <c r="X230" t="s">
        <v>569</v>
      </c>
      <c r="Y230" t="s">
        <v>570</v>
      </c>
      <c r="Z230" s="257">
        <v>181002040701</v>
      </c>
    </row>
    <row r="231" spans="1:26" ht="15" customHeight="1" x14ac:dyDescent="0.25">
      <c r="A231">
        <v>2021</v>
      </c>
      <c r="B231" t="s">
        <v>189</v>
      </c>
      <c r="C231" t="s">
        <v>190</v>
      </c>
      <c r="D231" t="s">
        <v>566</v>
      </c>
      <c r="E231" t="s">
        <v>146</v>
      </c>
      <c r="F231">
        <v>32.803809999999999</v>
      </c>
      <c r="G231">
        <v>-115.53973999999999</v>
      </c>
      <c r="I231" s="1">
        <v>110002672484</v>
      </c>
      <c r="J231" s="186" t="s">
        <v>567</v>
      </c>
      <c r="K231" s="175" t="str">
        <f>INDEX('2022 SIC to NAICS'!B:B, MATCH('Processed Non-zero DMR Data'!$J231, '2022 SIC to NAICS'!$A:$A, 0))</f>
        <v>Fish Hatcheries and Preserves</v>
      </c>
      <c r="L231" s="175">
        <f>INDEX('2022 SIC to NAICS'!C:C, MATCH('Processed Non-zero DMR Data'!$J231, '2022 SIC to NAICS'!$A:$A, 0))</f>
        <v>112511</v>
      </c>
      <c r="M231" s="175" t="str">
        <f>INDEX('2022 SIC to NAICS'!D:D, MATCH('Processed Non-zero DMR Data'!$J231, '2022 SIC to NAICS'!$A:$A, 0))</f>
        <v xml:space="preserve">Finfish Farming and Fish Hatcheries </v>
      </c>
      <c r="N231" s="90" t="str">
        <f>IFERROR(INDEX('NAICS Code to IS CDR Code'!B:B, MATCH('Processed Non-zero DMR Data'!L231,'NAICS Code to IS CDR Code'!A:A,0)), "NAICS/SIC Not Provided")</f>
        <v>IS1</v>
      </c>
      <c r="O231" s="91" t="str">
        <f>IFERROR(INDEX('NAICS Code to IS CDR Code'!C:C, MATCH('Processed Non-zero DMR Data'!L231,'NAICS Code to IS CDR Code'!A:A,0)), "NAICS/SIC Not Provided")</f>
        <v>Agriculture, Forestry, Fishing and Hunting</v>
      </c>
      <c r="P231" s="91" t="e">
        <f>INDEX('11DCA Mapping'!$K:$K, MATCH('Processed Non-zero DMR Data'!I182,'11DCA Mapping'!$J:$J,0))</f>
        <v>#N/A</v>
      </c>
      <c r="Q231" s="91" t="e">
        <f>INDEX('11DCA Mapping'!$L:$L, MATCH('Processed Non-zero DMR Data'!I182,'11DCA Mapping'!$J:$J,0))</f>
        <v>#N/A</v>
      </c>
      <c r="R231" s="91" t="str">
        <f>VLOOKUP(I231,'DMR POTW Flag'!$A$2:$B$960,2,FALSE)</f>
        <v>NON-POTW</v>
      </c>
      <c r="S231" s="7" t="s">
        <v>72</v>
      </c>
      <c r="T231" s="244" t="s">
        <v>568</v>
      </c>
      <c r="U231" s="8">
        <f>COUNTIFS('Raw Non-zero DMR Data'!$A:$A, 'Processed Non-zero DMR Data'!A231, 'Raw Non-zero DMR Data'!$C:$C, X231, 'Raw Non-zero DMR Data'!$U:$U,'Processed Non-zero DMR Data'!Y231)</f>
        <v>2</v>
      </c>
      <c r="V231" s="8">
        <f>COUNTIFS('Raw Non-zero DMR Data'!$A:$A, 'Processed Non-zero DMR Data'!A231, 'Raw Non-zero DMR Data'!$C:$C, X231, 'Raw Non-zero DMR Data'!$U:$U,'Processed Non-zero DMR Data'!Y231,'Raw Non-zero DMR Data'!$Z:$Z,"Yes")</f>
        <v>0</v>
      </c>
      <c r="W231">
        <v>5.3188712499999999E-2</v>
      </c>
      <c r="X231" t="s">
        <v>569</v>
      </c>
      <c r="Y231" t="s">
        <v>570</v>
      </c>
      <c r="Z231" s="257">
        <v>181002040701</v>
      </c>
    </row>
    <row r="232" spans="1:26" ht="15" customHeight="1" x14ac:dyDescent="0.25">
      <c r="A232">
        <v>2021</v>
      </c>
      <c r="B232" t="s">
        <v>216</v>
      </c>
      <c r="C232" t="s">
        <v>217</v>
      </c>
      <c r="D232" t="s">
        <v>571</v>
      </c>
      <c r="E232" t="s">
        <v>218</v>
      </c>
      <c r="F232">
        <v>40.393799999999999</v>
      </c>
      <c r="G232">
        <v>-105.074</v>
      </c>
      <c r="I232" s="1">
        <v>110070053140</v>
      </c>
      <c r="J232">
        <v>7521</v>
      </c>
      <c r="K232" s="175" t="str">
        <f>INDEX('2022 SIC to NAICS'!B:B, MATCH('Processed Non-zero DMR Data'!$J232, '2022 SIC to NAICS'!$A:$A, 0))</f>
        <v>Automobile Parking</v>
      </c>
      <c r="L232" s="175">
        <f>INDEX('2022 SIC to NAICS'!C:C, MATCH('Processed Non-zero DMR Data'!$J232, '2022 SIC to NAICS'!$A:$A, 0))</f>
        <v>812930</v>
      </c>
      <c r="M232" s="175" t="str">
        <f>INDEX('2022 SIC to NAICS'!D:D, MATCH('Processed Non-zero DMR Data'!$J232, '2022 SIC to NAICS'!$A:$A, 0))</f>
        <v xml:space="preserve">Parking Lots and Garages </v>
      </c>
      <c r="N232" s="90" t="str">
        <f>IFERROR(INDEX('NAICS Code to IS CDR Code'!B:B, MATCH('Processed Non-zero DMR Data'!L232,'NAICS Code to IS CDR Code'!A:A,0)), "NAICS/SIC Not Provided")</f>
        <v>IS47</v>
      </c>
      <c r="O232" s="91" t="str">
        <f>IFERROR(INDEX('NAICS Code to IS CDR Code'!C:C, MATCH('Processed Non-zero DMR Data'!L232,'NAICS Code to IS CDR Code'!A:A,0)), "NAICS/SIC Not Provided")</f>
        <v>Services</v>
      </c>
      <c r="P232" s="91" t="str">
        <f>INDEX('11DCA Mapping'!$K:$K, MATCH('Processed Non-zero DMR Data'!I237,'11DCA Mapping'!$J:$J,0))</f>
        <v>Waste Handling, Disposal, Treatment, and Recycling</v>
      </c>
      <c r="Q232" s="91" t="str">
        <f>INDEX('11DCA Mapping'!$L:$L, MATCH('Processed Non-zero DMR Data'!I237,'11DCA Mapping'!$J:$J,0))</f>
        <v>Site name is a produced water reclamation facility - assumed produced waste water from hydraulic fracturing</v>
      </c>
      <c r="R232" s="91" t="str">
        <f>VLOOKUP(I232,'DMR POTW Flag'!$A$2:$B$960,2,FALSE)</f>
        <v>NON-POTW</v>
      </c>
      <c r="S232" s="7" t="s">
        <v>72</v>
      </c>
      <c r="T232" s="244" t="s">
        <v>572</v>
      </c>
      <c r="U232" s="8">
        <f>COUNTIFS('Raw Non-zero DMR Data'!$A:$A, 'Processed Non-zero DMR Data'!A232, 'Raw Non-zero DMR Data'!$C:$C, X232, 'Raw Non-zero DMR Data'!$U:$U,'Processed Non-zero DMR Data'!Y232)</f>
        <v>1</v>
      </c>
      <c r="V232" s="8">
        <f>COUNTIFS('Raw Non-zero DMR Data'!$A:$A, 'Processed Non-zero DMR Data'!A232, 'Raw Non-zero DMR Data'!$C:$C, X232, 'Raw Non-zero DMR Data'!$U:$U,'Processed Non-zero DMR Data'!Y232,'Raw Non-zero DMR Data'!$Z:$Z,"Yes")</f>
        <v>1</v>
      </c>
      <c r="W232">
        <v>3.9208815000000001E-2</v>
      </c>
      <c r="X232" t="s">
        <v>573</v>
      </c>
      <c r="Y232" t="s">
        <v>574</v>
      </c>
      <c r="Z232" s="257">
        <v>101900060605</v>
      </c>
    </row>
    <row r="233" spans="1:26" ht="15" customHeight="1" x14ac:dyDescent="0.25">
      <c r="A233">
        <v>2021</v>
      </c>
      <c r="B233" t="s">
        <v>362</v>
      </c>
      <c r="C233" t="s">
        <v>363</v>
      </c>
      <c r="D233" t="s">
        <v>712</v>
      </c>
      <c r="E233" t="s">
        <v>364</v>
      </c>
      <c r="F233">
        <v>38.987340000000003</v>
      </c>
      <c r="G233">
        <v>-77.026660000000007</v>
      </c>
      <c r="I233" s="1">
        <v>110037096674</v>
      </c>
      <c r="J233">
        <v>1522</v>
      </c>
      <c r="K233" s="175" t="str">
        <f>INDEX('2022 SIC to NAICS'!B:B, MATCH('Processed Non-zero DMR Data'!$J233, '2022 SIC to NAICS'!$A:$A, 0))</f>
        <v>Residential Construction, Nec</v>
      </c>
      <c r="L233" s="175">
        <f>INDEX('2022 SIC to NAICS'!C:C, MATCH('Processed Non-zero DMR Data'!$J233, '2022 SIC to NAICS'!$A:$A, 0))</f>
        <v>236116</v>
      </c>
      <c r="M233" s="175" t="str">
        <f>INDEX('2022 SIC to NAICS'!D:D, MATCH('Processed Non-zero DMR Data'!$J233, '2022 SIC to NAICS'!$A:$A, 0))</f>
        <v xml:space="preserve">New Multifamily Housing Construction (except For-Sale Builders) </v>
      </c>
      <c r="N233" s="90" t="str">
        <f>IFERROR(INDEX('NAICS Code to IS CDR Code'!B:B, MATCH('Processed Non-zero DMR Data'!L233,'NAICS Code to IS CDR Code'!A:A,0)), "NAICS/SIC Not Provided")</f>
        <v>IS5</v>
      </c>
      <c r="O233" s="91" t="str">
        <f>IFERROR(INDEX('NAICS Code to IS CDR Code'!C:C, MATCH('Processed Non-zero DMR Data'!L233,'NAICS Code to IS CDR Code'!A:A,0)), "NAICS/SIC Not Provided")</f>
        <v>Construction</v>
      </c>
      <c r="P233" s="91" t="str">
        <f>INDEX('11DCA Mapping'!$K:$K, MATCH('Processed Non-zero DMR Data'!I291,'11DCA Mapping'!$J:$J,0))</f>
        <v>Processing as a Reactant</v>
      </c>
      <c r="Q233" s="91" t="str">
        <f>INDEX('11DCA Mapping'!$L:$L, MATCH('Processed Non-zero DMR Data'!I291,'11DCA Mapping'!$J:$J,0))</f>
        <v xml:space="preserve">Assumed processing as a reactant </v>
      </c>
      <c r="R233" s="91" t="str">
        <f>VLOOKUP(I233,'DMR POTW Flag'!$A$2:$B$960,2,FALSE)</f>
        <v>NON-POTW</v>
      </c>
      <c r="S233" s="7" t="s">
        <v>72</v>
      </c>
      <c r="T233" s="244" t="s">
        <v>576</v>
      </c>
      <c r="U233" s="8">
        <f>COUNTIFS('Raw Non-zero DMR Data'!$A:$A, 'Processed Non-zero DMR Data'!A233, 'Raw Non-zero DMR Data'!$C:$C, X233, 'Raw Non-zero DMR Data'!$U:$U,'Processed Non-zero DMR Data'!Y233)</f>
        <v>1</v>
      </c>
      <c r="V233" s="8">
        <f>COUNTIFS('Raw Non-zero DMR Data'!$A:$A, 'Processed Non-zero DMR Data'!A233, 'Raw Non-zero DMR Data'!$C:$C, X233, 'Raw Non-zero DMR Data'!$U:$U,'Processed Non-zero DMR Data'!Y233,'Raw Non-zero DMR Data'!$Z:$Z,"Yes")</f>
        <v>1</v>
      </c>
      <c r="W233">
        <v>6.9468385462500004E-2</v>
      </c>
      <c r="X233" t="s">
        <v>713</v>
      </c>
      <c r="Y233" t="s">
        <v>714</v>
      </c>
      <c r="Z233" s="257">
        <v>20700100102</v>
      </c>
    </row>
    <row r="234" spans="1:26" ht="15" customHeight="1" x14ac:dyDescent="0.25">
      <c r="A234">
        <v>2023</v>
      </c>
      <c r="B234" t="s">
        <v>537</v>
      </c>
      <c r="C234" t="s">
        <v>538</v>
      </c>
      <c r="D234" t="s">
        <v>799</v>
      </c>
      <c r="E234" t="s">
        <v>138</v>
      </c>
      <c r="F234">
        <v>38.213957000000001</v>
      </c>
      <c r="G234">
        <v>-84.873705000000001</v>
      </c>
      <c r="I234" s="1">
        <v>110000732299</v>
      </c>
      <c r="J234">
        <v>4952</v>
      </c>
      <c r="K234" s="175" t="str">
        <f>INDEX('2022 SIC to NAICS'!B:B, MATCH('Processed Non-zero DMR Data'!$J234, '2022 SIC to NAICS'!$A:$A, 0))</f>
        <v>Sewerage Systems</v>
      </c>
      <c r="L234" s="175">
        <f>INDEX('2022 SIC to NAICS'!C:C, MATCH('Processed Non-zero DMR Data'!$J234, '2022 SIC to NAICS'!$A:$A, 0))</f>
        <v>221320</v>
      </c>
      <c r="M234" s="175" t="str">
        <f>INDEX('2022 SIC to NAICS'!D:D, MATCH('Processed Non-zero DMR Data'!$J234, '2022 SIC to NAICS'!$A:$A, 0))</f>
        <v xml:space="preserve">Sewage Treatment Facilities </v>
      </c>
      <c r="N234" s="90" t="str">
        <f>IFERROR(INDEX('NAICS Code to IS CDR Code'!B:B, MATCH('Processed Non-zero DMR Data'!L234,'NAICS Code to IS CDR Code'!A:A,0)), "NAICS/SIC Not Provided")</f>
        <v>IS4</v>
      </c>
      <c r="O234" s="91" t="str">
        <f>IFERROR(INDEX('NAICS Code to IS CDR Code'!C:C, MATCH('Processed Non-zero DMR Data'!L234,'NAICS Code to IS CDR Code'!A:A,0)), "NAICS/SIC Not Provided")</f>
        <v>Utilities</v>
      </c>
      <c r="P234" s="91" t="str">
        <f>INDEX('11DCA Mapping'!$K:$K, MATCH('Processed Non-zero DMR Data'!I240,'11DCA Mapping'!$J:$J,0))</f>
        <v>Waste Handling, Disposal, Treatment, and Recycling</v>
      </c>
      <c r="Q234" s="91" t="str">
        <f>INDEX('11DCA Mapping'!$L:$L, MATCH('Processed Non-zero DMR Data'!I240,'11DCA Mapping'!$J:$J,0))</f>
        <v>Site name is a produced water reclamation facility - assumed produced waste water from hydraulic fracturing</v>
      </c>
      <c r="R234" s="250" t="str">
        <f>VLOOKUP(I234,'DMR POTW Flag'!$A$2:$B$960,2,FALSE)</f>
        <v>POTW</v>
      </c>
      <c r="S234" s="7" t="s">
        <v>67</v>
      </c>
      <c r="T234" s="249" t="s">
        <v>586</v>
      </c>
      <c r="U234" s="8">
        <f>COUNTIFS('Raw Non-zero DMR Data'!$A:$A, 'Processed Non-zero DMR Data'!A234, 'Raw Non-zero DMR Data'!$C:$C, X234, 'Raw Non-zero DMR Data'!$U:$U,'Processed Non-zero DMR Data'!Y234)</f>
        <v>1</v>
      </c>
      <c r="V234" s="8">
        <f>COUNTIFS('Raw Non-zero DMR Data'!$A:$A, 'Processed Non-zero DMR Data'!A234, 'Raw Non-zero DMR Data'!$C:$C, X234, 'Raw Non-zero DMR Data'!$U:$U,'Processed Non-zero DMR Data'!Y234,'Raw Non-zero DMR Data'!$Z:$Z,"Yes")</f>
        <v>1</v>
      </c>
      <c r="W234">
        <v>13.4007925</v>
      </c>
      <c r="X234" t="s">
        <v>800</v>
      </c>
      <c r="Y234" t="s">
        <v>801</v>
      </c>
      <c r="Z234" s="257">
        <v>51002051501</v>
      </c>
    </row>
    <row r="235" spans="1:26" ht="15" customHeight="1" x14ac:dyDescent="0.25">
      <c r="A235">
        <v>2022</v>
      </c>
      <c r="B235" t="s">
        <v>491</v>
      </c>
      <c r="C235" t="s">
        <v>492</v>
      </c>
      <c r="D235" t="s">
        <v>562</v>
      </c>
      <c r="E235" t="s">
        <v>268</v>
      </c>
      <c r="F235">
        <v>39.904949999999999</v>
      </c>
      <c r="G235">
        <v>-80.150440000000003</v>
      </c>
      <c r="I235" s="1">
        <v>110039840740</v>
      </c>
      <c r="J235">
        <v>4952</v>
      </c>
      <c r="K235" s="175" t="str">
        <f>INDEX('2022 SIC to NAICS'!B:B, MATCH('Processed Non-zero DMR Data'!$J235, '2022 SIC to NAICS'!$A:$A, 0))</f>
        <v>Sewerage Systems</v>
      </c>
      <c r="L235" s="175">
        <f>INDEX('2022 SIC to NAICS'!C:C, MATCH('Processed Non-zero DMR Data'!$J235, '2022 SIC to NAICS'!$A:$A, 0))</f>
        <v>221320</v>
      </c>
      <c r="M235" s="175" t="str">
        <f>INDEX('2022 SIC to NAICS'!D:D, MATCH('Processed Non-zero DMR Data'!$J235, '2022 SIC to NAICS'!$A:$A, 0))</f>
        <v xml:space="preserve">Sewage Treatment Facilities </v>
      </c>
      <c r="N235" s="90" t="str">
        <f>IFERROR(INDEX('NAICS Code to IS CDR Code'!B:B, MATCH('Processed Non-zero DMR Data'!L235,'NAICS Code to IS CDR Code'!A:A,0)), "NAICS/SIC Not Provided")</f>
        <v>IS4</v>
      </c>
      <c r="O235" s="91" t="str">
        <f>IFERROR(INDEX('NAICS Code to IS CDR Code'!C:C, MATCH('Processed Non-zero DMR Data'!L235,'NAICS Code to IS CDR Code'!A:A,0)), "NAICS/SIC Not Provided")</f>
        <v>Utilities</v>
      </c>
      <c r="P235" s="91" t="str">
        <f>INDEX('11DCA Mapping'!$K:$K, MATCH('Processed Non-zero DMR Data'!I241,'11DCA Mapping'!$J:$J,0))</f>
        <v>Processing as a Reactant</v>
      </c>
      <c r="Q235" s="91" t="str">
        <f>INDEX('11DCA Mapping'!$L:$L, MATCH('Processed Non-zero DMR Data'!I241,'11DCA Mapping'!$J:$J,0))</f>
        <v>Assumed processing as an intermediate based on NAICS code</v>
      </c>
      <c r="R235" s="250" t="str">
        <f>VLOOKUP(I235,'DMR POTW Flag'!$A$2:$B$960,2,FALSE)</f>
        <v>POTW</v>
      </c>
      <c r="S235" s="7" t="s">
        <v>67</v>
      </c>
      <c r="T235" s="249" t="s">
        <v>586</v>
      </c>
      <c r="U235" s="8">
        <f>COUNTIFS('Raw Non-zero DMR Data'!$A:$A, 'Processed Non-zero DMR Data'!A235, 'Raw Non-zero DMR Data'!$C:$C, X235, 'Raw Non-zero DMR Data'!$U:$U,'Processed Non-zero DMR Data'!Y235)</f>
        <v>1</v>
      </c>
      <c r="V235" s="8">
        <f>COUNTIFS('Raw Non-zero DMR Data'!$A:$A, 'Processed Non-zero DMR Data'!A235, 'Raw Non-zero DMR Data'!$C:$C, X235, 'Raw Non-zero DMR Data'!$U:$U,'Processed Non-zero DMR Data'!Y235,'Raw Non-zero DMR Data'!$Z:$Z,"Yes")</f>
        <v>1</v>
      </c>
      <c r="W235">
        <v>358.70799428571399</v>
      </c>
      <c r="X235" t="s">
        <v>802</v>
      </c>
      <c r="Y235" t="s">
        <v>803</v>
      </c>
      <c r="Z235" s="257">
        <v>50200050305</v>
      </c>
    </row>
    <row r="236" spans="1:26" ht="15" customHeight="1" x14ac:dyDescent="0.25">
      <c r="A236">
        <v>2023</v>
      </c>
      <c r="B236" t="s">
        <v>491</v>
      </c>
      <c r="C236" t="s">
        <v>492</v>
      </c>
      <c r="D236" t="s">
        <v>562</v>
      </c>
      <c r="E236" t="s">
        <v>268</v>
      </c>
      <c r="F236">
        <v>39.904949999999999</v>
      </c>
      <c r="G236">
        <v>-80.150440000000003</v>
      </c>
      <c r="I236" s="1">
        <v>110039840740</v>
      </c>
      <c r="J236">
        <v>4952</v>
      </c>
      <c r="K236" s="175" t="str">
        <f>INDEX('2022 SIC to NAICS'!B:B, MATCH('Processed Non-zero DMR Data'!$J236, '2022 SIC to NAICS'!$A:$A, 0))</f>
        <v>Sewerage Systems</v>
      </c>
      <c r="L236" s="175">
        <f>INDEX('2022 SIC to NAICS'!C:C, MATCH('Processed Non-zero DMR Data'!$J236, '2022 SIC to NAICS'!$A:$A, 0))</f>
        <v>221320</v>
      </c>
      <c r="M236" s="175" t="str">
        <f>INDEX('2022 SIC to NAICS'!D:D, MATCH('Processed Non-zero DMR Data'!$J236, '2022 SIC to NAICS'!$A:$A, 0))</f>
        <v xml:space="preserve">Sewage Treatment Facilities </v>
      </c>
      <c r="N236" s="90" t="str">
        <f>IFERROR(INDEX('NAICS Code to IS CDR Code'!B:B, MATCH('Processed Non-zero DMR Data'!L236,'NAICS Code to IS CDR Code'!A:A,0)), "NAICS/SIC Not Provided")</f>
        <v>IS4</v>
      </c>
      <c r="O236" s="91" t="str">
        <f>IFERROR(INDEX('NAICS Code to IS CDR Code'!C:C, MATCH('Processed Non-zero DMR Data'!L236,'NAICS Code to IS CDR Code'!A:A,0)), "NAICS/SIC Not Provided")</f>
        <v>Utilities</v>
      </c>
      <c r="P236" s="91" t="str">
        <f>INDEX('11DCA Mapping'!$K:$K, MATCH('Processed Non-zero DMR Data'!I242,'11DCA Mapping'!$J:$J,0))</f>
        <v>Processing as a Reactant</v>
      </c>
      <c r="Q236" s="91" t="str">
        <f>INDEX('11DCA Mapping'!$L:$L, MATCH('Processed Non-zero DMR Data'!I242,'11DCA Mapping'!$J:$J,0))</f>
        <v>Assumed processing as an intermediate based on NAICS code</v>
      </c>
      <c r="R236" s="250" t="str">
        <f>VLOOKUP(I236,'DMR POTW Flag'!$A$2:$B$960,2,FALSE)</f>
        <v>POTW</v>
      </c>
      <c r="S236" s="7" t="s">
        <v>67</v>
      </c>
      <c r="T236" s="249" t="s">
        <v>586</v>
      </c>
      <c r="U236" s="8">
        <f>COUNTIFS('Raw Non-zero DMR Data'!$A:$A, 'Processed Non-zero DMR Data'!A236, 'Raw Non-zero DMR Data'!$C:$C, X236, 'Raw Non-zero DMR Data'!$U:$U,'Processed Non-zero DMR Data'!Y236)</f>
        <v>1</v>
      </c>
      <c r="V236" s="8">
        <f>COUNTIFS('Raw Non-zero DMR Data'!$A:$A, 'Processed Non-zero DMR Data'!A236, 'Raw Non-zero DMR Data'!$C:$C, X236, 'Raw Non-zero DMR Data'!$U:$U,'Processed Non-zero DMR Data'!Y236,'Raw Non-zero DMR Data'!$Z:$Z,"Yes")</f>
        <v>1</v>
      </c>
      <c r="W236">
        <v>0.56949760000000005</v>
      </c>
      <c r="X236" t="s">
        <v>802</v>
      </c>
      <c r="Y236" t="s">
        <v>803</v>
      </c>
      <c r="Z236" s="257">
        <v>50200050305</v>
      </c>
    </row>
    <row r="237" spans="1:26" ht="15" customHeight="1" x14ac:dyDescent="0.25">
      <c r="A237">
        <v>2019</v>
      </c>
      <c r="B237" t="s">
        <v>165</v>
      </c>
      <c r="C237" t="s">
        <v>166</v>
      </c>
      <c r="D237" t="s">
        <v>804</v>
      </c>
      <c r="E237" t="s">
        <v>146</v>
      </c>
      <c r="F237">
        <v>35.178620000000002</v>
      </c>
      <c r="G237">
        <v>-120.62067500000001</v>
      </c>
      <c r="I237" s="1">
        <v>110037256867</v>
      </c>
      <c r="J237">
        <v>2911</v>
      </c>
      <c r="K237" s="175" t="str">
        <f>INDEX('2022 SIC to NAICS'!B:B, MATCH('Processed Non-zero DMR Data'!$J237, '2022 SIC to NAICS'!$A:$A, 0))</f>
        <v>Petroleum Refining</v>
      </c>
      <c r="L237" s="175">
        <f>INDEX('2022 SIC to NAICS'!C:C, MATCH('Processed Non-zero DMR Data'!$J237, '2022 SIC to NAICS'!$A:$A, 0))</f>
        <v>324110</v>
      </c>
      <c r="M237" s="175" t="str">
        <f>INDEX('2022 SIC to NAICS'!D:D, MATCH('Processed Non-zero DMR Data'!$J237, '2022 SIC to NAICS'!$A:$A, 0))</f>
        <v>Petroleum Refineries</v>
      </c>
      <c r="N237" s="90" t="str">
        <f>IFERROR(INDEX('NAICS Code to IS CDR Code'!B:B, MATCH('Processed Non-zero DMR Data'!L237,'NAICS Code to IS CDR Code'!A:A,0)), "NAICS/SIC Not Provided")</f>
        <v>IS11</v>
      </c>
      <c r="O237" s="91" t="str">
        <f>IFERROR(INDEX('NAICS Code to IS CDR Code'!C:C, MATCH('Processed Non-zero DMR Data'!L237,'NAICS Code to IS CDR Code'!A:A,0)), "NAICS/SIC Not Provided")</f>
        <v>Petroleum Refineries</v>
      </c>
      <c r="P237" s="91" t="str">
        <f>INDEX('11DCA Mapping'!$K:$K, MATCH('Processed Non-zero DMR Data'!I243,'11DCA Mapping'!$J:$J,0))</f>
        <v>Processing as a Reactant</v>
      </c>
      <c r="Q237" s="91" t="str">
        <f>INDEX('11DCA Mapping'!$L:$L, MATCH('Processed Non-zero DMR Data'!I243,'11DCA Mapping'!$J:$J,0))</f>
        <v>Assumed processing as an intermediate based on NAICS code</v>
      </c>
      <c r="R237" s="250" t="str">
        <f>VLOOKUP(I237,'DMR POTW Flag'!$A$2:$B$960,2,FALSE)</f>
        <v>NON-POTW</v>
      </c>
      <c r="S237" s="7" t="s">
        <v>68</v>
      </c>
      <c r="T237" s="7" t="s">
        <v>805</v>
      </c>
      <c r="U237" s="8">
        <f>COUNTIFS('Raw Non-zero DMR Data'!$A:$A, 'Processed Non-zero DMR Data'!A237, 'Raw Non-zero DMR Data'!$C:$C, X237, 'Raw Non-zero DMR Data'!$U:$U,'Processed Non-zero DMR Data'!Y237)</f>
        <v>1</v>
      </c>
      <c r="V237" s="8">
        <f>COUNTIFS('Raw Non-zero DMR Data'!$A:$A, 'Processed Non-zero DMR Data'!A237, 'Raw Non-zero DMR Data'!$C:$C, X237, 'Raw Non-zero DMR Data'!$U:$U,'Processed Non-zero DMR Data'!Y237,'Raw Non-zero DMR Data'!$Z:$Z,"Yes")</f>
        <v>1</v>
      </c>
      <c r="W237">
        <v>1.8645061399999999E-2</v>
      </c>
      <c r="X237" t="s">
        <v>806</v>
      </c>
      <c r="Y237" t="s">
        <v>807</v>
      </c>
      <c r="Z237" s="257">
        <v>180600060703</v>
      </c>
    </row>
    <row r="238" spans="1:26" ht="15" customHeight="1" x14ac:dyDescent="0.25">
      <c r="A238">
        <v>2020</v>
      </c>
      <c r="B238" t="s">
        <v>165</v>
      </c>
      <c r="C238" t="s">
        <v>166</v>
      </c>
      <c r="D238" t="s">
        <v>804</v>
      </c>
      <c r="E238" t="s">
        <v>146</v>
      </c>
      <c r="F238">
        <v>35.178620000000002</v>
      </c>
      <c r="G238">
        <v>-120.62067500000001</v>
      </c>
      <c r="I238" s="1">
        <v>110037256867</v>
      </c>
      <c r="J238">
        <v>2911</v>
      </c>
      <c r="K238" s="175" t="str">
        <f>INDEX('2022 SIC to NAICS'!B:B, MATCH('Processed Non-zero DMR Data'!$J238, '2022 SIC to NAICS'!$A:$A, 0))</f>
        <v>Petroleum Refining</v>
      </c>
      <c r="L238" s="175">
        <f>INDEX('2022 SIC to NAICS'!C:C, MATCH('Processed Non-zero DMR Data'!$J238, '2022 SIC to NAICS'!$A:$A, 0))</f>
        <v>324110</v>
      </c>
      <c r="M238" s="175" t="str">
        <f>INDEX('2022 SIC to NAICS'!D:D, MATCH('Processed Non-zero DMR Data'!$J238, '2022 SIC to NAICS'!$A:$A, 0))</f>
        <v>Petroleum Refineries</v>
      </c>
      <c r="N238" s="90" t="str">
        <f>IFERROR(INDEX('NAICS Code to IS CDR Code'!B:B, MATCH('Processed Non-zero DMR Data'!L238,'NAICS Code to IS CDR Code'!A:A,0)), "NAICS/SIC Not Provided")</f>
        <v>IS11</v>
      </c>
      <c r="O238" s="91" t="str">
        <f>IFERROR(INDEX('NAICS Code to IS CDR Code'!C:C, MATCH('Processed Non-zero DMR Data'!L238,'NAICS Code to IS CDR Code'!A:A,0)), "NAICS/SIC Not Provided")</f>
        <v>Petroleum Refineries</v>
      </c>
      <c r="P238" s="91" t="str">
        <f>INDEX('11DCA Mapping'!$K:$K, MATCH('Processed Non-zero DMR Data'!I244,'11DCA Mapping'!$J:$J,0))</f>
        <v>Processing as a Reactant</v>
      </c>
      <c r="Q238" s="91" t="str">
        <f>INDEX('11DCA Mapping'!$L:$L, MATCH('Processed Non-zero DMR Data'!I244,'11DCA Mapping'!$J:$J,0))</f>
        <v>Assumed processing as an intermediate based on NAICS code</v>
      </c>
      <c r="R238" s="250" t="str">
        <f>VLOOKUP(I238,'DMR POTW Flag'!$A$2:$B$960,2,FALSE)</f>
        <v>NON-POTW</v>
      </c>
      <c r="S238" s="7" t="s">
        <v>68</v>
      </c>
      <c r="T238" s="7" t="s">
        <v>805</v>
      </c>
      <c r="U238" s="8">
        <f>COUNTIFS('Raw Non-zero DMR Data'!$A:$A, 'Processed Non-zero DMR Data'!A238, 'Raw Non-zero DMR Data'!$C:$C, X238, 'Raw Non-zero DMR Data'!$U:$U,'Processed Non-zero DMR Data'!Y238)</f>
        <v>1</v>
      </c>
      <c r="V238" s="8">
        <f>COUNTIFS('Raw Non-zero DMR Data'!$A:$A, 'Processed Non-zero DMR Data'!A238, 'Raw Non-zero DMR Data'!$C:$C, X238, 'Raw Non-zero DMR Data'!$U:$U,'Processed Non-zero DMR Data'!Y238,'Raw Non-zero DMR Data'!$Z:$Z,"Yes")</f>
        <v>1</v>
      </c>
      <c r="W238">
        <v>1.7465239050000001E-2</v>
      </c>
      <c r="X238" t="s">
        <v>806</v>
      </c>
      <c r="Y238" t="s">
        <v>807</v>
      </c>
      <c r="Z238" s="257">
        <v>180600060703</v>
      </c>
    </row>
    <row r="239" spans="1:26" ht="15" customHeight="1" x14ac:dyDescent="0.25">
      <c r="A239">
        <v>2022</v>
      </c>
      <c r="B239" t="s">
        <v>165</v>
      </c>
      <c r="C239" t="s">
        <v>166</v>
      </c>
      <c r="D239" t="s">
        <v>804</v>
      </c>
      <c r="E239" t="s">
        <v>146</v>
      </c>
      <c r="F239">
        <v>35.178620000000002</v>
      </c>
      <c r="G239">
        <v>-120.62067500000001</v>
      </c>
      <c r="I239" s="1">
        <v>110037256867</v>
      </c>
      <c r="J239">
        <v>2911</v>
      </c>
      <c r="K239" s="175" t="str">
        <f>INDEX('2022 SIC to NAICS'!B:B, MATCH('Processed Non-zero DMR Data'!$J239, '2022 SIC to NAICS'!$A:$A, 0))</f>
        <v>Petroleum Refining</v>
      </c>
      <c r="L239" s="175">
        <f>INDEX('2022 SIC to NAICS'!C:C, MATCH('Processed Non-zero DMR Data'!$J239, '2022 SIC to NAICS'!$A:$A, 0))</f>
        <v>324110</v>
      </c>
      <c r="M239" s="175" t="str">
        <f>INDEX('2022 SIC to NAICS'!D:D, MATCH('Processed Non-zero DMR Data'!$J239, '2022 SIC to NAICS'!$A:$A, 0))</f>
        <v>Petroleum Refineries</v>
      </c>
      <c r="N239" s="90" t="str">
        <f>IFERROR(INDEX('NAICS Code to IS CDR Code'!B:B, MATCH('Processed Non-zero DMR Data'!L239,'NAICS Code to IS CDR Code'!A:A,0)), "NAICS/SIC Not Provided")</f>
        <v>IS11</v>
      </c>
      <c r="O239" s="91" t="str">
        <f>IFERROR(INDEX('NAICS Code to IS CDR Code'!C:C, MATCH('Processed Non-zero DMR Data'!L239,'NAICS Code to IS CDR Code'!A:A,0)), "NAICS/SIC Not Provided")</f>
        <v>Petroleum Refineries</v>
      </c>
      <c r="P239" s="91" t="str">
        <f>INDEX('11DCA Mapping'!$K:$K, MATCH('Processed Non-zero DMR Data'!I245,'11DCA Mapping'!$J:$J,0))</f>
        <v>Processing as a Reactant</v>
      </c>
      <c r="Q239" s="91" t="str">
        <f>INDEX('11DCA Mapping'!$L:$L, MATCH('Processed Non-zero DMR Data'!I245,'11DCA Mapping'!$J:$J,0))</f>
        <v>Assumed processing as an intermediate based on NAICS code</v>
      </c>
      <c r="R239" s="250" t="str">
        <f>VLOOKUP(I239,'DMR POTW Flag'!$A$2:$B$960,2,FALSE)</f>
        <v>NON-POTW</v>
      </c>
      <c r="S239" s="7" t="s">
        <v>68</v>
      </c>
      <c r="T239" s="7" t="s">
        <v>805</v>
      </c>
      <c r="U239" s="8">
        <f>COUNTIFS('Raw Non-zero DMR Data'!$A:$A, 'Processed Non-zero DMR Data'!A239, 'Raw Non-zero DMR Data'!$C:$C, X239, 'Raw Non-zero DMR Data'!$U:$U,'Processed Non-zero DMR Data'!Y239)</f>
        <v>1</v>
      </c>
      <c r="V239" s="8">
        <f>COUNTIFS('Raw Non-zero DMR Data'!$A:$A, 'Processed Non-zero DMR Data'!A239, 'Raw Non-zero DMR Data'!$C:$C, X239, 'Raw Non-zero DMR Data'!$U:$U,'Processed Non-zero DMR Data'!Y239,'Raw Non-zero DMR Data'!$Z:$Z,"Yes")</f>
        <v>1</v>
      </c>
      <c r="W239">
        <v>0.1623291875</v>
      </c>
      <c r="X239" t="s">
        <v>806</v>
      </c>
      <c r="Y239" t="s">
        <v>807</v>
      </c>
      <c r="Z239" s="257">
        <v>180600060703</v>
      </c>
    </row>
    <row r="240" spans="1:26" ht="15" customHeight="1" x14ac:dyDescent="0.25">
      <c r="A240">
        <v>2023</v>
      </c>
      <c r="B240" t="s">
        <v>165</v>
      </c>
      <c r="C240" t="s">
        <v>166</v>
      </c>
      <c r="D240" t="s">
        <v>804</v>
      </c>
      <c r="E240" t="s">
        <v>146</v>
      </c>
      <c r="F240">
        <v>35.178620000000002</v>
      </c>
      <c r="G240">
        <v>-120.62067500000001</v>
      </c>
      <c r="I240" s="1">
        <v>110037256867</v>
      </c>
      <c r="J240">
        <v>2911</v>
      </c>
      <c r="K240" s="175" t="str">
        <f>INDEX('2022 SIC to NAICS'!B:B, MATCH('Processed Non-zero DMR Data'!$J240, '2022 SIC to NAICS'!$A:$A, 0))</f>
        <v>Petroleum Refining</v>
      </c>
      <c r="L240" s="175">
        <f>INDEX('2022 SIC to NAICS'!C:C, MATCH('Processed Non-zero DMR Data'!$J240, '2022 SIC to NAICS'!$A:$A, 0))</f>
        <v>324110</v>
      </c>
      <c r="M240" s="175" t="str">
        <f>INDEX('2022 SIC to NAICS'!D:D, MATCH('Processed Non-zero DMR Data'!$J240, '2022 SIC to NAICS'!$A:$A, 0))</f>
        <v>Petroleum Refineries</v>
      </c>
      <c r="N240" s="90" t="str">
        <f>IFERROR(INDEX('NAICS Code to IS CDR Code'!B:B, MATCH('Processed Non-zero DMR Data'!L240,'NAICS Code to IS CDR Code'!A:A,0)), "NAICS/SIC Not Provided")</f>
        <v>IS11</v>
      </c>
      <c r="O240" s="91" t="str">
        <f>IFERROR(INDEX('NAICS Code to IS CDR Code'!C:C, MATCH('Processed Non-zero DMR Data'!L240,'NAICS Code to IS CDR Code'!A:A,0)), "NAICS/SIC Not Provided")</f>
        <v>Petroleum Refineries</v>
      </c>
      <c r="P240" s="91" t="e">
        <f>INDEX('11DCA Mapping'!$K:$K, MATCH('Processed Non-zero DMR Data'!I246,'11DCA Mapping'!$J:$J,0))</f>
        <v>#N/A</v>
      </c>
      <c r="Q240" s="91" t="e">
        <f>INDEX('11DCA Mapping'!$L:$L, MATCH('Processed Non-zero DMR Data'!I246,'11DCA Mapping'!$J:$J,0))</f>
        <v>#N/A</v>
      </c>
      <c r="R240" s="250" t="str">
        <f>VLOOKUP(I240,'DMR POTW Flag'!$A$2:$B$960,2,FALSE)</f>
        <v>NON-POTW</v>
      </c>
      <c r="S240" s="7" t="s">
        <v>68</v>
      </c>
      <c r="T240" s="7" t="s">
        <v>805</v>
      </c>
      <c r="U240" s="8">
        <f>COUNTIFS('Raw Non-zero DMR Data'!$A:$A, 'Processed Non-zero DMR Data'!A240, 'Raw Non-zero DMR Data'!$C:$C, X240, 'Raw Non-zero DMR Data'!$U:$U,'Processed Non-zero DMR Data'!Y240)</f>
        <v>1</v>
      </c>
      <c r="V240" s="8">
        <f>COUNTIFS('Raw Non-zero DMR Data'!$A:$A, 'Processed Non-zero DMR Data'!A240, 'Raw Non-zero DMR Data'!$C:$C, X240, 'Raw Non-zero DMR Data'!$U:$U,'Processed Non-zero DMR Data'!Y240,'Raw Non-zero DMR Data'!$Z:$Z,"Yes")</f>
        <v>1</v>
      </c>
      <c r="W240">
        <v>1.7959824999999999E-2</v>
      </c>
      <c r="X240" t="s">
        <v>806</v>
      </c>
      <c r="Y240" t="s">
        <v>807</v>
      </c>
      <c r="Z240" s="257">
        <v>180600060703</v>
      </c>
    </row>
    <row r="241" spans="1:26" ht="15" customHeight="1" x14ac:dyDescent="0.25">
      <c r="A241">
        <v>2019</v>
      </c>
      <c r="B241" t="s">
        <v>206</v>
      </c>
      <c r="C241" t="s">
        <v>207</v>
      </c>
      <c r="D241" t="s">
        <v>808</v>
      </c>
      <c r="E241" t="s">
        <v>205</v>
      </c>
      <c r="F241">
        <v>35.722341999999998</v>
      </c>
      <c r="G241">
        <v>-91.524983000000006</v>
      </c>
      <c r="I241" s="1">
        <v>110017432937</v>
      </c>
      <c r="J241">
        <v>2865</v>
      </c>
      <c r="K241" s="175" t="str">
        <f>INDEX('2022 SIC to NAICS'!B:B, MATCH('Processed Non-zero DMR Data'!$J241, '2022 SIC to NAICS'!$A:$A, 0))</f>
        <v>Cyclic Crudes and Intermediates</v>
      </c>
      <c r="L241" s="175">
        <f>INDEX('2022 SIC to NAICS'!C:C, MATCH('Processed Non-zero DMR Data'!$J241, '2022 SIC to NAICS'!$A:$A, 0))</f>
        <v>325110</v>
      </c>
      <c r="M241" s="175" t="str">
        <f>INDEX('2022 SIC to NAICS'!D:D, MATCH('Processed Non-zero DMR Data'!$J241, '2022 SIC to NAICS'!$A:$A, 0))</f>
        <v>Petrochemical Manufacturing</v>
      </c>
      <c r="N241" s="90" t="str">
        <f>IFERROR(INDEX('NAICS Code to IS CDR Code'!B:B, MATCH('Processed Non-zero DMR Data'!L241,'NAICS Code to IS CDR Code'!A:A,0)), "NAICS/SIC Not Provided")</f>
        <v>IS15</v>
      </c>
      <c r="O241" s="91" t="str">
        <f>IFERROR(INDEX('NAICS Code to IS CDR Code'!C:C, MATCH('Processed Non-zero DMR Data'!L241,'NAICS Code to IS CDR Code'!A:A,0)), "NAICS/SIC Not Provided")</f>
        <v>Petrochemical Manufacturing</v>
      </c>
      <c r="P241" s="91" t="e">
        <f>INDEX('11DCA Mapping'!$K:$K, MATCH('Processed Non-zero DMR Data'!I247,'11DCA Mapping'!$J:$J,0))</f>
        <v>#N/A</v>
      </c>
      <c r="Q241" s="91" t="e">
        <f>INDEX('11DCA Mapping'!$L:$L, MATCH('Processed Non-zero DMR Data'!I247,'11DCA Mapping'!$J:$J,0))</f>
        <v>#N/A</v>
      </c>
      <c r="R241" s="250" t="str">
        <f>VLOOKUP(I241,'DMR POTW Flag'!$A$2:$B$960,2,FALSE)</f>
        <v>NON-POTW</v>
      </c>
      <c r="S241" s="7" t="s">
        <v>62</v>
      </c>
      <c r="T241" s="7" t="s">
        <v>809</v>
      </c>
      <c r="U241" s="8">
        <f>COUNTIFS('Raw Non-zero DMR Data'!$A:$A, 'Processed Non-zero DMR Data'!A241, 'Raw Non-zero DMR Data'!$C:$C, X241, 'Raw Non-zero DMR Data'!$U:$U,'Processed Non-zero DMR Data'!Y241)</f>
        <v>1</v>
      </c>
      <c r="V241" s="8">
        <f>COUNTIFS('Raw Non-zero DMR Data'!$A:$A, 'Processed Non-zero DMR Data'!A241, 'Raw Non-zero DMR Data'!$C:$C, X241, 'Raw Non-zero DMR Data'!$U:$U,'Processed Non-zero DMR Data'!Y241,'Raw Non-zero DMR Data'!$Z:$Z,"Yes")</f>
        <v>1</v>
      </c>
      <c r="W241">
        <v>5.8066599999999999</v>
      </c>
      <c r="X241" t="s">
        <v>810</v>
      </c>
      <c r="Y241" t="s">
        <v>811</v>
      </c>
      <c r="Z241" s="257">
        <v>110100040704</v>
      </c>
    </row>
    <row r="242" spans="1:26" ht="15" customHeight="1" x14ac:dyDescent="0.25">
      <c r="A242">
        <v>2020</v>
      </c>
      <c r="B242" t="s">
        <v>206</v>
      </c>
      <c r="C242" t="s">
        <v>207</v>
      </c>
      <c r="D242" t="s">
        <v>808</v>
      </c>
      <c r="E242" t="s">
        <v>205</v>
      </c>
      <c r="F242">
        <v>35.722341999999998</v>
      </c>
      <c r="G242">
        <v>-91.524983000000006</v>
      </c>
      <c r="I242" s="1">
        <v>110017432937</v>
      </c>
      <c r="J242">
        <v>2865</v>
      </c>
      <c r="K242" s="175" t="str">
        <f>INDEX('2022 SIC to NAICS'!B:B, MATCH('Processed Non-zero DMR Data'!$J242, '2022 SIC to NAICS'!$A:$A, 0))</f>
        <v>Cyclic Crudes and Intermediates</v>
      </c>
      <c r="L242" s="175">
        <f>INDEX('2022 SIC to NAICS'!C:C, MATCH('Processed Non-zero DMR Data'!$J242, '2022 SIC to NAICS'!$A:$A, 0))</f>
        <v>325110</v>
      </c>
      <c r="M242" s="175" t="str">
        <f>INDEX('2022 SIC to NAICS'!D:D, MATCH('Processed Non-zero DMR Data'!$J242, '2022 SIC to NAICS'!$A:$A, 0))</f>
        <v>Petrochemical Manufacturing</v>
      </c>
      <c r="N242" s="90" t="str">
        <f>IFERROR(INDEX('NAICS Code to IS CDR Code'!B:B, MATCH('Processed Non-zero DMR Data'!L242,'NAICS Code to IS CDR Code'!A:A,0)), "NAICS/SIC Not Provided")</f>
        <v>IS15</v>
      </c>
      <c r="O242" s="91" t="str">
        <f>IFERROR(INDEX('NAICS Code to IS CDR Code'!C:C, MATCH('Processed Non-zero DMR Data'!L242,'NAICS Code to IS CDR Code'!A:A,0)), "NAICS/SIC Not Provided")</f>
        <v>Petrochemical Manufacturing</v>
      </c>
      <c r="P242" s="91" t="str">
        <f>INDEX('11DCA Mapping'!$K:$K, MATCH('Processed Non-zero DMR Data'!I248,'11DCA Mapping'!$J:$J,0))</f>
        <v>POTW</v>
      </c>
      <c r="Q242" s="91" t="str">
        <f>INDEX('11DCA Mapping'!$L:$L, MATCH('Processed Non-zero DMR Data'!I248,'11DCA Mapping'!$J:$J,0))</f>
        <v>Assigned POTW per "Facility Type Indicator"</v>
      </c>
      <c r="R242" s="250" t="str">
        <f>VLOOKUP(I242,'DMR POTW Flag'!$A$2:$B$960,2,FALSE)</f>
        <v>NON-POTW</v>
      </c>
      <c r="S242" s="7" t="s">
        <v>62</v>
      </c>
      <c r="T242" s="7" t="s">
        <v>809</v>
      </c>
      <c r="U242" s="8">
        <f>COUNTIFS('Raw Non-zero DMR Data'!$A:$A, 'Processed Non-zero DMR Data'!A242, 'Raw Non-zero DMR Data'!$C:$C, X242, 'Raw Non-zero DMR Data'!$U:$U,'Processed Non-zero DMR Data'!Y242)</f>
        <v>1</v>
      </c>
      <c r="V242" s="8">
        <f>COUNTIFS('Raw Non-zero DMR Data'!$A:$A, 'Processed Non-zero DMR Data'!A242, 'Raw Non-zero DMR Data'!$C:$C, X242, 'Raw Non-zero DMR Data'!$U:$U,'Processed Non-zero DMR Data'!Y242,'Raw Non-zero DMR Data'!$Z:$Z,"Yes")</f>
        <v>1</v>
      </c>
      <c r="W242">
        <v>4.9576799999999999</v>
      </c>
      <c r="X242" t="s">
        <v>810</v>
      </c>
      <c r="Y242" t="s">
        <v>811</v>
      </c>
      <c r="Z242" s="257">
        <v>110100040704</v>
      </c>
    </row>
    <row r="243" spans="1:26" ht="15" customHeight="1" x14ac:dyDescent="0.25">
      <c r="A243">
        <v>2021</v>
      </c>
      <c r="B243" t="s">
        <v>206</v>
      </c>
      <c r="C243" t="s">
        <v>207</v>
      </c>
      <c r="D243" t="s">
        <v>808</v>
      </c>
      <c r="E243" t="s">
        <v>205</v>
      </c>
      <c r="F243">
        <v>35.722341999999998</v>
      </c>
      <c r="G243">
        <v>-91.524983000000006</v>
      </c>
      <c r="I243" s="1">
        <v>110017432937</v>
      </c>
      <c r="J243">
        <v>2865</v>
      </c>
      <c r="K243" s="175" t="str">
        <f>INDEX('2022 SIC to NAICS'!B:B, MATCH('Processed Non-zero DMR Data'!$J243, '2022 SIC to NAICS'!$A:$A, 0))</f>
        <v>Cyclic Crudes and Intermediates</v>
      </c>
      <c r="L243" s="175">
        <f>INDEX('2022 SIC to NAICS'!C:C, MATCH('Processed Non-zero DMR Data'!$J243, '2022 SIC to NAICS'!$A:$A, 0))</f>
        <v>325110</v>
      </c>
      <c r="M243" s="175" t="str">
        <f>INDEX('2022 SIC to NAICS'!D:D, MATCH('Processed Non-zero DMR Data'!$J243, '2022 SIC to NAICS'!$A:$A, 0))</f>
        <v>Petrochemical Manufacturing</v>
      </c>
      <c r="N243" s="90" t="str">
        <f>IFERROR(INDEX('NAICS Code to IS CDR Code'!B:B, MATCH('Processed Non-zero DMR Data'!L243,'NAICS Code to IS CDR Code'!A:A,0)), "NAICS/SIC Not Provided")</f>
        <v>IS15</v>
      </c>
      <c r="O243" s="91" t="str">
        <f>IFERROR(INDEX('NAICS Code to IS CDR Code'!C:C, MATCH('Processed Non-zero DMR Data'!L243,'NAICS Code to IS CDR Code'!A:A,0)), "NAICS/SIC Not Provided")</f>
        <v>Petrochemical Manufacturing</v>
      </c>
      <c r="P243" s="91" t="str">
        <f>INDEX('11DCA Mapping'!$K:$K, MATCH('Processed Non-zero DMR Data'!I249,'11DCA Mapping'!$J:$J,0))</f>
        <v>POTW</v>
      </c>
      <c r="Q243" s="91" t="str">
        <f>INDEX('11DCA Mapping'!$L:$L, MATCH('Processed Non-zero DMR Data'!I249,'11DCA Mapping'!$J:$J,0))</f>
        <v>Assigned POTW per "Facility Type Indicator"</v>
      </c>
      <c r="R243" s="250" t="str">
        <f>VLOOKUP(I243,'DMR POTW Flag'!$A$2:$B$960,2,FALSE)</f>
        <v>NON-POTW</v>
      </c>
      <c r="S243" s="7" t="s">
        <v>62</v>
      </c>
      <c r="T243" s="7" t="s">
        <v>809</v>
      </c>
      <c r="U243" s="8">
        <f>COUNTIFS('Raw Non-zero DMR Data'!$A:$A, 'Processed Non-zero DMR Data'!A243, 'Raw Non-zero DMR Data'!$C:$C, X243, 'Raw Non-zero DMR Data'!$U:$U,'Processed Non-zero DMR Data'!Y243)</f>
        <v>1</v>
      </c>
      <c r="V243" s="8">
        <f>COUNTIFS('Raw Non-zero DMR Data'!$A:$A, 'Processed Non-zero DMR Data'!A243, 'Raw Non-zero DMR Data'!$C:$C, X243, 'Raw Non-zero DMR Data'!$U:$U,'Processed Non-zero DMR Data'!Y243,'Raw Non-zero DMR Data'!$Z:$Z,"Yes")</f>
        <v>1</v>
      </c>
      <c r="W243">
        <v>3.3142</v>
      </c>
      <c r="X243" t="s">
        <v>810</v>
      </c>
      <c r="Y243" t="s">
        <v>811</v>
      </c>
      <c r="Z243" s="257">
        <v>110100040704</v>
      </c>
    </row>
    <row r="244" spans="1:26" ht="15" customHeight="1" x14ac:dyDescent="0.25">
      <c r="A244">
        <v>2022</v>
      </c>
      <c r="B244" t="s">
        <v>206</v>
      </c>
      <c r="C244" t="s">
        <v>207</v>
      </c>
      <c r="D244" t="s">
        <v>808</v>
      </c>
      <c r="E244" t="s">
        <v>205</v>
      </c>
      <c r="F244">
        <v>35.722341999999998</v>
      </c>
      <c r="G244">
        <v>-91.524983000000006</v>
      </c>
      <c r="I244" s="1">
        <v>110017432937</v>
      </c>
      <c r="J244">
        <v>2865</v>
      </c>
      <c r="K244" s="175" t="str">
        <f>INDEX('2022 SIC to NAICS'!B:B, MATCH('Processed Non-zero DMR Data'!$J244, '2022 SIC to NAICS'!$A:$A, 0))</f>
        <v>Cyclic Crudes and Intermediates</v>
      </c>
      <c r="L244" s="175">
        <f>INDEX('2022 SIC to NAICS'!C:C, MATCH('Processed Non-zero DMR Data'!$J244, '2022 SIC to NAICS'!$A:$A, 0))</f>
        <v>325110</v>
      </c>
      <c r="M244" s="175" t="str">
        <f>INDEX('2022 SIC to NAICS'!D:D, MATCH('Processed Non-zero DMR Data'!$J244, '2022 SIC to NAICS'!$A:$A, 0))</f>
        <v>Petrochemical Manufacturing</v>
      </c>
      <c r="N244" s="90" t="str">
        <f>IFERROR(INDEX('NAICS Code to IS CDR Code'!B:B, MATCH('Processed Non-zero DMR Data'!L244,'NAICS Code to IS CDR Code'!A:A,0)), "NAICS/SIC Not Provided")</f>
        <v>IS15</v>
      </c>
      <c r="O244" s="91" t="str">
        <f>IFERROR(INDEX('NAICS Code to IS CDR Code'!C:C, MATCH('Processed Non-zero DMR Data'!L244,'NAICS Code to IS CDR Code'!A:A,0)), "NAICS/SIC Not Provided")</f>
        <v>Petrochemical Manufacturing</v>
      </c>
      <c r="P244" s="91" t="str">
        <f>INDEX('11DCA Mapping'!$K:$K, MATCH('Processed Non-zero DMR Data'!I250,'11DCA Mapping'!$J:$J,0))</f>
        <v>POTW</v>
      </c>
      <c r="Q244" s="91" t="str">
        <f>INDEX('11DCA Mapping'!$L:$L, MATCH('Processed Non-zero DMR Data'!I250,'11DCA Mapping'!$J:$J,0))</f>
        <v>Assigned POTW per "Facility Type Indicator"</v>
      </c>
      <c r="R244" s="250" t="str">
        <f>VLOOKUP(I244,'DMR POTW Flag'!$A$2:$B$960,2,FALSE)</f>
        <v>NON-POTW</v>
      </c>
      <c r="S244" s="7" t="s">
        <v>62</v>
      </c>
      <c r="T244" s="7" t="s">
        <v>809</v>
      </c>
      <c r="U244" s="8">
        <f>COUNTIFS('Raw Non-zero DMR Data'!$A:$A, 'Processed Non-zero DMR Data'!A244, 'Raw Non-zero DMR Data'!$C:$C, X244, 'Raw Non-zero DMR Data'!$U:$U,'Processed Non-zero DMR Data'!Y244)</f>
        <v>1</v>
      </c>
      <c r="V244" s="8">
        <f>COUNTIFS('Raw Non-zero DMR Data'!$A:$A, 'Processed Non-zero DMR Data'!A244, 'Raw Non-zero DMR Data'!$C:$C, X244, 'Raw Non-zero DMR Data'!$U:$U,'Processed Non-zero DMR Data'!Y244,'Raw Non-zero DMR Data'!$Z:$Z,"Yes")</f>
        <v>1</v>
      </c>
      <c r="W244">
        <v>5.3889800000000001</v>
      </c>
      <c r="X244" t="s">
        <v>810</v>
      </c>
      <c r="Y244" t="s">
        <v>811</v>
      </c>
      <c r="Z244" s="257">
        <v>110100040704</v>
      </c>
    </row>
    <row r="245" spans="1:26" ht="15" customHeight="1" x14ac:dyDescent="0.25">
      <c r="A245">
        <v>2023</v>
      </c>
      <c r="B245" t="s">
        <v>206</v>
      </c>
      <c r="C245" t="s">
        <v>207</v>
      </c>
      <c r="D245" t="s">
        <v>808</v>
      </c>
      <c r="E245" t="s">
        <v>205</v>
      </c>
      <c r="F245">
        <v>35.722341999999998</v>
      </c>
      <c r="G245">
        <v>-91.524983000000006</v>
      </c>
      <c r="I245" s="1">
        <v>110017432937</v>
      </c>
      <c r="J245">
        <v>2865</v>
      </c>
      <c r="K245" s="175" t="str">
        <f>INDEX('2022 SIC to NAICS'!B:B, MATCH('Processed Non-zero DMR Data'!$J245, '2022 SIC to NAICS'!$A:$A, 0))</f>
        <v>Cyclic Crudes and Intermediates</v>
      </c>
      <c r="L245" s="175">
        <f>INDEX('2022 SIC to NAICS'!C:C, MATCH('Processed Non-zero DMR Data'!$J245, '2022 SIC to NAICS'!$A:$A, 0))</f>
        <v>325110</v>
      </c>
      <c r="M245" s="175" t="str">
        <f>INDEX('2022 SIC to NAICS'!D:D, MATCH('Processed Non-zero DMR Data'!$J245, '2022 SIC to NAICS'!$A:$A, 0))</f>
        <v>Petrochemical Manufacturing</v>
      </c>
      <c r="N245" s="90" t="str">
        <f>IFERROR(INDEX('NAICS Code to IS CDR Code'!B:B, MATCH('Processed Non-zero DMR Data'!L245,'NAICS Code to IS CDR Code'!A:A,0)), "NAICS/SIC Not Provided")</f>
        <v>IS15</v>
      </c>
      <c r="O245" s="91" t="str">
        <f>IFERROR(INDEX('NAICS Code to IS CDR Code'!C:C, MATCH('Processed Non-zero DMR Data'!L245,'NAICS Code to IS CDR Code'!A:A,0)), "NAICS/SIC Not Provided")</f>
        <v>Petrochemical Manufacturing</v>
      </c>
      <c r="P245" s="91" t="str">
        <f>INDEX('11DCA Mapping'!$K:$K, MATCH('Processed Non-zero DMR Data'!I251,'11DCA Mapping'!$J:$J,0))</f>
        <v>POTW</v>
      </c>
      <c r="Q245" s="91" t="str">
        <f>INDEX('11DCA Mapping'!$L:$L, MATCH('Processed Non-zero DMR Data'!I251,'11DCA Mapping'!$J:$J,0))</f>
        <v>Assigned POTW per "Facility Type Indicator"</v>
      </c>
      <c r="R245" s="250" t="str">
        <f>VLOOKUP(I245,'DMR POTW Flag'!$A$2:$B$960,2,FALSE)</f>
        <v>NON-POTW</v>
      </c>
      <c r="S245" s="7" t="s">
        <v>62</v>
      </c>
      <c r="T245" s="7" t="s">
        <v>809</v>
      </c>
      <c r="U245" s="8">
        <f>COUNTIFS('Raw Non-zero DMR Data'!$A:$A, 'Processed Non-zero DMR Data'!A245, 'Raw Non-zero DMR Data'!$C:$C, X245, 'Raw Non-zero DMR Data'!$U:$U,'Processed Non-zero DMR Data'!Y245)</f>
        <v>1</v>
      </c>
      <c r="V245" s="8">
        <f>COUNTIFS('Raw Non-zero DMR Data'!$A:$A, 'Processed Non-zero DMR Data'!A245, 'Raw Non-zero DMR Data'!$C:$C, X245, 'Raw Non-zero DMR Data'!$U:$U,'Processed Non-zero DMR Data'!Y245,'Raw Non-zero DMR Data'!$Z:$Z,"Yes")</f>
        <v>1</v>
      </c>
      <c r="W245">
        <v>4.5536199999999996</v>
      </c>
      <c r="X245" t="s">
        <v>810</v>
      </c>
      <c r="Y245" t="s">
        <v>811</v>
      </c>
      <c r="Z245" s="257">
        <v>110100040704</v>
      </c>
    </row>
    <row r="246" spans="1:26" ht="15" customHeight="1" x14ac:dyDescent="0.25">
      <c r="A246">
        <v>2022</v>
      </c>
      <c r="B246" t="s">
        <v>490</v>
      </c>
      <c r="C246" t="s">
        <v>488</v>
      </c>
      <c r="D246" t="s">
        <v>812</v>
      </c>
      <c r="E246" t="s">
        <v>138</v>
      </c>
      <c r="F246">
        <v>38.217222</v>
      </c>
      <c r="G246">
        <v>-84.564166999999998</v>
      </c>
      <c r="I246" s="1">
        <v>110000732208</v>
      </c>
      <c r="J246">
        <v>4952</v>
      </c>
      <c r="K246" s="175" t="str">
        <f>INDEX('2022 SIC to NAICS'!B:B, MATCH('Processed Non-zero DMR Data'!$J246, '2022 SIC to NAICS'!$A:$A, 0))</f>
        <v>Sewerage Systems</v>
      </c>
      <c r="L246" s="175">
        <f>INDEX('2022 SIC to NAICS'!C:C, MATCH('Processed Non-zero DMR Data'!$J246, '2022 SIC to NAICS'!$A:$A, 0))</f>
        <v>221320</v>
      </c>
      <c r="M246" s="175" t="str">
        <f>INDEX('2022 SIC to NAICS'!D:D, MATCH('Processed Non-zero DMR Data'!$J246, '2022 SIC to NAICS'!$A:$A, 0))</f>
        <v xml:space="preserve">Sewage Treatment Facilities </v>
      </c>
      <c r="N246" s="90" t="str">
        <f>IFERROR(INDEX('NAICS Code to IS CDR Code'!B:B, MATCH('Processed Non-zero DMR Data'!L246,'NAICS Code to IS CDR Code'!A:A,0)), "NAICS/SIC Not Provided")</f>
        <v>IS4</v>
      </c>
      <c r="O246" s="91" t="str">
        <f>IFERROR(INDEX('NAICS Code to IS CDR Code'!C:C, MATCH('Processed Non-zero DMR Data'!L246,'NAICS Code to IS CDR Code'!A:A,0)), "NAICS/SIC Not Provided")</f>
        <v>Utilities</v>
      </c>
      <c r="P246" s="91" t="str">
        <f>INDEX('11DCA Mapping'!$K:$K, MATCH('Processed Non-zero DMR Data'!I252,'11DCA Mapping'!$J:$J,0))</f>
        <v>POTW</v>
      </c>
      <c r="Q246" s="91" t="str">
        <f>INDEX('11DCA Mapping'!$L:$L, MATCH('Processed Non-zero DMR Data'!I252,'11DCA Mapping'!$J:$J,0))</f>
        <v>Assigned POTW per "Facility Type Indicator"</v>
      </c>
      <c r="R246" s="250" t="str">
        <f>VLOOKUP(I246,'DMR POTW Flag'!$A$2:$B$960,2,FALSE)</f>
        <v>POTW</v>
      </c>
      <c r="S246" s="7" t="s">
        <v>67</v>
      </c>
      <c r="T246" s="249" t="s">
        <v>586</v>
      </c>
      <c r="U246" s="8">
        <f>COUNTIFS('Raw Non-zero DMR Data'!$A:$A, 'Processed Non-zero DMR Data'!A246, 'Raw Non-zero DMR Data'!$C:$C, X246, 'Raw Non-zero DMR Data'!$U:$U,'Processed Non-zero DMR Data'!Y246)</f>
        <v>1</v>
      </c>
      <c r="V246" s="8">
        <f>COUNTIFS('Raw Non-zero DMR Data'!$A:$A, 'Processed Non-zero DMR Data'!A246, 'Raw Non-zero DMR Data'!$C:$C, X246, 'Raw Non-zero DMR Data'!$U:$U,'Processed Non-zero DMR Data'!Y246,'Raw Non-zero DMR Data'!$Z:$Z,"Yes")</f>
        <v>1</v>
      </c>
      <c r="W246">
        <v>8.7726837500000006</v>
      </c>
      <c r="X246" t="s">
        <v>813</v>
      </c>
      <c r="Y246" t="s">
        <v>814</v>
      </c>
      <c r="Z246" s="257">
        <v>51002050805</v>
      </c>
    </row>
    <row r="247" spans="1:26" ht="15" customHeight="1" x14ac:dyDescent="0.25">
      <c r="A247">
        <v>2023</v>
      </c>
      <c r="B247" t="s">
        <v>490</v>
      </c>
      <c r="C247" t="s">
        <v>488</v>
      </c>
      <c r="D247" t="s">
        <v>812</v>
      </c>
      <c r="E247" t="s">
        <v>138</v>
      </c>
      <c r="F247">
        <v>38.217222</v>
      </c>
      <c r="G247">
        <v>-84.564166999999998</v>
      </c>
      <c r="I247" s="1">
        <v>110000732208</v>
      </c>
      <c r="J247">
        <v>4952</v>
      </c>
      <c r="K247" s="175" t="str">
        <f>INDEX('2022 SIC to NAICS'!B:B, MATCH('Processed Non-zero DMR Data'!$J247, '2022 SIC to NAICS'!$A:$A, 0))</f>
        <v>Sewerage Systems</v>
      </c>
      <c r="L247" s="175">
        <f>INDEX('2022 SIC to NAICS'!C:C, MATCH('Processed Non-zero DMR Data'!$J247, '2022 SIC to NAICS'!$A:$A, 0))</f>
        <v>221320</v>
      </c>
      <c r="M247" s="175" t="str">
        <f>INDEX('2022 SIC to NAICS'!D:D, MATCH('Processed Non-zero DMR Data'!$J247, '2022 SIC to NAICS'!$A:$A, 0))</f>
        <v xml:space="preserve">Sewage Treatment Facilities </v>
      </c>
      <c r="N247" s="90" t="str">
        <f>IFERROR(INDEX('NAICS Code to IS CDR Code'!B:B, MATCH('Processed Non-zero DMR Data'!L247,'NAICS Code to IS CDR Code'!A:A,0)), "NAICS/SIC Not Provided")</f>
        <v>IS4</v>
      </c>
      <c r="O247" s="91" t="str">
        <f>IFERROR(INDEX('NAICS Code to IS CDR Code'!C:C, MATCH('Processed Non-zero DMR Data'!L247,'NAICS Code to IS CDR Code'!A:A,0)), "NAICS/SIC Not Provided")</f>
        <v>Utilities</v>
      </c>
      <c r="P247" s="91" t="e">
        <f>INDEX('11DCA Mapping'!$K:$K, MATCH('Processed Non-zero DMR Data'!I253,'11DCA Mapping'!$J:$J,0))</f>
        <v>#N/A</v>
      </c>
      <c r="Q247" s="91" t="e">
        <f>INDEX('11DCA Mapping'!$L:$L, MATCH('Processed Non-zero DMR Data'!I253,'11DCA Mapping'!$J:$J,0))</f>
        <v>#N/A</v>
      </c>
      <c r="R247" s="250" t="str">
        <f>VLOOKUP(I247,'DMR POTW Flag'!$A$2:$B$960,2,FALSE)</f>
        <v>POTW</v>
      </c>
      <c r="S247" s="7" t="s">
        <v>67</v>
      </c>
      <c r="T247" s="249" t="s">
        <v>586</v>
      </c>
      <c r="U247" s="8">
        <f>COUNTIFS('Raw Non-zero DMR Data'!$A:$A, 'Processed Non-zero DMR Data'!A247, 'Raw Non-zero DMR Data'!$C:$C, X247, 'Raw Non-zero DMR Data'!$U:$U,'Processed Non-zero DMR Data'!Y247)</f>
        <v>1</v>
      </c>
      <c r="V247" s="8">
        <f>COUNTIFS('Raw Non-zero DMR Data'!$A:$A, 'Processed Non-zero DMR Data'!A247, 'Raw Non-zero DMR Data'!$C:$C, X247, 'Raw Non-zero DMR Data'!$U:$U,'Processed Non-zero DMR Data'!Y247,'Raw Non-zero DMR Data'!$Z:$Z,"Yes")</f>
        <v>1</v>
      </c>
      <c r="W247">
        <v>8.4618406250000007</v>
      </c>
      <c r="X247" t="s">
        <v>813</v>
      </c>
      <c r="Y247" t="s">
        <v>814</v>
      </c>
      <c r="Z247" s="257">
        <v>51002050805</v>
      </c>
    </row>
    <row r="248" spans="1:26" ht="15" customHeight="1" x14ac:dyDescent="0.25">
      <c r="A248">
        <v>2021</v>
      </c>
      <c r="B248" t="s">
        <v>487</v>
      </c>
      <c r="C248" t="s">
        <v>488</v>
      </c>
      <c r="D248" t="s">
        <v>812</v>
      </c>
      <c r="E248" t="s">
        <v>138</v>
      </c>
      <c r="F248">
        <v>38.267437999999999</v>
      </c>
      <c r="G248">
        <v>-84.527996000000002</v>
      </c>
      <c r="I248" s="1">
        <v>110000759741</v>
      </c>
      <c r="J248">
        <v>4952</v>
      </c>
      <c r="K248" s="175" t="str">
        <f>INDEX('2022 SIC to NAICS'!B:B, MATCH('Processed Non-zero DMR Data'!$J248, '2022 SIC to NAICS'!$A:$A, 0))</f>
        <v>Sewerage Systems</v>
      </c>
      <c r="L248" s="175">
        <f>INDEX('2022 SIC to NAICS'!C:C, MATCH('Processed Non-zero DMR Data'!$J248, '2022 SIC to NAICS'!$A:$A, 0))</f>
        <v>221320</v>
      </c>
      <c r="M248" s="175" t="str">
        <f>INDEX('2022 SIC to NAICS'!D:D, MATCH('Processed Non-zero DMR Data'!$J248, '2022 SIC to NAICS'!$A:$A, 0))</f>
        <v xml:space="preserve">Sewage Treatment Facilities </v>
      </c>
      <c r="N248" s="90" t="str">
        <f>IFERROR(INDEX('NAICS Code to IS CDR Code'!B:B, MATCH('Processed Non-zero DMR Data'!L248,'NAICS Code to IS CDR Code'!A:A,0)), "NAICS/SIC Not Provided")</f>
        <v>IS4</v>
      </c>
      <c r="O248" s="91" t="str">
        <f>IFERROR(INDEX('NAICS Code to IS CDR Code'!C:C, MATCH('Processed Non-zero DMR Data'!L248,'NAICS Code to IS CDR Code'!A:A,0)), "NAICS/SIC Not Provided")</f>
        <v>Utilities</v>
      </c>
      <c r="P248" s="91" t="str">
        <f>INDEX('11DCA Mapping'!$K:$K, MATCH('Processed Non-zero DMR Data'!I254,'11DCA Mapping'!$J:$J,0))</f>
        <v>Remediation</v>
      </c>
      <c r="Q248" s="91" t="str">
        <f>INDEX('11DCA Mapping'!$L:$L, MATCH('Processed Non-zero DMR Data'!I254,'11DCA Mapping'!$J:$J,0))</f>
        <v>Brief internet search shows this is a potential cleanup site (https://www.epa.gov/mo/continental-cement-companygreen-america-recycling-llc-facility-hannibal-missouri); could also be hazardous waste disposal</v>
      </c>
      <c r="R248" s="250" t="str">
        <f>VLOOKUP(I248,'DMR POTW Flag'!$A$2:$B$960,2,FALSE)</f>
        <v>POTW</v>
      </c>
      <c r="S248" s="7" t="s">
        <v>67</v>
      </c>
      <c r="T248" s="249" t="s">
        <v>586</v>
      </c>
      <c r="U248" s="8">
        <f>COUNTIFS('Raw Non-zero DMR Data'!$A:$A, 'Processed Non-zero DMR Data'!A248, 'Raw Non-zero DMR Data'!$C:$C, X248, 'Raw Non-zero DMR Data'!$U:$U,'Processed Non-zero DMR Data'!Y248)</f>
        <v>1</v>
      </c>
      <c r="V248" s="8">
        <f>COUNTIFS('Raw Non-zero DMR Data'!$A:$A, 'Processed Non-zero DMR Data'!A248, 'Raw Non-zero DMR Data'!$C:$C, X248, 'Raw Non-zero DMR Data'!$U:$U,'Processed Non-zero DMR Data'!Y248,'Raw Non-zero DMR Data'!$Z:$Z,"Yes")</f>
        <v>1</v>
      </c>
      <c r="W248">
        <v>4.5728477500000002</v>
      </c>
      <c r="X248" t="s">
        <v>815</v>
      </c>
      <c r="Y248" t="s">
        <v>816</v>
      </c>
      <c r="Z248" s="257">
        <v>51002050803</v>
      </c>
    </row>
    <row r="249" spans="1:26" ht="15" customHeight="1" x14ac:dyDescent="0.25">
      <c r="A249">
        <v>2023</v>
      </c>
      <c r="B249" t="s">
        <v>487</v>
      </c>
      <c r="C249" t="s">
        <v>488</v>
      </c>
      <c r="D249" t="s">
        <v>812</v>
      </c>
      <c r="E249" t="s">
        <v>138</v>
      </c>
      <c r="F249">
        <v>38.267437999999999</v>
      </c>
      <c r="G249">
        <v>-84.527996000000002</v>
      </c>
      <c r="I249" s="1">
        <v>110000759741</v>
      </c>
      <c r="J249">
        <v>4952</v>
      </c>
      <c r="K249" s="175" t="str">
        <f>INDEX('2022 SIC to NAICS'!B:B, MATCH('Processed Non-zero DMR Data'!$J249, '2022 SIC to NAICS'!$A:$A, 0))</f>
        <v>Sewerage Systems</v>
      </c>
      <c r="L249" s="175">
        <f>INDEX('2022 SIC to NAICS'!C:C, MATCH('Processed Non-zero DMR Data'!$J249, '2022 SIC to NAICS'!$A:$A, 0))</f>
        <v>221320</v>
      </c>
      <c r="M249" s="175" t="str">
        <f>INDEX('2022 SIC to NAICS'!D:D, MATCH('Processed Non-zero DMR Data'!$J249, '2022 SIC to NAICS'!$A:$A, 0))</f>
        <v xml:space="preserve">Sewage Treatment Facilities </v>
      </c>
      <c r="N249" s="90" t="str">
        <f>IFERROR(INDEX('NAICS Code to IS CDR Code'!B:B, MATCH('Processed Non-zero DMR Data'!L249,'NAICS Code to IS CDR Code'!A:A,0)), "NAICS/SIC Not Provided")</f>
        <v>IS4</v>
      </c>
      <c r="O249" s="91" t="str">
        <f>IFERROR(INDEX('NAICS Code to IS CDR Code'!C:C, MATCH('Processed Non-zero DMR Data'!L249,'NAICS Code to IS CDR Code'!A:A,0)), "NAICS/SIC Not Provided")</f>
        <v>Utilities</v>
      </c>
      <c r="P249" s="91" t="str">
        <f>INDEX('11DCA Mapping'!$K:$K, MATCH('Processed Non-zero DMR Data'!I255,'11DCA Mapping'!$J:$J,0))</f>
        <v>Remediation</v>
      </c>
      <c r="Q249" s="91" t="str">
        <f>INDEX('11DCA Mapping'!$L:$L, MATCH('Processed Non-zero DMR Data'!I255,'11DCA Mapping'!$J:$J,0))</f>
        <v>Brief internet search shows this is a potential cleanup site (https://www.epa.gov/mo/continental-cement-companygreen-america-recycling-llc-facility-hannibal-missouri); could also be hazardous waste disposal</v>
      </c>
      <c r="R249" s="250" t="str">
        <f>VLOOKUP(I249,'DMR POTW Flag'!$A$2:$B$960,2,FALSE)</f>
        <v>POTW</v>
      </c>
      <c r="S249" s="7" t="s">
        <v>67</v>
      </c>
      <c r="T249" s="249" t="s">
        <v>586</v>
      </c>
      <c r="U249" s="8">
        <f>COUNTIFS('Raw Non-zero DMR Data'!$A:$A, 'Processed Non-zero DMR Data'!A249, 'Raw Non-zero DMR Data'!$C:$C, X249, 'Raw Non-zero DMR Data'!$U:$U,'Processed Non-zero DMR Data'!Y249)</f>
        <v>1</v>
      </c>
      <c r="V249" s="8">
        <f>COUNTIFS('Raw Non-zero DMR Data'!$A:$A, 'Processed Non-zero DMR Data'!A249, 'Raw Non-zero DMR Data'!$C:$C, X249, 'Raw Non-zero DMR Data'!$U:$U,'Processed Non-zero DMR Data'!Y249,'Raw Non-zero DMR Data'!$Z:$Z,"Yes")</f>
        <v>1</v>
      </c>
      <c r="W249">
        <v>4.0789525624999996</v>
      </c>
      <c r="X249" t="s">
        <v>815</v>
      </c>
      <c r="Y249" t="s">
        <v>816</v>
      </c>
      <c r="Z249" s="257">
        <v>51002050803</v>
      </c>
    </row>
    <row r="250" spans="1:26" ht="15" customHeight="1" x14ac:dyDescent="0.25">
      <c r="A250">
        <v>2019</v>
      </c>
      <c r="B250" t="s">
        <v>236</v>
      </c>
      <c r="C250" t="s">
        <v>237</v>
      </c>
      <c r="D250" t="s">
        <v>817</v>
      </c>
      <c r="E250" t="s">
        <v>138</v>
      </c>
      <c r="F250">
        <v>36.983809999999998</v>
      </c>
      <c r="G250">
        <v>-85.957089999999994</v>
      </c>
      <c r="I250" s="1">
        <v>110001123276</v>
      </c>
      <c r="J250">
        <v>4952</v>
      </c>
      <c r="K250" s="175" t="str">
        <f>INDEX('2022 SIC to NAICS'!B:B, MATCH('Processed Non-zero DMR Data'!$J250, '2022 SIC to NAICS'!$A:$A, 0))</f>
        <v>Sewerage Systems</v>
      </c>
      <c r="L250" s="175">
        <f>INDEX('2022 SIC to NAICS'!C:C, MATCH('Processed Non-zero DMR Data'!$J250, '2022 SIC to NAICS'!$A:$A, 0))</f>
        <v>221320</v>
      </c>
      <c r="M250" s="175" t="str">
        <f>INDEX('2022 SIC to NAICS'!D:D, MATCH('Processed Non-zero DMR Data'!$J250, '2022 SIC to NAICS'!$A:$A, 0))</f>
        <v xml:space="preserve">Sewage Treatment Facilities </v>
      </c>
      <c r="N250" s="90" t="str">
        <f>IFERROR(INDEX('NAICS Code to IS CDR Code'!B:B, MATCH('Processed Non-zero DMR Data'!L250,'NAICS Code to IS CDR Code'!A:A,0)), "NAICS/SIC Not Provided")</f>
        <v>IS4</v>
      </c>
      <c r="O250" s="91" t="str">
        <f>IFERROR(INDEX('NAICS Code to IS CDR Code'!C:C, MATCH('Processed Non-zero DMR Data'!L250,'NAICS Code to IS CDR Code'!A:A,0)), "NAICS/SIC Not Provided")</f>
        <v>Utilities</v>
      </c>
      <c r="P250" s="91" t="str">
        <f>INDEX('11DCA Mapping'!$K:$K, MATCH('Processed Non-zero DMR Data'!I256,'11DCA Mapping'!$J:$J,0))</f>
        <v>Remediation</v>
      </c>
      <c r="Q250" s="91" t="str">
        <f>INDEX('11DCA Mapping'!$L:$L, MATCH('Processed Non-zero DMR Data'!I256,'11DCA Mapping'!$J:$J,0))</f>
        <v>Brief internet search shows this is a potential cleanup site (https://www.epa.gov/mo/continental-cement-companygreen-america-recycling-llc-facility-hannibal-missouri); could also be hazardous waste disposal</v>
      </c>
      <c r="R250" s="250" t="str">
        <f>VLOOKUP(I250,'DMR POTW Flag'!$A$2:$B$960,2,FALSE)</f>
        <v>POTW</v>
      </c>
      <c r="S250" s="7" t="s">
        <v>67</v>
      </c>
      <c r="T250" s="249" t="s">
        <v>586</v>
      </c>
      <c r="U250" s="8">
        <f>COUNTIFS('Raw Non-zero DMR Data'!$A:$A, 'Processed Non-zero DMR Data'!A250, 'Raw Non-zero DMR Data'!$C:$C, X250, 'Raw Non-zero DMR Data'!$U:$U,'Processed Non-zero DMR Data'!Y250)</f>
        <v>1</v>
      </c>
      <c r="V250" s="8">
        <f>COUNTIFS('Raw Non-zero DMR Data'!$A:$A, 'Processed Non-zero DMR Data'!A250, 'Raw Non-zero DMR Data'!$C:$C, X250, 'Raw Non-zero DMR Data'!$U:$U,'Processed Non-zero DMR Data'!Y250,'Raw Non-zero DMR Data'!$Z:$Z,"Yes")</f>
        <v>1</v>
      </c>
      <c r="W250">
        <v>5.2014416250000002</v>
      </c>
      <c r="X250" t="s">
        <v>818</v>
      </c>
      <c r="Y250" t="s">
        <v>819</v>
      </c>
      <c r="Z250" s="257">
        <v>51100020306</v>
      </c>
    </row>
    <row r="251" spans="1:26" ht="15" customHeight="1" x14ac:dyDescent="0.25">
      <c r="A251">
        <v>2020</v>
      </c>
      <c r="B251" t="s">
        <v>236</v>
      </c>
      <c r="C251" t="s">
        <v>237</v>
      </c>
      <c r="D251" t="s">
        <v>817</v>
      </c>
      <c r="E251" t="s">
        <v>138</v>
      </c>
      <c r="F251">
        <v>36.983809999999998</v>
      </c>
      <c r="G251">
        <v>-85.957089999999994</v>
      </c>
      <c r="I251" s="1">
        <v>110001123276</v>
      </c>
      <c r="J251">
        <v>4952</v>
      </c>
      <c r="K251" s="175" t="str">
        <f>INDEX('2022 SIC to NAICS'!B:B, MATCH('Processed Non-zero DMR Data'!$J251, '2022 SIC to NAICS'!$A:$A, 0))</f>
        <v>Sewerage Systems</v>
      </c>
      <c r="L251" s="175">
        <f>INDEX('2022 SIC to NAICS'!C:C, MATCH('Processed Non-zero DMR Data'!$J251, '2022 SIC to NAICS'!$A:$A, 0))</f>
        <v>221320</v>
      </c>
      <c r="M251" s="175" t="str">
        <f>INDEX('2022 SIC to NAICS'!D:D, MATCH('Processed Non-zero DMR Data'!$J251, '2022 SIC to NAICS'!$A:$A, 0))</f>
        <v xml:space="preserve">Sewage Treatment Facilities </v>
      </c>
      <c r="N251" s="90" t="str">
        <f>IFERROR(INDEX('NAICS Code to IS CDR Code'!B:B, MATCH('Processed Non-zero DMR Data'!L251,'NAICS Code to IS CDR Code'!A:A,0)), "NAICS/SIC Not Provided")</f>
        <v>IS4</v>
      </c>
      <c r="O251" s="91" t="str">
        <f>IFERROR(INDEX('NAICS Code to IS CDR Code'!C:C, MATCH('Processed Non-zero DMR Data'!L251,'NAICS Code to IS CDR Code'!A:A,0)), "NAICS/SIC Not Provided")</f>
        <v>Utilities</v>
      </c>
      <c r="P251" s="91" t="str">
        <f>INDEX('11DCA Mapping'!$K:$K, MATCH('Processed Non-zero DMR Data'!I257,'11DCA Mapping'!$J:$J,0))</f>
        <v>Remediation</v>
      </c>
      <c r="Q251" s="91" t="str">
        <f>INDEX('11DCA Mapping'!$L:$L, MATCH('Processed Non-zero DMR Data'!I257,'11DCA Mapping'!$J:$J,0))</f>
        <v>Brief internet search shows this is a potential cleanup site (https://www.epa.gov/mo/continental-cement-companygreen-america-recycling-llc-facility-hannibal-missouri); could also be hazardous waste disposal</v>
      </c>
      <c r="R251" s="250" t="str">
        <f>VLOOKUP(I251,'DMR POTW Flag'!$A$2:$B$960,2,FALSE)</f>
        <v>POTW</v>
      </c>
      <c r="S251" s="7" t="s">
        <v>67</v>
      </c>
      <c r="T251" s="249" t="s">
        <v>586</v>
      </c>
      <c r="U251" s="8">
        <f>COUNTIFS('Raw Non-zero DMR Data'!$A:$A, 'Processed Non-zero DMR Data'!A251, 'Raw Non-zero DMR Data'!$C:$C, X251, 'Raw Non-zero DMR Data'!$U:$U,'Processed Non-zero DMR Data'!Y251)</f>
        <v>1</v>
      </c>
      <c r="V251" s="8">
        <f>COUNTIFS('Raw Non-zero DMR Data'!$A:$A, 'Processed Non-zero DMR Data'!A251, 'Raw Non-zero DMR Data'!$C:$C, X251, 'Raw Non-zero DMR Data'!$U:$U,'Processed Non-zero DMR Data'!Y251,'Raw Non-zero DMR Data'!$Z:$Z,"Yes")</f>
        <v>1</v>
      </c>
      <c r="W251">
        <v>3.3446720249999999</v>
      </c>
      <c r="X251" t="s">
        <v>818</v>
      </c>
      <c r="Y251" t="s">
        <v>819</v>
      </c>
      <c r="Z251" s="257">
        <v>51100020306</v>
      </c>
    </row>
    <row r="252" spans="1:26" ht="15" customHeight="1" x14ac:dyDescent="0.25">
      <c r="A252">
        <v>2021</v>
      </c>
      <c r="B252" t="s">
        <v>236</v>
      </c>
      <c r="C252" t="s">
        <v>237</v>
      </c>
      <c r="D252" t="s">
        <v>817</v>
      </c>
      <c r="E252" t="s">
        <v>138</v>
      </c>
      <c r="F252">
        <v>36.983809999999998</v>
      </c>
      <c r="G252">
        <v>-85.957089999999994</v>
      </c>
      <c r="I252" s="1">
        <v>110001123276</v>
      </c>
      <c r="J252">
        <v>4952</v>
      </c>
      <c r="K252" s="175" t="str">
        <f>INDEX('2022 SIC to NAICS'!B:B, MATCH('Processed Non-zero DMR Data'!$J252, '2022 SIC to NAICS'!$A:$A, 0))</f>
        <v>Sewerage Systems</v>
      </c>
      <c r="L252" s="175">
        <f>INDEX('2022 SIC to NAICS'!C:C, MATCH('Processed Non-zero DMR Data'!$J252, '2022 SIC to NAICS'!$A:$A, 0))</f>
        <v>221320</v>
      </c>
      <c r="M252" s="175" t="str">
        <f>INDEX('2022 SIC to NAICS'!D:D, MATCH('Processed Non-zero DMR Data'!$J252, '2022 SIC to NAICS'!$A:$A, 0))</f>
        <v xml:space="preserve">Sewage Treatment Facilities </v>
      </c>
      <c r="N252" s="90" t="str">
        <f>IFERROR(INDEX('NAICS Code to IS CDR Code'!B:B, MATCH('Processed Non-zero DMR Data'!L252,'NAICS Code to IS CDR Code'!A:A,0)), "NAICS/SIC Not Provided")</f>
        <v>IS4</v>
      </c>
      <c r="O252" s="91" t="str">
        <f>IFERROR(INDEX('NAICS Code to IS CDR Code'!C:C, MATCH('Processed Non-zero DMR Data'!L252,'NAICS Code to IS CDR Code'!A:A,0)), "NAICS/SIC Not Provided")</f>
        <v>Utilities</v>
      </c>
      <c r="P252" s="91" t="str">
        <f>INDEX('11DCA Mapping'!$K:$K, MATCH('Processed Non-zero DMR Data'!I258,'11DCA Mapping'!$J:$J,0))</f>
        <v>Remediation</v>
      </c>
      <c r="Q252" s="91" t="str">
        <f>INDEX('11DCA Mapping'!$L:$L, MATCH('Processed Non-zero DMR Data'!I258,'11DCA Mapping'!$J:$J,0))</f>
        <v>Brief internet search shows this is a potential cleanup site (https://www.epa.gov/mo/continental-cement-companygreen-america-recycling-llc-facility-hannibal-missouri); could also be hazardous waste disposal</v>
      </c>
      <c r="R252" s="250" t="str">
        <f>VLOOKUP(I252,'DMR POTW Flag'!$A$2:$B$960,2,FALSE)</f>
        <v>POTW</v>
      </c>
      <c r="S252" s="7" t="s">
        <v>67</v>
      </c>
      <c r="T252" s="249" t="s">
        <v>586</v>
      </c>
      <c r="U252" s="8">
        <f>COUNTIFS('Raw Non-zero DMR Data'!$A:$A, 'Processed Non-zero DMR Data'!A252, 'Raw Non-zero DMR Data'!$C:$C, X252, 'Raw Non-zero DMR Data'!$U:$U,'Processed Non-zero DMR Data'!Y252)</f>
        <v>1</v>
      </c>
      <c r="V252" s="8">
        <f>COUNTIFS('Raw Non-zero DMR Data'!$A:$A, 'Processed Non-zero DMR Data'!A252, 'Raw Non-zero DMR Data'!$C:$C, X252, 'Raw Non-zero DMR Data'!$U:$U,'Processed Non-zero DMR Data'!Y252,'Raw Non-zero DMR Data'!$Z:$Z,"Yes")</f>
        <v>1</v>
      </c>
      <c r="W252">
        <v>3.6251215999999999</v>
      </c>
      <c r="X252" t="s">
        <v>818</v>
      </c>
      <c r="Y252" t="s">
        <v>819</v>
      </c>
      <c r="Z252" s="257">
        <v>51100020306</v>
      </c>
    </row>
    <row r="253" spans="1:26" ht="15" customHeight="1" x14ac:dyDescent="0.25">
      <c r="A253">
        <v>2021</v>
      </c>
      <c r="B253" t="s">
        <v>445</v>
      </c>
      <c r="C253" t="s">
        <v>446</v>
      </c>
      <c r="D253" t="s">
        <v>446</v>
      </c>
      <c r="E253" t="s">
        <v>146</v>
      </c>
      <c r="F253">
        <v>33.990146000000003</v>
      </c>
      <c r="G253">
        <v>-118.36358</v>
      </c>
      <c r="I253" s="1">
        <v>110064624018</v>
      </c>
      <c r="J253">
        <v>2911</v>
      </c>
      <c r="K253" s="175" t="str">
        <f>INDEX('2022 SIC to NAICS'!B:B, MATCH('Processed Non-zero DMR Data'!$J253, '2022 SIC to NAICS'!$A:$A, 0))</f>
        <v>Petroleum Refining</v>
      </c>
      <c r="L253" s="175">
        <f>INDEX('2022 SIC to NAICS'!C:C, MATCH('Processed Non-zero DMR Data'!$J253, '2022 SIC to NAICS'!$A:$A, 0))</f>
        <v>324110</v>
      </c>
      <c r="M253" s="175" t="str">
        <f>INDEX('2022 SIC to NAICS'!D:D, MATCH('Processed Non-zero DMR Data'!$J253, '2022 SIC to NAICS'!$A:$A, 0))</f>
        <v>Petroleum Refineries</v>
      </c>
      <c r="N253" s="90" t="str">
        <f>IFERROR(INDEX('NAICS Code to IS CDR Code'!B:B, MATCH('Processed Non-zero DMR Data'!L253,'NAICS Code to IS CDR Code'!A:A,0)), "NAICS/SIC Not Provided")</f>
        <v>IS11</v>
      </c>
      <c r="O253" s="91" t="str">
        <f>IFERROR(INDEX('NAICS Code to IS CDR Code'!C:C, MATCH('Processed Non-zero DMR Data'!L253,'NAICS Code to IS CDR Code'!A:A,0)), "NAICS/SIC Not Provided")</f>
        <v>Petroleum Refineries</v>
      </c>
      <c r="P253" s="91" t="e">
        <f>INDEX('11DCA Mapping'!$K:$K, MATCH('Processed Non-zero DMR Data'!I327,'11DCA Mapping'!$J:$J,0))</f>
        <v>#N/A</v>
      </c>
      <c r="Q253" s="91" t="e">
        <f>INDEX('11DCA Mapping'!$L:$L, MATCH('Processed Non-zero DMR Data'!I327,'11DCA Mapping'!$J:$J,0))</f>
        <v>#N/A</v>
      </c>
      <c r="R253" s="91" t="str">
        <f>VLOOKUP(I253,'DMR POTW Flag'!$A$2:$B$960,2,FALSE)</f>
        <v>NON-POTW</v>
      </c>
      <c r="S253" s="7" t="s">
        <v>72</v>
      </c>
      <c r="T253" s="244" t="s">
        <v>820</v>
      </c>
      <c r="U253" s="8">
        <f>COUNTIFS('Raw Non-zero DMR Data'!$A:$A, 'Processed Non-zero DMR Data'!A253, 'Raw Non-zero DMR Data'!$C:$C, X253, 'Raw Non-zero DMR Data'!$U:$U,'Processed Non-zero DMR Data'!Y253)</f>
        <v>2</v>
      </c>
      <c r="V253" s="8">
        <f>COUNTIFS('Raw Non-zero DMR Data'!$A:$A, 'Processed Non-zero DMR Data'!A253, 'Raw Non-zero DMR Data'!$C:$C, X253, 'Raw Non-zero DMR Data'!$U:$U,'Processed Non-zero DMR Data'!Y253,'Raw Non-zero DMR Data'!$Z:$Z,"Yes")</f>
        <v>2</v>
      </c>
      <c r="W253">
        <v>1.3677097500000001E-2</v>
      </c>
      <c r="X253" t="s">
        <v>821</v>
      </c>
      <c r="Y253" t="s">
        <v>822</v>
      </c>
      <c r="Z253" s="257">
        <v>180701040300</v>
      </c>
    </row>
    <row r="254" spans="1:26" ht="15" customHeight="1" x14ac:dyDescent="0.25">
      <c r="A254">
        <v>2019</v>
      </c>
      <c r="B254" t="s">
        <v>257</v>
      </c>
      <c r="C254" t="s">
        <v>258</v>
      </c>
      <c r="D254" t="s">
        <v>823</v>
      </c>
      <c r="E254" t="s">
        <v>170</v>
      </c>
      <c r="F254">
        <v>39.683477000000003</v>
      </c>
      <c r="G254">
        <v>-91.334682999999998</v>
      </c>
      <c r="I254" s="1">
        <v>110000595981</v>
      </c>
      <c r="J254">
        <v>3241</v>
      </c>
      <c r="K254" s="175" t="str">
        <f>INDEX('2022 SIC to NAICS'!B:B, MATCH('Processed Non-zero DMR Data'!$J254, '2022 SIC to NAICS'!$A:$A, 0))</f>
        <v>Cement, Hydraulic</v>
      </c>
      <c r="L254" s="175">
        <f>INDEX('2022 SIC to NAICS'!C:C, MATCH('Processed Non-zero DMR Data'!$J254, '2022 SIC to NAICS'!$A:$A, 0))</f>
        <v>327310</v>
      </c>
      <c r="M254" s="175" t="str">
        <f>INDEX('2022 SIC to NAICS'!D:D, MATCH('Processed Non-zero DMR Data'!$J254, '2022 SIC to NAICS'!$A:$A, 0))</f>
        <v>Cement Manufacturing</v>
      </c>
      <c r="N254" s="90" t="str">
        <f>IFERROR(INDEX('NAICS Code to IS CDR Code'!B:B, MATCH('Processed Non-zero DMR Data'!L254,'NAICS Code to IS CDR Code'!A:A,0)), "NAICS/SIC Not Provided")</f>
        <v>IS37</v>
      </c>
      <c r="O254" s="91" t="str">
        <f>IFERROR(INDEX('NAICS Code to IS CDR Code'!C:C, MATCH('Processed Non-zero DMR Data'!L254,'NAICS Code to IS CDR Code'!A:A,0)), "NAICS/SIC Not Provided")</f>
        <v>Nonmetallic Mineral Product Manufacturing (includes clay, glass, cement, concrete,
lime, gypsum, and other nonmetallic mineral product manufacturing)</v>
      </c>
      <c r="P254" s="91" t="str">
        <f>INDEX('11DCA Mapping'!$K:$K, MATCH('Processed Non-zero DMR Data'!I260,'11DCA Mapping'!$J:$J,0))</f>
        <v>POTW</v>
      </c>
      <c r="Q254" s="91" t="str">
        <f>INDEX('11DCA Mapping'!$L:$L, MATCH('Processed Non-zero DMR Data'!I260,'11DCA Mapping'!$J:$J,0))</f>
        <v>Assigned POTW per "Facility Type Indicator"</v>
      </c>
      <c r="R254" s="250" t="str">
        <f>VLOOKUP(I254,'DMR POTW Flag'!$A$2:$B$960,2,FALSE)</f>
        <v>NON-POTW</v>
      </c>
      <c r="S254" s="249" t="s">
        <v>70</v>
      </c>
      <c r="T254" s="249" t="s">
        <v>824</v>
      </c>
      <c r="U254" s="8">
        <f>COUNTIFS('Raw Non-zero DMR Data'!$A:$A, 'Processed Non-zero DMR Data'!A254, 'Raw Non-zero DMR Data'!$C:$C, X254, 'Raw Non-zero DMR Data'!$U:$U,'Processed Non-zero DMR Data'!Y254)</f>
        <v>1</v>
      </c>
      <c r="V254" s="8">
        <f>COUNTIFS('Raw Non-zero DMR Data'!$A:$A, 'Processed Non-zero DMR Data'!A254, 'Raw Non-zero DMR Data'!$C:$C, X254, 'Raw Non-zero DMR Data'!$U:$U,'Processed Non-zero DMR Data'!Y254,'Raw Non-zero DMR Data'!$Z:$Z,"Yes")</f>
        <v>1</v>
      </c>
      <c r="W254">
        <v>0.12433725</v>
      </c>
      <c r="X254" t="s">
        <v>825</v>
      </c>
      <c r="Y254" t="s">
        <v>826</v>
      </c>
      <c r="Z254" s="257">
        <v>71100040504</v>
      </c>
    </row>
    <row r="255" spans="1:26" ht="15" customHeight="1" x14ac:dyDescent="0.25">
      <c r="A255">
        <v>2020</v>
      </c>
      <c r="B255" t="s">
        <v>257</v>
      </c>
      <c r="C255" t="s">
        <v>258</v>
      </c>
      <c r="D255" t="s">
        <v>823</v>
      </c>
      <c r="E255" t="s">
        <v>170</v>
      </c>
      <c r="F255">
        <v>39.683477000000003</v>
      </c>
      <c r="G255">
        <v>-91.334682999999998</v>
      </c>
      <c r="I255" s="1">
        <v>110000595981</v>
      </c>
      <c r="J255">
        <v>3241</v>
      </c>
      <c r="K255" s="175" t="str">
        <f>INDEX('2022 SIC to NAICS'!B:B, MATCH('Processed Non-zero DMR Data'!$J255, '2022 SIC to NAICS'!$A:$A, 0))</f>
        <v>Cement, Hydraulic</v>
      </c>
      <c r="L255" s="175">
        <f>INDEX('2022 SIC to NAICS'!C:C, MATCH('Processed Non-zero DMR Data'!$J255, '2022 SIC to NAICS'!$A:$A, 0))</f>
        <v>327310</v>
      </c>
      <c r="M255" s="175" t="str">
        <f>INDEX('2022 SIC to NAICS'!D:D, MATCH('Processed Non-zero DMR Data'!$J255, '2022 SIC to NAICS'!$A:$A, 0))</f>
        <v>Cement Manufacturing</v>
      </c>
      <c r="N255" s="90" t="str">
        <f>IFERROR(INDEX('NAICS Code to IS CDR Code'!B:B, MATCH('Processed Non-zero DMR Data'!L255,'NAICS Code to IS CDR Code'!A:A,0)), "NAICS/SIC Not Provided")</f>
        <v>IS37</v>
      </c>
      <c r="O255" s="91" t="str">
        <f>IFERROR(INDEX('NAICS Code to IS CDR Code'!C:C, MATCH('Processed Non-zero DMR Data'!L255,'NAICS Code to IS CDR Code'!A:A,0)), "NAICS/SIC Not Provided")</f>
        <v>Nonmetallic Mineral Product Manufacturing (includes clay, glass, cement, concrete,
lime, gypsum, and other nonmetallic mineral product manufacturing)</v>
      </c>
      <c r="P255" s="91" t="str">
        <f>INDEX('11DCA Mapping'!$K:$K, MATCH('Processed Non-zero DMR Data'!I261,'11DCA Mapping'!$J:$J,0))</f>
        <v>POTW</v>
      </c>
      <c r="Q255" s="91" t="str">
        <f>INDEX('11DCA Mapping'!$L:$L, MATCH('Processed Non-zero DMR Data'!I261,'11DCA Mapping'!$J:$J,0))</f>
        <v>Assigned POTW per "Facility Type Indicator"</v>
      </c>
      <c r="R255" s="250" t="str">
        <f>VLOOKUP(I255,'DMR POTW Flag'!$A$2:$B$960,2,FALSE)</f>
        <v>NON-POTW</v>
      </c>
      <c r="S255" s="249" t="s">
        <v>70</v>
      </c>
      <c r="T255" s="249" t="s">
        <v>824</v>
      </c>
      <c r="U255" s="8">
        <f>COUNTIFS('Raw Non-zero DMR Data'!$A:$A, 'Processed Non-zero DMR Data'!A255, 'Raw Non-zero DMR Data'!$C:$C, X255, 'Raw Non-zero DMR Data'!$U:$U,'Processed Non-zero DMR Data'!Y255)</f>
        <v>1</v>
      </c>
      <c r="V255" s="8">
        <f>COUNTIFS('Raw Non-zero DMR Data'!$A:$A, 'Processed Non-zero DMR Data'!A255, 'Raw Non-zero DMR Data'!$C:$C, X255, 'Raw Non-zero DMR Data'!$U:$U,'Processed Non-zero DMR Data'!Y255,'Raw Non-zero DMR Data'!$Z:$Z,"Yes")</f>
        <v>1</v>
      </c>
      <c r="W255">
        <v>0.10361437499999999</v>
      </c>
      <c r="X255" t="s">
        <v>825</v>
      </c>
      <c r="Y255" t="s">
        <v>826</v>
      </c>
      <c r="Z255" s="257">
        <v>71100040504</v>
      </c>
    </row>
    <row r="256" spans="1:26" ht="15" customHeight="1" x14ac:dyDescent="0.25">
      <c r="A256">
        <v>2021</v>
      </c>
      <c r="B256" t="s">
        <v>257</v>
      </c>
      <c r="C256" t="s">
        <v>258</v>
      </c>
      <c r="D256" t="s">
        <v>823</v>
      </c>
      <c r="E256" t="s">
        <v>170</v>
      </c>
      <c r="F256">
        <v>39.683477000000003</v>
      </c>
      <c r="G256">
        <v>-91.334682999999998</v>
      </c>
      <c r="I256" s="1">
        <v>110000595981</v>
      </c>
      <c r="J256">
        <v>3241</v>
      </c>
      <c r="K256" s="175" t="str">
        <f>INDEX('2022 SIC to NAICS'!B:B, MATCH('Processed Non-zero DMR Data'!$J256, '2022 SIC to NAICS'!$A:$A, 0))</f>
        <v>Cement, Hydraulic</v>
      </c>
      <c r="L256" s="175">
        <f>INDEX('2022 SIC to NAICS'!C:C, MATCH('Processed Non-zero DMR Data'!$J256, '2022 SIC to NAICS'!$A:$A, 0))</f>
        <v>327310</v>
      </c>
      <c r="M256" s="175" t="str">
        <f>INDEX('2022 SIC to NAICS'!D:D, MATCH('Processed Non-zero DMR Data'!$J256, '2022 SIC to NAICS'!$A:$A, 0))</f>
        <v>Cement Manufacturing</v>
      </c>
      <c r="N256" s="90" t="str">
        <f>IFERROR(INDEX('NAICS Code to IS CDR Code'!B:B, MATCH('Processed Non-zero DMR Data'!L256,'NAICS Code to IS CDR Code'!A:A,0)), "NAICS/SIC Not Provided")</f>
        <v>IS37</v>
      </c>
      <c r="O256" s="91" t="str">
        <f>IFERROR(INDEX('NAICS Code to IS CDR Code'!C:C, MATCH('Processed Non-zero DMR Data'!L256,'NAICS Code to IS CDR Code'!A:A,0)), "NAICS/SIC Not Provided")</f>
        <v>Nonmetallic Mineral Product Manufacturing (includes clay, glass, cement, concrete,
lime, gypsum, and other nonmetallic mineral product manufacturing)</v>
      </c>
      <c r="P256" s="91" t="str">
        <f>INDEX('11DCA Mapping'!$K:$K, MATCH('Processed Non-zero DMR Data'!I262,'11DCA Mapping'!$J:$J,0))</f>
        <v>POTW</v>
      </c>
      <c r="Q256" s="91" t="str">
        <f>INDEX('11DCA Mapping'!$L:$L, MATCH('Processed Non-zero DMR Data'!I262,'11DCA Mapping'!$J:$J,0))</f>
        <v>Assigned POTW per "Facility Type Indicator"</v>
      </c>
      <c r="R256" s="250" t="str">
        <f>VLOOKUP(I256,'DMR POTW Flag'!$A$2:$B$960,2,FALSE)</f>
        <v>NON-POTW</v>
      </c>
      <c r="S256" s="249" t="s">
        <v>70</v>
      </c>
      <c r="T256" s="249" t="s">
        <v>824</v>
      </c>
      <c r="U256" s="8">
        <f>COUNTIFS('Raw Non-zero DMR Data'!$A:$A, 'Processed Non-zero DMR Data'!A256, 'Raw Non-zero DMR Data'!$C:$C, X256, 'Raw Non-zero DMR Data'!$U:$U,'Processed Non-zero DMR Data'!Y256)</f>
        <v>1</v>
      </c>
      <c r="V256" s="8">
        <f>COUNTIFS('Raw Non-zero DMR Data'!$A:$A, 'Processed Non-zero DMR Data'!A256, 'Raw Non-zero DMR Data'!$C:$C, X256, 'Raw Non-zero DMR Data'!$U:$U,'Processed Non-zero DMR Data'!Y256,'Raw Non-zero DMR Data'!$Z:$Z,"Yes")</f>
        <v>1</v>
      </c>
      <c r="W256">
        <v>0.92907556250000001</v>
      </c>
      <c r="X256" t="s">
        <v>825</v>
      </c>
      <c r="Y256" t="s">
        <v>826</v>
      </c>
      <c r="Z256" s="257">
        <v>71100040504</v>
      </c>
    </row>
    <row r="257" spans="1:26" ht="15" customHeight="1" x14ac:dyDescent="0.25">
      <c r="A257">
        <v>2022</v>
      </c>
      <c r="B257" t="s">
        <v>257</v>
      </c>
      <c r="C257" t="s">
        <v>258</v>
      </c>
      <c r="D257" t="s">
        <v>823</v>
      </c>
      <c r="E257" t="s">
        <v>170</v>
      </c>
      <c r="F257">
        <v>39.683477000000003</v>
      </c>
      <c r="G257">
        <v>-91.334682999999998</v>
      </c>
      <c r="I257" s="1">
        <v>110000595981</v>
      </c>
      <c r="J257">
        <v>3241</v>
      </c>
      <c r="K257" s="175" t="str">
        <f>INDEX('2022 SIC to NAICS'!B:B, MATCH('Processed Non-zero DMR Data'!$J257, '2022 SIC to NAICS'!$A:$A, 0))</f>
        <v>Cement, Hydraulic</v>
      </c>
      <c r="L257" s="175">
        <f>INDEX('2022 SIC to NAICS'!C:C, MATCH('Processed Non-zero DMR Data'!$J257, '2022 SIC to NAICS'!$A:$A, 0))</f>
        <v>327310</v>
      </c>
      <c r="M257" s="175" t="str">
        <f>INDEX('2022 SIC to NAICS'!D:D, MATCH('Processed Non-zero DMR Data'!$J257, '2022 SIC to NAICS'!$A:$A, 0))</f>
        <v>Cement Manufacturing</v>
      </c>
      <c r="N257" s="90" t="str">
        <f>IFERROR(INDEX('NAICS Code to IS CDR Code'!B:B, MATCH('Processed Non-zero DMR Data'!L257,'NAICS Code to IS CDR Code'!A:A,0)), "NAICS/SIC Not Provided")</f>
        <v>IS37</v>
      </c>
      <c r="O257" s="91" t="str">
        <f>IFERROR(INDEX('NAICS Code to IS CDR Code'!C:C, MATCH('Processed Non-zero DMR Data'!L257,'NAICS Code to IS CDR Code'!A:A,0)), "NAICS/SIC Not Provided")</f>
        <v>Nonmetallic Mineral Product Manufacturing (includes clay, glass, cement, concrete,
lime, gypsum, and other nonmetallic mineral product manufacturing)</v>
      </c>
      <c r="P257" s="91" t="str">
        <f>INDEX('11DCA Mapping'!$K:$K, MATCH('Processed Non-zero DMR Data'!I263,'11DCA Mapping'!$J:$J,0))</f>
        <v>POTW</v>
      </c>
      <c r="Q257" s="91" t="str">
        <f>INDEX('11DCA Mapping'!$L:$L, MATCH('Processed Non-zero DMR Data'!I263,'11DCA Mapping'!$J:$J,0))</f>
        <v>Assigned POTW per "Facility Type Indicator"</v>
      </c>
      <c r="R257" s="250" t="str">
        <f>VLOOKUP(I257,'DMR POTW Flag'!$A$2:$B$960,2,FALSE)</f>
        <v>NON-POTW</v>
      </c>
      <c r="S257" s="249" t="s">
        <v>70</v>
      </c>
      <c r="T257" s="249" t="s">
        <v>824</v>
      </c>
      <c r="U257" s="8">
        <f>COUNTIFS('Raw Non-zero DMR Data'!$A:$A, 'Processed Non-zero DMR Data'!A257, 'Raw Non-zero DMR Data'!$C:$C, X257, 'Raw Non-zero DMR Data'!$U:$U,'Processed Non-zero DMR Data'!Y257)</f>
        <v>1</v>
      </c>
      <c r="V257" s="8">
        <f>COUNTIFS('Raw Non-zero DMR Data'!$A:$A, 'Processed Non-zero DMR Data'!A257, 'Raw Non-zero DMR Data'!$C:$C, X257, 'Raw Non-zero DMR Data'!$U:$U,'Processed Non-zero DMR Data'!Y257,'Raw Non-zero DMR Data'!$Z:$Z,"Yes")</f>
        <v>1</v>
      </c>
      <c r="W257">
        <v>0.55261000000000005</v>
      </c>
      <c r="X257" t="s">
        <v>825</v>
      </c>
      <c r="Y257" t="s">
        <v>826</v>
      </c>
      <c r="Z257" s="257">
        <v>71100040504</v>
      </c>
    </row>
    <row r="258" spans="1:26" ht="15" customHeight="1" x14ac:dyDescent="0.25">
      <c r="A258">
        <v>2023</v>
      </c>
      <c r="B258" t="s">
        <v>257</v>
      </c>
      <c r="C258" t="s">
        <v>258</v>
      </c>
      <c r="D258" t="s">
        <v>823</v>
      </c>
      <c r="E258" t="s">
        <v>170</v>
      </c>
      <c r="F258">
        <v>39.683477000000003</v>
      </c>
      <c r="G258">
        <v>-91.334682999999998</v>
      </c>
      <c r="I258" s="1">
        <v>110000595981</v>
      </c>
      <c r="J258">
        <v>3241</v>
      </c>
      <c r="K258" s="175" t="str">
        <f>INDEX('2022 SIC to NAICS'!B:B, MATCH('Processed Non-zero DMR Data'!$J258, '2022 SIC to NAICS'!$A:$A, 0))</f>
        <v>Cement, Hydraulic</v>
      </c>
      <c r="L258" s="175">
        <f>INDEX('2022 SIC to NAICS'!C:C, MATCH('Processed Non-zero DMR Data'!$J258, '2022 SIC to NAICS'!$A:$A, 0))</f>
        <v>327310</v>
      </c>
      <c r="M258" s="175" t="str">
        <f>INDEX('2022 SIC to NAICS'!D:D, MATCH('Processed Non-zero DMR Data'!$J258, '2022 SIC to NAICS'!$A:$A, 0))</f>
        <v>Cement Manufacturing</v>
      </c>
      <c r="N258" s="90" t="str">
        <f>IFERROR(INDEX('NAICS Code to IS CDR Code'!B:B, MATCH('Processed Non-zero DMR Data'!L258,'NAICS Code to IS CDR Code'!A:A,0)), "NAICS/SIC Not Provided")</f>
        <v>IS37</v>
      </c>
      <c r="O258" s="91" t="str">
        <f>IFERROR(INDEX('NAICS Code to IS CDR Code'!C:C, MATCH('Processed Non-zero DMR Data'!L258,'NAICS Code to IS CDR Code'!A:A,0)), "NAICS/SIC Not Provided")</f>
        <v>Nonmetallic Mineral Product Manufacturing (includes clay, glass, cement, concrete,
lime, gypsum, and other nonmetallic mineral product manufacturing)</v>
      </c>
      <c r="P258" s="91" t="str">
        <f>INDEX('11DCA Mapping'!$K:$K, MATCH('Processed Non-zero DMR Data'!I264,'11DCA Mapping'!$J:$J,0))</f>
        <v>POTW</v>
      </c>
      <c r="Q258" s="91" t="str">
        <f>INDEX('11DCA Mapping'!$L:$L, MATCH('Processed Non-zero DMR Data'!I264,'11DCA Mapping'!$J:$J,0))</f>
        <v>Assigned POTW per "Facility Type Indicator"</v>
      </c>
      <c r="R258" s="250" t="str">
        <f>VLOOKUP(I258,'DMR POTW Flag'!$A$2:$B$960,2,FALSE)</f>
        <v>NON-POTW</v>
      </c>
      <c r="S258" s="249" t="s">
        <v>70</v>
      </c>
      <c r="T258" s="249" t="s">
        <v>824</v>
      </c>
      <c r="U258" s="8">
        <f>COUNTIFS('Raw Non-zero DMR Data'!$A:$A, 'Processed Non-zero DMR Data'!A258, 'Raw Non-zero DMR Data'!$C:$C, X258, 'Raw Non-zero DMR Data'!$U:$U,'Processed Non-zero DMR Data'!Y258)</f>
        <v>1</v>
      </c>
      <c r="V258" s="8">
        <f>COUNTIFS('Raw Non-zero DMR Data'!$A:$A, 'Processed Non-zero DMR Data'!A258, 'Raw Non-zero DMR Data'!$C:$C, X258, 'Raw Non-zero DMR Data'!$U:$U,'Processed Non-zero DMR Data'!Y258,'Raw Non-zero DMR Data'!$Z:$Z,"Yes")</f>
        <v>1</v>
      </c>
      <c r="W258">
        <v>0.110522</v>
      </c>
      <c r="X258" t="s">
        <v>825</v>
      </c>
      <c r="Y258" t="s">
        <v>826</v>
      </c>
      <c r="Z258" s="257">
        <v>71100040504</v>
      </c>
    </row>
    <row r="259" spans="1:26" ht="15" customHeight="1" x14ac:dyDescent="0.25">
      <c r="A259">
        <v>2020</v>
      </c>
      <c r="B259" t="s">
        <v>437</v>
      </c>
      <c r="C259" t="s">
        <v>438</v>
      </c>
      <c r="D259" t="s">
        <v>827</v>
      </c>
      <c r="E259" t="s">
        <v>138</v>
      </c>
      <c r="F259">
        <v>38.551630000000003</v>
      </c>
      <c r="G259">
        <v>-82.778199999999998</v>
      </c>
      <c r="I259" s="1">
        <v>110000759723</v>
      </c>
      <c r="J259">
        <v>4952</v>
      </c>
      <c r="K259" s="175" t="str">
        <f>INDEX('2022 SIC to NAICS'!B:B, MATCH('Processed Non-zero DMR Data'!$J259, '2022 SIC to NAICS'!$A:$A, 0))</f>
        <v>Sewerage Systems</v>
      </c>
      <c r="L259" s="175">
        <f>INDEX('2022 SIC to NAICS'!C:C, MATCH('Processed Non-zero DMR Data'!$J259, '2022 SIC to NAICS'!$A:$A, 0))</f>
        <v>221320</v>
      </c>
      <c r="M259" s="175" t="str">
        <f>INDEX('2022 SIC to NAICS'!D:D, MATCH('Processed Non-zero DMR Data'!$J259, '2022 SIC to NAICS'!$A:$A, 0))</f>
        <v xml:space="preserve">Sewage Treatment Facilities </v>
      </c>
      <c r="N259" s="90" t="str">
        <f>IFERROR(INDEX('NAICS Code to IS CDR Code'!B:B, MATCH('Processed Non-zero DMR Data'!L259,'NAICS Code to IS CDR Code'!A:A,0)), "NAICS/SIC Not Provided")</f>
        <v>IS4</v>
      </c>
      <c r="O259" s="91" t="str">
        <f>IFERROR(INDEX('NAICS Code to IS CDR Code'!C:C, MATCH('Processed Non-zero DMR Data'!L259,'NAICS Code to IS CDR Code'!A:A,0)), "NAICS/SIC Not Provided")</f>
        <v>Utilities</v>
      </c>
      <c r="P259" s="91" t="e">
        <f>INDEX('11DCA Mapping'!$K:$K, MATCH('Processed Non-zero DMR Data'!I265,'11DCA Mapping'!$J:$J,0))</f>
        <v>#N/A</v>
      </c>
      <c r="Q259" s="91" t="e">
        <f>INDEX('11DCA Mapping'!$L:$L, MATCH('Processed Non-zero DMR Data'!I265,'11DCA Mapping'!$J:$J,0))</f>
        <v>#N/A</v>
      </c>
      <c r="R259" s="250" t="str">
        <f>VLOOKUP(I259,'DMR POTW Flag'!$A$2:$B$960,2,FALSE)</f>
        <v>POTW</v>
      </c>
      <c r="S259" s="7" t="s">
        <v>67</v>
      </c>
      <c r="T259" s="249" t="s">
        <v>586</v>
      </c>
      <c r="U259" s="8">
        <f>COUNTIFS('Raw Non-zero DMR Data'!$A:$A, 'Processed Non-zero DMR Data'!A259, 'Raw Non-zero DMR Data'!$C:$C, X259, 'Raw Non-zero DMR Data'!$U:$U,'Processed Non-zero DMR Data'!Y259)</f>
        <v>1</v>
      </c>
      <c r="V259" s="8">
        <f>COUNTIFS('Raw Non-zero DMR Data'!$A:$A, 'Processed Non-zero DMR Data'!A259, 'Raw Non-zero DMR Data'!$C:$C, X259, 'Raw Non-zero DMR Data'!$U:$U,'Processed Non-zero DMR Data'!Y259,'Raw Non-zero DMR Data'!$Z:$Z,"Yes")</f>
        <v>1</v>
      </c>
      <c r="W259">
        <v>1.3815249999999999</v>
      </c>
      <c r="X259" t="s">
        <v>828</v>
      </c>
      <c r="Y259" t="s">
        <v>829</v>
      </c>
      <c r="Z259" s="257">
        <v>50901030105</v>
      </c>
    </row>
    <row r="260" spans="1:26" ht="15" customHeight="1" x14ac:dyDescent="0.25">
      <c r="A260">
        <v>2021</v>
      </c>
      <c r="B260" t="s">
        <v>437</v>
      </c>
      <c r="C260" t="s">
        <v>438</v>
      </c>
      <c r="D260" t="s">
        <v>827</v>
      </c>
      <c r="E260" t="s">
        <v>138</v>
      </c>
      <c r="F260">
        <v>38.551630000000003</v>
      </c>
      <c r="G260">
        <v>-82.778199999999998</v>
      </c>
      <c r="I260" s="1">
        <v>110000759723</v>
      </c>
      <c r="J260">
        <v>4952</v>
      </c>
      <c r="K260" s="175" t="str">
        <f>INDEX('2022 SIC to NAICS'!B:B, MATCH('Processed Non-zero DMR Data'!$J260, '2022 SIC to NAICS'!$A:$A, 0))</f>
        <v>Sewerage Systems</v>
      </c>
      <c r="L260" s="175">
        <f>INDEX('2022 SIC to NAICS'!C:C, MATCH('Processed Non-zero DMR Data'!$J260, '2022 SIC to NAICS'!$A:$A, 0))</f>
        <v>221320</v>
      </c>
      <c r="M260" s="175" t="str">
        <f>INDEX('2022 SIC to NAICS'!D:D, MATCH('Processed Non-zero DMR Data'!$J260, '2022 SIC to NAICS'!$A:$A, 0))</f>
        <v xml:space="preserve">Sewage Treatment Facilities </v>
      </c>
      <c r="N260" s="90" t="str">
        <f>IFERROR(INDEX('NAICS Code to IS CDR Code'!B:B, MATCH('Processed Non-zero DMR Data'!L260,'NAICS Code to IS CDR Code'!A:A,0)), "NAICS/SIC Not Provided")</f>
        <v>IS4</v>
      </c>
      <c r="O260" s="91" t="str">
        <f>IFERROR(INDEX('NAICS Code to IS CDR Code'!C:C, MATCH('Processed Non-zero DMR Data'!L260,'NAICS Code to IS CDR Code'!A:A,0)), "NAICS/SIC Not Provided")</f>
        <v>Utilities</v>
      </c>
      <c r="P260" s="91" t="e">
        <f>INDEX('11DCA Mapping'!$K:$K, MATCH('Processed Non-zero DMR Data'!I266,'11DCA Mapping'!$J:$J,0))</f>
        <v>#N/A</v>
      </c>
      <c r="Q260" s="91" t="e">
        <f>INDEX('11DCA Mapping'!$L:$L, MATCH('Processed Non-zero DMR Data'!I266,'11DCA Mapping'!$J:$J,0))</f>
        <v>#N/A</v>
      </c>
      <c r="R260" s="250" t="str">
        <f>VLOOKUP(I260,'DMR POTW Flag'!$A$2:$B$960,2,FALSE)</f>
        <v>POTW</v>
      </c>
      <c r="S260" s="7" t="s">
        <v>67</v>
      </c>
      <c r="T260" s="249" t="s">
        <v>586</v>
      </c>
      <c r="U260" s="8">
        <f>COUNTIFS('Raw Non-zero DMR Data'!$A:$A, 'Processed Non-zero DMR Data'!A260, 'Raw Non-zero DMR Data'!$C:$C, X260, 'Raw Non-zero DMR Data'!$U:$U,'Processed Non-zero DMR Data'!Y260)</f>
        <v>1</v>
      </c>
      <c r="V260" s="8">
        <f>COUNTIFS('Raw Non-zero DMR Data'!$A:$A, 'Processed Non-zero DMR Data'!A260, 'Raw Non-zero DMR Data'!$C:$C, X260, 'Raw Non-zero DMR Data'!$U:$U,'Processed Non-zero DMR Data'!Y260,'Raw Non-zero DMR Data'!$Z:$Z,"Yes")</f>
        <v>1</v>
      </c>
      <c r="W260">
        <v>1.0050594374999999</v>
      </c>
      <c r="X260" t="s">
        <v>828</v>
      </c>
      <c r="Y260" t="s">
        <v>829</v>
      </c>
      <c r="Z260" s="257">
        <v>50901030105</v>
      </c>
    </row>
    <row r="261" spans="1:26" ht="15" customHeight="1" x14ac:dyDescent="0.25">
      <c r="A261">
        <v>2019</v>
      </c>
      <c r="B261" t="s">
        <v>227</v>
      </c>
      <c r="C261" t="s">
        <v>228</v>
      </c>
      <c r="D261" t="s">
        <v>830</v>
      </c>
      <c r="E261" t="s">
        <v>138</v>
      </c>
      <c r="F261">
        <v>36.644849999999998</v>
      </c>
      <c r="G261">
        <v>-87.187950000000001</v>
      </c>
      <c r="I261" s="1">
        <v>110009937499</v>
      </c>
      <c r="J261">
        <v>4952</v>
      </c>
      <c r="K261" s="175" t="str">
        <f>INDEX('2022 SIC to NAICS'!B:B, MATCH('Processed Non-zero DMR Data'!$J261, '2022 SIC to NAICS'!$A:$A, 0))</f>
        <v>Sewerage Systems</v>
      </c>
      <c r="L261" s="175">
        <f>INDEX('2022 SIC to NAICS'!C:C, MATCH('Processed Non-zero DMR Data'!$J261, '2022 SIC to NAICS'!$A:$A, 0))</f>
        <v>221320</v>
      </c>
      <c r="M261" s="175" t="str">
        <f>INDEX('2022 SIC to NAICS'!D:D, MATCH('Processed Non-zero DMR Data'!$J261, '2022 SIC to NAICS'!$A:$A, 0))</f>
        <v xml:space="preserve">Sewage Treatment Facilities </v>
      </c>
      <c r="N261" s="90" t="str">
        <f>IFERROR(INDEX('NAICS Code to IS CDR Code'!B:B, MATCH('Processed Non-zero DMR Data'!L261,'NAICS Code to IS CDR Code'!A:A,0)), "NAICS/SIC Not Provided")</f>
        <v>IS4</v>
      </c>
      <c r="O261" s="91" t="str">
        <f>IFERROR(INDEX('NAICS Code to IS CDR Code'!C:C, MATCH('Processed Non-zero DMR Data'!L261,'NAICS Code to IS CDR Code'!A:A,0)), "NAICS/SIC Not Provided")</f>
        <v>Utilities</v>
      </c>
      <c r="P261" s="91" t="str">
        <f>INDEX('11DCA Mapping'!$K:$K, MATCH('Processed Non-zero DMR Data'!I267,'11DCA Mapping'!$J:$J,0))</f>
        <v>POTW</v>
      </c>
      <c r="Q261" s="91" t="str">
        <f>INDEX('11DCA Mapping'!$L:$L, MATCH('Processed Non-zero DMR Data'!I267,'11DCA Mapping'!$J:$J,0))</f>
        <v>Assigned POTW per "Facility Type Indicator"</v>
      </c>
      <c r="R261" s="250" t="str">
        <f>VLOOKUP(I261,'DMR POTW Flag'!$A$2:$B$960,2,FALSE)</f>
        <v>POTW</v>
      </c>
      <c r="S261" s="7" t="s">
        <v>67</v>
      </c>
      <c r="T261" s="249" t="s">
        <v>586</v>
      </c>
      <c r="U261" s="8">
        <f>COUNTIFS('Raw Non-zero DMR Data'!$A:$A, 'Processed Non-zero DMR Data'!A261, 'Raw Non-zero DMR Data'!$C:$C, X261, 'Raw Non-zero DMR Data'!$U:$U,'Processed Non-zero DMR Data'!Y261)</f>
        <v>1</v>
      </c>
      <c r="V261" s="8">
        <f>COUNTIFS('Raw Non-zero DMR Data'!$A:$A, 'Processed Non-zero DMR Data'!A261, 'Raw Non-zero DMR Data'!$C:$C, X261, 'Raw Non-zero DMR Data'!$U:$U,'Processed Non-zero DMR Data'!Y261,'Raw Non-zero DMR Data'!$Z:$Z,"Yes")</f>
        <v>1</v>
      </c>
      <c r="W261">
        <v>1.0534128125</v>
      </c>
      <c r="X261" t="s">
        <v>831</v>
      </c>
      <c r="Y261" t="s">
        <v>832</v>
      </c>
      <c r="Z261" s="257">
        <v>51302060603</v>
      </c>
    </row>
    <row r="262" spans="1:26" ht="15" customHeight="1" x14ac:dyDescent="0.25">
      <c r="A262">
        <v>2020</v>
      </c>
      <c r="B262" t="s">
        <v>227</v>
      </c>
      <c r="C262" t="s">
        <v>228</v>
      </c>
      <c r="D262" t="s">
        <v>830</v>
      </c>
      <c r="E262" t="s">
        <v>138</v>
      </c>
      <c r="F262">
        <v>36.644849999999998</v>
      </c>
      <c r="G262">
        <v>-87.187950000000001</v>
      </c>
      <c r="I262" s="1">
        <v>110009937499</v>
      </c>
      <c r="J262">
        <v>4952</v>
      </c>
      <c r="K262" s="175" t="str">
        <f>INDEX('2022 SIC to NAICS'!B:B, MATCH('Processed Non-zero DMR Data'!$J262, '2022 SIC to NAICS'!$A:$A, 0))</f>
        <v>Sewerage Systems</v>
      </c>
      <c r="L262" s="175">
        <f>INDEX('2022 SIC to NAICS'!C:C, MATCH('Processed Non-zero DMR Data'!$J262, '2022 SIC to NAICS'!$A:$A, 0))</f>
        <v>221320</v>
      </c>
      <c r="M262" s="175" t="str">
        <f>INDEX('2022 SIC to NAICS'!D:D, MATCH('Processed Non-zero DMR Data'!$J262, '2022 SIC to NAICS'!$A:$A, 0))</f>
        <v xml:space="preserve">Sewage Treatment Facilities </v>
      </c>
      <c r="N262" s="90" t="str">
        <f>IFERROR(INDEX('NAICS Code to IS CDR Code'!B:B, MATCH('Processed Non-zero DMR Data'!L262,'NAICS Code to IS CDR Code'!A:A,0)), "NAICS/SIC Not Provided")</f>
        <v>IS4</v>
      </c>
      <c r="O262" s="91" t="str">
        <f>IFERROR(INDEX('NAICS Code to IS CDR Code'!C:C, MATCH('Processed Non-zero DMR Data'!L262,'NAICS Code to IS CDR Code'!A:A,0)), "NAICS/SIC Not Provided")</f>
        <v>Utilities</v>
      </c>
      <c r="P262" s="91" t="str">
        <f>INDEX('11DCA Mapping'!$K:$K, MATCH('Processed Non-zero DMR Data'!I268,'11DCA Mapping'!$J:$J,0))</f>
        <v>POTW</v>
      </c>
      <c r="Q262" s="91" t="str">
        <f>INDEX('11DCA Mapping'!$L:$L, MATCH('Processed Non-zero DMR Data'!I268,'11DCA Mapping'!$J:$J,0))</f>
        <v>Assigned POTW per "Facility Type Indicator"</v>
      </c>
      <c r="R262" s="250" t="str">
        <f>VLOOKUP(I262,'DMR POTW Flag'!$A$2:$B$960,2,FALSE)</f>
        <v>POTW</v>
      </c>
      <c r="S262" s="7" t="s">
        <v>67</v>
      </c>
      <c r="T262" s="249" t="s">
        <v>586</v>
      </c>
      <c r="U262" s="8">
        <f>COUNTIFS('Raw Non-zero DMR Data'!$A:$A, 'Processed Non-zero DMR Data'!A262, 'Raw Non-zero DMR Data'!$C:$C, X262, 'Raw Non-zero DMR Data'!$U:$U,'Processed Non-zero DMR Data'!Y262)</f>
        <v>1</v>
      </c>
      <c r="V262" s="8">
        <f>COUNTIFS('Raw Non-zero DMR Data'!$A:$A, 'Processed Non-zero DMR Data'!A262, 'Raw Non-zero DMR Data'!$C:$C, X262, 'Raw Non-zero DMR Data'!$U:$U,'Processed Non-zero DMR Data'!Y262,'Raw Non-zero DMR Data'!$Z:$Z,"Yes")</f>
        <v>1</v>
      </c>
      <c r="W262">
        <v>0.1540400375</v>
      </c>
      <c r="X262" t="s">
        <v>831</v>
      </c>
      <c r="Y262" t="s">
        <v>832</v>
      </c>
      <c r="Z262" s="257">
        <v>51302060603</v>
      </c>
    </row>
    <row r="263" spans="1:26" ht="15" customHeight="1" x14ac:dyDescent="0.25">
      <c r="A263">
        <v>2021</v>
      </c>
      <c r="B263" t="s">
        <v>475</v>
      </c>
      <c r="C263" t="s">
        <v>476</v>
      </c>
      <c r="D263" t="s">
        <v>728</v>
      </c>
      <c r="E263" t="s">
        <v>146</v>
      </c>
      <c r="F263">
        <v>38.730832999999997</v>
      </c>
      <c r="G263">
        <v>-120.846667</v>
      </c>
      <c r="I263" s="1">
        <v>110039757992</v>
      </c>
      <c r="J263">
        <v>4952</v>
      </c>
      <c r="K263" s="175" t="str">
        <f>INDEX('2022 SIC to NAICS'!B:B, MATCH('Processed Non-zero DMR Data'!$J263, '2022 SIC to NAICS'!$A:$A, 0))</f>
        <v>Sewerage Systems</v>
      </c>
      <c r="L263" s="175">
        <f>INDEX('2022 SIC to NAICS'!C:C, MATCH('Processed Non-zero DMR Data'!$J263, '2022 SIC to NAICS'!$A:$A, 0))</f>
        <v>221320</v>
      </c>
      <c r="M263" s="175" t="str">
        <f>INDEX('2022 SIC to NAICS'!D:D, MATCH('Processed Non-zero DMR Data'!$J263, '2022 SIC to NAICS'!$A:$A, 0))</f>
        <v xml:space="preserve">Sewage Treatment Facilities </v>
      </c>
      <c r="N263" s="90" t="str">
        <f>IFERROR(INDEX('NAICS Code to IS CDR Code'!B:B, MATCH('Processed Non-zero DMR Data'!L263,'NAICS Code to IS CDR Code'!A:A,0)), "NAICS/SIC Not Provided")</f>
        <v>IS4</v>
      </c>
      <c r="O263" s="91" t="str">
        <f>IFERROR(INDEX('NAICS Code to IS CDR Code'!C:C, MATCH('Processed Non-zero DMR Data'!L263,'NAICS Code to IS CDR Code'!A:A,0)), "NAICS/SIC Not Provided")</f>
        <v>Utilities</v>
      </c>
      <c r="P263" s="91" t="str">
        <f>INDEX('11DCA Mapping'!$K:$K, MATCH('Processed Non-zero DMR Data'!I269,'11DCA Mapping'!$J:$J,0))</f>
        <v>POTW</v>
      </c>
      <c r="Q263" s="91" t="str">
        <f>INDEX('11DCA Mapping'!$L:$L, MATCH('Processed Non-zero DMR Data'!I269,'11DCA Mapping'!$J:$J,0))</f>
        <v>Assigned POTW per "Facility Type Indicator"</v>
      </c>
      <c r="R263" s="250" t="str">
        <f>VLOOKUP(I263,'DMR POTW Flag'!$A$2:$B$960,2,FALSE)</f>
        <v>POTW</v>
      </c>
      <c r="S263" s="7" t="s">
        <v>67</v>
      </c>
      <c r="T263" s="249" t="s">
        <v>586</v>
      </c>
      <c r="U263" s="8">
        <f>COUNTIFS('Raw Non-zero DMR Data'!$A:$A, 'Processed Non-zero DMR Data'!A263, 'Raw Non-zero DMR Data'!$C:$C, X263, 'Raw Non-zero DMR Data'!$U:$U,'Processed Non-zero DMR Data'!Y263)</f>
        <v>1</v>
      </c>
      <c r="V263" s="8">
        <f>COUNTIFS('Raw Non-zero DMR Data'!$A:$A, 'Processed Non-zero DMR Data'!A263, 'Raw Non-zero DMR Data'!$C:$C, X263, 'Raw Non-zero DMR Data'!$U:$U,'Processed Non-zero DMR Data'!Y263,'Raw Non-zero DMR Data'!$Z:$Z,"Yes")</f>
        <v>1</v>
      </c>
      <c r="W263">
        <v>7.1705462400000003E-2</v>
      </c>
      <c r="X263" t="s">
        <v>833</v>
      </c>
      <c r="Y263" t="s">
        <v>834</v>
      </c>
      <c r="Z263" s="257">
        <v>180201290603</v>
      </c>
    </row>
    <row r="264" spans="1:26" ht="15" customHeight="1" x14ac:dyDescent="0.25">
      <c r="A264">
        <v>2022</v>
      </c>
      <c r="B264" t="s">
        <v>475</v>
      </c>
      <c r="C264" t="s">
        <v>476</v>
      </c>
      <c r="D264" t="s">
        <v>728</v>
      </c>
      <c r="E264" t="s">
        <v>146</v>
      </c>
      <c r="F264">
        <v>38.730832999999997</v>
      </c>
      <c r="G264">
        <v>-120.846667</v>
      </c>
      <c r="I264" s="1">
        <v>110039757992</v>
      </c>
      <c r="J264">
        <v>4952</v>
      </c>
      <c r="K264" s="175" t="str">
        <f>INDEX('2022 SIC to NAICS'!B:B, MATCH('Processed Non-zero DMR Data'!$J264, '2022 SIC to NAICS'!$A:$A, 0))</f>
        <v>Sewerage Systems</v>
      </c>
      <c r="L264" s="175">
        <f>INDEX('2022 SIC to NAICS'!C:C, MATCH('Processed Non-zero DMR Data'!$J264, '2022 SIC to NAICS'!$A:$A, 0))</f>
        <v>221320</v>
      </c>
      <c r="M264" s="175" t="str">
        <f>INDEX('2022 SIC to NAICS'!D:D, MATCH('Processed Non-zero DMR Data'!$J264, '2022 SIC to NAICS'!$A:$A, 0))</f>
        <v xml:space="preserve">Sewage Treatment Facilities </v>
      </c>
      <c r="N264" s="90" t="str">
        <f>IFERROR(INDEX('NAICS Code to IS CDR Code'!B:B, MATCH('Processed Non-zero DMR Data'!L264,'NAICS Code to IS CDR Code'!A:A,0)), "NAICS/SIC Not Provided")</f>
        <v>IS4</v>
      </c>
      <c r="O264" s="91" t="str">
        <f>IFERROR(INDEX('NAICS Code to IS CDR Code'!C:C, MATCH('Processed Non-zero DMR Data'!L264,'NAICS Code to IS CDR Code'!A:A,0)), "NAICS/SIC Not Provided")</f>
        <v>Utilities</v>
      </c>
      <c r="P264" s="91" t="str">
        <f>INDEX('11DCA Mapping'!$K:$K, MATCH('Processed Non-zero DMR Data'!I270,'11DCA Mapping'!$J:$J,0))</f>
        <v>POTW</v>
      </c>
      <c r="Q264" s="91" t="str">
        <f>INDEX('11DCA Mapping'!$L:$L, MATCH('Processed Non-zero DMR Data'!I270,'11DCA Mapping'!$J:$J,0))</f>
        <v>Assigned POTW per "Facility Type Indicator"</v>
      </c>
      <c r="R264" s="250" t="str">
        <f>VLOOKUP(I264,'DMR POTW Flag'!$A$2:$B$960,2,FALSE)</f>
        <v>POTW</v>
      </c>
      <c r="S264" s="7" t="s">
        <v>67</v>
      </c>
      <c r="T264" s="249" t="s">
        <v>586</v>
      </c>
      <c r="U264" s="8">
        <f>COUNTIFS('Raw Non-zero DMR Data'!$A:$A, 'Processed Non-zero DMR Data'!A264, 'Raw Non-zero DMR Data'!$C:$C, X264, 'Raw Non-zero DMR Data'!$U:$U,'Processed Non-zero DMR Data'!Y264)</f>
        <v>1</v>
      </c>
      <c r="V264" s="8">
        <f>COUNTIFS('Raw Non-zero DMR Data'!$A:$A, 'Processed Non-zero DMR Data'!A264, 'Raw Non-zero DMR Data'!$C:$C, X264, 'Raw Non-zero DMR Data'!$U:$U,'Processed Non-zero DMR Data'!Y264,'Raw Non-zero DMR Data'!$Z:$Z,"Yes")</f>
        <v>1</v>
      </c>
      <c r="W264">
        <v>2.908412925E-2</v>
      </c>
      <c r="X264" t="s">
        <v>833</v>
      </c>
      <c r="Y264" t="s">
        <v>834</v>
      </c>
      <c r="Z264" s="257">
        <v>180201290603</v>
      </c>
    </row>
    <row r="265" spans="1:26" ht="15" customHeight="1" x14ac:dyDescent="0.25">
      <c r="A265">
        <v>2022</v>
      </c>
      <c r="B265" t="s">
        <v>493</v>
      </c>
      <c r="C265" t="s">
        <v>494</v>
      </c>
      <c r="D265" t="s">
        <v>835</v>
      </c>
      <c r="E265" t="s">
        <v>146</v>
      </c>
      <c r="F265">
        <v>37.318058999999998</v>
      </c>
      <c r="G265">
        <v>-122.09263199999999</v>
      </c>
      <c r="I265" s="1">
        <v>110000484039</v>
      </c>
      <c r="J265">
        <v>3241</v>
      </c>
      <c r="K265" s="175" t="str">
        <f>INDEX('2022 SIC to NAICS'!B:B, MATCH('Processed Non-zero DMR Data'!$J265, '2022 SIC to NAICS'!$A:$A, 0))</f>
        <v>Cement, Hydraulic</v>
      </c>
      <c r="L265" s="175">
        <f>INDEX('2022 SIC to NAICS'!C:C, MATCH('Processed Non-zero DMR Data'!$J265, '2022 SIC to NAICS'!$A:$A, 0))</f>
        <v>327310</v>
      </c>
      <c r="M265" s="175" t="str">
        <f>INDEX('2022 SIC to NAICS'!D:D, MATCH('Processed Non-zero DMR Data'!$J265, '2022 SIC to NAICS'!$A:$A, 0))</f>
        <v>Cement Manufacturing</v>
      </c>
      <c r="N265" s="90" t="str">
        <f>IFERROR(INDEX('NAICS Code to IS CDR Code'!B:B, MATCH('Processed Non-zero DMR Data'!L265,'NAICS Code to IS CDR Code'!A:A,0)), "NAICS/SIC Not Provided")</f>
        <v>IS37</v>
      </c>
      <c r="O265" s="91" t="str">
        <f>IFERROR(INDEX('NAICS Code to IS CDR Code'!C:C, MATCH('Processed Non-zero DMR Data'!L265,'NAICS Code to IS CDR Code'!A:A,0)), "NAICS/SIC Not Provided")</f>
        <v>Nonmetallic Mineral Product Manufacturing (includes clay, glass, cement, concrete,
lime, gypsum, and other nonmetallic mineral product manufacturing)</v>
      </c>
      <c r="P265" s="91" t="e">
        <f>INDEX('11DCA Mapping'!$K:$K, MATCH('Processed Non-zero DMR Data'!I271,'11DCA Mapping'!$J:$J,0))</f>
        <v>#N/A</v>
      </c>
      <c r="Q265" s="91" t="e">
        <f>INDEX('11DCA Mapping'!$L:$L, MATCH('Processed Non-zero DMR Data'!I271,'11DCA Mapping'!$J:$J,0))</f>
        <v>#N/A</v>
      </c>
      <c r="R265" s="250" t="str">
        <f>VLOOKUP(I265,'DMR POTW Flag'!$A$2:$B$960,2,FALSE)</f>
        <v>NON-POTW</v>
      </c>
      <c r="S265" s="249" t="s">
        <v>70</v>
      </c>
      <c r="T265" s="249" t="s">
        <v>836</v>
      </c>
      <c r="U265" s="8">
        <f>COUNTIFS('Raw Non-zero DMR Data'!$A:$A, 'Processed Non-zero DMR Data'!A265, 'Raw Non-zero DMR Data'!$C:$C, X265, 'Raw Non-zero DMR Data'!$U:$U,'Processed Non-zero DMR Data'!Y265)</f>
        <v>1</v>
      </c>
      <c r="V265" s="8">
        <f>COUNTIFS('Raw Non-zero DMR Data'!$A:$A, 'Processed Non-zero DMR Data'!A265, 'Raw Non-zero DMR Data'!$C:$C, X265, 'Raw Non-zero DMR Data'!$U:$U,'Processed Non-zero DMR Data'!Y265,'Raw Non-zero DMR Data'!$Z:$Z,"Yes")</f>
        <v>1</v>
      </c>
      <c r="W265">
        <v>1.8650587499999999E-2</v>
      </c>
      <c r="X265" t="s">
        <v>837</v>
      </c>
      <c r="Y265" t="s">
        <v>838</v>
      </c>
      <c r="Z265" s="257">
        <v>180500030406</v>
      </c>
    </row>
    <row r="266" spans="1:26" ht="15" customHeight="1" x14ac:dyDescent="0.25">
      <c r="A266">
        <v>2023</v>
      </c>
      <c r="B266" t="s">
        <v>493</v>
      </c>
      <c r="C266" t="s">
        <v>494</v>
      </c>
      <c r="D266" t="s">
        <v>835</v>
      </c>
      <c r="E266" t="s">
        <v>146</v>
      </c>
      <c r="F266">
        <v>37.318058999999998</v>
      </c>
      <c r="G266">
        <v>-122.09263199999999</v>
      </c>
      <c r="I266" s="1">
        <v>110000484039</v>
      </c>
      <c r="J266">
        <v>3241</v>
      </c>
      <c r="K266" s="175" t="str">
        <f>INDEX('2022 SIC to NAICS'!B:B, MATCH('Processed Non-zero DMR Data'!$J266, '2022 SIC to NAICS'!$A:$A, 0))</f>
        <v>Cement, Hydraulic</v>
      </c>
      <c r="L266" s="175">
        <f>INDEX('2022 SIC to NAICS'!C:C, MATCH('Processed Non-zero DMR Data'!$J266, '2022 SIC to NAICS'!$A:$A, 0))</f>
        <v>327310</v>
      </c>
      <c r="M266" s="175" t="str">
        <f>INDEX('2022 SIC to NAICS'!D:D, MATCH('Processed Non-zero DMR Data'!$J266, '2022 SIC to NAICS'!$A:$A, 0))</f>
        <v>Cement Manufacturing</v>
      </c>
      <c r="N266" s="90" t="str">
        <f>IFERROR(INDEX('NAICS Code to IS CDR Code'!B:B, MATCH('Processed Non-zero DMR Data'!L266,'NAICS Code to IS CDR Code'!A:A,0)), "NAICS/SIC Not Provided")</f>
        <v>IS37</v>
      </c>
      <c r="O266" s="91" t="str">
        <f>IFERROR(INDEX('NAICS Code to IS CDR Code'!C:C, MATCH('Processed Non-zero DMR Data'!L266,'NAICS Code to IS CDR Code'!A:A,0)), "NAICS/SIC Not Provided")</f>
        <v>Nonmetallic Mineral Product Manufacturing (includes clay, glass, cement, concrete,
lime, gypsum, and other nonmetallic mineral product manufacturing)</v>
      </c>
      <c r="P266" s="91" t="e">
        <f>INDEX('11DCA Mapping'!$K:$K, MATCH('Processed Non-zero DMR Data'!I272,'11DCA Mapping'!$J:$J,0))</f>
        <v>#N/A</v>
      </c>
      <c r="Q266" s="91" t="e">
        <f>INDEX('11DCA Mapping'!$L:$L, MATCH('Processed Non-zero DMR Data'!I272,'11DCA Mapping'!$J:$J,0))</f>
        <v>#N/A</v>
      </c>
      <c r="R266" s="250" t="str">
        <f>VLOOKUP(I266,'DMR POTW Flag'!$A$2:$B$960,2,FALSE)</f>
        <v>NON-POTW</v>
      </c>
      <c r="S266" s="249" t="s">
        <v>70</v>
      </c>
      <c r="T266" s="249" t="s">
        <v>836</v>
      </c>
      <c r="U266" s="8">
        <f>COUNTIFS('Raw Non-zero DMR Data'!$A:$A, 'Processed Non-zero DMR Data'!A266, 'Raw Non-zero DMR Data'!$C:$C, X266, 'Raw Non-zero DMR Data'!$U:$U,'Processed Non-zero DMR Data'!Y266)</f>
        <v>1</v>
      </c>
      <c r="V266" s="8">
        <f>COUNTIFS('Raw Non-zero DMR Data'!$A:$A, 'Processed Non-zero DMR Data'!A266, 'Raw Non-zero DMR Data'!$C:$C, X266, 'Raw Non-zero DMR Data'!$U:$U,'Processed Non-zero DMR Data'!Y266,'Raw Non-zero DMR Data'!$Z:$Z,"Yes")</f>
        <v>1</v>
      </c>
      <c r="W266">
        <v>2.2587933750000001E-2</v>
      </c>
      <c r="X266" t="s">
        <v>837</v>
      </c>
      <c r="Y266" t="s">
        <v>838</v>
      </c>
      <c r="Z266" s="257">
        <v>180500030406</v>
      </c>
    </row>
    <row r="267" spans="1:26" ht="15" customHeight="1" x14ac:dyDescent="0.25">
      <c r="A267">
        <v>2019</v>
      </c>
      <c r="B267" t="s">
        <v>337</v>
      </c>
      <c r="C267" t="s">
        <v>338</v>
      </c>
      <c r="D267" t="s">
        <v>839</v>
      </c>
      <c r="E267" t="s">
        <v>146</v>
      </c>
      <c r="F267">
        <v>38.273180000000004</v>
      </c>
      <c r="G267">
        <v>-120.91082</v>
      </c>
      <c r="I267" s="1">
        <v>110064616296</v>
      </c>
      <c r="J267">
        <v>4952</v>
      </c>
      <c r="K267" s="175" t="str">
        <f>INDEX('2022 SIC to NAICS'!B:B, MATCH('Processed Non-zero DMR Data'!$J267, '2022 SIC to NAICS'!$A:$A, 0))</f>
        <v>Sewerage Systems</v>
      </c>
      <c r="L267" s="175">
        <f>INDEX('2022 SIC to NAICS'!C:C, MATCH('Processed Non-zero DMR Data'!$J267, '2022 SIC to NAICS'!$A:$A, 0))</f>
        <v>221320</v>
      </c>
      <c r="M267" s="175" t="str">
        <f>INDEX('2022 SIC to NAICS'!D:D, MATCH('Processed Non-zero DMR Data'!$J267, '2022 SIC to NAICS'!$A:$A, 0))</f>
        <v xml:space="preserve">Sewage Treatment Facilities </v>
      </c>
      <c r="N267" s="90" t="str">
        <f>IFERROR(INDEX('NAICS Code to IS CDR Code'!B:B, MATCH('Processed Non-zero DMR Data'!L267,'NAICS Code to IS CDR Code'!A:A,0)), "NAICS/SIC Not Provided")</f>
        <v>IS4</v>
      </c>
      <c r="O267" s="91" t="str">
        <f>IFERROR(INDEX('NAICS Code to IS CDR Code'!C:C, MATCH('Processed Non-zero DMR Data'!L267,'NAICS Code to IS CDR Code'!A:A,0)), "NAICS/SIC Not Provided")</f>
        <v>Utilities</v>
      </c>
      <c r="P267" s="91" t="e">
        <f>INDEX('11DCA Mapping'!$K:$K, MATCH('Processed Non-zero DMR Data'!I273,'11DCA Mapping'!$J:$J,0))</f>
        <v>#N/A</v>
      </c>
      <c r="Q267" s="91" t="e">
        <f>INDEX('11DCA Mapping'!$L:$L, MATCH('Processed Non-zero DMR Data'!I273,'11DCA Mapping'!$J:$J,0))</f>
        <v>#N/A</v>
      </c>
      <c r="R267" s="250" t="str">
        <f>VLOOKUP(I267,'DMR POTW Flag'!$A$2:$B$960,2,FALSE)</f>
        <v>POTW</v>
      </c>
      <c r="S267" s="7" t="s">
        <v>67</v>
      </c>
      <c r="T267" s="249" t="s">
        <v>586</v>
      </c>
      <c r="U267" s="8">
        <f>COUNTIFS('Raw Non-zero DMR Data'!$A:$A, 'Processed Non-zero DMR Data'!A267, 'Raw Non-zero DMR Data'!$C:$C, X267, 'Raw Non-zero DMR Data'!$U:$U,'Processed Non-zero DMR Data'!Y267)</f>
        <v>1</v>
      </c>
      <c r="V267" s="8">
        <f>COUNTIFS('Raw Non-zero DMR Data'!$A:$A, 'Processed Non-zero DMR Data'!A267, 'Raw Non-zero DMR Data'!$C:$C, X267, 'Raw Non-zero DMR Data'!$U:$U,'Processed Non-zero DMR Data'!Y267,'Raw Non-zero DMR Data'!$Z:$Z,"Yes")</f>
        <v>1</v>
      </c>
      <c r="W267">
        <v>8.6345312500000007E-3</v>
      </c>
      <c r="X267" t="s">
        <v>840</v>
      </c>
      <c r="Y267" t="s">
        <v>841</v>
      </c>
      <c r="Z267" s="257">
        <v>180400120703</v>
      </c>
    </row>
    <row r="268" spans="1:26" ht="15" customHeight="1" x14ac:dyDescent="0.25">
      <c r="A268">
        <v>2020</v>
      </c>
      <c r="B268" t="s">
        <v>337</v>
      </c>
      <c r="C268" t="s">
        <v>338</v>
      </c>
      <c r="D268" t="s">
        <v>839</v>
      </c>
      <c r="E268" t="s">
        <v>146</v>
      </c>
      <c r="F268">
        <v>38.273180000000004</v>
      </c>
      <c r="G268">
        <v>-120.91082</v>
      </c>
      <c r="I268" s="1">
        <v>110064616296</v>
      </c>
      <c r="J268">
        <v>4952</v>
      </c>
      <c r="K268" s="175" t="str">
        <f>INDEX('2022 SIC to NAICS'!B:B, MATCH('Processed Non-zero DMR Data'!$J268, '2022 SIC to NAICS'!$A:$A, 0))</f>
        <v>Sewerage Systems</v>
      </c>
      <c r="L268" s="175">
        <f>INDEX('2022 SIC to NAICS'!C:C, MATCH('Processed Non-zero DMR Data'!$J268, '2022 SIC to NAICS'!$A:$A, 0))</f>
        <v>221320</v>
      </c>
      <c r="M268" s="175" t="str">
        <f>INDEX('2022 SIC to NAICS'!D:D, MATCH('Processed Non-zero DMR Data'!$J268, '2022 SIC to NAICS'!$A:$A, 0))</f>
        <v xml:space="preserve">Sewage Treatment Facilities </v>
      </c>
      <c r="N268" s="90" t="str">
        <f>IFERROR(INDEX('NAICS Code to IS CDR Code'!B:B, MATCH('Processed Non-zero DMR Data'!L268,'NAICS Code to IS CDR Code'!A:A,0)), "NAICS/SIC Not Provided")</f>
        <v>IS4</v>
      </c>
      <c r="O268" s="91" t="str">
        <f>IFERROR(INDEX('NAICS Code to IS CDR Code'!C:C, MATCH('Processed Non-zero DMR Data'!L268,'NAICS Code to IS CDR Code'!A:A,0)), "NAICS/SIC Not Provided")</f>
        <v>Utilities</v>
      </c>
      <c r="P268" s="91" t="str">
        <f>INDEX('11DCA Mapping'!$K:$K, MATCH('Processed Non-zero DMR Data'!I274,'11DCA Mapping'!$J:$J,0))</f>
        <v>Processing as a Reactant</v>
      </c>
      <c r="Q268" s="91" t="str">
        <f>INDEX('11DCA Mapping'!$L:$L, MATCH('Processed Non-zero DMR Data'!I274,'11DCA Mapping'!$J:$J,0))</f>
        <v>Assuming processing as a reactant based on SIC description</v>
      </c>
      <c r="R268" s="250" t="str">
        <f>VLOOKUP(I268,'DMR POTW Flag'!$A$2:$B$960,2,FALSE)</f>
        <v>POTW</v>
      </c>
      <c r="S268" s="7" t="s">
        <v>67</v>
      </c>
      <c r="T268" s="249" t="s">
        <v>586</v>
      </c>
      <c r="U268" s="8">
        <f>COUNTIFS('Raw Non-zero DMR Data'!$A:$A, 'Processed Non-zero DMR Data'!A268, 'Raw Non-zero DMR Data'!$C:$C, X268, 'Raw Non-zero DMR Data'!$U:$U,'Processed Non-zero DMR Data'!Y268)</f>
        <v>1</v>
      </c>
      <c r="V268" s="8">
        <f>COUNTIFS('Raw Non-zero DMR Data'!$A:$A, 'Processed Non-zero DMR Data'!A268, 'Raw Non-zero DMR Data'!$C:$C, X268, 'Raw Non-zero DMR Data'!$U:$U,'Processed Non-zero DMR Data'!Y268,'Raw Non-zero DMR Data'!$Z:$Z,"Yes")</f>
        <v>1</v>
      </c>
      <c r="W268">
        <v>5.1807187500000004E-3</v>
      </c>
      <c r="X268" t="s">
        <v>840</v>
      </c>
      <c r="Y268" t="s">
        <v>841</v>
      </c>
      <c r="Z268" s="257">
        <v>180400120703</v>
      </c>
    </row>
    <row r="269" spans="1:26" ht="15" customHeight="1" x14ac:dyDescent="0.25">
      <c r="A269">
        <v>2019</v>
      </c>
      <c r="B269" t="s">
        <v>219</v>
      </c>
      <c r="C269" t="s">
        <v>220</v>
      </c>
      <c r="D269" t="s">
        <v>842</v>
      </c>
      <c r="E269" t="s">
        <v>138</v>
      </c>
      <c r="F269">
        <v>37.776316000000001</v>
      </c>
      <c r="G269">
        <v>-84.867384999999999</v>
      </c>
      <c r="I269" s="1">
        <v>110000732324</v>
      </c>
      <c r="J269">
        <v>4952</v>
      </c>
      <c r="K269" s="175" t="str">
        <f>INDEX('2022 SIC to NAICS'!B:B, MATCH('Processed Non-zero DMR Data'!$J269, '2022 SIC to NAICS'!$A:$A, 0))</f>
        <v>Sewerage Systems</v>
      </c>
      <c r="L269" s="175">
        <f>INDEX('2022 SIC to NAICS'!C:C, MATCH('Processed Non-zero DMR Data'!$J269, '2022 SIC to NAICS'!$A:$A, 0))</f>
        <v>221320</v>
      </c>
      <c r="M269" s="175" t="str">
        <f>INDEX('2022 SIC to NAICS'!D:D, MATCH('Processed Non-zero DMR Data'!$J269, '2022 SIC to NAICS'!$A:$A, 0))</f>
        <v xml:space="preserve">Sewage Treatment Facilities </v>
      </c>
      <c r="N269" s="90" t="str">
        <f>IFERROR(INDEX('NAICS Code to IS CDR Code'!B:B, MATCH('Processed Non-zero DMR Data'!L269,'NAICS Code to IS CDR Code'!A:A,0)), "NAICS/SIC Not Provided")</f>
        <v>IS4</v>
      </c>
      <c r="O269" s="91" t="str">
        <f>IFERROR(INDEX('NAICS Code to IS CDR Code'!C:C, MATCH('Processed Non-zero DMR Data'!L269,'NAICS Code to IS CDR Code'!A:A,0)), "NAICS/SIC Not Provided")</f>
        <v>Utilities</v>
      </c>
      <c r="P269" s="91" t="str">
        <f>INDEX('11DCA Mapping'!$K:$K, MATCH('Processed Non-zero DMR Data'!I275,'11DCA Mapping'!$J:$J,0))</f>
        <v>Processing as a Reactant</v>
      </c>
      <c r="Q269" s="91" t="str">
        <f>INDEX('11DCA Mapping'!$L:$L, MATCH('Processed Non-zero DMR Data'!I275,'11DCA Mapping'!$J:$J,0))</f>
        <v>Assuming processing as a reactant based on SIC description</v>
      </c>
      <c r="R269" s="250" t="str">
        <f>VLOOKUP(I269,'DMR POTW Flag'!$A$2:$B$960,2,FALSE)</f>
        <v>POTW</v>
      </c>
      <c r="S269" s="7" t="s">
        <v>67</v>
      </c>
      <c r="T269" s="249" t="s">
        <v>586</v>
      </c>
      <c r="U269" s="8">
        <f>COUNTIFS('Raw Non-zero DMR Data'!$A:$A, 'Processed Non-zero DMR Data'!A269, 'Raw Non-zero DMR Data'!$C:$C, X269, 'Raw Non-zero DMR Data'!$U:$U,'Processed Non-zero DMR Data'!Y269)</f>
        <v>1</v>
      </c>
      <c r="V269" s="8">
        <f>COUNTIFS('Raw Non-zero DMR Data'!$A:$A, 'Processed Non-zero DMR Data'!A269, 'Raw Non-zero DMR Data'!$C:$C, X269, 'Raw Non-zero DMR Data'!$U:$U,'Processed Non-zero DMR Data'!Y269,'Raw Non-zero DMR Data'!$Z:$Z,"Yes")</f>
        <v>1</v>
      </c>
      <c r="W269">
        <v>1.8070347</v>
      </c>
      <c r="X269" t="s">
        <v>843</v>
      </c>
      <c r="Y269" t="s">
        <v>844</v>
      </c>
      <c r="Z269" s="257">
        <v>51401020102</v>
      </c>
    </row>
    <row r="270" spans="1:26" ht="15" customHeight="1" x14ac:dyDescent="0.25">
      <c r="A270">
        <v>2020</v>
      </c>
      <c r="B270" t="s">
        <v>219</v>
      </c>
      <c r="C270" t="s">
        <v>220</v>
      </c>
      <c r="D270" t="s">
        <v>842</v>
      </c>
      <c r="E270" t="s">
        <v>138</v>
      </c>
      <c r="F270">
        <v>37.776316000000001</v>
      </c>
      <c r="G270">
        <v>-84.867384999999999</v>
      </c>
      <c r="I270" s="1">
        <v>110000732324</v>
      </c>
      <c r="J270">
        <v>4952</v>
      </c>
      <c r="K270" s="175" t="str">
        <f>INDEX('2022 SIC to NAICS'!B:B, MATCH('Processed Non-zero DMR Data'!$J270, '2022 SIC to NAICS'!$A:$A, 0))</f>
        <v>Sewerage Systems</v>
      </c>
      <c r="L270" s="175">
        <f>INDEX('2022 SIC to NAICS'!C:C, MATCH('Processed Non-zero DMR Data'!$J270, '2022 SIC to NAICS'!$A:$A, 0))</f>
        <v>221320</v>
      </c>
      <c r="M270" s="175" t="str">
        <f>INDEX('2022 SIC to NAICS'!D:D, MATCH('Processed Non-zero DMR Data'!$J270, '2022 SIC to NAICS'!$A:$A, 0))</f>
        <v xml:space="preserve">Sewage Treatment Facilities </v>
      </c>
      <c r="N270" s="90" t="str">
        <f>IFERROR(INDEX('NAICS Code to IS CDR Code'!B:B, MATCH('Processed Non-zero DMR Data'!L270,'NAICS Code to IS CDR Code'!A:A,0)), "NAICS/SIC Not Provided")</f>
        <v>IS4</v>
      </c>
      <c r="O270" s="91" t="str">
        <f>IFERROR(INDEX('NAICS Code to IS CDR Code'!C:C, MATCH('Processed Non-zero DMR Data'!L270,'NAICS Code to IS CDR Code'!A:A,0)), "NAICS/SIC Not Provided")</f>
        <v>Utilities</v>
      </c>
      <c r="P270" s="91" t="str">
        <f>INDEX('11DCA Mapping'!$K:$K, MATCH('Processed Non-zero DMR Data'!I276,'11DCA Mapping'!$J:$J,0))</f>
        <v>Processing as a Reactant</v>
      </c>
      <c r="Q270" s="91" t="str">
        <f>INDEX('11DCA Mapping'!$L:$L, MATCH('Processed Non-zero DMR Data'!I276,'11DCA Mapping'!$J:$J,0))</f>
        <v>Assuming processing as a reactant based on SIC description</v>
      </c>
      <c r="R270" s="250" t="str">
        <f>VLOOKUP(I270,'DMR POTW Flag'!$A$2:$B$960,2,FALSE)</f>
        <v>POTW</v>
      </c>
      <c r="S270" s="7" t="s">
        <v>67</v>
      </c>
      <c r="T270" s="249" t="s">
        <v>586</v>
      </c>
      <c r="U270" s="8">
        <f>COUNTIFS('Raw Non-zero DMR Data'!$A:$A, 'Processed Non-zero DMR Data'!A270, 'Raw Non-zero DMR Data'!$C:$C, X270, 'Raw Non-zero DMR Data'!$U:$U,'Processed Non-zero DMR Data'!Y270)</f>
        <v>1</v>
      </c>
      <c r="V270" s="8">
        <f>COUNTIFS('Raw Non-zero DMR Data'!$A:$A, 'Processed Non-zero DMR Data'!A270, 'Raw Non-zero DMR Data'!$C:$C, X270, 'Raw Non-zero DMR Data'!$U:$U,'Processed Non-zero DMR Data'!Y270,'Raw Non-zero DMR Data'!$Z:$Z,"Yes")</f>
        <v>1</v>
      </c>
      <c r="W270">
        <v>1.24613555</v>
      </c>
      <c r="X270" t="s">
        <v>843</v>
      </c>
      <c r="Y270" t="s">
        <v>844</v>
      </c>
      <c r="Z270" s="257">
        <v>51401020102</v>
      </c>
    </row>
    <row r="271" spans="1:26" ht="15" customHeight="1" x14ac:dyDescent="0.25">
      <c r="A271">
        <v>2021</v>
      </c>
      <c r="B271" t="s">
        <v>455</v>
      </c>
      <c r="C271" t="s">
        <v>456</v>
      </c>
      <c r="D271" t="s">
        <v>845</v>
      </c>
      <c r="E271" t="s">
        <v>186</v>
      </c>
      <c r="F271">
        <v>19.713750000000001</v>
      </c>
      <c r="G271">
        <v>-155.01927800000001</v>
      </c>
      <c r="I271" s="1">
        <v>110013786698</v>
      </c>
      <c r="J271">
        <v>4952</v>
      </c>
      <c r="K271" s="175" t="str">
        <f>INDEX('2022 SIC to NAICS'!B:B, MATCH('Processed Non-zero DMR Data'!$J271, '2022 SIC to NAICS'!$A:$A, 0))</f>
        <v>Sewerage Systems</v>
      </c>
      <c r="L271" s="175">
        <f>INDEX('2022 SIC to NAICS'!C:C, MATCH('Processed Non-zero DMR Data'!$J271, '2022 SIC to NAICS'!$A:$A, 0))</f>
        <v>221320</v>
      </c>
      <c r="M271" s="175" t="str">
        <f>INDEX('2022 SIC to NAICS'!D:D, MATCH('Processed Non-zero DMR Data'!$J271, '2022 SIC to NAICS'!$A:$A, 0))</f>
        <v xml:space="preserve">Sewage Treatment Facilities </v>
      </c>
      <c r="N271" s="90" t="str">
        <f>IFERROR(INDEX('NAICS Code to IS CDR Code'!B:B, MATCH('Processed Non-zero DMR Data'!L271,'NAICS Code to IS CDR Code'!A:A,0)), "NAICS/SIC Not Provided")</f>
        <v>IS4</v>
      </c>
      <c r="O271" s="91" t="str">
        <f>IFERROR(INDEX('NAICS Code to IS CDR Code'!C:C, MATCH('Processed Non-zero DMR Data'!L271,'NAICS Code to IS CDR Code'!A:A,0)), "NAICS/SIC Not Provided")</f>
        <v>Utilities</v>
      </c>
      <c r="P271" s="91" t="str">
        <f>INDEX('11DCA Mapping'!$K:$K, MATCH('Processed Non-zero DMR Data'!I277,'11DCA Mapping'!$J:$J,0))</f>
        <v>Processing as a Reactant</v>
      </c>
      <c r="Q271" s="91" t="str">
        <f>INDEX('11DCA Mapping'!$L:$L, MATCH('Processed Non-zero DMR Data'!I277,'11DCA Mapping'!$J:$J,0))</f>
        <v>Assuming processing as a reactant based on SIC description</v>
      </c>
      <c r="R271" s="250" t="str">
        <f>VLOOKUP(I271,'DMR POTW Flag'!$A$2:$B$960,2,FALSE)</f>
        <v>POTW</v>
      </c>
      <c r="S271" s="7" t="s">
        <v>67</v>
      </c>
      <c r="T271" s="249" t="s">
        <v>586</v>
      </c>
      <c r="U271" s="8">
        <f>COUNTIFS('Raw Non-zero DMR Data'!$A:$A, 'Processed Non-zero DMR Data'!A271, 'Raw Non-zero DMR Data'!$C:$C, X271, 'Raw Non-zero DMR Data'!$U:$U,'Processed Non-zero DMR Data'!Y271)</f>
        <v>1</v>
      </c>
      <c r="V271" s="8">
        <f>COUNTIFS('Raw Non-zero DMR Data'!$A:$A, 'Processed Non-zero DMR Data'!A271, 'Raw Non-zero DMR Data'!$C:$C, X271, 'Raw Non-zero DMR Data'!$U:$U,'Processed Non-zero DMR Data'!Y271,'Raw Non-zero DMR Data'!$Z:$Z,"Yes")</f>
        <v>1</v>
      </c>
      <c r="W271">
        <v>2.305765225</v>
      </c>
      <c r="X271" t="s">
        <v>846</v>
      </c>
      <c r="Y271" t="s">
        <v>847</v>
      </c>
      <c r="Z271" s="257">
        <v>200100000407</v>
      </c>
    </row>
    <row r="272" spans="1:26" ht="15" customHeight="1" x14ac:dyDescent="0.25">
      <c r="A272">
        <v>2022</v>
      </c>
      <c r="B272" t="s">
        <v>455</v>
      </c>
      <c r="C272" t="s">
        <v>456</v>
      </c>
      <c r="D272" t="s">
        <v>845</v>
      </c>
      <c r="E272" t="s">
        <v>186</v>
      </c>
      <c r="F272">
        <v>19.713750000000001</v>
      </c>
      <c r="G272">
        <v>-155.01927800000001</v>
      </c>
      <c r="I272" s="1">
        <v>110013786698</v>
      </c>
      <c r="J272">
        <v>4952</v>
      </c>
      <c r="K272" s="175" t="str">
        <f>INDEX('2022 SIC to NAICS'!B:B, MATCH('Processed Non-zero DMR Data'!$J272, '2022 SIC to NAICS'!$A:$A, 0))</f>
        <v>Sewerage Systems</v>
      </c>
      <c r="L272" s="175">
        <f>INDEX('2022 SIC to NAICS'!C:C, MATCH('Processed Non-zero DMR Data'!$J272, '2022 SIC to NAICS'!$A:$A, 0))</f>
        <v>221320</v>
      </c>
      <c r="M272" s="175" t="str">
        <f>INDEX('2022 SIC to NAICS'!D:D, MATCH('Processed Non-zero DMR Data'!$J272, '2022 SIC to NAICS'!$A:$A, 0))</f>
        <v xml:space="preserve">Sewage Treatment Facilities </v>
      </c>
      <c r="N272" s="90" t="str">
        <f>IFERROR(INDEX('NAICS Code to IS CDR Code'!B:B, MATCH('Processed Non-zero DMR Data'!L272,'NAICS Code to IS CDR Code'!A:A,0)), "NAICS/SIC Not Provided")</f>
        <v>IS4</v>
      </c>
      <c r="O272" s="91" t="str">
        <f>IFERROR(INDEX('NAICS Code to IS CDR Code'!C:C, MATCH('Processed Non-zero DMR Data'!L272,'NAICS Code to IS CDR Code'!A:A,0)), "NAICS/SIC Not Provided")</f>
        <v>Utilities</v>
      </c>
      <c r="P272" s="91" t="str">
        <f>INDEX('11DCA Mapping'!$K:$K, MATCH('Processed Non-zero DMR Data'!I278,'11DCA Mapping'!$J:$J,0))</f>
        <v>Processing as a Reactant</v>
      </c>
      <c r="Q272" s="91" t="str">
        <f>INDEX('11DCA Mapping'!$L:$L, MATCH('Processed Non-zero DMR Data'!I278,'11DCA Mapping'!$J:$J,0))</f>
        <v>Assuming processing as a reactant based on SIC description</v>
      </c>
      <c r="R272" s="250" t="str">
        <f>VLOOKUP(I272,'DMR POTW Flag'!$A$2:$B$960,2,FALSE)</f>
        <v>POTW</v>
      </c>
      <c r="S272" s="7" t="s">
        <v>67</v>
      </c>
      <c r="T272" s="249" t="s">
        <v>586</v>
      </c>
      <c r="U272" s="8">
        <f>COUNTIFS('Raw Non-zero DMR Data'!$A:$A, 'Processed Non-zero DMR Data'!A272, 'Raw Non-zero DMR Data'!$C:$C, X272, 'Raw Non-zero DMR Data'!$U:$U,'Processed Non-zero DMR Data'!Y272)</f>
        <v>1</v>
      </c>
      <c r="V272" s="8">
        <f>COUNTIFS('Raw Non-zero DMR Data'!$A:$A, 'Processed Non-zero DMR Data'!A272, 'Raw Non-zero DMR Data'!$C:$C, X272, 'Raw Non-zero DMR Data'!$U:$U,'Processed Non-zero DMR Data'!Y272,'Raw Non-zero DMR Data'!$Z:$Z,"Yes")</f>
        <v>1</v>
      </c>
      <c r="W272">
        <v>2.0032112500000001</v>
      </c>
      <c r="X272" t="s">
        <v>846</v>
      </c>
      <c r="Y272" t="s">
        <v>847</v>
      </c>
      <c r="Z272" s="257">
        <v>200100000407</v>
      </c>
    </row>
    <row r="273" spans="1:26" ht="15" customHeight="1" x14ac:dyDescent="0.25">
      <c r="A273">
        <v>2023</v>
      </c>
      <c r="B273" t="s">
        <v>455</v>
      </c>
      <c r="C273" t="s">
        <v>456</v>
      </c>
      <c r="D273" t="s">
        <v>845</v>
      </c>
      <c r="E273" t="s">
        <v>186</v>
      </c>
      <c r="F273">
        <v>19.713750000000001</v>
      </c>
      <c r="G273">
        <v>-155.01927800000001</v>
      </c>
      <c r="I273" s="1">
        <v>110013786698</v>
      </c>
      <c r="J273">
        <v>4952</v>
      </c>
      <c r="K273" s="175" t="str">
        <f>INDEX('2022 SIC to NAICS'!B:B, MATCH('Processed Non-zero DMR Data'!$J273, '2022 SIC to NAICS'!$A:$A, 0))</f>
        <v>Sewerage Systems</v>
      </c>
      <c r="L273" s="175">
        <f>INDEX('2022 SIC to NAICS'!C:C, MATCH('Processed Non-zero DMR Data'!$J273, '2022 SIC to NAICS'!$A:$A, 0))</f>
        <v>221320</v>
      </c>
      <c r="M273" s="175" t="str">
        <f>INDEX('2022 SIC to NAICS'!D:D, MATCH('Processed Non-zero DMR Data'!$J273, '2022 SIC to NAICS'!$A:$A, 0))</f>
        <v xml:space="preserve">Sewage Treatment Facilities </v>
      </c>
      <c r="N273" s="90" t="str">
        <f>IFERROR(INDEX('NAICS Code to IS CDR Code'!B:B, MATCH('Processed Non-zero DMR Data'!L273,'NAICS Code to IS CDR Code'!A:A,0)), "NAICS/SIC Not Provided")</f>
        <v>IS4</v>
      </c>
      <c r="O273" s="91" t="str">
        <f>IFERROR(INDEX('NAICS Code to IS CDR Code'!C:C, MATCH('Processed Non-zero DMR Data'!L273,'NAICS Code to IS CDR Code'!A:A,0)), "NAICS/SIC Not Provided")</f>
        <v>Utilities</v>
      </c>
      <c r="P273" s="91" t="str">
        <f>INDEX('11DCA Mapping'!$K:$K, MATCH('Processed Non-zero DMR Data'!I279,'11DCA Mapping'!$J:$J,0))</f>
        <v>Remediation</v>
      </c>
      <c r="Q273" s="91" t="str">
        <f>INDEX('11DCA Mapping'!$L:$L, MATCH('Processed Non-zero DMR Data'!I279,'11DCA Mapping'!$J:$J,0))</f>
        <v>Assumed remediation based on site name</v>
      </c>
      <c r="R273" s="250" t="str">
        <f>VLOOKUP(I273,'DMR POTW Flag'!$A$2:$B$960,2,FALSE)</f>
        <v>POTW</v>
      </c>
      <c r="S273" s="7" t="s">
        <v>67</v>
      </c>
      <c r="T273" s="249" t="s">
        <v>586</v>
      </c>
      <c r="U273" s="8">
        <f>COUNTIFS('Raw Non-zero DMR Data'!$A:$A, 'Processed Non-zero DMR Data'!A273, 'Raw Non-zero DMR Data'!$C:$C, X273, 'Raw Non-zero DMR Data'!$U:$U,'Processed Non-zero DMR Data'!Y273)</f>
        <v>1</v>
      </c>
      <c r="V273" s="8">
        <f>COUNTIFS('Raw Non-zero DMR Data'!$A:$A, 'Processed Non-zero DMR Data'!A273, 'Raw Non-zero DMR Data'!$C:$C, X273, 'Raw Non-zero DMR Data'!$U:$U,'Processed Non-zero DMR Data'!Y273,'Raw Non-zero DMR Data'!$Z:$Z,"Yes")</f>
        <v>1</v>
      </c>
      <c r="W273">
        <v>2.2691548125000001</v>
      </c>
      <c r="X273" t="s">
        <v>846</v>
      </c>
      <c r="Y273" t="s">
        <v>847</v>
      </c>
      <c r="Z273" s="257">
        <v>200100000407</v>
      </c>
    </row>
    <row r="274" spans="1:26" ht="15" customHeight="1" x14ac:dyDescent="0.25">
      <c r="A274">
        <v>2019</v>
      </c>
      <c r="B274" t="s">
        <v>296</v>
      </c>
      <c r="C274" t="s">
        <v>224</v>
      </c>
      <c r="D274" t="s">
        <v>771</v>
      </c>
      <c r="E274" t="s">
        <v>141</v>
      </c>
      <c r="F274">
        <v>41.305320000000002</v>
      </c>
      <c r="G274">
        <v>-88.561769999999996</v>
      </c>
      <c r="I274" s="1">
        <v>110000433022</v>
      </c>
      <c r="J274">
        <v>2821</v>
      </c>
      <c r="K274" s="175" t="str">
        <f>INDEX('2022 SIC to NAICS'!B:B, MATCH('Processed Non-zero DMR Data'!$J274, '2022 SIC to NAICS'!$A:$A, 0))</f>
        <v>Plastics Materials and Resins</v>
      </c>
      <c r="L274" s="175">
        <f>INDEX('2022 SIC to NAICS'!C:C, MATCH('Processed Non-zero DMR Data'!$J274, '2022 SIC to NAICS'!$A:$A, 0))</f>
        <v>325211</v>
      </c>
      <c r="M274" s="175" t="str">
        <f>INDEX('2022 SIC to NAICS'!D:D, MATCH('Processed Non-zero DMR Data'!$J274, '2022 SIC to NAICS'!$A:$A, 0))</f>
        <v xml:space="preserve">Plastics Material and Resin Manufacturing </v>
      </c>
      <c r="N274" s="90" t="str">
        <f>IFERROR(INDEX('NAICS Code to IS CDR Code'!B:B, MATCH('Processed Non-zero DMR Data'!L274,'NAICS Code to IS CDR Code'!A:A,0)), "NAICS/SIC Not Provided")</f>
        <v>IS22</v>
      </c>
      <c r="O274" s="91" t="str">
        <f>IFERROR(INDEX('NAICS Code to IS CDR Code'!C:C, MATCH('Processed Non-zero DMR Data'!L274,'NAICS Code to IS CDR Code'!A:A,0)), "NAICS/SIC Not Provided")</f>
        <v>Plastic Material and Resin Manufacturing</v>
      </c>
      <c r="P274" s="91" t="str">
        <f>INDEX('11DCA Mapping'!$K:$K, MATCH('Processed Non-zero DMR Data'!I280,'11DCA Mapping'!$J:$J,0))</f>
        <v>Remediation</v>
      </c>
      <c r="Q274" s="91" t="str">
        <f>INDEX('11DCA Mapping'!$L:$L, MATCH('Processed Non-zero DMR Data'!I280,'11DCA Mapping'!$J:$J,0))</f>
        <v>Assumed remediation based on site name</v>
      </c>
      <c r="R274" s="250" t="str">
        <f>VLOOKUP(I274,'DMR POTW Flag'!$A$2:$B$960,2,FALSE)</f>
        <v>NON-POTW</v>
      </c>
      <c r="S274" s="7" t="s">
        <v>63</v>
      </c>
      <c r="T274" s="7" t="s">
        <v>5470</v>
      </c>
      <c r="U274" s="8">
        <f>COUNTIFS('Raw Non-zero DMR Data'!$A:$A, 'Processed Non-zero DMR Data'!A274, 'Raw Non-zero DMR Data'!$C:$C, X274, 'Raw Non-zero DMR Data'!$U:$U,'Processed Non-zero DMR Data'!Y274)</f>
        <v>1</v>
      </c>
      <c r="V274" s="8">
        <f>COUNTIFS('Raw Non-zero DMR Data'!$A:$A, 'Processed Non-zero DMR Data'!A274, 'Raw Non-zero DMR Data'!$C:$C, X274, 'Raw Non-zero DMR Data'!$U:$U,'Processed Non-zero DMR Data'!Y274,'Raw Non-zero DMR Data'!$Z:$Z,"Yes")</f>
        <v>1</v>
      </c>
      <c r="W274">
        <v>6.4544044999999994E-2</v>
      </c>
      <c r="X274" t="s">
        <v>848</v>
      </c>
      <c r="Y274" t="s">
        <v>849</v>
      </c>
      <c r="Z274" s="257">
        <v>71200050705</v>
      </c>
    </row>
    <row r="275" spans="1:26" ht="15" customHeight="1" x14ac:dyDescent="0.25">
      <c r="A275">
        <v>2020</v>
      </c>
      <c r="B275" t="s">
        <v>296</v>
      </c>
      <c r="C275" t="s">
        <v>224</v>
      </c>
      <c r="D275" t="s">
        <v>771</v>
      </c>
      <c r="E275" t="s">
        <v>141</v>
      </c>
      <c r="F275">
        <v>41.305320000000002</v>
      </c>
      <c r="G275">
        <v>-88.561769999999996</v>
      </c>
      <c r="I275" s="1">
        <v>110000433022</v>
      </c>
      <c r="J275">
        <v>2821</v>
      </c>
      <c r="K275" s="175" t="str">
        <f>INDEX('2022 SIC to NAICS'!B:B, MATCH('Processed Non-zero DMR Data'!$J275, '2022 SIC to NAICS'!$A:$A, 0))</f>
        <v>Plastics Materials and Resins</v>
      </c>
      <c r="L275" s="175">
        <f>INDEX('2022 SIC to NAICS'!C:C, MATCH('Processed Non-zero DMR Data'!$J275, '2022 SIC to NAICS'!$A:$A, 0))</f>
        <v>325211</v>
      </c>
      <c r="M275" s="175" t="str">
        <f>INDEX('2022 SIC to NAICS'!D:D, MATCH('Processed Non-zero DMR Data'!$J275, '2022 SIC to NAICS'!$A:$A, 0))</f>
        <v xml:space="preserve">Plastics Material and Resin Manufacturing </v>
      </c>
      <c r="N275" s="90" t="str">
        <f>IFERROR(INDEX('NAICS Code to IS CDR Code'!B:B, MATCH('Processed Non-zero DMR Data'!L275,'NAICS Code to IS CDR Code'!A:A,0)), "NAICS/SIC Not Provided")</f>
        <v>IS22</v>
      </c>
      <c r="O275" s="91" t="str">
        <f>IFERROR(INDEX('NAICS Code to IS CDR Code'!C:C, MATCH('Processed Non-zero DMR Data'!L275,'NAICS Code to IS CDR Code'!A:A,0)), "NAICS/SIC Not Provided")</f>
        <v>Plastic Material and Resin Manufacturing</v>
      </c>
      <c r="P275" s="91" t="str">
        <f>INDEX('11DCA Mapping'!$K:$K, MATCH('Processed Non-zero DMR Data'!I281,'11DCA Mapping'!$J:$J,0))</f>
        <v>Remediation</v>
      </c>
      <c r="Q275" s="91" t="str">
        <f>INDEX('11DCA Mapping'!$L:$L, MATCH('Processed Non-zero DMR Data'!I281,'11DCA Mapping'!$J:$J,0))</f>
        <v>Assumed remediation based on site name</v>
      </c>
      <c r="R275" s="250" t="str">
        <f>VLOOKUP(I275,'DMR POTW Flag'!$A$2:$B$960,2,FALSE)</f>
        <v>NON-POTW</v>
      </c>
      <c r="S275" s="7" t="s">
        <v>63</v>
      </c>
      <c r="T275" s="7" t="s">
        <v>5470</v>
      </c>
      <c r="U275" s="8">
        <f>COUNTIFS('Raw Non-zero DMR Data'!$A:$A, 'Processed Non-zero DMR Data'!A275, 'Raw Non-zero DMR Data'!$C:$C, X275, 'Raw Non-zero DMR Data'!$U:$U,'Processed Non-zero DMR Data'!Y275)</f>
        <v>1</v>
      </c>
      <c r="V275" s="8">
        <f>COUNTIFS('Raw Non-zero DMR Data'!$A:$A, 'Processed Non-zero DMR Data'!A275, 'Raw Non-zero DMR Data'!$C:$C, X275, 'Raw Non-zero DMR Data'!$U:$U,'Processed Non-zero DMR Data'!Y275,'Raw Non-zero DMR Data'!$Z:$Z,"Yes")</f>
        <v>1</v>
      </c>
      <c r="W275">
        <v>0.20465185</v>
      </c>
      <c r="X275" t="s">
        <v>848</v>
      </c>
      <c r="Y275" t="s">
        <v>849</v>
      </c>
      <c r="Z275" s="257">
        <v>71200050705</v>
      </c>
    </row>
    <row r="276" spans="1:26" ht="15" customHeight="1" x14ac:dyDescent="0.25">
      <c r="A276">
        <v>2021</v>
      </c>
      <c r="B276" t="s">
        <v>296</v>
      </c>
      <c r="C276" t="s">
        <v>224</v>
      </c>
      <c r="D276" t="s">
        <v>771</v>
      </c>
      <c r="E276" t="s">
        <v>141</v>
      </c>
      <c r="F276">
        <v>41.305320000000002</v>
      </c>
      <c r="G276">
        <v>-88.561769999999996</v>
      </c>
      <c r="I276" s="1">
        <v>110000433022</v>
      </c>
      <c r="J276">
        <v>2821</v>
      </c>
      <c r="K276" s="175" t="str">
        <f>INDEX('2022 SIC to NAICS'!B:B, MATCH('Processed Non-zero DMR Data'!$J276, '2022 SIC to NAICS'!$A:$A, 0))</f>
        <v>Plastics Materials and Resins</v>
      </c>
      <c r="L276" s="175">
        <f>INDEX('2022 SIC to NAICS'!C:C, MATCH('Processed Non-zero DMR Data'!$J276, '2022 SIC to NAICS'!$A:$A, 0))</f>
        <v>325211</v>
      </c>
      <c r="M276" s="175" t="str">
        <f>INDEX('2022 SIC to NAICS'!D:D, MATCH('Processed Non-zero DMR Data'!$J276, '2022 SIC to NAICS'!$A:$A, 0))</f>
        <v xml:space="preserve">Plastics Material and Resin Manufacturing </v>
      </c>
      <c r="N276" s="90" t="str">
        <f>IFERROR(INDEX('NAICS Code to IS CDR Code'!B:B, MATCH('Processed Non-zero DMR Data'!L276,'NAICS Code to IS CDR Code'!A:A,0)), "NAICS/SIC Not Provided")</f>
        <v>IS22</v>
      </c>
      <c r="O276" s="91" t="str">
        <f>IFERROR(INDEX('NAICS Code to IS CDR Code'!C:C, MATCH('Processed Non-zero DMR Data'!L276,'NAICS Code to IS CDR Code'!A:A,0)), "NAICS/SIC Not Provided")</f>
        <v>Plastic Material and Resin Manufacturing</v>
      </c>
      <c r="P276" s="91" t="str">
        <f>INDEX('11DCA Mapping'!$K:$K, MATCH('Processed Non-zero DMR Data'!I282,'11DCA Mapping'!$J:$J,0))</f>
        <v>Remediation</v>
      </c>
      <c r="Q276" s="91" t="str">
        <f>INDEX('11DCA Mapping'!$L:$L, MATCH('Processed Non-zero DMR Data'!I282,'11DCA Mapping'!$J:$J,0))</f>
        <v>Assumed remediation based on site name</v>
      </c>
      <c r="R276" s="250" t="str">
        <f>VLOOKUP(I276,'DMR POTW Flag'!$A$2:$B$960,2,FALSE)</f>
        <v>NON-POTW</v>
      </c>
      <c r="S276" s="7" t="s">
        <v>63</v>
      </c>
      <c r="T276" s="7" t="s">
        <v>5470</v>
      </c>
      <c r="U276" s="8">
        <f>COUNTIFS('Raw Non-zero DMR Data'!$A:$A, 'Processed Non-zero DMR Data'!A276, 'Raw Non-zero DMR Data'!$C:$C, X276, 'Raw Non-zero DMR Data'!$U:$U,'Processed Non-zero DMR Data'!Y276)</f>
        <v>1</v>
      </c>
      <c r="V276" s="8">
        <f>COUNTIFS('Raw Non-zero DMR Data'!$A:$A, 'Processed Non-zero DMR Data'!A276, 'Raw Non-zero DMR Data'!$C:$C, X276, 'Raw Non-zero DMR Data'!$U:$U,'Processed Non-zero DMR Data'!Y276,'Raw Non-zero DMR Data'!$Z:$Z,"Yes")</f>
        <v>1</v>
      </c>
      <c r="W276">
        <v>2.8120987E-2</v>
      </c>
      <c r="X276" t="s">
        <v>848</v>
      </c>
      <c r="Y276" t="s">
        <v>849</v>
      </c>
      <c r="Z276" s="257">
        <v>71200050705</v>
      </c>
    </row>
    <row r="277" spans="1:26" ht="15" customHeight="1" x14ac:dyDescent="0.25">
      <c r="A277">
        <v>2022</v>
      </c>
      <c r="B277" t="s">
        <v>296</v>
      </c>
      <c r="C277" t="s">
        <v>224</v>
      </c>
      <c r="D277" t="s">
        <v>771</v>
      </c>
      <c r="E277" t="s">
        <v>141</v>
      </c>
      <c r="F277">
        <v>41.305320000000002</v>
      </c>
      <c r="G277">
        <v>-88.561769999999996</v>
      </c>
      <c r="I277" s="1">
        <v>110000433022</v>
      </c>
      <c r="J277">
        <v>2821</v>
      </c>
      <c r="K277" s="175" t="str">
        <f>INDEX('2022 SIC to NAICS'!B:B, MATCH('Processed Non-zero DMR Data'!$J277, '2022 SIC to NAICS'!$A:$A, 0))</f>
        <v>Plastics Materials and Resins</v>
      </c>
      <c r="L277" s="175">
        <f>INDEX('2022 SIC to NAICS'!C:C, MATCH('Processed Non-zero DMR Data'!$J277, '2022 SIC to NAICS'!$A:$A, 0))</f>
        <v>325211</v>
      </c>
      <c r="M277" s="175" t="str">
        <f>INDEX('2022 SIC to NAICS'!D:D, MATCH('Processed Non-zero DMR Data'!$J277, '2022 SIC to NAICS'!$A:$A, 0))</f>
        <v xml:space="preserve">Plastics Material and Resin Manufacturing </v>
      </c>
      <c r="N277" s="90" t="str">
        <f>IFERROR(INDEX('NAICS Code to IS CDR Code'!B:B, MATCH('Processed Non-zero DMR Data'!L277,'NAICS Code to IS CDR Code'!A:A,0)), "NAICS/SIC Not Provided")</f>
        <v>IS22</v>
      </c>
      <c r="O277" s="91" t="str">
        <f>IFERROR(INDEX('NAICS Code to IS CDR Code'!C:C, MATCH('Processed Non-zero DMR Data'!L277,'NAICS Code to IS CDR Code'!A:A,0)), "NAICS/SIC Not Provided")</f>
        <v>Plastic Material and Resin Manufacturing</v>
      </c>
      <c r="P277" s="91" t="str">
        <f>INDEX('11DCA Mapping'!$K:$K, MATCH('Processed Non-zero DMR Data'!I283,'11DCA Mapping'!$J:$J,0))</f>
        <v>Remediation</v>
      </c>
      <c r="Q277" s="91" t="str">
        <f>INDEX('11DCA Mapping'!$L:$L, MATCH('Processed Non-zero DMR Data'!I283,'11DCA Mapping'!$J:$J,0))</f>
        <v>Assumed remediation based on site name</v>
      </c>
      <c r="R277" s="250" t="str">
        <f>VLOOKUP(I277,'DMR POTW Flag'!$A$2:$B$960,2,FALSE)</f>
        <v>NON-POTW</v>
      </c>
      <c r="S277" s="7" t="s">
        <v>63</v>
      </c>
      <c r="T277" s="7" t="s">
        <v>5470</v>
      </c>
      <c r="U277" s="8">
        <f>COUNTIFS('Raw Non-zero DMR Data'!$A:$A, 'Processed Non-zero DMR Data'!A277, 'Raw Non-zero DMR Data'!$C:$C, X277, 'Raw Non-zero DMR Data'!$U:$U,'Processed Non-zero DMR Data'!Y277)</f>
        <v>1</v>
      </c>
      <c r="V277" s="8">
        <f>COUNTIFS('Raw Non-zero DMR Data'!$A:$A, 'Processed Non-zero DMR Data'!A277, 'Raw Non-zero DMR Data'!$C:$C, X277, 'Raw Non-zero DMR Data'!$U:$U,'Processed Non-zero DMR Data'!Y277,'Raw Non-zero DMR Data'!$Z:$Z,"Yes")</f>
        <v>1</v>
      </c>
      <c r="W277">
        <v>0.17283552999999999</v>
      </c>
      <c r="X277" t="s">
        <v>848</v>
      </c>
      <c r="Y277" t="s">
        <v>849</v>
      </c>
      <c r="Z277" s="257">
        <v>71200050705</v>
      </c>
    </row>
    <row r="278" spans="1:26" ht="15" customHeight="1" x14ac:dyDescent="0.25">
      <c r="A278">
        <v>2023</v>
      </c>
      <c r="B278" t="s">
        <v>296</v>
      </c>
      <c r="C278" t="s">
        <v>224</v>
      </c>
      <c r="D278" t="s">
        <v>771</v>
      </c>
      <c r="E278" t="s">
        <v>141</v>
      </c>
      <c r="F278">
        <v>41.305320000000002</v>
      </c>
      <c r="G278">
        <v>-88.561769999999996</v>
      </c>
      <c r="I278" s="1">
        <v>110000433022</v>
      </c>
      <c r="J278">
        <v>2821</v>
      </c>
      <c r="K278" s="175" t="str">
        <f>INDEX('2022 SIC to NAICS'!B:B, MATCH('Processed Non-zero DMR Data'!$J278, '2022 SIC to NAICS'!$A:$A, 0))</f>
        <v>Plastics Materials and Resins</v>
      </c>
      <c r="L278" s="175">
        <f>INDEX('2022 SIC to NAICS'!C:C, MATCH('Processed Non-zero DMR Data'!$J278, '2022 SIC to NAICS'!$A:$A, 0))</f>
        <v>325211</v>
      </c>
      <c r="M278" s="175" t="str">
        <f>INDEX('2022 SIC to NAICS'!D:D, MATCH('Processed Non-zero DMR Data'!$J278, '2022 SIC to NAICS'!$A:$A, 0))</f>
        <v xml:space="preserve">Plastics Material and Resin Manufacturing </v>
      </c>
      <c r="N278" s="90" t="str">
        <f>IFERROR(INDEX('NAICS Code to IS CDR Code'!B:B, MATCH('Processed Non-zero DMR Data'!L278,'NAICS Code to IS CDR Code'!A:A,0)), "NAICS/SIC Not Provided")</f>
        <v>IS22</v>
      </c>
      <c r="O278" s="91" t="str">
        <f>IFERROR(INDEX('NAICS Code to IS CDR Code'!C:C, MATCH('Processed Non-zero DMR Data'!L278,'NAICS Code to IS CDR Code'!A:A,0)), "NAICS/SIC Not Provided")</f>
        <v>Plastic Material and Resin Manufacturing</v>
      </c>
      <c r="P278" s="91" t="e">
        <f>INDEX('11DCA Mapping'!$K:$K, MATCH('Processed Non-zero DMR Data'!I284,'11DCA Mapping'!$J:$J,0))</f>
        <v>#N/A</v>
      </c>
      <c r="Q278" s="91" t="e">
        <f>INDEX('11DCA Mapping'!$L:$L, MATCH('Processed Non-zero DMR Data'!I284,'11DCA Mapping'!$J:$J,0))</f>
        <v>#N/A</v>
      </c>
      <c r="R278" s="250" t="str">
        <f>VLOOKUP(I278,'DMR POTW Flag'!$A$2:$B$960,2,FALSE)</f>
        <v>NON-POTW</v>
      </c>
      <c r="S278" s="7" t="s">
        <v>63</v>
      </c>
      <c r="T278" s="7" t="s">
        <v>5470</v>
      </c>
      <c r="U278" s="8">
        <f>COUNTIFS('Raw Non-zero DMR Data'!$A:$A, 'Processed Non-zero DMR Data'!A278, 'Raw Non-zero DMR Data'!$C:$C, X278, 'Raw Non-zero DMR Data'!$U:$U,'Processed Non-zero DMR Data'!Y278)</f>
        <v>1</v>
      </c>
      <c r="V278" s="8">
        <f>COUNTIFS('Raw Non-zero DMR Data'!$A:$A, 'Processed Non-zero DMR Data'!A278, 'Raw Non-zero DMR Data'!$C:$C, X278, 'Raw Non-zero DMR Data'!$U:$U,'Processed Non-zero DMR Data'!Y278,'Raw Non-zero DMR Data'!$Z:$Z,"Yes")</f>
        <v>1</v>
      </c>
      <c r="W278">
        <v>3.7533314999999998E-2</v>
      </c>
      <c r="X278" t="s">
        <v>848</v>
      </c>
      <c r="Y278" t="s">
        <v>849</v>
      </c>
      <c r="Z278" s="257">
        <v>71200050705</v>
      </c>
    </row>
    <row r="279" spans="1:26" ht="15" customHeight="1" x14ac:dyDescent="0.25">
      <c r="A279">
        <v>2019</v>
      </c>
      <c r="B279" t="s">
        <v>191</v>
      </c>
      <c r="C279" t="s">
        <v>192</v>
      </c>
      <c r="D279" t="s">
        <v>731</v>
      </c>
      <c r="E279" t="s">
        <v>153</v>
      </c>
      <c r="F279">
        <v>39.827696000000003</v>
      </c>
      <c r="G279">
        <v>-75.277782000000002</v>
      </c>
      <c r="I279" s="1">
        <v>110070210457</v>
      </c>
      <c r="J279">
        <v>2869</v>
      </c>
      <c r="K279" s="175" t="str">
        <f>INDEX('2022 SIC to NAICS'!B:B, MATCH('Processed Non-zero DMR Data'!$J279, '2022 SIC to NAICS'!$A:$A, 0))</f>
        <v>Industrial Organic Chemicals, Nec</v>
      </c>
      <c r="L279" s="175">
        <f>INDEX('2022 SIC to NAICS'!C:C, MATCH('Processed Non-zero DMR Data'!$J279, '2022 SIC to NAICS'!$A:$A, 0))</f>
        <v>325110</v>
      </c>
      <c r="M279" s="175" t="str">
        <f>INDEX('2022 SIC to NAICS'!D:D, MATCH('Processed Non-zero DMR Data'!$J279, '2022 SIC to NAICS'!$A:$A, 0))</f>
        <v>Petrochemical Manufacturing</v>
      </c>
      <c r="N279" s="90" t="str">
        <f>IFERROR(INDEX('NAICS Code to IS CDR Code'!B:B, MATCH('Processed Non-zero DMR Data'!L279,'NAICS Code to IS CDR Code'!A:A,0)), "NAICS/SIC Not Provided")</f>
        <v>IS15</v>
      </c>
      <c r="O279" s="91" t="str">
        <f>IFERROR(INDEX('NAICS Code to IS CDR Code'!C:C, MATCH('Processed Non-zero DMR Data'!L279,'NAICS Code to IS CDR Code'!A:A,0)), "NAICS/SIC Not Provided")</f>
        <v>Petrochemical Manufacturing</v>
      </c>
      <c r="P279" s="91" t="e">
        <f>INDEX('11DCA Mapping'!$K:$K, MATCH('Processed Non-zero DMR Data'!I285,'11DCA Mapping'!$J:$J,0))</f>
        <v>#N/A</v>
      </c>
      <c r="Q279" s="91" t="e">
        <f>INDEX('11DCA Mapping'!$L:$L, MATCH('Processed Non-zero DMR Data'!I285,'11DCA Mapping'!$J:$J,0))</f>
        <v>#N/A</v>
      </c>
      <c r="R279" s="250" t="str">
        <f>VLOOKUP(I279,'DMR POTW Flag'!$A$2:$B$960,2,FALSE)</f>
        <v>NON-POTW</v>
      </c>
      <c r="S279" s="7" t="s">
        <v>71</v>
      </c>
      <c r="T279" s="7" t="s">
        <v>850</v>
      </c>
      <c r="U279" s="8">
        <f>COUNTIFS('Raw Non-zero DMR Data'!$A:$A, 'Processed Non-zero DMR Data'!A279, 'Raw Non-zero DMR Data'!$C:$C, X279, 'Raw Non-zero DMR Data'!$U:$U,'Processed Non-zero DMR Data'!Y279)</f>
        <v>1</v>
      </c>
      <c r="V279" s="8">
        <f>COUNTIFS('Raw Non-zero DMR Data'!$A:$A, 'Processed Non-zero DMR Data'!A279, 'Raw Non-zero DMR Data'!$C:$C, X279, 'Raw Non-zero DMR Data'!$U:$U,'Processed Non-zero DMR Data'!Y279,'Raw Non-zero DMR Data'!$Z:$Z,"Yes")</f>
        <v>1</v>
      </c>
      <c r="W279">
        <v>6.674366805E-3</v>
      </c>
      <c r="X279" t="s">
        <v>851</v>
      </c>
      <c r="Y279" t="s">
        <v>852</v>
      </c>
      <c r="Z279" s="257">
        <v>20402020507</v>
      </c>
    </row>
    <row r="280" spans="1:26" ht="15" customHeight="1" x14ac:dyDescent="0.25">
      <c r="A280">
        <v>2020</v>
      </c>
      <c r="B280" t="s">
        <v>191</v>
      </c>
      <c r="C280" t="s">
        <v>192</v>
      </c>
      <c r="D280" t="s">
        <v>731</v>
      </c>
      <c r="E280" t="s">
        <v>153</v>
      </c>
      <c r="F280">
        <v>39.827696000000003</v>
      </c>
      <c r="G280">
        <v>-75.277782000000002</v>
      </c>
      <c r="I280" s="1">
        <v>110070210457</v>
      </c>
      <c r="J280">
        <v>2869</v>
      </c>
      <c r="K280" s="175" t="str">
        <f>INDEX('2022 SIC to NAICS'!B:B, MATCH('Processed Non-zero DMR Data'!$J280, '2022 SIC to NAICS'!$A:$A, 0))</f>
        <v>Industrial Organic Chemicals, Nec</v>
      </c>
      <c r="L280" s="175">
        <f>INDEX('2022 SIC to NAICS'!C:C, MATCH('Processed Non-zero DMR Data'!$J280, '2022 SIC to NAICS'!$A:$A, 0))</f>
        <v>325110</v>
      </c>
      <c r="M280" s="175" t="str">
        <f>INDEX('2022 SIC to NAICS'!D:D, MATCH('Processed Non-zero DMR Data'!$J280, '2022 SIC to NAICS'!$A:$A, 0))</f>
        <v>Petrochemical Manufacturing</v>
      </c>
      <c r="N280" s="90" t="str">
        <f>IFERROR(INDEX('NAICS Code to IS CDR Code'!B:B, MATCH('Processed Non-zero DMR Data'!L280,'NAICS Code to IS CDR Code'!A:A,0)), "NAICS/SIC Not Provided")</f>
        <v>IS15</v>
      </c>
      <c r="O280" s="91" t="str">
        <f>IFERROR(INDEX('NAICS Code to IS CDR Code'!C:C, MATCH('Processed Non-zero DMR Data'!L280,'NAICS Code to IS CDR Code'!A:A,0)), "NAICS/SIC Not Provided")</f>
        <v>Petrochemical Manufacturing</v>
      </c>
      <c r="P280" s="91" t="str">
        <f>INDEX('11DCA Mapping'!$K:$K, MATCH('Processed Non-zero DMR Data'!I286,'11DCA Mapping'!$J:$J,0))</f>
        <v>POTW</v>
      </c>
      <c r="Q280" s="91" t="str">
        <f>INDEX('11DCA Mapping'!$L:$L, MATCH('Processed Non-zero DMR Data'!I286,'11DCA Mapping'!$J:$J,0))</f>
        <v>Assigned POTW per "Facility Type Indicator"</v>
      </c>
      <c r="R280" s="250" t="str">
        <f>VLOOKUP(I280,'DMR POTW Flag'!$A$2:$B$960,2,FALSE)</f>
        <v>NON-POTW</v>
      </c>
      <c r="S280" s="7" t="s">
        <v>71</v>
      </c>
      <c r="T280" s="7" t="s">
        <v>850</v>
      </c>
      <c r="U280" s="8">
        <f>COUNTIFS('Raw Non-zero DMR Data'!$A:$A, 'Processed Non-zero DMR Data'!A280, 'Raw Non-zero DMR Data'!$C:$C, X280, 'Raw Non-zero DMR Data'!$U:$U,'Processed Non-zero DMR Data'!Y280)</f>
        <v>1</v>
      </c>
      <c r="V280" s="8">
        <f>COUNTIFS('Raw Non-zero DMR Data'!$A:$A, 'Processed Non-zero DMR Data'!A280, 'Raw Non-zero DMR Data'!$C:$C, X280, 'Raw Non-zero DMR Data'!$U:$U,'Processed Non-zero DMR Data'!Y280,'Raw Non-zero DMR Data'!$Z:$Z,"Yes")</f>
        <v>1</v>
      </c>
      <c r="W280">
        <v>6.2537794974999996E-3</v>
      </c>
      <c r="X280" t="s">
        <v>851</v>
      </c>
      <c r="Y280" t="s">
        <v>852</v>
      </c>
      <c r="Z280" s="257">
        <v>20402020507</v>
      </c>
    </row>
    <row r="281" spans="1:26" ht="15" customHeight="1" x14ac:dyDescent="0.25">
      <c r="A281">
        <v>2021</v>
      </c>
      <c r="B281" t="s">
        <v>191</v>
      </c>
      <c r="C281" t="s">
        <v>192</v>
      </c>
      <c r="D281" t="s">
        <v>731</v>
      </c>
      <c r="E281" t="s">
        <v>153</v>
      </c>
      <c r="F281">
        <v>39.827696000000003</v>
      </c>
      <c r="G281">
        <v>-75.277782000000002</v>
      </c>
      <c r="I281" s="1">
        <v>110070210457</v>
      </c>
      <c r="J281">
        <v>2869</v>
      </c>
      <c r="K281" s="175" t="str">
        <f>INDEX('2022 SIC to NAICS'!B:B, MATCH('Processed Non-zero DMR Data'!$J281, '2022 SIC to NAICS'!$A:$A, 0))</f>
        <v>Industrial Organic Chemicals, Nec</v>
      </c>
      <c r="L281" s="175">
        <f>INDEX('2022 SIC to NAICS'!C:C, MATCH('Processed Non-zero DMR Data'!$J281, '2022 SIC to NAICS'!$A:$A, 0))</f>
        <v>325110</v>
      </c>
      <c r="M281" s="175" t="str">
        <f>INDEX('2022 SIC to NAICS'!D:D, MATCH('Processed Non-zero DMR Data'!$J281, '2022 SIC to NAICS'!$A:$A, 0))</f>
        <v>Petrochemical Manufacturing</v>
      </c>
      <c r="N281" s="90" t="str">
        <f>IFERROR(INDEX('NAICS Code to IS CDR Code'!B:B, MATCH('Processed Non-zero DMR Data'!L281,'NAICS Code to IS CDR Code'!A:A,0)), "NAICS/SIC Not Provided")</f>
        <v>IS15</v>
      </c>
      <c r="O281" s="91" t="str">
        <f>IFERROR(INDEX('NAICS Code to IS CDR Code'!C:C, MATCH('Processed Non-zero DMR Data'!L281,'NAICS Code to IS CDR Code'!A:A,0)), "NAICS/SIC Not Provided")</f>
        <v>Petrochemical Manufacturing</v>
      </c>
      <c r="P281" s="91" t="str">
        <f>INDEX('11DCA Mapping'!$K:$K, MATCH('Processed Non-zero DMR Data'!I287,'11DCA Mapping'!$J:$J,0))</f>
        <v>POTW</v>
      </c>
      <c r="Q281" s="91" t="str">
        <f>INDEX('11DCA Mapping'!$L:$L, MATCH('Processed Non-zero DMR Data'!I287,'11DCA Mapping'!$J:$J,0))</f>
        <v>Assigned POTW per "Facility Type Indicator"</v>
      </c>
      <c r="R281" s="250" t="str">
        <f>VLOOKUP(I281,'DMR POTW Flag'!$A$2:$B$960,2,FALSE)</f>
        <v>NON-POTW</v>
      </c>
      <c r="S281" s="7" t="s">
        <v>71</v>
      </c>
      <c r="T281" s="7" t="s">
        <v>850</v>
      </c>
      <c r="U281" s="8">
        <f>COUNTIFS('Raw Non-zero DMR Data'!$A:$A, 'Processed Non-zero DMR Data'!A281, 'Raw Non-zero DMR Data'!$C:$C, X281, 'Raw Non-zero DMR Data'!$U:$U,'Processed Non-zero DMR Data'!Y281)</f>
        <v>1</v>
      </c>
      <c r="V281" s="8">
        <f>COUNTIFS('Raw Non-zero DMR Data'!$A:$A, 'Processed Non-zero DMR Data'!A281, 'Raw Non-zero DMR Data'!$C:$C, X281, 'Raw Non-zero DMR Data'!$U:$U,'Processed Non-zero DMR Data'!Y281,'Raw Non-zero DMR Data'!$Z:$Z,"Yes")</f>
        <v>1</v>
      </c>
      <c r="W281">
        <v>5.6170024525000004E-3</v>
      </c>
      <c r="X281" t="s">
        <v>851</v>
      </c>
      <c r="Y281" t="s">
        <v>852</v>
      </c>
      <c r="Z281" s="257">
        <v>20402020507</v>
      </c>
    </row>
    <row r="282" spans="1:26" ht="15" customHeight="1" x14ac:dyDescent="0.25">
      <c r="A282">
        <v>2022</v>
      </c>
      <c r="B282" t="s">
        <v>191</v>
      </c>
      <c r="C282" t="s">
        <v>192</v>
      </c>
      <c r="D282" t="s">
        <v>731</v>
      </c>
      <c r="E282" t="s">
        <v>153</v>
      </c>
      <c r="F282">
        <v>39.827696000000003</v>
      </c>
      <c r="G282">
        <v>-75.277782000000002</v>
      </c>
      <c r="I282" s="1">
        <v>110070210457</v>
      </c>
      <c r="J282">
        <v>2869</v>
      </c>
      <c r="K282" s="175" t="str">
        <f>INDEX('2022 SIC to NAICS'!B:B, MATCH('Processed Non-zero DMR Data'!$J282, '2022 SIC to NAICS'!$A:$A, 0))</f>
        <v>Industrial Organic Chemicals, Nec</v>
      </c>
      <c r="L282" s="175">
        <f>INDEX('2022 SIC to NAICS'!C:C, MATCH('Processed Non-zero DMR Data'!$J282, '2022 SIC to NAICS'!$A:$A, 0))</f>
        <v>325110</v>
      </c>
      <c r="M282" s="175" t="str">
        <f>INDEX('2022 SIC to NAICS'!D:D, MATCH('Processed Non-zero DMR Data'!$J282, '2022 SIC to NAICS'!$A:$A, 0))</f>
        <v>Petrochemical Manufacturing</v>
      </c>
      <c r="N282" s="90" t="str">
        <f>IFERROR(INDEX('NAICS Code to IS CDR Code'!B:B, MATCH('Processed Non-zero DMR Data'!L282,'NAICS Code to IS CDR Code'!A:A,0)), "NAICS/SIC Not Provided")</f>
        <v>IS15</v>
      </c>
      <c r="O282" s="91" t="str">
        <f>IFERROR(INDEX('NAICS Code to IS CDR Code'!C:C, MATCH('Processed Non-zero DMR Data'!L282,'NAICS Code to IS CDR Code'!A:A,0)), "NAICS/SIC Not Provided")</f>
        <v>Petrochemical Manufacturing</v>
      </c>
      <c r="P282" s="91" t="str">
        <f>INDEX('11DCA Mapping'!$K:$K, MATCH('Processed Non-zero DMR Data'!I288,'11DCA Mapping'!$J:$J,0))</f>
        <v>POTW</v>
      </c>
      <c r="Q282" s="91" t="str">
        <f>INDEX('11DCA Mapping'!$L:$L, MATCH('Processed Non-zero DMR Data'!I288,'11DCA Mapping'!$J:$J,0))</f>
        <v>Assigned POTW per "Facility Type Indicator"</v>
      </c>
      <c r="R282" s="250" t="str">
        <f>VLOOKUP(I282,'DMR POTW Flag'!$A$2:$B$960,2,FALSE)</f>
        <v>NON-POTW</v>
      </c>
      <c r="S282" s="7" t="s">
        <v>71</v>
      </c>
      <c r="T282" s="7" t="s">
        <v>850</v>
      </c>
      <c r="U282" s="8">
        <f>COUNTIFS('Raw Non-zero DMR Data'!$A:$A, 'Processed Non-zero DMR Data'!A282, 'Raw Non-zero DMR Data'!$C:$C, X282, 'Raw Non-zero DMR Data'!$U:$U,'Processed Non-zero DMR Data'!Y282)</f>
        <v>1</v>
      </c>
      <c r="V282" s="8">
        <f>COUNTIFS('Raw Non-zero DMR Data'!$A:$A, 'Processed Non-zero DMR Data'!A282, 'Raw Non-zero DMR Data'!$C:$C, X282, 'Raw Non-zero DMR Data'!$U:$U,'Processed Non-zero DMR Data'!Y282,'Raw Non-zero DMR Data'!$Z:$Z,"Yes")</f>
        <v>1</v>
      </c>
      <c r="W282">
        <v>2.1399557299999999E-3</v>
      </c>
      <c r="X282" t="s">
        <v>851</v>
      </c>
      <c r="Y282" t="s">
        <v>852</v>
      </c>
      <c r="Z282" s="257">
        <v>20402020507</v>
      </c>
    </row>
    <row r="283" spans="1:26" ht="15" customHeight="1" x14ac:dyDescent="0.25">
      <c r="A283">
        <v>2023</v>
      </c>
      <c r="B283" t="s">
        <v>191</v>
      </c>
      <c r="C283" t="s">
        <v>192</v>
      </c>
      <c r="D283" t="s">
        <v>731</v>
      </c>
      <c r="E283" t="s">
        <v>153</v>
      </c>
      <c r="F283">
        <v>39.827696000000003</v>
      </c>
      <c r="G283">
        <v>-75.277782000000002</v>
      </c>
      <c r="I283" s="1">
        <v>110070210457</v>
      </c>
      <c r="J283">
        <v>2869</v>
      </c>
      <c r="K283" s="175" t="str">
        <f>INDEX('2022 SIC to NAICS'!B:B, MATCH('Processed Non-zero DMR Data'!$J283, '2022 SIC to NAICS'!$A:$A, 0))</f>
        <v>Industrial Organic Chemicals, Nec</v>
      </c>
      <c r="L283" s="175">
        <f>INDEX('2022 SIC to NAICS'!C:C, MATCH('Processed Non-zero DMR Data'!$J283, '2022 SIC to NAICS'!$A:$A, 0))</f>
        <v>325110</v>
      </c>
      <c r="M283" s="175" t="str">
        <f>INDEX('2022 SIC to NAICS'!D:D, MATCH('Processed Non-zero DMR Data'!$J283, '2022 SIC to NAICS'!$A:$A, 0))</f>
        <v>Petrochemical Manufacturing</v>
      </c>
      <c r="N283" s="90" t="str">
        <f>IFERROR(INDEX('NAICS Code to IS CDR Code'!B:B, MATCH('Processed Non-zero DMR Data'!L283,'NAICS Code to IS CDR Code'!A:A,0)), "NAICS/SIC Not Provided")</f>
        <v>IS15</v>
      </c>
      <c r="O283" s="91" t="str">
        <f>IFERROR(INDEX('NAICS Code to IS CDR Code'!C:C, MATCH('Processed Non-zero DMR Data'!L283,'NAICS Code to IS CDR Code'!A:A,0)), "NAICS/SIC Not Provided")</f>
        <v>Petrochemical Manufacturing</v>
      </c>
      <c r="P283" s="91" t="str">
        <f>INDEX('11DCA Mapping'!$K:$K, MATCH('Processed Non-zero DMR Data'!I289,'11DCA Mapping'!$J:$J,0))</f>
        <v>POTW</v>
      </c>
      <c r="Q283" s="91" t="str">
        <f>INDEX('11DCA Mapping'!$L:$L, MATCH('Processed Non-zero DMR Data'!I289,'11DCA Mapping'!$J:$J,0))</f>
        <v>Assigned POTW per "Facility Type Indicator"</v>
      </c>
      <c r="R283" s="250" t="str">
        <f>VLOOKUP(I283,'DMR POTW Flag'!$A$2:$B$960,2,FALSE)</f>
        <v>NON-POTW</v>
      </c>
      <c r="S283" s="7" t="s">
        <v>71</v>
      </c>
      <c r="T283" s="7" t="s">
        <v>850</v>
      </c>
      <c r="U283" s="8">
        <f>COUNTIFS('Raw Non-zero DMR Data'!$A:$A, 'Processed Non-zero DMR Data'!A283, 'Raw Non-zero DMR Data'!$C:$C, X283, 'Raw Non-zero DMR Data'!$U:$U,'Processed Non-zero DMR Data'!Y283)</f>
        <v>1</v>
      </c>
      <c r="V283" s="8">
        <f>COUNTIFS('Raw Non-zero DMR Data'!$A:$A, 'Processed Non-zero DMR Data'!A283, 'Raw Non-zero DMR Data'!$C:$C, X283, 'Raw Non-zero DMR Data'!$U:$U,'Processed Non-zero DMR Data'!Y283,'Raw Non-zero DMR Data'!$Z:$Z,"Yes")</f>
        <v>1</v>
      </c>
      <c r="W283">
        <v>3.3324086249999999E-3</v>
      </c>
      <c r="X283" t="s">
        <v>851</v>
      </c>
      <c r="Y283" t="s">
        <v>852</v>
      </c>
      <c r="Z283" s="257">
        <v>20402020507</v>
      </c>
    </row>
    <row r="284" spans="1:26" ht="15" customHeight="1" x14ac:dyDescent="0.25">
      <c r="A284">
        <v>2021</v>
      </c>
      <c r="B284" t="s">
        <v>445</v>
      </c>
      <c r="C284" t="s">
        <v>446</v>
      </c>
      <c r="D284" t="s">
        <v>446</v>
      </c>
      <c r="E284" t="s">
        <v>146</v>
      </c>
      <c r="F284">
        <v>33.990146000000003</v>
      </c>
      <c r="G284">
        <v>-118.36358</v>
      </c>
      <c r="I284" s="1">
        <v>110064624018</v>
      </c>
      <c r="J284">
        <v>2911</v>
      </c>
      <c r="K284" s="175" t="str">
        <f>INDEX('2022 SIC to NAICS'!B:B, MATCH('Processed Non-zero DMR Data'!$J284, '2022 SIC to NAICS'!$A:$A, 0))</f>
        <v>Petroleum Refining</v>
      </c>
      <c r="L284" s="175">
        <f>INDEX('2022 SIC to NAICS'!C:C, MATCH('Processed Non-zero DMR Data'!$J284, '2022 SIC to NAICS'!$A:$A, 0))</f>
        <v>324110</v>
      </c>
      <c r="M284" s="175" t="str">
        <f>INDEX('2022 SIC to NAICS'!D:D, MATCH('Processed Non-zero DMR Data'!$J284, '2022 SIC to NAICS'!$A:$A, 0))</f>
        <v>Petroleum Refineries</v>
      </c>
      <c r="N284" s="90" t="str">
        <f>IFERROR(INDEX('NAICS Code to IS CDR Code'!B:B, MATCH('Processed Non-zero DMR Data'!L284,'NAICS Code to IS CDR Code'!A:A,0)), "NAICS/SIC Not Provided")</f>
        <v>IS11</v>
      </c>
      <c r="O284" s="91" t="str">
        <f>IFERROR(INDEX('NAICS Code to IS CDR Code'!C:C, MATCH('Processed Non-zero DMR Data'!L284,'NAICS Code to IS CDR Code'!A:A,0)), "NAICS/SIC Not Provided")</f>
        <v>Petroleum Refineries</v>
      </c>
      <c r="P284" s="91" t="str">
        <f>INDEX('11DCA Mapping'!$K:$K, MATCH('Processed Non-zero DMR Data'!I328,'11DCA Mapping'!$J:$J,0))</f>
        <v>POTW</v>
      </c>
      <c r="Q284" s="91" t="str">
        <f>INDEX('11DCA Mapping'!$L:$L, MATCH('Processed Non-zero DMR Data'!I328,'11DCA Mapping'!$J:$J,0))</f>
        <v>Assigned POTW per "Facility Type Indicator"</v>
      </c>
      <c r="R284" s="91" t="str">
        <f>VLOOKUP(I284,'DMR POTW Flag'!$A$2:$B$960,2,FALSE)</f>
        <v>NON-POTW</v>
      </c>
      <c r="S284" s="7" t="s">
        <v>72</v>
      </c>
      <c r="T284" s="244" t="s">
        <v>820</v>
      </c>
      <c r="U284" s="8">
        <f>COUNTIFS('Raw Non-zero DMR Data'!$A:$A, 'Processed Non-zero DMR Data'!A284, 'Raw Non-zero DMR Data'!$C:$C, X284, 'Raw Non-zero DMR Data'!$U:$U,'Processed Non-zero DMR Data'!Y284)</f>
        <v>2</v>
      </c>
      <c r="V284" s="8">
        <f>COUNTIFS('Raw Non-zero DMR Data'!$A:$A, 'Processed Non-zero DMR Data'!A284, 'Raw Non-zero DMR Data'!$C:$C, X284, 'Raw Non-zero DMR Data'!$U:$U,'Processed Non-zero DMR Data'!Y284,'Raw Non-zero DMR Data'!$Z:$Z,"Yes")</f>
        <v>2</v>
      </c>
      <c r="W284">
        <v>1.2710030000000001E-2</v>
      </c>
      <c r="X284" t="s">
        <v>821</v>
      </c>
      <c r="Y284" t="s">
        <v>822</v>
      </c>
      <c r="Z284" s="257">
        <v>180701040300</v>
      </c>
    </row>
    <row r="285" spans="1:26" ht="15" customHeight="1" x14ac:dyDescent="0.25">
      <c r="A285">
        <v>2021</v>
      </c>
      <c r="B285" t="s">
        <v>486</v>
      </c>
      <c r="C285" t="s">
        <v>185</v>
      </c>
      <c r="D285" t="s">
        <v>185</v>
      </c>
      <c r="E285" t="s">
        <v>186</v>
      </c>
      <c r="F285">
        <v>21.27167</v>
      </c>
      <c r="G285">
        <v>-157.77395999999999</v>
      </c>
      <c r="I285" s="1">
        <v>110006777210</v>
      </c>
      <c r="J285"/>
      <c r="K285" s="175" t="e">
        <f>INDEX('2022 SIC to NAICS'!B:B, MATCH('Processed Non-zero DMR Data'!$J285, '2022 SIC to NAICS'!$A:$A, 0))</f>
        <v>#N/A</v>
      </c>
      <c r="L285" s="175" t="e">
        <f>INDEX('2022 SIC to NAICS'!C:C, MATCH('Processed Non-zero DMR Data'!$J285, '2022 SIC to NAICS'!$A:$A, 0))</f>
        <v>#N/A</v>
      </c>
      <c r="M285" s="175" t="e">
        <f>INDEX('2022 SIC to NAICS'!D:D, MATCH('Processed Non-zero DMR Data'!$J285, '2022 SIC to NAICS'!$A:$A, 0))</f>
        <v>#N/A</v>
      </c>
      <c r="N285" s="90" t="str">
        <f>IFERROR(INDEX('NAICS Code to IS CDR Code'!B:B, MATCH('Processed Non-zero DMR Data'!L285,'NAICS Code to IS CDR Code'!A:A,0)), "NAICS/SIC Not Provided")</f>
        <v>NAICS/SIC Not Provided</v>
      </c>
      <c r="O285" s="91" t="str">
        <f>IFERROR(INDEX('NAICS Code to IS CDR Code'!C:C, MATCH('Processed Non-zero DMR Data'!L285,'NAICS Code to IS CDR Code'!A:A,0)), "NAICS/SIC Not Provided")</f>
        <v>NAICS/SIC Not Provided</v>
      </c>
      <c r="P285" s="91" t="e">
        <f>INDEX('11DCA Mapping'!$K:$K, MATCH('Processed Non-zero DMR Data'!I344,'11DCA Mapping'!$J:$J,0))</f>
        <v>#N/A</v>
      </c>
      <c r="Q285" s="91" t="e">
        <f>INDEX('11DCA Mapping'!$L:$L, MATCH('Processed Non-zero DMR Data'!I344,'11DCA Mapping'!$J:$J,0))</f>
        <v>#N/A</v>
      </c>
      <c r="R285" s="91" t="str">
        <f>VLOOKUP(I285,'DMR POTW Flag'!$A$2:$B$960,2,FALSE)</f>
        <v>NON-POTW</v>
      </c>
      <c r="S285" s="7" t="s">
        <v>72</v>
      </c>
      <c r="T285" s="244" t="s">
        <v>853</v>
      </c>
      <c r="U285" s="8">
        <f>COUNTIFS('Raw Non-zero DMR Data'!$A:$A, 'Processed Non-zero DMR Data'!A285, 'Raw Non-zero DMR Data'!$C:$C, X285, 'Raw Non-zero DMR Data'!$U:$U,'Processed Non-zero DMR Data'!Y285)</f>
        <v>1</v>
      </c>
      <c r="V285" s="8">
        <f>COUNTIFS('Raw Non-zero DMR Data'!$A:$A, 'Processed Non-zero DMR Data'!A285, 'Raw Non-zero DMR Data'!$C:$C, X285, 'Raw Non-zero DMR Data'!$U:$U,'Processed Non-zero DMR Data'!Y285,'Raw Non-zero DMR Data'!$Z:$Z,"Yes")</f>
        <v>0</v>
      </c>
      <c r="W285">
        <v>6.7440745444000001</v>
      </c>
      <c r="X285" t="s">
        <v>854</v>
      </c>
      <c r="Y285" t="s">
        <v>855</v>
      </c>
      <c r="Z285" s="257">
        <v>200600000302</v>
      </c>
    </row>
    <row r="286" spans="1:26" ht="15" customHeight="1" x14ac:dyDescent="0.25">
      <c r="A286">
        <v>2019</v>
      </c>
      <c r="B286" t="s">
        <v>327</v>
      </c>
      <c r="C286" t="s">
        <v>235</v>
      </c>
      <c r="D286" t="s">
        <v>600</v>
      </c>
      <c r="E286" t="s">
        <v>138</v>
      </c>
      <c r="F286">
        <v>38.322221999999996</v>
      </c>
      <c r="G286">
        <v>-85.555000000000007</v>
      </c>
      <c r="I286" s="1">
        <v>110000732271</v>
      </c>
      <c r="J286">
        <v>4952</v>
      </c>
      <c r="K286" s="175" t="str">
        <f>INDEX('2022 SIC to NAICS'!B:B, MATCH('Processed Non-zero DMR Data'!$J286, '2022 SIC to NAICS'!$A:$A, 0))</f>
        <v>Sewerage Systems</v>
      </c>
      <c r="L286" s="175">
        <f>INDEX('2022 SIC to NAICS'!C:C, MATCH('Processed Non-zero DMR Data'!$J286, '2022 SIC to NAICS'!$A:$A, 0))</f>
        <v>221320</v>
      </c>
      <c r="M286" s="175" t="str">
        <f>INDEX('2022 SIC to NAICS'!D:D, MATCH('Processed Non-zero DMR Data'!$J286, '2022 SIC to NAICS'!$A:$A, 0))</f>
        <v xml:space="preserve">Sewage Treatment Facilities </v>
      </c>
      <c r="N286" s="90" t="str">
        <f>IFERROR(INDEX('NAICS Code to IS CDR Code'!B:B, MATCH('Processed Non-zero DMR Data'!L286,'NAICS Code to IS CDR Code'!A:A,0)), "NAICS/SIC Not Provided")</f>
        <v>IS4</v>
      </c>
      <c r="O286" s="91" t="str">
        <f>IFERROR(INDEX('NAICS Code to IS CDR Code'!C:C, MATCH('Processed Non-zero DMR Data'!L286,'NAICS Code to IS CDR Code'!A:A,0)), "NAICS/SIC Not Provided")</f>
        <v>Utilities</v>
      </c>
      <c r="P286" s="91" t="str">
        <f>INDEX('11DCA Mapping'!$K:$K, MATCH('Processed Non-zero DMR Data'!I292,'11DCA Mapping'!$J:$J,0))</f>
        <v>Processing as a Reactant</v>
      </c>
      <c r="Q286" s="91" t="str">
        <f>INDEX('11DCA Mapping'!$L:$L, MATCH('Processed Non-zero DMR Data'!I292,'11DCA Mapping'!$J:$J,0))</f>
        <v xml:space="preserve">Assumed processing as a reactant </v>
      </c>
      <c r="R286" s="250" t="str">
        <f>VLOOKUP(I286,'DMR POTW Flag'!$A$2:$B$960,2,FALSE)</f>
        <v>POTW</v>
      </c>
      <c r="S286" s="7" t="s">
        <v>67</v>
      </c>
      <c r="T286" s="249" t="s">
        <v>586</v>
      </c>
      <c r="U286" s="8">
        <f>COUNTIFS('Raw Non-zero DMR Data'!$A:$A, 'Processed Non-zero DMR Data'!A286, 'Raw Non-zero DMR Data'!$C:$C, X286, 'Raw Non-zero DMR Data'!$U:$U,'Processed Non-zero DMR Data'!Y286)</f>
        <v>1</v>
      </c>
      <c r="V286" s="8">
        <f>COUNTIFS('Raw Non-zero DMR Data'!$A:$A, 'Processed Non-zero DMR Data'!A286, 'Raw Non-zero DMR Data'!$C:$C, X286, 'Raw Non-zero DMR Data'!$U:$U,'Processed Non-zero DMR Data'!Y286,'Raw Non-zero DMR Data'!$Z:$Z,"Yes")</f>
        <v>1</v>
      </c>
      <c r="W286">
        <v>14.512920125000001</v>
      </c>
      <c r="X286" t="s">
        <v>856</v>
      </c>
      <c r="Y286" t="s">
        <v>857</v>
      </c>
      <c r="Z286" s="257">
        <v>51401010504</v>
      </c>
    </row>
    <row r="287" spans="1:26" ht="15" customHeight="1" x14ac:dyDescent="0.25">
      <c r="A287">
        <v>2020</v>
      </c>
      <c r="B287" t="s">
        <v>327</v>
      </c>
      <c r="C287" t="s">
        <v>235</v>
      </c>
      <c r="D287" t="s">
        <v>600</v>
      </c>
      <c r="E287" t="s">
        <v>138</v>
      </c>
      <c r="F287">
        <v>38.322221999999996</v>
      </c>
      <c r="G287">
        <v>-85.555000000000007</v>
      </c>
      <c r="I287" s="1">
        <v>110000732271</v>
      </c>
      <c r="J287">
        <v>4952</v>
      </c>
      <c r="K287" s="175" t="str">
        <f>INDEX('2022 SIC to NAICS'!B:B, MATCH('Processed Non-zero DMR Data'!$J287, '2022 SIC to NAICS'!$A:$A, 0))</f>
        <v>Sewerage Systems</v>
      </c>
      <c r="L287" s="175">
        <f>INDEX('2022 SIC to NAICS'!C:C, MATCH('Processed Non-zero DMR Data'!$J287, '2022 SIC to NAICS'!$A:$A, 0))</f>
        <v>221320</v>
      </c>
      <c r="M287" s="175" t="str">
        <f>INDEX('2022 SIC to NAICS'!D:D, MATCH('Processed Non-zero DMR Data'!$J287, '2022 SIC to NAICS'!$A:$A, 0))</f>
        <v xml:space="preserve">Sewage Treatment Facilities </v>
      </c>
      <c r="N287" s="90" t="str">
        <f>IFERROR(INDEX('NAICS Code to IS CDR Code'!B:B, MATCH('Processed Non-zero DMR Data'!L287,'NAICS Code to IS CDR Code'!A:A,0)), "NAICS/SIC Not Provided")</f>
        <v>IS4</v>
      </c>
      <c r="O287" s="91" t="str">
        <f>IFERROR(INDEX('NAICS Code to IS CDR Code'!C:C, MATCH('Processed Non-zero DMR Data'!L287,'NAICS Code to IS CDR Code'!A:A,0)), "NAICS/SIC Not Provided")</f>
        <v>Utilities</v>
      </c>
      <c r="P287" s="91" t="str">
        <f>INDEX('11DCA Mapping'!$K:$K, MATCH('Processed Non-zero DMR Data'!I293,'11DCA Mapping'!$J:$J,0))</f>
        <v>Processing as a Reactant</v>
      </c>
      <c r="Q287" s="91" t="str">
        <f>INDEX('11DCA Mapping'!$L:$L, MATCH('Processed Non-zero DMR Data'!I293,'11DCA Mapping'!$J:$J,0))</f>
        <v xml:space="preserve">Assumed processing as a reactant </v>
      </c>
      <c r="R287" s="250" t="str">
        <f>VLOOKUP(I287,'DMR POTW Flag'!$A$2:$B$960,2,FALSE)</f>
        <v>POTW</v>
      </c>
      <c r="S287" s="7" t="s">
        <v>67</v>
      </c>
      <c r="T287" s="249" t="s">
        <v>586</v>
      </c>
      <c r="U287" s="8">
        <f>COUNTIFS('Raw Non-zero DMR Data'!$A:$A, 'Processed Non-zero DMR Data'!A287, 'Raw Non-zero DMR Data'!$C:$C, X287, 'Raw Non-zero DMR Data'!$U:$U,'Processed Non-zero DMR Data'!Y287)</f>
        <v>1</v>
      </c>
      <c r="V287" s="8">
        <f>COUNTIFS('Raw Non-zero DMR Data'!$A:$A, 'Processed Non-zero DMR Data'!A287, 'Raw Non-zero DMR Data'!$C:$C, X287, 'Raw Non-zero DMR Data'!$U:$U,'Processed Non-zero DMR Data'!Y287,'Raw Non-zero DMR Data'!$Z:$Z,"Yes")</f>
        <v>1</v>
      </c>
      <c r="W287">
        <v>14.022478749999999</v>
      </c>
      <c r="X287" t="s">
        <v>856</v>
      </c>
      <c r="Y287" t="s">
        <v>857</v>
      </c>
      <c r="Z287" s="257">
        <v>51401010504</v>
      </c>
    </row>
    <row r="288" spans="1:26" ht="15" customHeight="1" x14ac:dyDescent="0.25">
      <c r="A288">
        <v>2021</v>
      </c>
      <c r="B288" t="s">
        <v>327</v>
      </c>
      <c r="C288" t="s">
        <v>235</v>
      </c>
      <c r="D288" t="s">
        <v>600</v>
      </c>
      <c r="E288" t="s">
        <v>138</v>
      </c>
      <c r="F288">
        <v>38.322221999999996</v>
      </c>
      <c r="G288">
        <v>-85.555000000000007</v>
      </c>
      <c r="I288" s="1">
        <v>110000732271</v>
      </c>
      <c r="J288">
        <v>4952</v>
      </c>
      <c r="K288" s="175" t="str">
        <f>INDEX('2022 SIC to NAICS'!B:B, MATCH('Processed Non-zero DMR Data'!$J288, '2022 SIC to NAICS'!$A:$A, 0))</f>
        <v>Sewerage Systems</v>
      </c>
      <c r="L288" s="175">
        <f>INDEX('2022 SIC to NAICS'!C:C, MATCH('Processed Non-zero DMR Data'!$J288, '2022 SIC to NAICS'!$A:$A, 0))</f>
        <v>221320</v>
      </c>
      <c r="M288" s="175" t="str">
        <f>INDEX('2022 SIC to NAICS'!D:D, MATCH('Processed Non-zero DMR Data'!$J288, '2022 SIC to NAICS'!$A:$A, 0))</f>
        <v xml:space="preserve">Sewage Treatment Facilities </v>
      </c>
      <c r="N288" s="90" t="str">
        <f>IFERROR(INDEX('NAICS Code to IS CDR Code'!B:B, MATCH('Processed Non-zero DMR Data'!L288,'NAICS Code to IS CDR Code'!A:A,0)), "NAICS/SIC Not Provided")</f>
        <v>IS4</v>
      </c>
      <c r="O288" s="91" t="str">
        <f>IFERROR(INDEX('NAICS Code to IS CDR Code'!C:C, MATCH('Processed Non-zero DMR Data'!L288,'NAICS Code to IS CDR Code'!A:A,0)), "NAICS/SIC Not Provided")</f>
        <v>Utilities</v>
      </c>
      <c r="P288" s="91" t="str">
        <f>INDEX('11DCA Mapping'!$K:$K, MATCH('Processed Non-zero DMR Data'!I294,'11DCA Mapping'!$J:$J,0))</f>
        <v>POTW</v>
      </c>
      <c r="Q288" s="91" t="str">
        <f>INDEX('11DCA Mapping'!$L:$L, MATCH('Processed Non-zero DMR Data'!I294,'11DCA Mapping'!$J:$J,0))</f>
        <v>Assigned POTW per "Facility Type Indicator"</v>
      </c>
      <c r="R288" s="250" t="str">
        <f>VLOOKUP(I288,'DMR POTW Flag'!$A$2:$B$960,2,FALSE)</f>
        <v>POTW</v>
      </c>
      <c r="S288" s="7" t="s">
        <v>67</v>
      </c>
      <c r="T288" s="249" t="s">
        <v>586</v>
      </c>
      <c r="U288" s="8">
        <f>COUNTIFS('Raw Non-zero DMR Data'!$A:$A, 'Processed Non-zero DMR Data'!A288, 'Raw Non-zero DMR Data'!$C:$C, X288, 'Raw Non-zero DMR Data'!$U:$U,'Processed Non-zero DMR Data'!Y288)</f>
        <v>1</v>
      </c>
      <c r="V288" s="8">
        <f>COUNTIFS('Raw Non-zero DMR Data'!$A:$A, 'Processed Non-zero DMR Data'!A288, 'Raw Non-zero DMR Data'!$C:$C, X288, 'Raw Non-zero DMR Data'!$U:$U,'Processed Non-zero DMR Data'!Y288,'Raw Non-zero DMR Data'!$Z:$Z,"Yes")</f>
        <v>1</v>
      </c>
      <c r="W288">
        <v>14.702879812500001</v>
      </c>
      <c r="X288" t="s">
        <v>856</v>
      </c>
      <c r="Y288" t="s">
        <v>857</v>
      </c>
      <c r="Z288" s="257">
        <v>51401010504</v>
      </c>
    </row>
    <row r="289" spans="1:26" ht="15" customHeight="1" x14ac:dyDescent="0.25">
      <c r="A289">
        <v>2022</v>
      </c>
      <c r="B289" t="s">
        <v>327</v>
      </c>
      <c r="C289" t="s">
        <v>235</v>
      </c>
      <c r="D289" t="s">
        <v>600</v>
      </c>
      <c r="E289" t="s">
        <v>138</v>
      </c>
      <c r="F289">
        <v>38.322221999999996</v>
      </c>
      <c r="G289">
        <v>-85.555000000000007</v>
      </c>
      <c r="I289" s="1">
        <v>110000732271</v>
      </c>
      <c r="J289">
        <v>4952</v>
      </c>
      <c r="K289" s="175" t="str">
        <f>INDEX('2022 SIC to NAICS'!B:B, MATCH('Processed Non-zero DMR Data'!$J289, '2022 SIC to NAICS'!$A:$A, 0))</f>
        <v>Sewerage Systems</v>
      </c>
      <c r="L289" s="175">
        <f>INDEX('2022 SIC to NAICS'!C:C, MATCH('Processed Non-zero DMR Data'!$J289, '2022 SIC to NAICS'!$A:$A, 0))</f>
        <v>221320</v>
      </c>
      <c r="M289" s="175" t="str">
        <f>INDEX('2022 SIC to NAICS'!D:D, MATCH('Processed Non-zero DMR Data'!$J289, '2022 SIC to NAICS'!$A:$A, 0))</f>
        <v xml:space="preserve">Sewage Treatment Facilities </v>
      </c>
      <c r="N289" s="90" t="str">
        <f>IFERROR(INDEX('NAICS Code to IS CDR Code'!B:B, MATCH('Processed Non-zero DMR Data'!L289,'NAICS Code to IS CDR Code'!A:A,0)), "NAICS/SIC Not Provided")</f>
        <v>IS4</v>
      </c>
      <c r="O289" s="91" t="str">
        <f>IFERROR(INDEX('NAICS Code to IS CDR Code'!C:C, MATCH('Processed Non-zero DMR Data'!L289,'NAICS Code to IS CDR Code'!A:A,0)), "NAICS/SIC Not Provided")</f>
        <v>Utilities</v>
      </c>
      <c r="P289" s="91" t="str">
        <f>INDEX('11DCA Mapping'!$K:$K, MATCH('Processed Non-zero DMR Data'!I295,'11DCA Mapping'!$J:$J,0))</f>
        <v>POTW</v>
      </c>
      <c r="Q289" s="91" t="str">
        <f>INDEX('11DCA Mapping'!$L:$L, MATCH('Processed Non-zero DMR Data'!I295,'11DCA Mapping'!$J:$J,0))</f>
        <v>Assigned POTW per "Facility Type Indicator"</v>
      </c>
      <c r="R289" s="250" t="str">
        <f>VLOOKUP(I289,'DMR POTW Flag'!$A$2:$B$960,2,FALSE)</f>
        <v>POTW</v>
      </c>
      <c r="S289" s="7" t="s">
        <v>67</v>
      </c>
      <c r="T289" s="249" t="s">
        <v>586</v>
      </c>
      <c r="U289" s="8">
        <f>COUNTIFS('Raw Non-zero DMR Data'!$A:$A, 'Processed Non-zero DMR Data'!A289, 'Raw Non-zero DMR Data'!$C:$C, X289, 'Raw Non-zero DMR Data'!$U:$U,'Processed Non-zero DMR Data'!Y289)</f>
        <v>1</v>
      </c>
      <c r="V289" s="8">
        <f>COUNTIFS('Raw Non-zero DMR Data'!$A:$A, 'Processed Non-zero DMR Data'!A289, 'Raw Non-zero DMR Data'!$C:$C, X289, 'Raw Non-zero DMR Data'!$U:$U,'Processed Non-zero DMR Data'!Y289,'Raw Non-zero DMR Data'!$Z:$Z,"Yes")</f>
        <v>1</v>
      </c>
      <c r="W289">
        <v>14.24352275</v>
      </c>
      <c r="X289" t="s">
        <v>856</v>
      </c>
      <c r="Y289" t="s">
        <v>857</v>
      </c>
      <c r="Z289" s="257">
        <v>51401010504</v>
      </c>
    </row>
    <row r="290" spans="1:26" ht="15" customHeight="1" x14ac:dyDescent="0.25">
      <c r="A290">
        <v>2019</v>
      </c>
      <c r="B290" t="s">
        <v>201</v>
      </c>
      <c r="C290" t="s">
        <v>202</v>
      </c>
      <c r="D290" t="s">
        <v>663</v>
      </c>
      <c r="E290" t="s">
        <v>106</v>
      </c>
      <c r="F290">
        <v>30.221900000000002</v>
      </c>
      <c r="G290">
        <v>-91.051500000000004</v>
      </c>
      <c r="I290" s="1">
        <v>110033659878</v>
      </c>
      <c r="J290">
        <v>2869</v>
      </c>
      <c r="K290" s="175" t="str">
        <f>INDEX('2022 SIC to NAICS'!B:B, MATCH('Processed Non-zero DMR Data'!$J290, '2022 SIC to NAICS'!$A:$A, 0))</f>
        <v>Industrial Organic Chemicals, Nec</v>
      </c>
      <c r="L290" s="175">
        <f>INDEX('2022 SIC to NAICS'!C:C, MATCH('Processed Non-zero DMR Data'!$J290, '2022 SIC to NAICS'!$A:$A, 0))</f>
        <v>325110</v>
      </c>
      <c r="M290" s="175" t="str">
        <f>INDEX('2022 SIC to NAICS'!D:D, MATCH('Processed Non-zero DMR Data'!$J290, '2022 SIC to NAICS'!$A:$A, 0))</f>
        <v>Petrochemical Manufacturing</v>
      </c>
      <c r="N290" s="90" t="str">
        <f>IFERROR(INDEX('NAICS Code to IS CDR Code'!B:B, MATCH('Processed Non-zero DMR Data'!L290,'NAICS Code to IS CDR Code'!A:A,0)), "NAICS/SIC Not Provided")</f>
        <v>IS15</v>
      </c>
      <c r="O290" s="91" t="str">
        <f>IFERROR(INDEX('NAICS Code to IS CDR Code'!C:C, MATCH('Processed Non-zero DMR Data'!L290,'NAICS Code to IS CDR Code'!A:A,0)), "NAICS/SIC Not Provided")</f>
        <v>Petrochemical Manufacturing</v>
      </c>
      <c r="P290" s="91" t="str">
        <f>INDEX('11DCA Mapping'!$K:$K, MATCH('Processed Non-zero DMR Data'!I296,'11DCA Mapping'!$J:$J,0))</f>
        <v>POTW</v>
      </c>
      <c r="Q290" s="91" t="str">
        <f>INDEX('11DCA Mapping'!$L:$L, MATCH('Processed Non-zero DMR Data'!I296,'11DCA Mapping'!$J:$J,0))</f>
        <v>Assigned POTW per "Facility Type Indicator"</v>
      </c>
      <c r="R290" s="250" t="str">
        <f>VLOOKUP(I290,'DMR POTW Flag'!$A$2:$B$960,2,FALSE)</f>
        <v>NON-POTW</v>
      </c>
      <c r="S290" s="7" t="s">
        <v>62</v>
      </c>
      <c r="T290" s="7" t="s">
        <v>601</v>
      </c>
      <c r="U290" s="8">
        <f>COUNTIFS('Raw Non-zero DMR Data'!$A:$A, 'Processed Non-zero DMR Data'!A290, 'Raw Non-zero DMR Data'!$C:$C, X290, 'Raw Non-zero DMR Data'!$U:$U,'Processed Non-zero DMR Data'!Y290)</f>
        <v>1</v>
      </c>
      <c r="V290" s="8">
        <f>COUNTIFS('Raw Non-zero DMR Data'!$A:$A, 'Processed Non-zero DMR Data'!A290, 'Raw Non-zero DMR Data'!$C:$C, X290, 'Raw Non-zero DMR Data'!$U:$U,'Processed Non-zero DMR Data'!Y290,'Raw Non-zero DMR Data'!$Z:$Z,"Yes")</f>
        <v>0</v>
      </c>
      <c r="W290">
        <v>3.4799099999999998</v>
      </c>
      <c r="X290" t="s">
        <v>858</v>
      </c>
      <c r="Y290" t="s">
        <v>666</v>
      </c>
      <c r="Z290" s="257">
        <v>80702040103</v>
      </c>
    </row>
    <row r="291" spans="1:26" ht="15" customHeight="1" x14ac:dyDescent="0.25">
      <c r="A291">
        <v>2020</v>
      </c>
      <c r="B291" t="s">
        <v>201</v>
      </c>
      <c r="C291" t="s">
        <v>202</v>
      </c>
      <c r="D291" t="s">
        <v>663</v>
      </c>
      <c r="E291" t="s">
        <v>106</v>
      </c>
      <c r="F291">
        <v>30.221900000000002</v>
      </c>
      <c r="G291">
        <v>-91.051500000000004</v>
      </c>
      <c r="I291" s="1">
        <v>110033659878</v>
      </c>
      <c r="J291">
        <v>2869</v>
      </c>
      <c r="K291" s="175" t="str">
        <f>INDEX('2022 SIC to NAICS'!B:B, MATCH('Processed Non-zero DMR Data'!$J291, '2022 SIC to NAICS'!$A:$A, 0))</f>
        <v>Industrial Organic Chemicals, Nec</v>
      </c>
      <c r="L291" s="175">
        <f>INDEX('2022 SIC to NAICS'!C:C, MATCH('Processed Non-zero DMR Data'!$J291, '2022 SIC to NAICS'!$A:$A, 0))</f>
        <v>325110</v>
      </c>
      <c r="M291" s="175" t="str">
        <f>INDEX('2022 SIC to NAICS'!D:D, MATCH('Processed Non-zero DMR Data'!$J291, '2022 SIC to NAICS'!$A:$A, 0))</f>
        <v>Petrochemical Manufacturing</v>
      </c>
      <c r="N291" s="90" t="str">
        <f>IFERROR(INDEX('NAICS Code to IS CDR Code'!B:B, MATCH('Processed Non-zero DMR Data'!L291,'NAICS Code to IS CDR Code'!A:A,0)), "NAICS/SIC Not Provided")</f>
        <v>IS15</v>
      </c>
      <c r="O291" s="91" t="str">
        <f>IFERROR(INDEX('NAICS Code to IS CDR Code'!C:C, MATCH('Processed Non-zero DMR Data'!L291,'NAICS Code to IS CDR Code'!A:A,0)), "NAICS/SIC Not Provided")</f>
        <v>Petrochemical Manufacturing</v>
      </c>
      <c r="P291" s="91" t="str">
        <f>INDEX('11DCA Mapping'!$K:$K, MATCH('Processed Non-zero DMR Data'!I297,'11DCA Mapping'!$J:$J,0))</f>
        <v>POTW</v>
      </c>
      <c r="Q291" s="91" t="str">
        <f>INDEX('11DCA Mapping'!$L:$L, MATCH('Processed Non-zero DMR Data'!I297,'11DCA Mapping'!$J:$J,0))</f>
        <v>Assigned POTW per "Facility Type Indicator"</v>
      </c>
      <c r="R291" s="250" t="str">
        <f>VLOOKUP(I291,'DMR POTW Flag'!$A$2:$B$960,2,FALSE)</f>
        <v>NON-POTW</v>
      </c>
      <c r="S291" s="7" t="s">
        <v>62</v>
      </c>
      <c r="T291" s="7" t="s">
        <v>601</v>
      </c>
      <c r="U291" s="8">
        <f>COUNTIFS('Raw Non-zero DMR Data'!$A:$A, 'Processed Non-zero DMR Data'!A291, 'Raw Non-zero DMR Data'!$C:$C, X291, 'Raw Non-zero DMR Data'!$U:$U,'Processed Non-zero DMR Data'!Y291)</f>
        <v>1</v>
      </c>
      <c r="V291" s="8">
        <f>COUNTIFS('Raw Non-zero DMR Data'!$A:$A, 'Processed Non-zero DMR Data'!A291, 'Raw Non-zero DMR Data'!$C:$C, X291, 'Raw Non-zero DMR Data'!$U:$U,'Processed Non-zero DMR Data'!Y291,'Raw Non-zero DMR Data'!$Z:$Z,"Yes")</f>
        <v>0</v>
      </c>
      <c r="W291">
        <v>3.1484899999999998</v>
      </c>
      <c r="X291" t="s">
        <v>858</v>
      </c>
      <c r="Y291" t="s">
        <v>666</v>
      </c>
      <c r="Z291" s="257">
        <v>80702040103</v>
      </c>
    </row>
    <row r="292" spans="1:26" ht="15" customHeight="1" x14ac:dyDescent="0.25">
      <c r="A292">
        <v>2021</v>
      </c>
      <c r="B292" t="s">
        <v>201</v>
      </c>
      <c r="C292" t="s">
        <v>202</v>
      </c>
      <c r="D292" t="s">
        <v>663</v>
      </c>
      <c r="E292" t="s">
        <v>106</v>
      </c>
      <c r="F292">
        <v>30.221900000000002</v>
      </c>
      <c r="G292">
        <v>-91.051500000000004</v>
      </c>
      <c r="I292" s="1">
        <v>110033659878</v>
      </c>
      <c r="J292">
        <v>2869</v>
      </c>
      <c r="K292" s="175" t="str">
        <f>INDEX('2022 SIC to NAICS'!B:B, MATCH('Processed Non-zero DMR Data'!$J292, '2022 SIC to NAICS'!$A:$A, 0))</f>
        <v>Industrial Organic Chemicals, Nec</v>
      </c>
      <c r="L292" s="175">
        <f>INDEX('2022 SIC to NAICS'!C:C, MATCH('Processed Non-zero DMR Data'!$J292, '2022 SIC to NAICS'!$A:$A, 0))</f>
        <v>325110</v>
      </c>
      <c r="M292" s="175" t="str">
        <f>INDEX('2022 SIC to NAICS'!D:D, MATCH('Processed Non-zero DMR Data'!$J292, '2022 SIC to NAICS'!$A:$A, 0))</f>
        <v>Petrochemical Manufacturing</v>
      </c>
      <c r="N292" s="90" t="str">
        <f>IFERROR(INDEX('NAICS Code to IS CDR Code'!B:B, MATCH('Processed Non-zero DMR Data'!L292,'NAICS Code to IS CDR Code'!A:A,0)), "NAICS/SIC Not Provided")</f>
        <v>IS15</v>
      </c>
      <c r="O292" s="91" t="str">
        <f>IFERROR(INDEX('NAICS Code to IS CDR Code'!C:C, MATCH('Processed Non-zero DMR Data'!L292,'NAICS Code to IS CDR Code'!A:A,0)), "NAICS/SIC Not Provided")</f>
        <v>Petrochemical Manufacturing</v>
      </c>
      <c r="P292" s="91" t="str">
        <f>INDEX('11DCA Mapping'!$K:$K, MATCH('Processed Non-zero DMR Data'!I298,'11DCA Mapping'!$J:$J,0))</f>
        <v>Processing as a Reactant</v>
      </c>
      <c r="Q292" s="91" t="str">
        <f>INDEX('11DCA Mapping'!$L:$L, MATCH('Processed Non-zero DMR Data'!I298,'11DCA Mapping'!$J:$J,0))</f>
        <v>Based on SIC code</v>
      </c>
      <c r="R292" s="250" t="str">
        <f>VLOOKUP(I292,'DMR POTW Flag'!$A$2:$B$960,2,FALSE)</f>
        <v>NON-POTW</v>
      </c>
      <c r="S292" s="7" t="s">
        <v>62</v>
      </c>
      <c r="T292" s="7" t="s">
        <v>601</v>
      </c>
      <c r="U292" s="8">
        <f>COUNTIFS('Raw Non-zero DMR Data'!$A:$A, 'Processed Non-zero DMR Data'!A292, 'Raw Non-zero DMR Data'!$C:$C, X292, 'Raw Non-zero DMR Data'!$U:$U,'Processed Non-zero DMR Data'!Y292)</f>
        <v>1</v>
      </c>
      <c r="V292" s="8">
        <f>COUNTIFS('Raw Non-zero DMR Data'!$A:$A, 'Processed Non-zero DMR Data'!A292, 'Raw Non-zero DMR Data'!$C:$C, X292, 'Raw Non-zero DMR Data'!$U:$U,'Processed Non-zero DMR Data'!Y292,'Raw Non-zero DMR Data'!$Z:$Z,"Yes")</f>
        <v>0</v>
      </c>
      <c r="W292">
        <v>3.9770400000000001</v>
      </c>
      <c r="X292" t="s">
        <v>858</v>
      </c>
      <c r="Y292" t="s">
        <v>666</v>
      </c>
      <c r="Z292" s="257">
        <v>80702040103</v>
      </c>
    </row>
    <row r="293" spans="1:26" ht="15" customHeight="1" x14ac:dyDescent="0.25">
      <c r="A293">
        <v>2023</v>
      </c>
      <c r="B293" t="s">
        <v>201</v>
      </c>
      <c r="C293" t="s">
        <v>202</v>
      </c>
      <c r="D293" t="s">
        <v>663</v>
      </c>
      <c r="E293" t="s">
        <v>106</v>
      </c>
      <c r="F293">
        <v>30.221900000000002</v>
      </c>
      <c r="G293">
        <v>-91.051500000000004</v>
      </c>
      <c r="I293" s="1">
        <v>110033659878</v>
      </c>
      <c r="J293">
        <v>2869</v>
      </c>
      <c r="K293" s="175" t="str">
        <f>INDEX('2022 SIC to NAICS'!B:B, MATCH('Processed Non-zero DMR Data'!$J293, '2022 SIC to NAICS'!$A:$A, 0))</f>
        <v>Industrial Organic Chemicals, Nec</v>
      </c>
      <c r="L293" s="175">
        <f>INDEX('2022 SIC to NAICS'!C:C, MATCH('Processed Non-zero DMR Data'!$J293, '2022 SIC to NAICS'!$A:$A, 0))</f>
        <v>325110</v>
      </c>
      <c r="M293" s="175" t="str">
        <f>INDEX('2022 SIC to NAICS'!D:D, MATCH('Processed Non-zero DMR Data'!$J293, '2022 SIC to NAICS'!$A:$A, 0))</f>
        <v>Petrochemical Manufacturing</v>
      </c>
      <c r="N293" s="90" t="str">
        <f>IFERROR(INDEX('NAICS Code to IS CDR Code'!B:B, MATCH('Processed Non-zero DMR Data'!L293,'NAICS Code to IS CDR Code'!A:A,0)), "NAICS/SIC Not Provided")</f>
        <v>IS15</v>
      </c>
      <c r="O293" s="91" t="str">
        <f>IFERROR(INDEX('NAICS Code to IS CDR Code'!C:C, MATCH('Processed Non-zero DMR Data'!L293,'NAICS Code to IS CDR Code'!A:A,0)), "NAICS/SIC Not Provided")</f>
        <v>Petrochemical Manufacturing</v>
      </c>
      <c r="P293" s="91" t="str">
        <f>INDEX('11DCA Mapping'!$K:$K, MATCH('Processed Non-zero DMR Data'!I299,'11DCA Mapping'!$J:$J,0))</f>
        <v>Processing as a Reactant</v>
      </c>
      <c r="Q293" s="91" t="str">
        <f>INDEX('11DCA Mapping'!$L:$L, MATCH('Processed Non-zero DMR Data'!I299,'11DCA Mapping'!$J:$J,0))</f>
        <v>Based on SIC code</v>
      </c>
      <c r="R293" s="250" t="str">
        <f>VLOOKUP(I293,'DMR POTW Flag'!$A$2:$B$960,2,FALSE)</f>
        <v>NON-POTW</v>
      </c>
      <c r="S293" s="7" t="s">
        <v>62</v>
      </c>
      <c r="T293" s="7" t="s">
        <v>601</v>
      </c>
      <c r="U293" s="8">
        <f>COUNTIFS('Raw Non-zero DMR Data'!$A:$A, 'Processed Non-zero DMR Data'!A293, 'Raw Non-zero DMR Data'!$C:$C, X293, 'Raw Non-zero DMR Data'!$U:$U,'Processed Non-zero DMR Data'!Y293)</f>
        <v>1</v>
      </c>
      <c r="V293" s="8">
        <f>COUNTIFS('Raw Non-zero DMR Data'!$A:$A, 'Processed Non-zero DMR Data'!A293, 'Raw Non-zero DMR Data'!$C:$C, X293, 'Raw Non-zero DMR Data'!$U:$U,'Processed Non-zero DMR Data'!Y293,'Raw Non-zero DMR Data'!$Z:$Z,"Yes")</f>
        <v>0</v>
      </c>
      <c r="W293">
        <v>3.8113299999999999</v>
      </c>
      <c r="X293" t="s">
        <v>858</v>
      </c>
      <c r="Y293" t="s">
        <v>666</v>
      </c>
      <c r="Z293" s="257">
        <v>80702040103</v>
      </c>
    </row>
    <row r="294" spans="1:26" ht="15" customHeight="1" x14ac:dyDescent="0.25">
      <c r="A294">
        <v>2019</v>
      </c>
      <c r="B294" t="s">
        <v>280</v>
      </c>
      <c r="C294" t="s">
        <v>281</v>
      </c>
      <c r="D294" t="s">
        <v>185</v>
      </c>
      <c r="E294" t="s">
        <v>186</v>
      </c>
      <c r="F294">
        <v>21.329699999999999</v>
      </c>
      <c r="G294">
        <v>-158.03559999999999</v>
      </c>
      <c r="I294" s="1">
        <v>110020728943</v>
      </c>
      <c r="J294">
        <v>4952</v>
      </c>
      <c r="K294" s="175" t="str">
        <f>INDEX('2022 SIC to NAICS'!B:B, MATCH('Processed Non-zero DMR Data'!$J294, '2022 SIC to NAICS'!$A:$A, 0))</f>
        <v>Sewerage Systems</v>
      </c>
      <c r="L294" s="175">
        <f>INDEX('2022 SIC to NAICS'!C:C, MATCH('Processed Non-zero DMR Data'!$J294, '2022 SIC to NAICS'!$A:$A, 0))</f>
        <v>221320</v>
      </c>
      <c r="M294" s="175" t="str">
        <f>INDEX('2022 SIC to NAICS'!D:D, MATCH('Processed Non-zero DMR Data'!$J294, '2022 SIC to NAICS'!$A:$A, 0))</f>
        <v xml:space="preserve">Sewage Treatment Facilities </v>
      </c>
      <c r="N294" s="90" t="str">
        <f>IFERROR(INDEX('NAICS Code to IS CDR Code'!B:B, MATCH('Processed Non-zero DMR Data'!L294,'NAICS Code to IS CDR Code'!A:A,0)), "NAICS/SIC Not Provided")</f>
        <v>IS4</v>
      </c>
      <c r="O294" s="91" t="str">
        <f>IFERROR(INDEX('NAICS Code to IS CDR Code'!C:C, MATCH('Processed Non-zero DMR Data'!L294,'NAICS Code to IS CDR Code'!A:A,0)), "NAICS/SIC Not Provided")</f>
        <v>Utilities</v>
      </c>
      <c r="P294" s="91" t="str">
        <f>INDEX('11DCA Mapping'!$K:$K, MATCH('Processed Non-zero DMR Data'!I300,'11DCA Mapping'!$J:$J,0))</f>
        <v>Processing as a Reactant</v>
      </c>
      <c r="Q294" s="91" t="str">
        <f>INDEX('11DCA Mapping'!$L:$L, MATCH('Processed Non-zero DMR Data'!I300,'11DCA Mapping'!$J:$J,0))</f>
        <v>Based on SIC code</v>
      </c>
      <c r="R294" s="250" t="str">
        <f>VLOOKUP(I294,'DMR POTW Flag'!$A$2:$B$960,2,FALSE)</f>
        <v>POTW</v>
      </c>
      <c r="S294" s="7" t="s">
        <v>67</v>
      </c>
      <c r="T294" s="249" t="s">
        <v>586</v>
      </c>
      <c r="U294" s="8">
        <f>COUNTIFS('Raw Non-zero DMR Data'!$A:$A, 'Processed Non-zero DMR Data'!A294, 'Raw Non-zero DMR Data'!$C:$C, X294, 'Raw Non-zero DMR Data'!$U:$U,'Processed Non-zero DMR Data'!Y294)</f>
        <v>1</v>
      </c>
      <c r="V294" s="8">
        <f>COUNTIFS('Raw Non-zero DMR Data'!$A:$A, 'Processed Non-zero DMR Data'!A294, 'Raw Non-zero DMR Data'!$C:$C, X294, 'Raw Non-zero DMR Data'!$U:$U,'Processed Non-zero DMR Data'!Y294,'Raw Non-zero DMR Data'!$Z:$Z,"Yes")</f>
        <v>1</v>
      </c>
      <c r="W294">
        <v>0.35673467543999998</v>
      </c>
      <c r="X294" t="s">
        <v>859</v>
      </c>
      <c r="Y294" t="s">
        <v>860</v>
      </c>
      <c r="Z294" s="257">
        <v>200600000405</v>
      </c>
    </row>
    <row r="295" spans="1:26" ht="15" customHeight="1" x14ac:dyDescent="0.25">
      <c r="A295">
        <v>2019</v>
      </c>
      <c r="B295" t="s">
        <v>259</v>
      </c>
      <c r="C295" t="s">
        <v>260</v>
      </c>
      <c r="D295" t="s">
        <v>861</v>
      </c>
      <c r="E295" t="s">
        <v>138</v>
      </c>
      <c r="F295">
        <v>36.803610999999997</v>
      </c>
      <c r="G295">
        <v>-87.516389000000004</v>
      </c>
      <c r="I295" s="1">
        <v>110039994897</v>
      </c>
      <c r="J295">
        <v>4952</v>
      </c>
      <c r="K295" s="175" t="str">
        <f>INDEX('2022 SIC to NAICS'!B:B, MATCH('Processed Non-zero DMR Data'!$J295, '2022 SIC to NAICS'!$A:$A, 0))</f>
        <v>Sewerage Systems</v>
      </c>
      <c r="L295" s="175">
        <f>INDEX('2022 SIC to NAICS'!C:C, MATCH('Processed Non-zero DMR Data'!$J295, '2022 SIC to NAICS'!$A:$A, 0))</f>
        <v>221320</v>
      </c>
      <c r="M295" s="175" t="str">
        <f>INDEX('2022 SIC to NAICS'!D:D, MATCH('Processed Non-zero DMR Data'!$J295, '2022 SIC to NAICS'!$A:$A, 0))</f>
        <v xml:space="preserve">Sewage Treatment Facilities </v>
      </c>
      <c r="N295" s="90" t="str">
        <f>IFERROR(INDEX('NAICS Code to IS CDR Code'!B:B, MATCH('Processed Non-zero DMR Data'!L295,'NAICS Code to IS CDR Code'!A:A,0)), "NAICS/SIC Not Provided")</f>
        <v>IS4</v>
      </c>
      <c r="O295" s="91" t="str">
        <f>IFERROR(INDEX('NAICS Code to IS CDR Code'!C:C, MATCH('Processed Non-zero DMR Data'!L295,'NAICS Code to IS CDR Code'!A:A,0)), "NAICS/SIC Not Provided")</f>
        <v>Utilities</v>
      </c>
      <c r="P295" s="91" t="str">
        <f>INDEX('11DCA Mapping'!$K:$K, MATCH('Processed Non-zero DMR Data'!I301,'11DCA Mapping'!$J:$J,0))</f>
        <v>Processing as a Reactant</v>
      </c>
      <c r="Q295" s="91" t="str">
        <f>INDEX('11DCA Mapping'!$L:$L, MATCH('Processed Non-zero DMR Data'!I301,'11DCA Mapping'!$J:$J,0))</f>
        <v>Based on SIC code</v>
      </c>
      <c r="R295" s="250" t="str">
        <f>VLOOKUP(I295,'DMR POTW Flag'!$A$2:$B$960,2,FALSE)</f>
        <v>POTW</v>
      </c>
      <c r="S295" s="7" t="s">
        <v>67</v>
      </c>
      <c r="T295" s="249" t="s">
        <v>586</v>
      </c>
      <c r="U295" s="8">
        <f>COUNTIFS('Raw Non-zero DMR Data'!$A:$A, 'Processed Non-zero DMR Data'!A295, 'Raw Non-zero DMR Data'!$C:$C, X295, 'Raw Non-zero DMR Data'!$U:$U,'Processed Non-zero DMR Data'!Y295)</f>
        <v>1</v>
      </c>
      <c r="V295" s="8">
        <f>COUNTIFS('Raw Non-zero DMR Data'!$A:$A, 'Processed Non-zero DMR Data'!A295, 'Raw Non-zero DMR Data'!$C:$C, X295, 'Raw Non-zero DMR Data'!$U:$U,'Processed Non-zero DMR Data'!Y295,'Raw Non-zero DMR Data'!$Z:$Z,"Yes")</f>
        <v>1</v>
      </c>
      <c r="W295">
        <v>5.709842825</v>
      </c>
      <c r="X295" t="s">
        <v>862</v>
      </c>
      <c r="Y295" t="s">
        <v>863</v>
      </c>
      <c r="Z295" s="257">
        <v>51302050503</v>
      </c>
    </row>
    <row r="296" spans="1:26" ht="15" customHeight="1" x14ac:dyDescent="0.25">
      <c r="A296">
        <v>2020</v>
      </c>
      <c r="B296" t="s">
        <v>259</v>
      </c>
      <c r="C296" t="s">
        <v>260</v>
      </c>
      <c r="D296" t="s">
        <v>861</v>
      </c>
      <c r="E296" t="s">
        <v>138</v>
      </c>
      <c r="F296">
        <v>36.803610999999997</v>
      </c>
      <c r="G296">
        <v>-87.516389000000004</v>
      </c>
      <c r="I296" s="1">
        <v>110039994897</v>
      </c>
      <c r="J296">
        <v>4952</v>
      </c>
      <c r="K296" s="175" t="str">
        <f>INDEX('2022 SIC to NAICS'!B:B, MATCH('Processed Non-zero DMR Data'!$J296, '2022 SIC to NAICS'!$A:$A, 0))</f>
        <v>Sewerage Systems</v>
      </c>
      <c r="L296" s="175">
        <f>INDEX('2022 SIC to NAICS'!C:C, MATCH('Processed Non-zero DMR Data'!$J296, '2022 SIC to NAICS'!$A:$A, 0))</f>
        <v>221320</v>
      </c>
      <c r="M296" s="175" t="str">
        <f>INDEX('2022 SIC to NAICS'!D:D, MATCH('Processed Non-zero DMR Data'!$J296, '2022 SIC to NAICS'!$A:$A, 0))</f>
        <v xml:space="preserve">Sewage Treatment Facilities </v>
      </c>
      <c r="N296" s="90" t="str">
        <f>IFERROR(INDEX('NAICS Code to IS CDR Code'!B:B, MATCH('Processed Non-zero DMR Data'!L296,'NAICS Code to IS CDR Code'!A:A,0)), "NAICS/SIC Not Provided")</f>
        <v>IS4</v>
      </c>
      <c r="O296" s="91" t="str">
        <f>IFERROR(INDEX('NAICS Code to IS CDR Code'!C:C, MATCH('Processed Non-zero DMR Data'!L296,'NAICS Code to IS CDR Code'!A:A,0)), "NAICS/SIC Not Provided")</f>
        <v>Utilities</v>
      </c>
      <c r="P296" s="91" t="str">
        <f>INDEX('11DCA Mapping'!$K:$K, MATCH('Processed Non-zero DMR Data'!I302,'11DCA Mapping'!$J:$J,0))</f>
        <v>Processing as a Reactant</v>
      </c>
      <c r="Q296" s="91" t="str">
        <f>INDEX('11DCA Mapping'!$L:$L, MATCH('Processed Non-zero DMR Data'!I302,'11DCA Mapping'!$J:$J,0))</f>
        <v>Based on SIC code</v>
      </c>
      <c r="R296" s="250" t="str">
        <f>VLOOKUP(I296,'DMR POTW Flag'!$A$2:$B$960,2,FALSE)</f>
        <v>POTW</v>
      </c>
      <c r="S296" s="7" t="s">
        <v>67</v>
      </c>
      <c r="T296" s="249" t="s">
        <v>586</v>
      </c>
      <c r="U296" s="8">
        <f>COUNTIFS('Raw Non-zero DMR Data'!$A:$A, 'Processed Non-zero DMR Data'!A296, 'Raw Non-zero DMR Data'!$C:$C, X296, 'Raw Non-zero DMR Data'!$U:$U,'Processed Non-zero DMR Data'!Y296)</f>
        <v>1</v>
      </c>
      <c r="V296" s="8">
        <f>COUNTIFS('Raw Non-zero DMR Data'!$A:$A, 'Processed Non-zero DMR Data'!A296, 'Raw Non-zero DMR Data'!$C:$C, X296, 'Raw Non-zero DMR Data'!$U:$U,'Processed Non-zero DMR Data'!Y296,'Raw Non-zero DMR Data'!$Z:$Z,"Yes")</f>
        <v>1</v>
      </c>
      <c r="W296">
        <v>4.1459565249999999</v>
      </c>
      <c r="X296" t="s">
        <v>862</v>
      </c>
      <c r="Y296" t="s">
        <v>863</v>
      </c>
      <c r="Z296" s="257">
        <v>51302050503</v>
      </c>
    </row>
    <row r="297" spans="1:26" ht="15" customHeight="1" x14ac:dyDescent="0.25">
      <c r="A297">
        <v>2021</v>
      </c>
      <c r="B297" t="s">
        <v>259</v>
      </c>
      <c r="C297" t="s">
        <v>260</v>
      </c>
      <c r="D297" t="s">
        <v>861</v>
      </c>
      <c r="E297" t="s">
        <v>138</v>
      </c>
      <c r="F297">
        <v>36.803610999999997</v>
      </c>
      <c r="G297">
        <v>-87.516389000000004</v>
      </c>
      <c r="I297" s="1">
        <v>110039994897</v>
      </c>
      <c r="J297">
        <v>4952</v>
      </c>
      <c r="K297" s="175" t="str">
        <f>INDEX('2022 SIC to NAICS'!B:B, MATCH('Processed Non-zero DMR Data'!$J297, '2022 SIC to NAICS'!$A:$A, 0))</f>
        <v>Sewerage Systems</v>
      </c>
      <c r="L297" s="175">
        <f>INDEX('2022 SIC to NAICS'!C:C, MATCH('Processed Non-zero DMR Data'!$J297, '2022 SIC to NAICS'!$A:$A, 0))</f>
        <v>221320</v>
      </c>
      <c r="M297" s="175" t="str">
        <f>INDEX('2022 SIC to NAICS'!D:D, MATCH('Processed Non-zero DMR Data'!$J297, '2022 SIC to NAICS'!$A:$A, 0))</f>
        <v xml:space="preserve">Sewage Treatment Facilities </v>
      </c>
      <c r="N297" s="90" t="str">
        <f>IFERROR(INDEX('NAICS Code to IS CDR Code'!B:B, MATCH('Processed Non-zero DMR Data'!L297,'NAICS Code to IS CDR Code'!A:A,0)), "NAICS/SIC Not Provided")</f>
        <v>IS4</v>
      </c>
      <c r="O297" s="91" t="str">
        <f>IFERROR(INDEX('NAICS Code to IS CDR Code'!C:C, MATCH('Processed Non-zero DMR Data'!L297,'NAICS Code to IS CDR Code'!A:A,0)), "NAICS/SIC Not Provided")</f>
        <v>Utilities</v>
      </c>
      <c r="P297" s="91" t="e">
        <f>INDEX('11DCA Mapping'!$K:$K, MATCH('Processed Non-zero DMR Data'!I303,'11DCA Mapping'!$J:$J,0))</f>
        <v>#N/A</v>
      </c>
      <c r="Q297" s="91" t="e">
        <f>INDEX('11DCA Mapping'!$L:$L, MATCH('Processed Non-zero DMR Data'!I303,'11DCA Mapping'!$J:$J,0))</f>
        <v>#N/A</v>
      </c>
      <c r="R297" s="250" t="str">
        <f>VLOOKUP(I297,'DMR POTW Flag'!$A$2:$B$960,2,FALSE)</f>
        <v>POTW</v>
      </c>
      <c r="S297" s="7" t="s">
        <v>67</v>
      </c>
      <c r="T297" s="249" t="s">
        <v>586</v>
      </c>
      <c r="U297" s="8">
        <f>COUNTIFS('Raw Non-zero DMR Data'!$A:$A, 'Processed Non-zero DMR Data'!A297, 'Raw Non-zero DMR Data'!$C:$C, X297, 'Raw Non-zero DMR Data'!$U:$U,'Processed Non-zero DMR Data'!Y297)</f>
        <v>1</v>
      </c>
      <c r="V297" s="8">
        <f>COUNTIFS('Raw Non-zero DMR Data'!$A:$A, 'Processed Non-zero DMR Data'!A297, 'Raw Non-zero DMR Data'!$C:$C, X297, 'Raw Non-zero DMR Data'!$U:$U,'Processed Non-zero DMR Data'!Y297,'Raw Non-zero DMR Data'!$Z:$Z,"Yes")</f>
        <v>1</v>
      </c>
      <c r="W297">
        <v>13.0519574375</v>
      </c>
      <c r="X297" t="s">
        <v>862</v>
      </c>
      <c r="Y297" t="s">
        <v>863</v>
      </c>
      <c r="Z297" s="257">
        <v>51302050503</v>
      </c>
    </row>
    <row r="298" spans="1:26" ht="15" customHeight="1" x14ac:dyDescent="0.25">
      <c r="A298">
        <v>2020</v>
      </c>
      <c r="B298" t="s">
        <v>368</v>
      </c>
      <c r="C298" t="s">
        <v>369</v>
      </c>
      <c r="D298" t="s">
        <v>712</v>
      </c>
      <c r="E298" t="s">
        <v>114</v>
      </c>
      <c r="F298">
        <v>30.311361000000002</v>
      </c>
      <c r="G298">
        <v>-95.387083000000004</v>
      </c>
      <c r="I298" s="1">
        <v>110000748095</v>
      </c>
      <c r="J298">
        <v>2869</v>
      </c>
      <c r="K298" s="175" t="str">
        <f>INDEX('2022 SIC to NAICS'!B:B, MATCH('Processed Non-zero DMR Data'!$J298, '2022 SIC to NAICS'!$A:$A, 0))</f>
        <v>Industrial Organic Chemicals, Nec</v>
      </c>
      <c r="L298" s="175">
        <f>INDEX('2022 SIC to NAICS'!C:C, MATCH('Processed Non-zero DMR Data'!$J298, '2022 SIC to NAICS'!$A:$A, 0))</f>
        <v>325110</v>
      </c>
      <c r="M298" s="175" t="str">
        <f>INDEX('2022 SIC to NAICS'!D:D, MATCH('Processed Non-zero DMR Data'!$J298, '2022 SIC to NAICS'!$A:$A, 0))</f>
        <v>Petrochemical Manufacturing</v>
      </c>
      <c r="N298" s="90" t="str">
        <f>IFERROR(INDEX('NAICS Code to IS CDR Code'!B:B, MATCH('Processed Non-zero DMR Data'!L298,'NAICS Code to IS CDR Code'!A:A,0)), "NAICS/SIC Not Provided")</f>
        <v>IS15</v>
      </c>
      <c r="O298" s="91" t="str">
        <f>IFERROR(INDEX('NAICS Code to IS CDR Code'!C:C, MATCH('Processed Non-zero DMR Data'!L298,'NAICS Code to IS CDR Code'!A:A,0)), "NAICS/SIC Not Provided")</f>
        <v>Petrochemical Manufacturing</v>
      </c>
      <c r="P298" s="91" t="e">
        <f>INDEX('11DCA Mapping'!$K:$K, MATCH('Processed Non-zero DMR Data'!I304,'11DCA Mapping'!$J:$J,0))</f>
        <v>#N/A</v>
      </c>
      <c r="Q298" s="91" t="e">
        <f>INDEX('11DCA Mapping'!$L:$L, MATCH('Processed Non-zero DMR Data'!I304,'11DCA Mapping'!$J:$J,0))</f>
        <v>#N/A</v>
      </c>
      <c r="R298" s="250" t="str">
        <f>VLOOKUP(I298,'DMR POTW Flag'!$A$2:$B$960,2,FALSE)</f>
        <v>NON-POTW</v>
      </c>
      <c r="S298" s="7" t="s">
        <v>62</v>
      </c>
      <c r="T298" s="7" t="s">
        <v>601</v>
      </c>
      <c r="U298" s="8">
        <f>COUNTIFS('Raw Non-zero DMR Data'!$A:$A, 'Processed Non-zero DMR Data'!A298, 'Raw Non-zero DMR Data'!$C:$C, X298, 'Raw Non-zero DMR Data'!$U:$U,'Processed Non-zero DMR Data'!Y298)</f>
        <v>2</v>
      </c>
      <c r="V298" s="8">
        <f>COUNTIFS('Raw Non-zero DMR Data'!$A:$A, 'Processed Non-zero DMR Data'!A298, 'Raw Non-zero DMR Data'!$C:$C, X298, 'Raw Non-zero DMR Data'!$U:$U,'Processed Non-zero DMR Data'!Y298,'Raw Non-zero DMR Data'!$Z:$Z,"Yes")</f>
        <v>0</v>
      </c>
      <c r="W298">
        <v>0.364562</v>
      </c>
      <c r="X298" t="s">
        <v>864</v>
      </c>
      <c r="Y298" t="s">
        <v>865</v>
      </c>
      <c r="Z298" s="257">
        <v>120401010403</v>
      </c>
    </row>
    <row r="299" spans="1:26" ht="15" customHeight="1" x14ac:dyDescent="0.25">
      <c r="A299">
        <v>2020</v>
      </c>
      <c r="B299" t="s">
        <v>368</v>
      </c>
      <c r="C299" t="s">
        <v>369</v>
      </c>
      <c r="D299" t="s">
        <v>712</v>
      </c>
      <c r="E299" t="s">
        <v>114</v>
      </c>
      <c r="F299">
        <v>30.311361000000002</v>
      </c>
      <c r="G299">
        <v>-95.387083000000004</v>
      </c>
      <c r="I299" s="1">
        <v>110000748095</v>
      </c>
      <c r="J299">
        <v>2869</v>
      </c>
      <c r="K299" s="175" t="str">
        <f>INDEX('2022 SIC to NAICS'!B:B, MATCH('Processed Non-zero DMR Data'!$J299, '2022 SIC to NAICS'!$A:$A, 0))</f>
        <v>Industrial Organic Chemicals, Nec</v>
      </c>
      <c r="L299" s="175">
        <f>INDEX('2022 SIC to NAICS'!C:C, MATCH('Processed Non-zero DMR Data'!$J299, '2022 SIC to NAICS'!$A:$A, 0))</f>
        <v>325110</v>
      </c>
      <c r="M299" s="175" t="str">
        <f>INDEX('2022 SIC to NAICS'!D:D, MATCH('Processed Non-zero DMR Data'!$J299, '2022 SIC to NAICS'!$A:$A, 0))</f>
        <v>Petrochemical Manufacturing</v>
      </c>
      <c r="N299" s="90" t="str">
        <f>IFERROR(INDEX('NAICS Code to IS CDR Code'!B:B, MATCH('Processed Non-zero DMR Data'!L299,'NAICS Code to IS CDR Code'!A:A,0)), "NAICS/SIC Not Provided")</f>
        <v>IS15</v>
      </c>
      <c r="O299" s="91" t="str">
        <f>IFERROR(INDEX('NAICS Code to IS CDR Code'!C:C, MATCH('Processed Non-zero DMR Data'!L299,'NAICS Code to IS CDR Code'!A:A,0)), "NAICS/SIC Not Provided")</f>
        <v>Petrochemical Manufacturing</v>
      </c>
      <c r="P299" s="91" t="e">
        <f>INDEX('11DCA Mapping'!$K:$K, MATCH('Processed Non-zero DMR Data'!I305,'11DCA Mapping'!$J:$J,0))</f>
        <v>#N/A</v>
      </c>
      <c r="Q299" s="91" t="e">
        <f>INDEX('11DCA Mapping'!$L:$L, MATCH('Processed Non-zero DMR Data'!I305,'11DCA Mapping'!$J:$J,0))</f>
        <v>#N/A</v>
      </c>
      <c r="R299" s="250" t="str">
        <f>VLOOKUP(I299,'DMR POTW Flag'!$A$2:$B$960,2,FALSE)</f>
        <v>NON-POTW</v>
      </c>
      <c r="S299" s="7" t="s">
        <v>62</v>
      </c>
      <c r="T299" s="7" t="s">
        <v>601</v>
      </c>
      <c r="U299" s="8">
        <f>COUNTIFS('Raw Non-zero DMR Data'!$A:$A, 'Processed Non-zero DMR Data'!A299, 'Raw Non-zero DMR Data'!$C:$C, X299, 'Raw Non-zero DMR Data'!$U:$U,'Processed Non-zero DMR Data'!Y299)</f>
        <v>2</v>
      </c>
      <c r="V299" s="8">
        <f>COUNTIFS('Raw Non-zero DMR Data'!$A:$A, 'Processed Non-zero DMR Data'!A299, 'Raw Non-zero DMR Data'!$C:$C, X299, 'Raw Non-zero DMR Data'!$U:$U,'Processed Non-zero DMR Data'!Y299,'Raw Non-zero DMR Data'!$Z:$Z,"Yes")</f>
        <v>0</v>
      </c>
      <c r="W299">
        <v>1.193112</v>
      </c>
      <c r="X299" t="s">
        <v>864</v>
      </c>
      <c r="Y299" t="s">
        <v>865</v>
      </c>
      <c r="Z299" s="257">
        <v>120401010403</v>
      </c>
    </row>
    <row r="300" spans="1:26" ht="15" customHeight="1" x14ac:dyDescent="0.25">
      <c r="A300">
        <v>2021</v>
      </c>
      <c r="B300" t="s">
        <v>368</v>
      </c>
      <c r="C300" t="s">
        <v>369</v>
      </c>
      <c r="D300" t="s">
        <v>712</v>
      </c>
      <c r="E300" t="s">
        <v>114</v>
      </c>
      <c r="F300">
        <v>30.311361000000002</v>
      </c>
      <c r="G300">
        <v>-95.387083000000004</v>
      </c>
      <c r="I300" s="1">
        <v>110000748095</v>
      </c>
      <c r="J300">
        <v>2869</v>
      </c>
      <c r="K300" s="175" t="str">
        <f>INDEX('2022 SIC to NAICS'!B:B, MATCH('Processed Non-zero DMR Data'!$J300, '2022 SIC to NAICS'!$A:$A, 0))</f>
        <v>Industrial Organic Chemicals, Nec</v>
      </c>
      <c r="L300" s="175">
        <f>INDEX('2022 SIC to NAICS'!C:C, MATCH('Processed Non-zero DMR Data'!$J300, '2022 SIC to NAICS'!$A:$A, 0))</f>
        <v>325110</v>
      </c>
      <c r="M300" s="175" t="str">
        <f>INDEX('2022 SIC to NAICS'!D:D, MATCH('Processed Non-zero DMR Data'!$J300, '2022 SIC to NAICS'!$A:$A, 0))</f>
        <v>Petrochemical Manufacturing</v>
      </c>
      <c r="N300" s="90" t="str">
        <f>IFERROR(INDEX('NAICS Code to IS CDR Code'!B:B, MATCH('Processed Non-zero DMR Data'!L300,'NAICS Code to IS CDR Code'!A:A,0)), "NAICS/SIC Not Provided")</f>
        <v>IS15</v>
      </c>
      <c r="O300" s="91" t="str">
        <f>IFERROR(INDEX('NAICS Code to IS CDR Code'!C:C, MATCH('Processed Non-zero DMR Data'!L300,'NAICS Code to IS CDR Code'!A:A,0)), "NAICS/SIC Not Provided")</f>
        <v>Petrochemical Manufacturing</v>
      </c>
      <c r="P300" s="91" t="e">
        <f>INDEX('11DCA Mapping'!$K:$K, MATCH('Processed Non-zero DMR Data'!I306,'11DCA Mapping'!$J:$J,0))</f>
        <v>#N/A</v>
      </c>
      <c r="Q300" s="91" t="e">
        <f>INDEX('11DCA Mapping'!$L:$L, MATCH('Processed Non-zero DMR Data'!I306,'11DCA Mapping'!$J:$J,0))</f>
        <v>#N/A</v>
      </c>
      <c r="R300" s="250" t="str">
        <f>VLOOKUP(I300,'DMR POTW Flag'!$A$2:$B$960,2,FALSE)</f>
        <v>NON-POTW</v>
      </c>
      <c r="S300" s="7" t="s">
        <v>62</v>
      </c>
      <c r="T300" s="7" t="s">
        <v>601</v>
      </c>
      <c r="U300" s="8">
        <f>COUNTIFS('Raw Non-zero DMR Data'!$A:$A, 'Processed Non-zero DMR Data'!A300, 'Raw Non-zero DMR Data'!$C:$C, X300, 'Raw Non-zero DMR Data'!$U:$U,'Processed Non-zero DMR Data'!Y300)</f>
        <v>2</v>
      </c>
      <c r="V300" s="8">
        <f>COUNTIFS('Raw Non-zero DMR Data'!$A:$A, 'Processed Non-zero DMR Data'!A300, 'Raw Non-zero DMR Data'!$C:$C, X300, 'Raw Non-zero DMR Data'!$U:$U,'Processed Non-zero DMR Data'!Y300,'Raw Non-zero DMR Data'!$Z:$Z,"Yes")</f>
        <v>2</v>
      </c>
      <c r="W300">
        <v>1.3836785</v>
      </c>
      <c r="X300" t="s">
        <v>864</v>
      </c>
      <c r="Y300" t="s">
        <v>865</v>
      </c>
      <c r="Z300" s="257">
        <v>120401010403</v>
      </c>
    </row>
    <row r="301" spans="1:26" ht="15" customHeight="1" x14ac:dyDescent="0.25">
      <c r="A301">
        <v>2021</v>
      </c>
      <c r="B301" t="s">
        <v>368</v>
      </c>
      <c r="C301" t="s">
        <v>369</v>
      </c>
      <c r="D301" t="s">
        <v>712</v>
      </c>
      <c r="E301" t="s">
        <v>114</v>
      </c>
      <c r="F301">
        <v>30.311361000000002</v>
      </c>
      <c r="G301">
        <v>-95.387083000000004</v>
      </c>
      <c r="I301" s="1">
        <v>110000748095</v>
      </c>
      <c r="J301">
        <v>2869</v>
      </c>
      <c r="K301" s="175" t="str">
        <f>INDEX('2022 SIC to NAICS'!B:B, MATCH('Processed Non-zero DMR Data'!$J301, '2022 SIC to NAICS'!$A:$A, 0))</f>
        <v>Industrial Organic Chemicals, Nec</v>
      </c>
      <c r="L301" s="175">
        <f>INDEX('2022 SIC to NAICS'!C:C, MATCH('Processed Non-zero DMR Data'!$J301, '2022 SIC to NAICS'!$A:$A, 0))</f>
        <v>325110</v>
      </c>
      <c r="M301" s="175" t="str">
        <f>INDEX('2022 SIC to NAICS'!D:D, MATCH('Processed Non-zero DMR Data'!$J301, '2022 SIC to NAICS'!$A:$A, 0))</f>
        <v>Petrochemical Manufacturing</v>
      </c>
      <c r="N301" s="90" t="str">
        <f>IFERROR(INDEX('NAICS Code to IS CDR Code'!B:B, MATCH('Processed Non-zero DMR Data'!L301,'NAICS Code to IS CDR Code'!A:A,0)), "NAICS/SIC Not Provided")</f>
        <v>IS15</v>
      </c>
      <c r="O301" s="91" t="str">
        <f>IFERROR(INDEX('NAICS Code to IS CDR Code'!C:C, MATCH('Processed Non-zero DMR Data'!L301,'NAICS Code to IS CDR Code'!A:A,0)), "NAICS/SIC Not Provided")</f>
        <v>Petrochemical Manufacturing</v>
      </c>
      <c r="P301" s="91" t="e">
        <f>INDEX('11DCA Mapping'!$K:$K, MATCH('Processed Non-zero DMR Data'!I307,'11DCA Mapping'!$J:$J,0))</f>
        <v>#N/A</v>
      </c>
      <c r="Q301" s="91" t="e">
        <f>INDEX('11DCA Mapping'!$L:$L, MATCH('Processed Non-zero DMR Data'!I307,'11DCA Mapping'!$J:$J,0))</f>
        <v>#N/A</v>
      </c>
      <c r="R301" s="250" t="str">
        <f>VLOOKUP(I301,'DMR POTW Flag'!$A$2:$B$960,2,FALSE)</f>
        <v>NON-POTW</v>
      </c>
      <c r="S301" s="7" t="s">
        <v>62</v>
      </c>
      <c r="T301" s="7" t="s">
        <v>601</v>
      </c>
      <c r="U301" s="8">
        <f>COUNTIFS('Raw Non-zero DMR Data'!$A:$A, 'Processed Non-zero DMR Data'!A301, 'Raw Non-zero DMR Data'!$C:$C, X301, 'Raw Non-zero DMR Data'!$U:$U,'Processed Non-zero DMR Data'!Y301)</f>
        <v>2</v>
      </c>
      <c r="V301" s="8">
        <f>COUNTIFS('Raw Non-zero DMR Data'!$A:$A, 'Processed Non-zero DMR Data'!A301, 'Raw Non-zero DMR Data'!$C:$C, X301, 'Raw Non-zero DMR Data'!$U:$U,'Processed Non-zero DMR Data'!Y301,'Raw Non-zero DMR Data'!$Z:$Z,"Yes")</f>
        <v>2</v>
      </c>
      <c r="W301">
        <v>4.0184674999999999</v>
      </c>
      <c r="X301" t="s">
        <v>864</v>
      </c>
      <c r="Y301" t="s">
        <v>865</v>
      </c>
      <c r="Z301" s="257">
        <v>120401010403</v>
      </c>
    </row>
    <row r="302" spans="1:26" ht="15" customHeight="1" x14ac:dyDescent="0.25">
      <c r="A302">
        <v>2022</v>
      </c>
      <c r="B302" t="s">
        <v>368</v>
      </c>
      <c r="C302" t="s">
        <v>369</v>
      </c>
      <c r="D302" t="s">
        <v>712</v>
      </c>
      <c r="E302" t="s">
        <v>114</v>
      </c>
      <c r="F302">
        <v>30.311361000000002</v>
      </c>
      <c r="G302">
        <v>-95.387083000000004</v>
      </c>
      <c r="I302" s="1">
        <v>110000748095</v>
      </c>
      <c r="J302">
        <v>2869</v>
      </c>
      <c r="K302" s="175" t="str">
        <f>INDEX('2022 SIC to NAICS'!B:B, MATCH('Processed Non-zero DMR Data'!$J302, '2022 SIC to NAICS'!$A:$A, 0))</f>
        <v>Industrial Organic Chemicals, Nec</v>
      </c>
      <c r="L302" s="175">
        <f>INDEX('2022 SIC to NAICS'!C:C, MATCH('Processed Non-zero DMR Data'!$J302, '2022 SIC to NAICS'!$A:$A, 0))</f>
        <v>325110</v>
      </c>
      <c r="M302" s="175" t="str">
        <f>INDEX('2022 SIC to NAICS'!D:D, MATCH('Processed Non-zero DMR Data'!$J302, '2022 SIC to NAICS'!$A:$A, 0))</f>
        <v>Petrochemical Manufacturing</v>
      </c>
      <c r="N302" s="90" t="str">
        <f>IFERROR(INDEX('NAICS Code to IS CDR Code'!B:B, MATCH('Processed Non-zero DMR Data'!L302,'NAICS Code to IS CDR Code'!A:A,0)), "NAICS/SIC Not Provided")</f>
        <v>IS15</v>
      </c>
      <c r="O302" s="91" t="str">
        <f>IFERROR(INDEX('NAICS Code to IS CDR Code'!C:C, MATCH('Processed Non-zero DMR Data'!L302,'NAICS Code to IS CDR Code'!A:A,0)), "NAICS/SIC Not Provided")</f>
        <v>Petrochemical Manufacturing</v>
      </c>
      <c r="P302" s="91" t="str">
        <f>INDEX('11DCA Mapping'!$K:$K, MATCH('Processed Non-zero DMR Data'!I308,'11DCA Mapping'!$J:$J,0))</f>
        <v>Repackaging</v>
      </c>
      <c r="Q302" s="91" t="str">
        <f>INDEX('11DCA Mapping'!$L:$L, MATCH('Processed Non-zero DMR Data'!I308,'11DCA Mapping'!$J:$J,0))</f>
        <v>Assuming repackaging but unsure, seems like it could potentially be "distribution in commerce"?</v>
      </c>
      <c r="R302" s="250" t="str">
        <f>VLOOKUP(I302,'DMR POTW Flag'!$A$2:$B$960,2,FALSE)</f>
        <v>NON-POTW</v>
      </c>
      <c r="S302" s="7" t="s">
        <v>62</v>
      </c>
      <c r="T302" s="7" t="s">
        <v>601</v>
      </c>
      <c r="U302" s="8">
        <f>COUNTIFS('Raw Non-zero DMR Data'!$A:$A, 'Processed Non-zero DMR Data'!A302, 'Raw Non-zero DMR Data'!$C:$C, X302, 'Raw Non-zero DMR Data'!$U:$U,'Processed Non-zero DMR Data'!Y302)</f>
        <v>1</v>
      </c>
      <c r="V302" s="8">
        <f>COUNTIFS('Raw Non-zero DMR Data'!$A:$A, 'Processed Non-zero DMR Data'!A302, 'Raw Non-zero DMR Data'!$C:$C, X302, 'Raw Non-zero DMR Data'!$U:$U,'Processed Non-zero DMR Data'!Y302,'Raw Non-zero DMR Data'!$Z:$Z,"Yes")</f>
        <v>1</v>
      </c>
      <c r="W302">
        <v>0.2071375</v>
      </c>
      <c r="X302" t="s">
        <v>864</v>
      </c>
      <c r="Y302" t="s">
        <v>865</v>
      </c>
      <c r="Z302" s="257">
        <v>120401010403</v>
      </c>
    </row>
    <row r="303" spans="1:26" ht="15" customHeight="1" x14ac:dyDescent="0.25">
      <c r="A303">
        <v>2019</v>
      </c>
      <c r="B303" t="s">
        <v>133</v>
      </c>
      <c r="C303" t="s">
        <v>134</v>
      </c>
      <c r="D303" t="s">
        <v>866</v>
      </c>
      <c r="E303" t="s">
        <v>135</v>
      </c>
      <c r="F303">
        <v>38.772219999999997</v>
      </c>
      <c r="G303">
        <v>-82.205560000000006</v>
      </c>
      <c r="I303" s="1">
        <v>110000607772</v>
      </c>
      <c r="J303">
        <v>2869</v>
      </c>
      <c r="K303" s="175" t="str">
        <f>INDEX('2022 SIC to NAICS'!B:B, MATCH('Processed Non-zero DMR Data'!$J303, '2022 SIC to NAICS'!$A:$A, 0))</f>
        <v>Industrial Organic Chemicals, Nec</v>
      </c>
      <c r="L303" s="175">
        <f>INDEX('2022 SIC to NAICS'!C:C, MATCH('Processed Non-zero DMR Data'!$J303, '2022 SIC to NAICS'!$A:$A, 0))</f>
        <v>325110</v>
      </c>
      <c r="M303" s="175" t="str">
        <f>INDEX('2022 SIC to NAICS'!D:D, MATCH('Processed Non-zero DMR Data'!$J303, '2022 SIC to NAICS'!$A:$A, 0))</f>
        <v>Petrochemical Manufacturing</v>
      </c>
      <c r="N303" s="90" t="str">
        <f>IFERROR(INDEX('NAICS Code to IS CDR Code'!B:B, MATCH('Processed Non-zero DMR Data'!L303,'NAICS Code to IS CDR Code'!A:A,0)), "NAICS/SIC Not Provided")</f>
        <v>IS15</v>
      </c>
      <c r="O303" s="91" t="str">
        <f>IFERROR(INDEX('NAICS Code to IS CDR Code'!C:C, MATCH('Processed Non-zero DMR Data'!L303,'NAICS Code to IS CDR Code'!A:A,0)), "NAICS/SIC Not Provided")</f>
        <v>Petrochemical Manufacturing</v>
      </c>
      <c r="P303" s="91" t="str">
        <f>INDEX('11DCA Mapping'!$K:$K, MATCH('Processed Non-zero DMR Data'!I309,'11DCA Mapping'!$J:$J,0))</f>
        <v>Repackaging</v>
      </c>
      <c r="Q303" s="91" t="str">
        <f>INDEX('11DCA Mapping'!$L:$L, MATCH('Processed Non-zero DMR Data'!I309,'11DCA Mapping'!$J:$J,0))</f>
        <v>Assuming repackaging but unsure, seems like it could potentially be "distribution in commerce"?</v>
      </c>
      <c r="R303" s="250" t="str">
        <f>VLOOKUP(I303,'DMR POTW Flag'!$A$2:$B$960,2,FALSE)</f>
        <v>NON-POTW</v>
      </c>
      <c r="S303" s="7" t="s">
        <v>5459</v>
      </c>
      <c r="T303" s="9" t="s">
        <v>867</v>
      </c>
      <c r="U303" s="8">
        <f>COUNTIFS('Raw Non-zero DMR Data'!$A:$A, 'Processed Non-zero DMR Data'!A303, 'Raw Non-zero DMR Data'!$C:$C, X303, 'Raw Non-zero DMR Data'!$U:$U,'Processed Non-zero DMR Data'!Y303)</f>
        <v>1</v>
      </c>
      <c r="V303" s="8">
        <f>COUNTIFS('Raw Non-zero DMR Data'!$A:$A, 'Processed Non-zero DMR Data'!A303, 'Raw Non-zero DMR Data'!$C:$C, X303, 'Raw Non-zero DMR Data'!$U:$U,'Processed Non-zero DMR Data'!Y303,'Raw Non-zero DMR Data'!$Z:$Z,"Yes")</f>
        <v>0</v>
      </c>
      <c r="W303">
        <v>1.6226868000000001</v>
      </c>
      <c r="X303" t="s">
        <v>868</v>
      </c>
      <c r="Y303" t="s">
        <v>869</v>
      </c>
      <c r="Z303" s="257">
        <v>50901010103</v>
      </c>
    </row>
    <row r="304" spans="1:26" ht="15" customHeight="1" x14ac:dyDescent="0.25">
      <c r="A304">
        <v>2020</v>
      </c>
      <c r="B304" t="s">
        <v>133</v>
      </c>
      <c r="C304" t="s">
        <v>134</v>
      </c>
      <c r="D304" t="s">
        <v>866</v>
      </c>
      <c r="E304" t="s">
        <v>135</v>
      </c>
      <c r="F304">
        <v>38.772219999999997</v>
      </c>
      <c r="G304">
        <v>-82.205560000000006</v>
      </c>
      <c r="I304" s="1">
        <v>110000607772</v>
      </c>
      <c r="J304">
        <v>2869</v>
      </c>
      <c r="K304" s="175" t="str">
        <f>INDEX('2022 SIC to NAICS'!B:B, MATCH('Processed Non-zero DMR Data'!$J304, '2022 SIC to NAICS'!$A:$A, 0))</f>
        <v>Industrial Organic Chemicals, Nec</v>
      </c>
      <c r="L304" s="175">
        <f>INDEX('2022 SIC to NAICS'!C:C, MATCH('Processed Non-zero DMR Data'!$J304, '2022 SIC to NAICS'!$A:$A, 0))</f>
        <v>325110</v>
      </c>
      <c r="M304" s="175" t="str">
        <f>INDEX('2022 SIC to NAICS'!D:D, MATCH('Processed Non-zero DMR Data'!$J304, '2022 SIC to NAICS'!$A:$A, 0))</f>
        <v>Petrochemical Manufacturing</v>
      </c>
      <c r="N304" s="90" t="str">
        <f>IFERROR(INDEX('NAICS Code to IS CDR Code'!B:B, MATCH('Processed Non-zero DMR Data'!L304,'NAICS Code to IS CDR Code'!A:A,0)), "NAICS/SIC Not Provided")</f>
        <v>IS15</v>
      </c>
      <c r="O304" s="91" t="str">
        <f>IFERROR(INDEX('NAICS Code to IS CDR Code'!C:C, MATCH('Processed Non-zero DMR Data'!L304,'NAICS Code to IS CDR Code'!A:A,0)), "NAICS/SIC Not Provided")</f>
        <v>Petrochemical Manufacturing</v>
      </c>
      <c r="P304" s="91" t="str">
        <f>INDEX('11DCA Mapping'!$K:$K, MATCH('Processed Non-zero DMR Data'!I310,'11DCA Mapping'!$J:$J,0))</f>
        <v>Repackaging</v>
      </c>
      <c r="Q304" s="91" t="str">
        <f>INDEX('11DCA Mapping'!$L:$L, MATCH('Processed Non-zero DMR Data'!I310,'11DCA Mapping'!$J:$J,0))</f>
        <v>Assuming repackaging but unsure, seems like it could potentially be "distribution in commerce"?</v>
      </c>
      <c r="R304" s="250" t="str">
        <f>VLOOKUP(I304,'DMR POTW Flag'!$A$2:$B$960,2,FALSE)</f>
        <v>NON-POTW</v>
      </c>
      <c r="S304" s="7" t="s">
        <v>5459</v>
      </c>
      <c r="T304" s="9" t="s">
        <v>867</v>
      </c>
      <c r="U304" s="8">
        <f>COUNTIFS('Raw Non-zero DMR Data'!$A:$A, 'Processed Non-zero DMR Data'!A304, 'Raw Non-zero DMR Data'!$C:$C, X304, 'Raw Non-zero DMR Data'!$U:$U,'Processed Non-zero DMR Data'!Y304)</f>
        <v>1</v>
      </c>
      <c r="V304" s="8">
        <f>COUNTIFS('Raw Non-zero DMR Data'!$A:$A, 'Processed Non-zero DMR Data'!A304, 'Raw Non-zero DMR Data'!$C:$C, X304, 'Raw Non-zero DMR Data'!$U:$U,'Processed Non-zero DMR Data'!Y304,'Raw Non-zero DMR Data'!$Z:$Z,"Yes")</f>
        <v>0</v>
      </c>
      <c r="W304">
        <v>3.1309656000000001</v>
      </c>
      <c r="X304" t="s">
        <v>868</v>
      </c>
      <c r="Y304" t="s">
        <v>869</v>
      </c>
      <c r="Z304" s="257">
        <v>50901010103</v>
      </c>
    </row>
    <row r="305" spans="1:26" ht="15" customHeight="1" x14ac:dyDescent="0.25">
      <c r="A305">
        <v>2021</v>
      </c>
      <c r="B305" t="s">
        <v>133</v>
      </c>
      <c r="C305" t="s">
        <v>134</v>
      </c>
      <c r="D305" t="s">
        <v>866</v>
      </c>
      <c r="E305" t="s">
        <v>135</v>
      </c>
      <c r="F305">
        <v>38.772219999999997</v>
      </c>
      <c r="G305">
        <v>-82.205560000000006</v>
      </c>
      <c r="I305" s="1">
        <v>110000607772</v>
      </c>
      <c r="J305">
        <v>2869</v>
      </c>
      <c r="K305" s="175" t="str">
        <f>INDEX('2022 SIC to NAICS'!B:B, MATCH('Processed Non-zero DMR Data'!$J305, '2022 SIC to NAICS'!$A:$A, 0))</f>
        <v>Industrial Organic Chemicals, Nec</v>
      </c>
      <c r="L305" s="175">
        <f>INDEX('2022 SIC to NAICS'!C:C, MATCH('Processed Non-zero DMR Data'!$J305, '2022 SIC to NAICS'!$A:$A, 0))</f>
        <v>325110</v>
      </c>
      <c r="M305" s="175" t="str">
        <f>INDEX('2022 SIC to NAICS'!D:D, MATCH('Processed Non-zero DMR Data'!$J305, '2022 SIC to NAICS'!$A:$A, 0))</f>
        <v>Petrochemical Manufacturing</v>
      </c>
      <c r="N305" s="90" t="str">
        <f>IFERROR(INDEX('NAICS Code to IS CDR Code'!B:B, MATCH('Processed Non-zero DMR Data'!L305,'NAICS Code to IS CDR Code'!A:A,0)), "NAICS/SIC Not Provided")</f>
        <v>IS15</v>
      </c>
      <c r="O305" s="91" t="str">
        <f>IFERROR(INDEX('NAICS Code to IS CDR Code'!C:C, MATCH('Processed Non-zero DMR Data'!L305,'NAICS Code to IS CDR Code'!A:A,0)), "NAICS/SIC Not Provided")</f>
        <v>Petrochemical Manufacturing</v>
      </c>
      <c r="P305" s="91" t="str">
        <f>INDEX('11DCA Mapping'!$K:$K, MATCH('Processed Non-zero DMR Data'!I311,'11DCA Mapping'!$J:$J,0))</f>
        <v>Repackaging</v>
      </c>
      <c r="Q305" s="91" t="str">
        <f>INDEX('11DCA Mapping'!$L:$L, MATCH('Processed Non-zero DMR Data'!I311,'11DCA Mapping'!$J:$J,0))</f>
        <v>Assuming repackaging but unsure, seems like it could potentially be "distribution in commerce"?</v>
      </c>
      <c r="R305" s="250" t="str">
        <f>VLOOKUP(I305,'DMR POTW Flag'!$A$2:$B$960,2,FALSE)</f>
        <v>NON-POTW</v>
      </c>
      <c r="S305" s="7" t="s">
        <v>5459</v>
      </c>
      <c r="T305" s="9" t="s">
        <v>867</v>
      </c>
      <c r="U305" s="8">
        <f>COUNTIFS('Raw Non-zero DMR Data'!$A:$A, 'Processed Non-zero DMR Data'!A305, 'Raw Non-zero DMR Data'!$C:$C, X305, 'Raw Non-zero DMR Data'!$U:$U,'Processed Non-zero DMR Data'!Y305)</f>
        <v>1</v>
      </c>
      <c r="V305" s="8">
        <f>COUNTIFS('Raw Non-zero DMR Data'!$A:$A, 'Processed Non-zero DMR Data'!A305, 'Raw Non-zero DMR Data'!$C:$C, X305, 'Raw Non-zero DMR Data'!$U:$U,'Processed Non-zero DMR Data'!Y305,'Raw Non-zero DMR Data'!$Z:$Z,"Yes")</f>
        <v>0</v>
      </c>
      <c r="W305">
        <v>6.0027198999999998</v>
      </c>
      <c r="X305" t="s">
        <v>868</v>
      </c>
      <c r="Y305" t="s">
        <v>869</v>
      </c>
      <c r="Z305" s="257">
        <v>50901010103</v>
      </c>
    </row>
    <row r="306" spans="1:26" ht="15" customHeight="1" x14ac:dyDescent="0.25">
      <c r="A306">
        <v>2022</v>
      </c>
      <c r="B306" t="s">
        <v>133</v>
      </c>
      <c r="C306" t="s">
        <v>134</v>
      </c>
      <c r="D306" t="s">
        <v>866</v>
      </c>
      <c r="E306" t="s">
        <v>135</v>
      </c>
      <c r="F306">
        <v>38.772219999999997</v>
      </c>
      <c r="G306">
        <v>-82.205560000000006</v>
      </c>
      <c r="I306" s="1">
        <v>110000607772</v>
      </c>
      <c r="J306">
        <v>2869</v>
      </c>
      <c r="K306" s="175" t="str">
        <f>INDEX('2022 SIC to NAICS'!B:B, MATCH('Processed Non-zero DMR Data'!$J306, '2022 SIC to NAICS'!$A:$A, 0))</f>
        <v>Industrial Organic Chemicals, Nec</v>
      </c>
      <c r="L306" s="175">
        <f>INDEX('2022 SIC to NAICS'!C:C, MATCH('Processed Non-zero DMR Data'!$J306, '2022 SIC to NAICS'!$A:$A, 0))</f>
        <v>325110</v>
      </c>
      <c r="M306" s="175" t="str">
        <f>INDEX('2022 SIC to NAICS'!D:D, MATCH('Processed Non-zero DMR Data'!$J306, '2022 SIC to NAICS'!$A:$A, 0))</f>
        <v>Petrochemical Manufacturing</v>
      </c>
      <c r="N306" s="90" t="str">
        <f>IFERROR(INDEX('NAICS Code to IS CDR Code'!B:B, MATCH('Processed Non-zero DMR Data'!L306,'NAICS Code to IS CDR Code'!A:A,0)), "NAICS/SIC Not Provided")</f>
        <v>IS15</v>
      </c>
      <c r="O306" s="91" t="str">
        <f>IFERROR(INDEX('NAICS Code to IS CDR Code'!C:C, MATCH('Processed Non-zero DMR Data'!L306,'NAICS Code to IS CDR Code'!A:A,0)), "NAICS/SIC Not Provided")</f>
        <v>Petrochemical Manufacturing</v>
      </c>
      <c r="P306" s="91" t="str">
        <f>INDEX('11DCA Mapping'!$K:$K, MATCH('Processed Non-zero DMR Data'!I312,'11DCA Mapping'!$J:$J,0))</f>
        <v>Repackaging</v>
      </c>
      <c r="Q306" s="91" t="str">
        <f>INDEX('11DCA Mapping'!$L:$L, MATCH('Processed Non-zero DMR Data'!I312,'11DCA Mapping'!$J:$J,0))</f>
        <v>Assuming repackaging but unsure, seems like it could potentially be "distribution in commerce"?</v>
      </c>
      <c r="R306" s="250" t="str">
        <f>VLOOKUP(I306,'DMR POTW Flag'!$A$2:$B$960,2,FALSE)</f>
        <v>NON-POTW</v>
      </c>
      <c r="S306" s="7" t="s">
        <v>5459</v>
      </c>
      <c r="T306" s="9" t="s">
        <v>867</v>
      </c>
      <c r="U306" s="8">
        <f>COUNTIFS('Raw Non-zero DMR Data'!$A:$A, 'Processed Non-zero DMR Data'!A306, 'Raw Non-zero DMR Data'!$C:$C, X306, 'Raw Non-zero DMR Data'!$U:$U,'Processed Non-zero DMR Data'!Y306)</f>
        <v>1</v>
      </c>
      <c r="V306" s="8">
        <f>COUNTIFS('Raw Non-zero DMR Data'!$A:$A, 'Processed Non-zero DMR Data'!A306, 'Raw Non-zero DMR Data'!$C:$C, X306, 'Raw Non-zero DMR Data'!$U:$U,'Processed Non-zero DMR Data'!Y306,'Raw Non-zero DMR Data'!$Z:$Z,"Yes")</f>
        <v>0</v>
      </c>
      <c r="W306">
        <v>1.646431</v>
      </c>
      <c r="X306" t="s">
        <v>868</v>
      </c>
      <c r="Y306" t="s">
        <v>869</v>
      </c>
      <c r="Z306" s="257">
        <v>50901010103</v>
      </c>
    </row>
    <row r="307" spans="1:26" ht="15" customHeight="1" x14ac:dyDescent="0.25">
      <c r="A307">
        <v>2023</v>
      </c>
      <c r="B307" t="s">
        <v>133</v>
      </c>
      <c r="C307" t="s">
        <v>134</v>
      </c>
      <c r="D307" t="s">
        <v>866</v>
      </c>
      <c r="E307" t="s">
        <v>135</v>
      </c>
      <c r="F307">
        <v>38.772219999999997</v>
      </c>
      <c r="G307">
        <v>-82.205560000000006</v>
      </c>
      <c r="I307" s="1">
        <v>110000607772</v>
      </c>
      <c r="J307">
        <v>2869</v>
      </c>
      <c r="K307" s="175" t="str">
        <f>INDEX('2022 SIC to NAICS'!B:B, MATCH('Processed Non-zero DMR Data'!$J307, '2022 SIC to NAICS'!$A:$A, 0))</f>
        <v>Industrial Organic Chemicals, Nec</v>
      </c>
      <c r="L307" s="175">
        <f>INDEX('2022 SIC to NAICS'!C:C, MATCH('Processed Non-zero DMR Data'!$J307, '2022 SIC to NAICS'!$A:$A, 0))</f>
        <v>325110</v>
      </c>
      <c r="M307" s="175" t="str">
        <f>INDEX('2022 SIC to NAICS'!D:D, MATCH('Processed Non-zero DMR Data'!$J307, '2022 SIC to NAICS'!$A:$A, 0))</f>
        <v>Petrochemical Manufacturing</v>
      </c>
      <c r="N307" s="90" t="str">
        <f>IFERROR(INDEX('NAICS Code to IS CDR Code'!B:B, MATCH('Processed Non-zero DMR Data'!L307,'NAICS Code to IS CDR Code'!A:A,0)), "NAICS/SIC Not Provided")</f>
        <v>IS15</v>
      </c>
      <c r="O307" s="91" t="str">
        <f>IFERROR(INDEX('NAICS Code to IS CDR Code'!C:C, MATCH('Processed Non-zero DMR Data'!L307,'NAICS Code to IS CDR Code'!A:A,0)), "NAICS/SIC Not Provided")</f>
        <v>Petrochemical Manufacturing</v>
      </c>
      <c r="P307" s="91" t="str">
        <f>INDEX('11DCA Mapping'!$K:$K, MATCH('Processed Non-zero DMR Data'!I313,'11DCA Mapping'!$J:$J,0))</f>
        <v>Repackaging</v>
      </c>
      <c r="Q307" s="91" t="str">
        <f>INDEX('11DCA Mapping'!$L:$L, MATCH('Processed Non-zero DMR Data'!I313,'11DCA Mapping'!$J:$J,0))</f>
        <v>Assuming repackaging but unsure, seems like it could potentially be "distribution in commerce"?</v>
      </c>
      <c r="R307" s="250" t="str">
        <f>VLOOKUP(I307,'DMR POTW Flag'!$A$2:$B$960,2,FALSE)</f>
        <v>NON-POTW</v>
      </c>
      <c r="S307" s="7" t="s">
        <v>5459</v>
      </c>
      <c r="T307" s="9" t="s">
        <v>867</v>
      </c>
      <c r="U307" s="8">
        <f>COUNTIFS('Raw Non-zero DMR Data'!$A:$A, 'Processed Non-zero DMR Data'!A307, 'Raw Non-zero DMR Data'!$C:$C, X307, 'Raw Non-zero DMR Data'!$U:$U,'Processed Non-zero DMR Data'!Y307)</f>
        <v>1</v>
      </c>
      <c r="V307" s="8">
        <f>COUNTIFS('Raw Non-zero DMR Data'!$A:$A, 'Processed Non-zero DMR Data'!A307, 'Raw Non-zero DMR Data'!$C:$C, X307, 'Raw Non-zero DMR Data'!$U:$U,'Processed Non-zero DMR Data'!Y307,'Raw Non-zero DMR Data'!$Z:$Z,"Yes")</f>
        <v>0</v>
      </c>
      <c r="W307">
        <v>0.51358976999999995</v>
      </c>
      <c r="X307" t="s">
        <v>868</v>
      </c>
      <c r="Y307" t="s">
        <v>869</v>
      </c>
      <c r="Z307" s="257">
        <v>50901010103</v>
      </c>
    </row>
    <row r="308" spans="1:26" ht="15" customHeight="1" x14ac:dyDescent="0.25">
      <c r="A308">
        <v>2019</v>
      </c>
      <c r="B308" t="s">
        <v>212</v>
      </c>
      <c r="C308" t="s">
        <v>213</v>
      </c>
      <c r="D308" t="s">
        <v>870</v>
      </c>
      <c r="E308" t="s">
        <v>141</v>
      </c>
      <c r="F308">
        <v>41.692782000000001</v>
      </c>
      <c r="G308">
        <v>-87.951100999999994</v>
      </c>
      <c r="I308" s="1">
        <v>110018199377</v>
      </c>
      <c r="J308">
        <v>4226</v>
      </c>
      <c r="K308" s="175" t="str">
        <f>INDEX('2022 SIC to NAICS'!B:B, MATCH('Processed Non-zero DMR Data'!$J308, '2022 SIC to NAICS'!$A:$A, 0))</f>
        <v>Special Warehousing and Storage, Nec</v>
      </c>
      <c r="L308" s="175">
        <f>INDEX('2022 SIC to NAICS'!C:C, MATCH('Processed Non-zero DMR Data'!$J308, '2022 SIC to NAICS'!$A:$A, 0))</f>
        <v>493110</v>
      </c>
      <c r="M308" s="175" t="str">
        <f>INDEX('2022 SIC to NAICS'!D:D, MATCH('Processed Non-zero DMR Data'!$J308, '2022 SIC to NAICS'!$A:$A, 0))</f>
        <v xml:space="preserve">General Warehousing and Storage </v>
      </c>
      <c r="N308" s="90" t="str">
        <f>IFERROR(INDEX('NAICS Code to IS CDR Code'!B:B, MATCH('Processed Non-zero DMR Data'!L308,'NAICS Code to IS CDR Code'!A:A,0)), "NAICS/SIC Not Provided")</f>
        <v>IS46</v>
      </c>
      <c r="O308" s="91" t="str">
        <f>IFERROR(INDEX('NAICS Code to IS CDR Code'!C:C, MATCH('Processed Non-zero DMR Data'!L308,'NAICS Code to IS CDR Code'!A:A,0)), "NAICS/SIC Not Provided")</f>
        <v>Wholesale and Retail Trade</v>
      </c>
      <c r="P308" s="91" t="str">
        <f>INDEX('11DCA Mapping'!$K:$K, MATCH('Processed Non-zero DMR Data'!I314,'11DCA Mapping'!$J:$J,0))</f>
        <v>Repackaging</v>
      </c>
      <c r="Q308" s="91" t="str">
        <f>INDEX('11DCA Mapping'!$L:$L, MATCH('Processed Non-zero DMR Data'!I314,'11DCA Mapping'!$J:$J,0))</f>
        <v>Assuming repackaging but unsure, seems like it could potentially be "distribution in commerce"?</v>
      </c>
      <c r="R308" s="250" t="str">
        <f>VLOOKUP(I308,'DMR POTW Flag'!$A$2:$B$960,2,FALSE)</f>
        <v>NON-POTW</v>
      </c>
      <c r="S308" s="7" t="s">
        <v>61</v>
      </c>
      <c r="T308" s="7" t="s">
        <v>871</v>
      </c>
      <c r="U308" s="8">
        <f>COUNTIFS('Raw Non-zero DMR Data'!$A:$A, 'Processed Non-zero DMR Data'!A308, 'Raw Non-zero DMR Data'!$C:$C, X308, 'Raw Non-zero DMR Data'!$U:$U,'Processed Non-zero DMR Data'!Y308)</f>
        <v>1</v>
      </c>
      <c r="V308" s="8">
        <f>COUNTIFS('Raw Non-zero DMR Data'!$A:$A, 'Processed Non-zero DMR Data'!A308, 'Raw Non-zero DMR Data'!$C:$C, X308, 'Raw Non-zero DMR Data'!$U:$U,'Processed Non-zero DMR Data'!Y308,'Raw Non-zero DMR Data'!$Z:$Z,"Yes")</f>
        <v>1</v>
      </c>
      <c r="W308">
        <v>2.9448246249999999</v>
      </c>
      <c r="X308" t="s">
        <v>872</v>
      </c>
      <c r="Y308" t="s">
        <v>873</v>
      </c>
      <c r="Z308" s="257">
        <v>71200040705</v>
      </c>
    </row>
    <row r="309" spans="1:26" ht="15" customHeight="1" x14ac:dyDescent="0.25">
      <c r="A309">
        <v>2020</v>
      </c>
      <c r="B309" t="s">
        <v>212</v>
      </c>
      <c r="C309" t="s">
        <v>213</v>
      </c>
      <c r="D309" t="s">
        <v>870</v>
      </c>
      <c r="E309" t="s">
        <v>141</v>
      </c>
      <c r="F309">
        <v>41.692782000000001</v>
      </c>
      <c r="G309">
        <v>-87.951100999999994</v>
      </c>
      <c r="I309" s="1">
        <v>110018199377</v>
      </c>
      <c r="J309">
        <v>4226</v>
      </c>
      <c r="K309" s="175" t="str">
        <f>INDEX('2022 SIC to NAICS'!B:B, MATCH('Processed Non-zero DMR Data'!$J309, '2022 SIC to NAICS'!$A:$A, 0))</f>
        <v>Special Warehousing and Storage, Nec</v>
      </c>
      <c r="L309" s="175">
        <f>INDEX('2022 SIC to NAICS'!C:C, MATCH('Processed Non-zero DMR Data'!$J309, '2022 SIC to NAICS'!$A:$A, 0))</f>
        <v>493110</v>
      </c>
      <c r="M309" s="175" t="str">
        <f>INDEX('2022 SIC to NAICS'!D:D, MATCH('Processed Non-zero DMR Data'!$J309, '2022 SIC to NAICS'!$A:$A, 0))</f>
        <v xml:space="preserve">General Warehousing and Storage </v>
      </c>
      <c r="N309" s="90" t="str">
        <f>IFERROR(INDEX('NAICS Code to IS CDR Code'!B:B, MATCH('Processed Non-zero DMR Data'!L309,'NAICS Code to IS CDR Code'!A:A,0)), "NAICS/SIC Not Provided")</f>
        <v>IS46</v>
      </c>
      <c r="O309" s="91" t="str">
        <f>IFERROR(INDEX('NAICS Code to IS CDR Code'!C:C, MATCH('Processed Non-zero DMR Data'!L309,'NAICS Code to IS CDR Code'!A:A,0)), "NAICS/SIC Not Provided")</f>
        <v>Wholesale and Retail Trade</v>
      </c>
      <c r="P309" s="91" t="str">
        <f>INDEX('11DCA Mapping'!$K:$K, MATCH('Processed Non-zero DMR Data'!I315,'11DCA Mapping'!$J:$J,0))</f>
        <v>Repackaging</v>
      </c>
      <c r="Q309" s="91" t="str">
        <f>INDEX('11DCA Mapping'!$L:$L, MATCH('Processed Non-zero DMR Data'!I315,'11DCA Mapping'!$J:$J,0))</f>
        <v>Assuming repackaging but unsure, seems like it could potentially be "distribution in commerce"?</v>
      </c>
      <c r="R309" s="250" t="str">
        <f>VLOOKUP(I309,'DMR POTW Flag'!$A$2:$B$960,2,FALSE)</f>
        <v>NON-POTW</v>
      </c>
      <c r="S309" s="7" t="s">
        <v>61</v>
      </c>
      <c r="T309" s="7" t="s">
        <v>871</v>
      </c>
      <c r="U309" s="8">
        <f>COUNTIFS('Raw Non-zero DMR Data'!$A:$A, 'Processed Non-zero DMR Data'!A309, 'Raw Non-zero DMR Data'!$C:$C, X309, 'Raw Non-zero DMR Data'!$U:$U,'Processed Non-zero DMR Data'!Y309)</f>
        <v>3</v>
      </c>
      <c r="V309" s="8">
        <f>COUNTIFS('Raw Non-zero DMR Data'!$A:$A, 'Processed Non-zero DMR Data'!A309, 'Raw Non-zero DMR Data'!$C:$C, X309, 'Raw Non-zero DMR Data'!$U:$U,'Processed Non-zero DMR Data'!Y309,'Raw Non-zero DMR Data'!$Z:$Z,"Yes")</f>
        <v>3</v>
      </c>
      <c r="W309">
        <v>7.5813549999999993E-2</v>
      </c>
      <c r="X309" t="s">
        <v>872</v>
      </c>
      <c r="Y309" t="s">
        <v>873</v>
      </c>
      <c r="Z309" s="257">
        <v>71200040705</v>
      </c>
    </row>
    <row r="310" spans="1:26" ht="15" customHeight="1" x14ac:dyDescent="0.25">
      <c r="A310">
        <v>2020</v>
      </c>
      <c r="B310" t="s">
        <v>212</v>
      </c>
      <c r="C310" t="s">
        <v>213</v>
      </c>
      <c r="D310" t="s">
        <v>870</v>
      </c>
      <c r="E310" t="s">
        <v>141</v>
      </c>
      <c r="F310">
        <v>41.692782000000001</v>
      </c>
      <c r="G310">
        <v>-87.951100999999994</v>
      </c>
      <c r="I310" s="1">
        <v>110018199377</v>
      </c>
      <c r="J310">
        <v>4226</v>
      </c>
      <c r="K310" s="175" t="str">
        <f>INDEX('2022 SIC to NAICS'!B:B, MATCH('Processed Non-zero DMR Data'!$J310, '2022 SIC to NAICS'!$A:$A, 0))</f>
        <v>Special Warehousing and Storage, Nec</v>
      </c>
      <c r="L310" s="175">
        <f>INDEX('2022 SIC to NAICS'!C:C, MATCH('Processed Non-zero DMR Data'!$J310, '2022 SIC to NAICS'!$A:$A, 0))</f>
        <v>493110</v>
      </c>
      <c r="M310" s="175" t="str">
        <f>INDEX('2022 SIC to NAICS'!D:D, MATCH('Processed Non-zero DMR Data'!$J310, '2022 SIC to NAICS'!$A:$A, 0))</f>
        <v xml:space="preserve">General Warehousing and Storage </v>
      </c>
      <c r="N310" s="90" t="str">
        <f>IFERROR(INDEX('NAICS Code to IS CDR Code'!B:B, MATCH('Processed Non-zero DMR Data'!L310,'NAICS Code to IS CDR Code'!A:A,0)), "NAICS/SIC Not Provided")</f>
        <v>IS46</v>
      </c>
      <c r="O310" s="91" t="str">
        <f>IFERROR(INDEX('NAICS Code to IS CDR Code'!C:C, MATCH('Processed Non-zero DMR Data'!L310,'NAICS Code to IS CDR Code'!A:A,0)), "NAICS/SIC Not Provided")</f>
        <v>Wholesale and Retail Trade</v>
      </c>
      <c r="P310" s="91" t="str">
        <f>INDEX('11DCA Mapping'!$K:$K, MATCH('Processed Non-zero DMR Data'!I316,'11DCA Mapping'!$J:$J,0))</f>
        <v>Repackaging</v>
      </c>
      <c r="Q310" s="91" t="str">
        <f>INDEX('11DCA Mapping'!$L:$L, MATCH('Processed Non-zero DMR Data'!I316,'11DCA Mapping'!$J:$J,0))</f>
        <v>Assuming repackaging but unsure, seems like it could potentially be "distribution in commerce"?</v>
      </c>
      <c r="R310" s="250" t="str">
        <f>VLOOKUP(I310,'DMR POTW Flag'!$A$2:$B$960,2,FALSE)</f>
        <v>NON-POTW</v>
      </c>
      <c r="S310" s="7" t="s">
        <v>61</v>
      </c>
      <c r="T310" s="7" t="s">
        <v>871</v>
      </c>
      <c r="U310" s="8">
        <f>COUNTIFS('Raw Non-zero DMR Data'!$A:$A, 'Processed Non-zero DMR Data'!A310, 'Raw Non-zero DMR Data'!$C:$C, X310, 'Raw Non-zero DMR Data'!$U:$U,'Processed Non-zero DMR Data'!Y310)</f>
        <v>3</v>
      </c>
      <c r="V310" s="8">
        <f>COUNTIFS('Raw Non-zero DMR Data'!$A:$A, 'Processed Non-zero DMR Data'!A310, 'Raw Non-zero DMR Data'!$C:$C, X310, 'Raw Non-zero DMR Data'!$U:$U,'Processed Non-zero DMR Data'!Y310,'Raw Non-zero DMR Data'!$Z:$Z,"Yes")</f>
        <v>3</v>
      </c>
      <c r="W310">
        <v>0.12236904999999999</v>
      </c>
      <c r="X310" t="s">
        <v>872</v>
      </c>
      <c r="Y310" t="s">
        <v>873</v>
      </c>
      <c r="Z310" s="257">
        <v>71200040705</v>
      </c>
    </row>
    <row r="311" spans="1:26" ht="15" customHeight="1" x14ac:dyDescent="0.25">
      <c r="A311">
        <v>2020</v>
      </c>
      <c r="B311" t="s">
        <v>212</v>
      </c>
      <c r="C311" t="s">
        <v>213</v>
      </c>
      <c r="D311" t="s">
        <v>870</v>
      </c>
      <c r="E311" t="s">
        <v>141</v>
      </c>
      <c r="F311">
        <v>41.692782000000001</v>
      </c>
      <c r="G311">
        <v>-87.951100999999994</v>
      </c>
      <c r="I311" s="1">
        <v>110018199377</v>
      </c>
      <c r="J311">
        <v>4226</v>
      </c>
      <c r="K311" s="175" t="str">
        <f>INDEX('2022 SIC to NAICS'!B:B, MATCH('Processed Non-zero DMR Data'!$J311, '2022 SIC to NAICS'!$A:$A, 0))</f>
        <v>Special Warehousing and Storage, Nec</v>
      </c>
      <c r="L311" s="175">
        <f>INDEX('2022 SIC to NAICS'!C:C, MATCH('Processed Non-zero DMR Data'!$J311, '2022 SIC to NAICS'!$A:$A, 0))</f>
        <v>493110</v>
      </c>
      <c r="M311" s="175" t="str">
        <f>INDEX('2022 SIC to NAICS'!D:D, MATCH('Processed Non-zero DMR Data'!$J311, '2022 SIC to NAICS'!$A:$A, 0))</f>
        <v xml:space="preserve">General Warehousing and Storage </v>
      </c>
      <c r="N311" s="90" t="str">
        <f>IFERROR(INDEX('NAICS Code to IS CDR Code'!B:B, MATCH('Processed Non-zero DMR Data'!L311,'NAICS Code to IS CDR Code'!A:A,0)), "NAICS/SIC Not Provided")</f>
        <v>IS46</v>
      </c>
      <c r="O311" s="91" t="str">
        <f>IFERROR(INDEX('NAICS Code to IS CDR Code'!C:C, MATCH('Processed Non-zero DMR Data'!L311,'NAICS Code to IS CDR Code'!A:A,0)), "NAICS/SIC Not Provided")</f>
        <v>Wholesale and Retail Trade</v>
      </c>
      <c r="P311" s="91" t="str">
        <f>INDEX('11DCA Mapping'!$K:$K, MATCH('Processed Non-zero DMR Data'!I317,'11DCA Mapping'!$J:$J,0))</f>
        <v>Repackaging</v>
      </c>
      <c r="Q311" s="91" t="str">
        <f>INDEX('11DCA Mapping'!$L:$L, MATCH('Processed Non-zero DMR Data'!I317,'11DCA Mapping'!$J:$J,0))</f>
        <v>Assuming repackaging but unsure, seems like it could potentially be "distribution in commerce"?</v>
      </c>
      <c r="R311" s="250" t="str">
        <f>VLOOKUP(I311,'DMR POTW Flag'!$A$2:$B$960,2,FALSE)</f>
        <v>NON-POTW</v>
      </c>
      <c r="S311" s="7" t="s">
        <v>61</v>
      </c>
      <c r="T311" s="7" t="s">
        <v>871</v>
      </c>
      <c r="U311" s="8">
        <f>COUNTIFS('Raw Non-zero DMR Data'!$A:$A, 'Processed Non-zero DMR Data'!A311, 'Raw Non-zero DMR Data'!$C:$C, X311, 'Raw Non-zero DMR Data'!$U:$U,'Processed Non-zero DMR Data'!Y311)</f>
        <v>3</v>
      </c>
      <c r="V311" s="8">
        <f>COUNTIFS('Raw Non-zero DMR Data'!$A:$A, 'Processed Non-zero DMR Data'!A311, 'Raw Non-zero DMR Data'!$C:$C, X311, 'Raw Non-zero DMR Data'!$U:$U,'Processed Non-zero DMR Data'!Y311,'Raw Non-zero DMR Data'!$Z:$Z,"Yes")</f>
        <v>3</v>
      </c>
      <c r="W311">
        <v>1.6779662</v>
      </c>
      <c r="X311" t="s">
        <v>872</v>
      </c>
      <c r="Y311" t="s">
        <v>873</v>
      </c>
      <c r="Z311" s="257">
        <v>71200040705</v>
      </c>
    </row>
    <row r="312" spans="1:26" ht="15" customHeight="1" x14ac:dyDescent="0.25">
      <c r="A312">
        <v>2021</v>
      </c>
      <c r="B312" t="s">
        <v>212</v>
      </c>
      <c r="C312" t="s">
        <v>213</v>
      </c>
      <c r="D312" t="s">
        <v>870</v>
      </c>
      <c r="E312" t="s">
        <v>141</v>
      </c>
      <c r="F312">
        <v>41.692782000000001</v>
      </c>
      <c r="G312">
        <v>-87.951100999999994</v>
      </c>
      <c r="I312" s="1">
        <v>110018199377</v>
      </c>
      <c r="J312">
        <v>4226</v>
      </c>
      <c r="K312" s="175" t="str">
        <f>INDEX('2022 SIC to NAICS'!B:B, MATCH('Processed Non-zero DMR Data'!$J312, '2022 SIC to NAICS'!$A:$A, 0))</f>
        <v>Special Warehousing and Storage, Nec</v>
      </c>
      <c r="L312" s="175">
        <f>INDEX('2022 SIC to NAICS'!C:C, MATCH('Processed Non-zero DMR Data'!$J312, '2022 SIC to NAICS'!$A:$A, 0))</f>
        <v>493110</v>
      </c>
      <c r="M312" s="175" t="str">
        <f>INDEX('2022 SIC to NAICS'!D:D, MATCH('Processed Non-zero DMR Data'!$J312, '2022 SIC to NAICS'!$A:$A, 0))</f>
        <v xml:space="preserve">General Warehousing and Storage </v>
      </c>
      <c r="N312" s="90" t="str">
        <f>IFERROR(INDEX('NAICS Code to IS CDR Code'!B:B, MATCH('Processed Non-zero DMR Data'!L312,'NAICS Code to IS CDR Code'!A:A,0)), "NAICS/SIC Not Provided")</f>
        <v>IS46</v>
      </c>
      <c r="O312" s="91" t="str">
        <f>IFERROR(INDEX('NAICS Code to IS CDR Code'!C:C, MATCH('Processed Non-zero DMR Data'!L312,'NAICS Code to IS CDR Code'!A:A,0)), "NAICS/SIC Not Provided")</f>
        <v>Wholesale and Retail Trade</v>
      </c>
      <c r="P312" s="91" t="str">
        <f>INDEX('11DCA Mapping'!$K:$K, MATCH('Processed Non-zero DMR Data'!I318,'11DCA Mapping'!$J:$J,0))</f>
        <v>Repackaging</v>
      </c>
      <c r="Q312" s="91" t="str">
        <f>INDEX('11DCA Mapping'!$L:$L, MATCH('Processed Non-zero DMR Data'!I318,'11DCA Mapping'!$J:$J,0))</f>
        <v>Assuming repackaging but unsure, seems like it could potentially be "distribution in commerce"?</v>
      </c>
      <c r="R312" s="250" t="str">
        <f>VLOOKUP(I312,'DMR POTW Flag'!$A$2:$B$960,2,FALSE)</f>
        <v>NON-POTW</v>
      </c>
      <c r="S312" s="7" t="s">
        <v>61</v>
      </c>
      <c r="T312" s="7" t="s">
        <v>871</v>
      </c>
      <c r="U312" s="8">
        <f>COUNTIFS('Raw Non-zero DMR Data'!$A:$A, 'Processed Non-zero DMR Data'!A312, 'Raw Non-zero DMR Data'!$C:$C, X312, 'Raw Non-zero DMR Data'!$U:$U,'Processed Non-zero DMR Data'!Y312)</f>
        <v>3</v>
      </c>
      <c r="V312" s="8">
        <f>COUNTIFS('Raw Non-zero DMR Data'!$A:$A, 'Processed Non-zero DMR Data'!A312, 'Raw Non-zero DMR Data'!$C:$C, X312, 'Raw Non-zero DMR Data'!$U:$U,'Processed Non-zero DMR Data'!Y312,'Raw Non-zero DMR Data'!$Z:$Z,"Yes")</f>
        <v>3</v>
      </c>
      <c r="W312">
        <v>5.8714812499999998E-2</v>
      </c>
      <c r="X312" t="s">
        <v>872</v>
      </c>
      <c r="Y312" t="s">
        <v>873</v>
      </c>
      <c r="Z312" s="257">
        <v>71200040705</v>
      </c>
    </row>
    <row r="313" spans="1:26" ht="15" customHeight="1" x14ac:dyDescent="0.25">
      <c r="A313">
        <v>2021</v>
      </c>
      <c r="B313" t="s">
        <v>212</v>
      </c>
      <c r="C313" t="s">
        <v>213</v>
      </c>
      <c r="D313" t="s">
        <v>870</v>
      </c>
      <c r="E313" t="s">
        <v>141</v>
      </c>
      <c r="F313">
        <v>41.692782000000001</v>
      </c>
      <c r="G313">
        <v>-87.951100999999994</v>
      </c>
      <c r="I313" s="1">
        <v>110018199377</v>
      </c>
      <c r="J313">
        <v>4226</v>
      </c>
      <c r="K313" s="175" t="str">
        <f>INDEX('2022 SIC to NAICS'!B:B, MATCH('Processed Non-zero DMR Data'!$J313, '2022 SIC to NAICS'!$A:$A, 0))</f>
        <v>Special Warehousing and Storage, Nec</v>
      </c>
      <c r="L313" s="175">
        <f>INDEX('2022 SIC to NAICS'!C:C, MATCH('Processed Non-zero DMR Data'!$J313, '2022 SIC to NAICS'!$A:$A, 0))</f>
        <v>493110</v>
      </c>
      <c r="M313" s="175" t="str">
        <f>INDEX('2022 SIC to NAICS'!D:D, MATCH('Processed Non-zero DMR Data'!$J313, '2022 SIC to NAICS'!$A:$A, 0))</f>
        <v xml:space="preserve">General Warehousing and Storage </v>
      </c>
      <c r="N313" s="90" t="str">
        <f>IFERROR(INDEX('NAICS Code to IS CDR Code'!B:B, MATCH('Processed Non-zero DMR Data'!L313,'NAICS Code to IS CDR Code'!A:A,0)), "NAICS/SIC Not Provided")</f>
        <v>IS46</v>
      </c>
      <c r="O313" s="91" t="str">
        <f>IFERROR(INDEX('NAICS Code to IS CDR Code'!C:C, MATCH('Processed Non-zero DMR Data'!L313,'NAICS Code to IS CDR Code'!A:A,0)), "NAICS/SIC Not Provided")</f>
        <v>Wholesale and Retail Trade</v>
      </c>
      <c r="P313" s="91" t="str">
        <f>INDEX('11DCA Mapping'!$K:$K, MATCH('Processed Non-zero DMR Data'!I319,'11DCA Mapping'!$J:$J,0))</f>
        <v>Repackaging</v>
      </c>
      <c r="Q313" s="91" t="str">
        <f>INDEX('11DCA Mapping'!$L:$L, MATCH('Processed Non-zero DMR Data'!I319,'11DCA Mapping'!$J:$J,0))</f>
        <v>Assuming repackaging but unsure, seems like it could potentially be "distribution in commerce"?</v>
      </c>
      <c r="R313" s="250" t="str">
        <f>VLOOKUP(I313,'DMR POTW Flag'!$A$2:$B$960,2,FALSE)</f>
        <v>NON-POTW</v>
      </c>
      <c r="S313" s="7" t="s">
        <v>61</v>
      </c>
      <c r="T313" s="7" t="s">
        <v>871</v>
      </c>
      <c r="U313" s="8">
        <f>COUNTIFS('Raw Non-zero DMR Data'!$A:$A, 'Processed Non-zero DMR Data'!A313, 'Raw Non-zero DMR Data'!$C:$C, X313, 'Raw Non-zero DMR Data'!$U:$U,'Processed Non-zero DMR Data'!Y313)</f>
        <v>3</v>
      </c>
      <c r="V313" s="8">
        <f>COUNTIFS('Raw Non-zero DMR Data'!$A:$A, 'Processed Non-zero DMR Data'!A313, 'Raw Non-zero DMR Data'!$C:$C, X313, 'Raw Non-zero DMR Data'!$U:$U,'Processed Non-zero DMR Data'!Y313,'Raw Non-zero DMR Data'!$Z:$Z,"Yes")</f>
        <v>3</v>
      </c>
      <c r="W313">
        <v>9.6706749999999994E-2</v>
      </c>
      <c r="X313" t="s">
        <v>872</v>
      </c>
      <c r="Y313" t="s">
        <v>873</v>
      </c>
      <c r="Z313" s="257">
        <v>71200040705</v>
      </c>
    </row>
    <row r="314" spans="1:26" ht="15" customHeight="1" x14ac:dyDescent="0.25">
      <c r="A314">
        <v>2021</v>
      </c>
      <c r="B314" t="s">
        <v>212</v>
      </c>
      <c r="C314" t="s">
        <v>213</v>
      </c>
      <c r="D314" t="s">
        <v>870</v>
      </c>
      <c r="E314" t="s">
        <v>141</v>
      </c>
      <c r="F314">
        <v>41.692782000000001</v>
      </c>
      <c r="G314">
        <v>-87.951100999999994</v>
      </c>
      <c r="I314" s="1">
        <v>110018199377</v>
      </c>
      <c r="J314">
        <v>4226</v>
      </c>
      <c r="K314" s="175" t="str">
        <f>INDEX('2022 SIC to NAICS'!B:B, MATCH('Processed Non-zero DMR Data'!$J314, '2022 SIC to NAICS'!$A:$A, 0))</f>
        <v>Special Warehousing and Storage, Nec</v>
      </c>
      <c r="L314" s="175">
        <f>INDEX('2022 SIC to NAICS'!C:C, MATCH('Processed Non-zero DMR Data'!$J314, '2022 SIC to NAICS'!$A:$A, 0))</f>
        <v>493110</v>
      </c>
      <c r="M314" s="175" t="str">
        <f>INDEX('2022 SIC to NAICS'!D:D, MATCH('Processed Non-zero DMR Data'!$J314, '2022 SIC to NAICS'!$A:$A, 0))</f>
        <v xml:space="preserve">General Warehousing and Storage </v>
      </c>
      <c r="N314" s="90" t="str">
        <f>IFERROR(INDEX('NAICS Code to IS CDR Code'!B:B, MATCH('Processed Non-zero DMR Data'!L314,'NAICS Code to IS CDR Code'!A:A,0)), "NAICS/SIC Not Provided")</f>
        <v>IS46</v>
      </c>
      <c r="O314" s="91" t="str">
        <f>IFERROR(INDEX('NAICS Code to IS CDR Code'!C:C, MATCH('Processed Non-zero DMR Data'!L314,'NAICS Code to IS CDR Code'!A:A,0)), "NAICS/SIC Not Provided")</f>
        <v>Wholesale and Retail Trade</v>
      </c>
      <c r="P314" s="91" t="str">
        <f>INDEX('11DCA Mapping'!$K:$K, MATCH('Processed Non-zero DMR Data'!I320,'11DCA Mapping'!$J:$J,0))</f>
        <v>Repackaging</v>
      </c>
      <c r="Q314" s="91" t="str">
        <f>INDEX('11DCA Mapping'!$L:$L, MATCH('Processed Non-zero DMR Data'!I320,'11DCA Mapping'!$J:$J,0))</f>
        <v>Assuming repackaging but unsure, seems like it could potentially be "distribution in commerce"?</v>
      </c>
      <c r="R314" s="250" t="str">
        <f>VLOOKUP(I314,'DMR POTW Flag'!$A$2:$B$960,2,FALSE)</f>
        <v>NON-POTW</v>
      </c>
      <c r="S314" s="7" t="s">
        <v>61</v>
      </c>
      <c r="T314" s="7" t="s">
        <v>871</v>
      </c>
      <c r="U314" s="8">
        <f>COUNTIFS('Raw Non-zero DMR Data'!$A:$A, 'Processed Non-zero DMR Data'!A314, 'Raw Non-zero DMR Data'!$C:$C, X314, 'Raw Non-zero DMR Data'!$U:$U,'Processed Non-zero DMR Data'!Y314)</f>
        <v>3</v>
      </c>
      <c r="V314" s="8">
        <f>COUNTIFS('Raw Non-zero DMR Data'!$A:$A, 'Processed Non-zero DMR Data'!A314, 'Raw Non-zero DMR Data'!$C:$C, X314, 'Raw Non-zero DMR Data'!$U:$U,'Processed Non-zero DMR Data'!Y314,'Raw Non-zero DMR Data'!$Z:$Z,"Yes")</f>
        <v>3</v>
      </c>
      <c r="W314">
        <v>427.35197305000003</v>
      </c>
      <c r="X314" t="s">
        <v>872</v>
      </c>
      <c r="Y314" t="s">
        <v>873</v>
      </c>
      <c r="Z314" s="257">
        <v>71200040705</v>
      </c>
    </row>
    <row r="315" spans="1:26" ht="15" customHeight="1" x14ac:dyDescent="0.25">
      <c r="A315">
        <v>2022</v>
      </c>
      <c r="B315" t="s">
        <v>212</v>
      </c>
      <c r="C315" t="s">
        <v>213</v>
      </c>
      <c r="D315" t="s">
        <v>870</v>
      </c>
      <c r="E315" t="s">
        <v>141</v>
      </c>
      <c r="F315">
        <v>41.692782000000001</v>
      </c>
      <c r="G315">
        <v>-87.951100999999994</v>
      </c>
      <c r="I315" s="1">
        <v>110018199377</v>
      </c>
      <c r="J315">
        <v>4226</v>
      </c>
      <c r="K315" s="175" t="str">
        <f>INDEX('2022 SIC to NAICS'!B:B, MATCH('Processed Non-zero DMR Data'!$J315, '2022 SIC to NAICS'!$A:$A, 0))</f>
        <v>Special Warehousing and Storage, Nec</v>
      </c>
      <c r="L315" s="175">
        <f>INDEX('2022 SIC to NAICS'!C:C, MATCH('Processed Non-zero DMR Data'!$J315, '2022 SIC to NAICS'!$A:$A, 0))</f>
        <v>493110</v>
      </c>
      <c r="M315" s="175" t="str">
        <f>INDEX('2022 SIC to NAICS'!D:D, MATCH('Processed Non-zero DMR Data'!$J315, '2022 SIC to NAICS'!$A:$A, 0))</f>
        <v xml:space="preserve">General Warehousing and Storage </v>
      </c>
      <c r="N315" s="90" t="str">
        <f>IFERROR(INDEX('NAICS Code to IS CDR Code'!B:B, MATCH('Processed Non-zero DMR Data'!L315,'NAICS Code to IS CDR Code'!A:A,0)), "NAICS/SIC Not Provided")</f>
        <v>IS46</v>
      </c>
      <c r="O315" s="91" t="str">
        <f>IFERROR(INDEX('NAICS Code to IS CDR Code'!C:C, MATCH('Processed Non-zero DMR Data'!L315,'NAICS Code to IS CDR Code'!A:A,0)), "NAICS/SIC Not Provided")</f>
        <v>Wholesale and Retail Trade</v>
      </c>
      <c r="P315" s="91" t="str">
        <f>INDEX('11DCA Mapping'!$K:$K, MATCH('Processed Non-zero DMR Data'!I321,'11DCA Mapping'!$J:$J,0))</f>
        <v>Unknown</v>
      </c>
      <c r="Q315" s="91" t="str">
        <f>INDEX('11DCA Mapping'!$L:$L, MATCH('Processed Non-zero DMR Data'!I321,'11DCA Mapping'!$J:$J,0))</f>
        <v>Unknown how 1,1-DCA is used in apartment buildings</v>
      </c>
      <c r="R315" s="250" t="str">
        <f>VLOOKUP(I315,'DMR POTW Flag'!$A$2:$B$960,2,FALSE)</f>
        <v>NON-POTW</v>
      </c>
      <c r="S315" s="7" t="s">
        <v>61</v>
      </c>
      <c r="T315" s="7" t="s">
        <v>871</v>
      </c>
      <c r="U315" s="8">
        <f>COUNTIFS('Raw Non-zero DMR Data'!$A:$A, 'Processed Non-zero DMR Data'!A315, 'Raw Non-zero DMR Data'!$C:$C, X315, 'Raw Non-zero DMR Data'!$U:$U,'Processed Non-zero DMR Data'!Y315)</f>
        <v>3</v>
      </c>
      <c r="V315" s="8">
        <f>COUNTIFS('Raw Non-zero DMR Data'!$A:$A, 'Processed Non-zero DMR Data'!A315, 'Raw Non-zero DMR Data'!$C:$C, X315, 'Raw Non-zero DMR Data'!$U:$U,'Processed Non-zero DMR Data'!Y315,'Raw Non-zero DMR Data'!$Z:$Z,"Yes")</f>
        <v>3</v>
      </c>
      <c r="W315">
        <v>9.8362687500000004E-2</v>
      </c>
      <c r="X315" t="s">
        <v>872</v>
      </c>
      <c r="Y315" t="s">
        <v>873</v>
      </c>
      <c r="Z315" s="257">
        <v>71200040705</v>
      </c>
    </row>
    <row r="316" spans="1:26" ht="15" customHeight="1" x14ac:dyDescent="0.25">
      <c r="A316">
        <v>2022</v>
      </c>
      <c r="B316" t="s">
        <v>212</v>
      </c>
      <c r="C316" t="s">
        <v>213</v>
      </c>
      <c r="D316" t="s">
        <v>870</v>
      </c>
      <c r="E316" t="s">
        <v>141</v>
      </c>
      <c r="F316">
        <v>41.692782000000001</v>
      </c>
      <c r="G316">
        <v>-87.951100999999994</v>
      </c>
      <c r="I316" s="1">
        <v>110018199377</v>
      </c>
      <c r="J316">
        <v>4226</v>
      </c>
      <c r="K316" s="175" t="str">
        <f>INDEX('2022 SIC to NAICS'!B:B, MATCH('Processed Non-zero DMR Data'!$J316, '2022 SIC to NAICS'!$A:$A, 0))</f>
        <v>Special Warehousing and Storage, Nec</v>
      </c>
      <c r="L316" s="175">
        <f>INDEX('2022 SIC to NAICS'!C:C, MATCH('Processed Non-zero DMR Data'!$J316, '2022 SIC to NAICS'!$A:$A, 0))</f>
        <v>493110</v>
      </c>
      <c r="M316" s="175" t="str">
        <f>INDEX('2022 SIC to NAICS'!D:D, MATCH('Processed Non-zero DMR Data'!$J316, '2022 SIC to NAICS'!$A:$A, 0))</f>
        <v xml:space="preserve">General Warehousing and Storage </v>
      </c>
      <c r="N316" s="90" t="str">
        <f>IFERROR(INDEX('NAICS Code to IS CDR Code'!B:B, MATCH('Processed Non-zero DMR Data'!L316,'NAICS Code to IS CDR Code'!A:A,0)), "NAICS/SIC Not Provided")</f>
        <v>IS46</v>
      </c>
      <c r="O316" s="91" t="str">
        <f>IFERROR(INDEX('NAICS Code to IS CDR Code'!C:C, MATCH('Processed Non-zero DMR Data'!L316,'NAICS Code to IS CDR Code'!A:A,0)), "NAICS/SIC Not Provided")</f>
        <v>Wholesale and Retail Trade</v>
      </c>
      <c r="P316" s="91" t="str">
        <f>INDEX('11DCA Mapping'!$K:$K, MATCH('Processed Non-zero DMR Data'!I322,'11DCA Mapping'!$J:$J,0))</f>
        <v>Natural Gas Engines</v>
      </c>
      <c r="Q316" s="91" t="str">
        <f>INDEX('11DCA Mapping'!$L:$L, MATCH('Processed Non-zero DMR Data'!I322,'11DCA Mapping'!$J:$J,0))</f>
        <v>Suggested OES, “Natural Gas Engines.” Other airports and air traffic control sites were mapped to this OES.</v>
      </c>
      <c r="R316" s="250" t="str">
        <f>VLOOKUP(I316,'DMR POTW Flag'!$A$2:$B$960,2,FALSE)</f>
        <v>NON-POTW</v>
      </c>
      <c r="S316" s="7" t="s">
        <v>61</v>
      </c>
      <c r="T316" s="7" t="s">
        <v>871</v>
      </c>
      <c r="U316" s="8">
        <f>COUNTIFS('Raw Non-zero DMR Data'!$A:$A, 'Processed Non-zero DMR Data'!A316, 'Raw Non-zero DMR Data'!$C:$C, X316, 'Raw Non-zero DMR Data'!$U:$U,'Processed Non-zero DMR Data'!Y316)</f>
        <v>3</v>
      </c>
      <c r="V316" s="8">
        <f>COUNTIFS('Raw Non-zero DMR Data'!$A:$A, 'Processed Non-zero DMR Data'!A316, 'Raw Non-zero DMR Data'!$C:$C, X316, 'Raw Non-zero DMR Data'!$U:$U,'Processed Non-zero DMR Data'!Y316,'Raw Non-zero DMR Data'!$Z:$Z,"Yes")</f>
        <v>3</v>
      </c>
      <c r="W316">
        <v>1.23372075</v>
      </c>
      <c r="X316" t="s">
        <v>872</v>
      </c>
      <c r="Y316" t="s">
        <v>873</v>
      </c>
      <c r="Z316" s="257">
        <v>71200040705</v>
      </c>
    </row>
    <row r="317" spans="1:26" ht="15" customHeight="1" x14ac:dyDescent="0.25">
      <c r="A317">
        <v>2022</v>
      </c>
      <c r="B317" t="s">
        <v>212</v>
      </c>
      <c r="C317" t="s">
        <v>213</v>
      </c>
      <c r="D317" t="s">
        <v>870</v>
      </c>
      <c r="E317" t="s">
        <v>141</v>
      </c>
      <c r="F317">
        <v>41.692782000000001</v>
      </c>
      <c r="G317">
        <v>-87.951100999999994</v>
      </c>
      <c r="I317" s="1">
        <v>110018199377</v>
      </c>
      <c r="J317">
        <v>4226</v>
      </c>
      <c r="K317" s="175" t="str">
        <f>INDEX('2022 SIC to NAICS'!B:B, MATCH('Processed Non-zero DMR Data'!$J317, '2022 SIC to NAICS'!$A:$A, 0))</f>
        <v>Special Warehousing and Storage, Nec</v>
      </c>
      <c r="L317" s="175">
        <f>INDEX('2022 SIC to NAICS'!C:C, MATCH('Processed Non-zero DMR Data'!$J317, '2022 SIC to NAICS'!$A:$A, 0))</f>
        <v>493110</v>
      </c>
      <c r="M317" s="175" t="str">
        <f>INDEX('2022 SIC to NAICS'!D:D, MATCH('Processed Non-zero DMR Data'!$J317, '2022 SIC to NAICS'!$A:$A, 0))</f>
        <v xml:space="preserve">General Warehousing and Storage </v>
      </c>
      <c r="N317" s="90" t="str">
        <f>IFERROR(INDEX('NAICS Code to IS CDR Code'!B:B, MATCH('Processed Non-zero DMR Data'!L317,'NAICS Code to IS CDR Code'!A:A,0)), "NAICS/SIC Not Provided")</f>
        <v>IS46</v>
      </c>
      <c r="O317" s="91" t="str">
        <f>IFERROR(INDEX('NAICS Code to IS CDR Code'!C:C, MATCH('Processed Non-zero DMR Data'!L317,'NAICS Code to IS CDR Code'!A:A,0)), "NAICS/SIC Not Provided")</f>
        <v>Wholesale and Retail Trade</v>
      </c>
      <c r="P317" s="91" t="e">
        <f>INDEX('11DCA Mapping'!$K:$K, MATCH('Processed Non-zero DMR Data'!I323,'11DCA Mapping'!$J:$J,0))</f>
        <v>#N/A</v>
      </c>
      <c r="Q317" s="91" t="e">
        <f>INDEX('11DCA Mapping'!$L:$L, MATCH('Processed Non-zero DMR Data'!I323,'11DCA Mapping'!$J:$J,0))</f>
        <v>#N/A</v>
      </c>
      <c r="R317" s="250" t="str">
        <f>VLOOKUP(I317,'DMR POTW Flag'!$A$2:$B$960,2,FALSE)</f>
        <v>NON-POTW</v>
      </c>
      <c r="S317" s="7" t="s">
        <v>61</v>
      </c>
      <c r="T317" s="7" t="s">
        <v>871</v>
      </c>
      <c r="U317" s="8">
        <f>COUNTIFS('Raw Non-zero DMR Data'!$A:$A, 'Processed Non-zero DMR Data'!A317, 'Raw Non-zero DMR Data'!$C:$C, X317, 'Raw Non-zero DMR Data'!$U:$U,'Processed Non-zero DMR Data'!Y317)</f>
        <v>3</v>
      </c>
      <c r="V317" s="8">
        <f>COUNTIFS('Raw Non-zero DMR Data'!$A:$A, 'Processed Non-zero DMR Data'!A317, 'Raw Non-zero DMR Data'!$C:$C, X317, 'Raw Non-zero DMR Data'!$U:$U,'Processed Non-zero DMR Data'!Y317,'Raw Non-zero DMR Data'!$Z:$Z,"Yes")</f>
        <v>3</v>
      </c>
      <c r="W317">
        <v>6.0484299999999998E-2</v>
      </c>
      <c r="X317" t="s">
        <v>872</v>
      </c>
      <c r="Y317" t="s">
        <v>873</v>
      </c>
      <c r="Z317" s="257">
        <v>71200040705</v>
      </c>
    </row>
    <row r="318" spans="1:26" ht="15" customHeight="1" x14ac:dyDescent="0.25">
      <c r="A318">
        <v>2023</v>
      </c>
      <c r="B318" t="s">
        <v>212</v>
      </c>
      <c r="C318" t="s">
        <v>213</v>
      </c>
      <c r="D318" t="s">
        <v>870</v>
      </c>
      <c r="E318" t="s">
        <v>141</v>
      </c>
      <c r="F318">
        <v>41.692782000000001</v>
      </c>
      <c r="G318">
        <v>-87.951100999999994</v>
      </c>
      <c r="I318" s="1">
        <v>110018199377</v>
      </c>
      <c r="J318">
        <v>4226</v>
      </c>
      <c r="K318" s="175" t="str">
        <f>INDEX('2022 SIC to NAICS'!B:B, MATCH('Processed Non-zero DMR Data'!$J318, '2022 SIC to NAICS'!$A:$A, 0))</f>
        <v>Special Warehousing and Storage, Nec</v>
      </c>
      <c r="L318" s="175">
        <f>INDEX('2022 SIC to NAICS'!C:C, MATCH('Processed Non-zero DMR Data'!$J318, '2022 SIC to NAICS'!$A:$A, 0))</f>
        <v>493110</v>
      </c>
      <c r="M318" s="175" t="str">
        <f>INDEX('2022 SIC to NAICS'!D:D, MATCH('Processed Non-zero DMR Data'!$J318, '2022 SIC to NAICS'!$A:$A, 0))</f>
        <v xml:space="preserve">General Warehousing and Storage </v>
      </c>
      <c r="N318" s="90" t="str">
        <f>IFERROR(INDEX('NAICS Code to IS CDR Code'!B:B, MATCH('Processed Non-zero DMR Data'!L318,'NAICS Code to IS CDR Code'!A:A,0)), "NAICS/SIC Not Provided")</f>
        <v>IS46</v>
      </c>
      <c r="O318" s="91" t="str">
        <f>IFERROR(INDEX('NAICS Code to IS CDR Code'!C:C, MATCH('Processed Non-zero DMR Data'!L318,'NAICS Code to IS CDR Code'!A:A,0)), "NAICS/SIC Not Provided")</f>
        <v>Wholesale and Retail Trade</v>
      </c>
      <c r="P318" s="91" t="str">
        <f>INDEX('11DCA Mapping'!$K:$K, MATCH('Processed Non-zero DMR Data'!I324,'11DCA Mapping'!$J:$J,0))</f>
        <v>Unknown</v>
      </c>
      <c r="Q318" s="91" t="str">
        <f>INDEX('11DCA Mapping'!$L:$L, MATCH('Processed Non-zero DMR Data'!I324,'11DCA Mapping'!$J:$J,0))</f>
        <v>Unknown how ship building and repairing would fit into any of the OES's</v>
      </c>
      <c r="R318" s="250" t="str">
        <f>VLOOKUP(I318,'DMR POTW Flag'!$A$2:$B$960,2,FALSE)</f>
        <v>NON-POTW</v>
      </c>
      <c r="S318" s="7" t="s">
        <v>61</v>
      </c>
      <c r="T318" s="7" t="s">
        <v>871</v>
      </c>
      <c r="U318" s="8">
        <f>COUNTIFS('Raw Non-zero DMR Data'!$A:$A, 'Processed Non-zero DMR Data'!A318, 'Raw Non-zero DMR Data'!$C:$C, X318, 'Raw Non-zero DMR Data'!$U:$U,'Processed Non-zero DMR Data'!Y318)</f>
        <v>3</v>
      </c>
      <c r="V318" s="8">
        <f>COUNTIFS('Raw Non-zero DMR Data'!$A:$A, 'Processed Non-zero DMR Data'!A318, 'Raw Non-zero DMR Data'!$C:$C, X318, 'Raw Non-zero DMR Data'!$U:$U,'Processed Non-zero DMR Data'!Y318,'Raw Non-zero DMR Data'!$Z:$Z,"Yes")</f>
        <v>3</v>
      </c>
      <c r="W318">
        <v>0.10041605000000001</v>
      </c>
      <c r="X318" t="s">
        <v>872</v>
      </c>
      <c r="Y318" t="s">
        <v>873</v>
      </c>
      <c r="Z318" s="257">
        <v>71200040705</v>
      </c>
    </row>
    <row r="319" spans="1:26" ht="15" customHeight="1" x14ac:dyDescent="0.25">
      <c r="A319">
        <v>2023</v>
      </c>
      <c r="B319" t="s">
        <v>212</v>
      </c>
      <c r="C319" t="s">
        <v>213</v>
      </c>
      <c r="D319" t="s">
        <v>870</v>
      </c>
      <c r="E319" t="s">
        <v>141</v>
      </c>
      <c r="F319">
        <v>41.692782000000001</v>
      </c>
      <c r="G319">
        <v>-87.951100999999994</v>
      </c>
      <c r="I319" s="1">
        <v>110018199377</v>
      </c>
      <c r="J319">
        <v>4226</v>
      </c>
      <c r="K319" s="175" t="str">
        <f>INDEX('2022 SIC to NAICS'!B:B, MATCH('Processed Non-zero DMR Data'!$J319, '2022 SIC to NAICS'!$A:$A, 0))</f>
        <v>Special Warehousing and Storage, Nec</v>
      </c>
      <c r="L319" s="175">
        <f>INDEX('2022 SIC to NAICS'!C:C, MATCH('Processed Non-zero DMR Data'!$J319, '2022 SIC to NAICS'!$A:$A, 0))</f>
        <v>493110</v>
      </c>
      <c r="M319" s="175" t="str">
        <f>INDEX('2022 SIC to NAICS'!D:D, MATCH('Processed Non-zero DMR Data'!$J319, '2022 SIC to NAICS'!$A:$A, 0))</f>
        <v xml:space="preserve">General Warehousing and Storage </v>
      </c>
      <c r="N319" s="90" t="str">
        <f>IFERROR(INDEX('NAICS Code to IS CDR Code'!B:B, MATCH('Processed Non-zero DMR Data'!L319,'NAICS Code to IS CDR Code'!A:A,0)), "NAICS/SIC Not Provided")</f>
        <v>IS46</v>
      </c>
      <c r="O319" s="91" t="str">
        <f>IFERROR(INDEX('NAICS Code to IS CDR Code'!C:C, MATCH('Processed Non-zero DMR Data'!L319,'NAICS Code to IS CDR Code'!A:A,0)), "NAICS/SIC Not Provided")</f>
        <v>Wholesale and Retail Trade</v>
      </c>
      <c r="P319" s="91" t="str">
        <f>INDEX('11DCA Mapping'!$K:$K, MATCH('Processed Non-zero DMR Data'!I325,'11DCA Mapping'!$J:$J,0))</f>
        <v>Fuels and Related Products</v>
      </c>
      <c r="Q319" s="91" t="str">
        <f>INDEX('11DCA Mapping'!$L:$L, MATCH('Processed Non-zero DMR Data'!I325,'11DCA Mapping'!$J:$J,0))</f>
        <v xml:space="preserve">The site is a coal power plant. 1,1 DCA has been known to be released into the environment at coal powered power plants (https://www.atsdr.cdc.gov/toxprofiles/tp133-c6.pdf). The site is using coal to generate electricity. ERG is suggesting fuel use (coal) as the recommended OES.  </v>
      </c>
      <c r="R319" s="250" t="str">
        <f>VLOOKUP(I319,'DMR POTW Flag'!$A$2:$B$960,2,FALSE)</f>
        <v>NON-POTW</v>
      </c>
      <c r="S319" s="7" t="s">
        <v>61</v>
      </c>
      <c r="T319" s="7" t="s">
        <v>871</v>
      </c>
      <c r="U319" s="8">
        <f>COUNTIFS('Raw Non-zero DMR Data'!$A:$A, 'Processed Non-zero DMR Data'!A319, 'Raw Non-zero DMR Data'!$C:$C, X319, 'Raw Non-zero DMR Data'!$U:$U,'Processed Non-zero DMR Data'!Y319)</f>
        <v>3</v>
      </c>
      <c r="V319" s="8">
        <f>COUNTIFS('Raw Non-zero DMR Data'!$A:$A, 'Processed Non-zero DMR Data'!A319, 'Raw Non-zero DMR Data'!$C:$C, X319, 'Raw Non-zero DMR Data'!$U:$U,'Processed Non-zero DMR Data'!Y319,'Raw Non-zero DMR Data'!$Z:$Z,"Yes")</f>
        <v>3</v>
      </c>
      <c r="W319">
        <v>7.9437687500000007E-2</v>
      </c>
      <c r="X319" t="s">
        <v>872</v>
      </c>
      <c r="Y319" t="s">
        <v>873</v>
      </c>
      <c r="Z319" s="257">
        <v>71200040705</v>
      </c>
    </row>
    <row r="320" spans="1:26" ht="15" customHeight="1" x14ac:dyDescent="0.25">
      <c r="A320">
        <v>2023</v>
      </c>
      <c r="B320" t="s">
        <v>212</v>
      </c>
      <c r="C320" t="s">
        <v>213</v>
      </c>
      <c r="D320" t="s">
        <v>870</v>
      </c>
      <c r="E320" t="s">
        <v>141</v>
      </c>
      <c r="F320">
        <v>41.692782000000001</v>
      </c>
      <c r="G320">
        <v>-87.951100999999994</v>
      </c>
      <c r="I320" s="1">
        <v>110018199377</v>
      </c>
      <c r="J320">
        <v>4226</v>
      </c>
      <c r="K320" s="175" t="str">
        <f>INDEX('2022 SIC to NAICS'!B:B, MATCH('Processed Non-zero DMR Data'!$J320, '2022 SIC to NAICS'!$A:$A, 0))</f>
        <v>Special Warehousing and Storage, Nec</v>
      </c>
      <c r="L320" s="175">
        <f>INDEX('2022 SIC to NAICS'!C:C, MATCH('Processed Non-zero DMR Data'!$J320, '2022 SIC to NAICS'!$A:$A, 0))</f>
        <v>493110</v>
      </c>
      <c r="M320" s="175" t="str">
        <f>INDEX('2022 SIC to NAICS'!D:D, MATCH('Processed Non-zero DMR Data'!$J320, '2022 SIC to NAICS'!$A:$A, 0))</f>
        <v xml:space="preserve">General Warehousing and Storage </v>
      </c>
      <c r="N320" s="90" t="str">
        <f>IFERROR(INDEX('NAICS Code to IS CDR Code'!B:B, MATCH('Processed Non-zero DMR Data'!L320,'NAICS Code to IS CDR Code'!A:A,0)), "NAICS/SIC Not Provided")</f>
        <v>IS46</v>
      </c>
      <c r="O320" s="91" t="str">
        <f>IFERROR(INDEX('NAICS Code to IS CDR Code'!C:C, MATCH('Processed Non-zero DMR Data'!L320,'NAICS Code to IS CDR Code'!A:A,0)), "NAICS/SIC Not Provided")</f>
        <v>Wholesale and Retail Trade</v>
      </c>
      <c r="P320" s="91" t="str">
        <f>INDEX('11DCA Mapping'!$K:$K, MATCH('Processed Non-zero DMR Data'!I326,'11DCA Mapping'!$J:$J,0))</f>
        <v>Unknown</v>
      </c>
      <c r="Q320" s="91" t="str">
        <f>INDEX('11DCA Mapping'!$L:$L, MATCH('Processed Non-zero DMR Data'!I326,'11DCA Mapping'!$J:$J,0))</f>
        <v>Unknown - seems like this would be something like "distribution in commerce"</v>
      </c>
      <c r="R320" s="250" t="str">
        <f>VLOOKUP(I320,'DMR POTW Flag'!$A$2:$B$960,2,FALSE)</f>
        <v>NON-POTW</v>
      </c>
      <c r="S320" s="7" t="s">
        <v>61</v>
      </c>
      <c r="T320" s="7" t="s">
        <v>871</v>
      </c>
      <c r="U320" s="8">
        <f>COUNTIFS('Raw Non-zero DMR Data'!$A:$A, 'Processed Non-zero DMR Data'!A320, 'Raw Non-zero DMR Data'!$C:$C, X320, 'Raw Non-zero DMR Data'!$U:$U,'Processed Non-zero DMR Data'!Y320)</f>
        <v>3</v>
      </c>
      <c r="V320" s="8">
        <f>COUNTIFS('Raw Non-zero DMR Data'!$A:$A, 'Processed Non-zero DMR Data'!A320, 'Raw Non-zero DMR Data'!$C:$C, X320, 'Raw Non-zero DMR Data'!$U:$U,'Processed Non-zero DMR Data'!Y320,'Raw Non-zero DMR Data'!$Z:$Z,"Yes")</f>
        <v>3</v>
      </c>
      <c r="W320">
        <v>0.97568783749999999</v>
      </c>
      <c r="X320" t="s">
        <v>872</v>
      </c>
      <c r="Y320" t="s">
        <v>873</v>
      </c>
      <c r="Z320" s="257">
        <v>71200040705</v>
      </c>
    </row>
    <row r="321" spans="1:26" ht="15" customHeight="1" x14ac:dyDescent="0.25">
      <c r="A321">
        <v>2021</v>
      </c>
      <c r="B321" t="s">
        <v>301</v>
      </c>
      <c r="C321" t="s">
        <v>157</v>
      </c>
      <c r="D321" t="s">
        <v>575</v>
      </c>
      <c r="E321" t="s">
        <v>158</v>
      </c>
      <c r="F321">
        <v>36.176639999999999</v>
      </c>
      <c r="G321">
        <v>-115.12891999999999</v>
      </c>
      <c r="I321" s="1">
        <v>110008995490</v>
      </c>
      <c r="J321">
        <v>6513</v>
      </c>
      <c r="K321" s="175" t="str">
        <f>INDEX('2022 SIC to NAICS'!B:B, MATCH('Processed Non-zero DMR Data'!$J321, '2022 SIC to NAICS'!$A:$A, 0))</f>
        <v>Apartment Building Operators</v>
      </c>
      <c r="L321" s="175">
        <f>INDEX('2022 SIC to NAICS'!C:C, MATCH('Processed Non-zero DMR Data'!$J321, '2022 SIC to NAICS'!$A:$A, 0))</f>
        <v>531110</v>
      </c>
      <c r="M321" s="175" t="str">
        <f>INDEX('2022 SIC to NAICS'!D:D, MATCH('Processed Non-zero DMR Data'!$J321, '2022 SIC to NAICS'!$A:$A, 0))</f>
        <v xml:space="preserve">Lessors of Residential Buildings and Dwellings </v>
      </c>
      <c r="N321" s="90" t="str">
        <f>IFERROR(INDEX('NAICS Code to IS CDR Code'!B:B, MATCH('Processed Non-zero DMR Data'!L321,'NAICS Code to IS CDR Code'!A:A,0)), "NAICS/SIC Not Provided")</f>
        <v>IS47</v>
      </c>
      <c r="O321" s="91" t="str">
        <f>IFERROR(INDEX('NAICS Code to IS CDR Code'!C:C, MATCH('Processed Non-zero DMR Data'!L321,'NAICS Code to IS CDR Code'!A:A,0)), "NAICS/SIC Not Provided")</f>
        <v>Services</v>
      </c>
      <c r="P321" s="91" t="str">
        <f>INDEX('11DCA Mapping'!$K:$K, MATCH('Processed Non-zero DMR Data'!I378,'11DCA Mapping'!$J:$J,0))</f>
        <v>Natural Gas Engines</v>
      </c>
      <c r="Q321" s="91" t="str">
        <f>INDEX('11DCA Mapping'!$L:$L, MATCH('Processed Non-zero DMR Data'!I378,'11DCA Mapping'!$J:$J,0))</f>
        <v>Suggested OES, “Natural gas engines.” Based on https://www.powereng.com/library/el-centro-unit-3-combined-cycle-repower-oe &amp; https://www.energy.ca.gov/powerplant/simple-cycle/el-centro-generating-station-unit-3</v>
      </c>
      <c r="R321" s="91" t="str">
        <f>VLOOKUP(I321,'DMR POTW Flag'!$A$2:$B$960,2,FALSE)</f>
        <v>NON-POTW</v>
      </c>
      <c r="S321" s="7" t="s">
        <v>72</v>
      </c>
      <c r="T321" s="244" t="s">
        <v>576</v>
      </c>
      <c r="U321" s="8">
        <f>COUNTIFS('Raw Non-zero DMR Data'!$A:$A, 'Processed Non-zero DMR Data'!A321, 'Raw Non-zero DMR Data'!$C:$C, X321, 'Raw Non-zero DMR Data'!$U:$U,'Processed Non-zero DMR Data'!Y321)</f>
        <v>1</v>
      </c>
      <c r="V321" s="8">
        <f>COUNTIFS('Raw Non-zero DMR Data'!$A:$A, 'Processed Non-zero DMR Data'!A321, 'Raw Non-zero DMR Data'!$C:$C, X321, 'Raw Non-zero DMR Data'!$U:$U,'Processed Non-zero DMR Data'!Y321,'Raw Non-zero DMR Data'!$Z:$Z,"Yes")</f>
        <v>1</v>
      </c>
      <c r="W321">
        <v>5.8714812500000003E-3</v>
      </c>
      <c r="X321" t="s">
        <v>577</v>
      </c>
      <c r="Y321" t="s">
        <v>578</v>
      </c>
      <c r="Z321" s="257">
        <v>150100150604</v>
      </c>
    </row>
    <row r="322" spans="1:26" ht="15" customHeight="1" x14ac:dyDescent="0.25">
      <c r="A322">
        <v>2021</v>
      </c>
      <c r="B322" t="s">
        <v>233</v>
      </c>
      <c r="C322" t="s">
        <v>157</v>
      </c>
      <c r="D322" t="s">
        <v>554</v>
      </c>
      <c r="E322" t="s">
        <v>158</v>
      </c>
      <c r="F322">
        <v>36.075400000000002</v>
      </c>
      <c r="G322">
        <v>-115.1669</v>
      </c>
      <c r="I322" s="1">
        <v>110064134459</v>
      </c>
      <c r="J322">
        <v>4581</v>
      </c>
      <c r="K322" s="175" t="str">
        <f>INDEX('2022 SIC to NAICS'!B:B, MATCH('Processed Non-zero DMR Data'!$J322, '2022 SIC to NAICS'!$A:$A, 0))</f>
        <v>Airports, Flying Fields, and Services</v>
      </c>
      <c r="L322" s="175">
        <f>INDEX('2022 SIC to NAICS'!C:C, MATCH('Processed Non-zero DMR Data'!$J322, '2022 SIC to NAICS'!$A:$A, 0))</f>
        <v>488111</v>
      </c>
      <c r="M322" s="175" t="str">
        <f>INDEX('2022 SIC to NAICS'!D:D, MATCH('Processed Non-zero DMR Data'!$J322, '2022 SIC to NAICS'!$A:$A, 0))</f>
        <v>Air Traffic Control</v>
      </c>
      <c r="N322" s="90" t="str">
        <f>IFERROR(INDEX('NAICS Code to IS CDR Code'!B:B, MATCH('Processed Non-zero DMR Data'!L322,'NAICS Code to IS CDR Code'!A:A,0)), "NAICS/SIC Not Provided")</f>
        <v>IS46</v>
      </c>
      <c r="O322" s="91" t="str">
        <f>IFERROR(INDEX('NAICS Code to IS CDR Code'!C:C, MATCH('Processed Non-zero DMR Data'!L322,'NAICS Code to IS CDR Code'!A:A,0)), "NAICS/SIC Not Provided")</f>
        <v>Wholesale and Retail Trade</v>
      </c>
      <c r="P322" s="91" t="str">
        <f>INDEX('11DCA Mapping'!$K:$K, MATCH('Processed Non-zero DMR Data'!I385,'11DCA Mapping'!$J:$J,0))</f>
        <v>Processing as a Reactant</v>
      </c>
      <c r="Q322" s="91" t="str">
        <f>INDEX('11DCA Mapping'!$L:$L, MATCH('Processed Non-zero DMR Data'!I385,'11DCA Mapping'!$J:$J,0))</f>
        <v>Assumed processing as a reactant based on SIC description</v>
      </c>
      <c r="R322" s="91" t="str">
        <f>VLOOKUP(I322,'DMR POTW Flag'!$A$2:$B$960,2,FALSE)</f>
        <v>NON-POTW</v>
      </c>
      <c r="S322" s="7" t="s">
        <v>72</v>
      </c>
      <c r="T322" s="244" t="s">
        <v>579</v>
      </c>
      <c r="U322" s="8">
        <f>COUNTIFS('Raw Non-zero DMR Data'!$A:$A, 'Processed Non-zero DMR Data'!A322, 'Raw Non-zero DMR Data'!$C:$C, X322, 'Raw Non-zero DMR Data'!$U:$U,'Processed Non-zero DMR Data'!Y322)</f>
        <v>2</v>
      </c>
      <c r="V322" s="8">
        <f>COUNTIFS('Raw Non-zero DMR Data'!$A:$A, 'Processed Non-zero DMR Data'!A322, 'Raw Non-zero DMR Data'!$C:$C, X322, 'Raw Non-zero DMR Data'!$U:$U,'Processed Non-zero DMR Data'!Y322,'Raw Non-zero DMR Data'!$Z:$Z,"Yes")</f>
        <v>2</v>
      </c>
      <c r="W322">
        <v>3.8610785000000002E-3</v>
      </c>
      <c r="X322" t="s">
        <v>580</v>
      </c>
      <c r="Y322" t="s">
        <v>581</v>
      </c>
      <c r="Z322" s="257">
        <v>150100150704</v>
      </c>
    </row>
    <row r="323" spans="1:26" ht="15" customHeight="1" x14ac:dyDescent="0.25">
      <c r="A323">
        <v>2021</v>
      </c>
      <c r="B323" t="s">
        <v>483</v>
      </c>
      <c r="C323" t="s">
        <v>484</v>
      </c>
      <c r="D323" t="s">
        <v>757</v>
      </c>
      <c r="E323" t="s">
        <v>485</v>
      </c>
      <c r="F323">
        <v>36.716268999999997</v>
      </c>
      <c r="G323">
        <v>-108.255737</v>
      </c>
      <c r="I323" s="1">
        <v>110064631457</v>
      </c>
      <c r="J323">
        <v>4952</v>
      </c>
      <c r="K323" s="175" t="str">
        <f>INDEX('2022 SIC to NAICS'!B:B, MATCH('Processed Non-zero DMR Data'!$J323, '2022 SIC to NAICS'!$A:$A, 0))</f>
        <v>Sewerage Systems</v>
      </c>
      <c r="L323" s="175">
        <f>INDEX('2022 SIC to NAICS'!C:C, MATCH('Processed Non-zero DMR Data'!$J323, '2022 SIC to NAICS'!$A:$A, 0))</f>
        <v>221320</v>
      </c>
      <c r="M323" s="175" t="str">
        <f>INDEX('2022 SIC to NAICS'!D:D, MATCH('Processed Non-zero DMR Data'!$J323, '2022 SIC to NAICS'!$A:$A, 0))</f>
        <v xml:space="preserve">Sewage Treatment Facilities </v>
      </c>
      <c r="N323" s="90" t="str">
        <f>IFERROR(INDEX('NAICS Code to IS CDR Code'!B:B, MATCH('Processed Non-zero DMR Data'!L323,'NAICS Code to IS CDR Code'!A:A,0)), "NAICS/SIC Not Provided")</f>
        <v>IS4</v>
      </c>
      <c r="O323" s="91" t="str">
        <f>IFERROR(INDEX('NAICS Code to IS CDR Code'!C:C, MATCH('Processed Non-zero DMR Data'!L323,'NAICS Code to IS CDR Code'!A:A,0)), "NAICS/SIC Not Provided")</f>
        <v>Utilities</v>
      </c>
      <c r="P323" s="91" t="str">
        <f>INDEX('11DCA Mapping'!$K:$K, MATCH('Processed Non-zero DMR Data'!I419,'11DCA Mapping'!$J:$J,0))</f>
        <v>Processing as a Reactant</v>
      </c>
      <c r="Q323" s="91" t="str">
        <f>INDEX('11DCA Mapping'!$L:$L, MATCH('Processed Non-zero DMR Data'!I419,'11DCA Mapping'!$J:$J,0))</f>
        <v>Assumed processing as an intermediate based on SIC code</v>
      </c>
      <c r="R323" s="91" t="str">
        <f>VLOOKUP(I323,'DMR POTW Flag'!$A$2:$B$960,2,FALSE)</f>
        <v>POTW</v>
      </c>
      <c r="S323" s="7" t="s">
        <v>72</v>
      </c>
      <c r="T323" s="244" t="s">
        <v>559</v>
      </c>
      <c r="U323" s="8">
        <f>COUNTIFS('Raw Non-zero DMR Data'!$A:$A, 'Processed Non-zero DMR Data'!A323, 'Raw Non-zero DMR Data'!$C:$C, X323, 'Raw Non-zero DMR Data'!$U:$U,'Processed Non-zero DMR Data'!Y323)</f>
        <v>1</v>
      </c>
      <c r="V323" s="8">
        <f>COUNTIFS('Raw Non-zero DMR Data'!$A:$A, 'Processed Non-zero DMR Data'!A323, 'Raw Non-zero DMR Data'!$C:$C, X323, 'Raw Non-zero DMR Data'!$U:$U,'Processed Non-zero DMR Data'!Y323,'Raw Non-zero DMR Data'!$Z:$Z,"Yes")</f>
        <v>0</v>
      </c>
      <c r="W323">
        <v>0.1114304</v>
      </c>
      <c r="X323" t="s">
        <v>874</v>
      </c>
      <c r="Y323" t="s">
        <v>875</v>
      </c>
      <c r="Z323" s="257">
        <v>140801050505</v>
      </c>
    </row>
    <row r="324" spans="1:26" ht="15" customHeight="1" x14ac:dyDescent="0.25">
      <c r="A324">
        <v>2021</v>
      </c>
      <c r="B324" t="s">
        <v>184</v>
      </c>
      <c r="C324" t="s">
        <v>185</v>
      </c>
      <c r="D324" t="s">
        <v>185</v>
      </c>
      <c r="E324" t="s">
        <v>186</v>
      </c>
      <c r="F324">
        <v>21.352499999999999</v>
      </c>
      <c r="G324">
        <v>-157.95813899999999</v>
      </c>
      <c r="I324" s="1">
        <v>110046184516</v>
      </c>
      <c r="J324">
        <v>3731</v>
      </c>
      <c r="K324" s="175" t="str">
        <f>INDEX('2022 SIC to NAICS'!B:B, MATCH('Processed Non-zero DMR Data'!$J324, '2022 SIC to NAICS'!$A:$A, 0))</f>
        <v>Shipbuilding and Repairing</v>
      </c>
      <c r="L324" s="175">
        <f>INDEX('2022 SIC to NAICS'!C:C, MATCH('Processed Non-zero DMR Data'!$J324, '2022 SIC to NAICS'!$A:$A, 0))</f>
        <v>336611</v>
      </c>
      <c r="M324" s="175" t="str">
        <f>INDEX('2022 SIC to NAICS'!D:D, MATCH('Processed Non-zero DMR Data'!$J324, '2022 SIC to NAICS'!$A:$A, 0))</f>
        <v xml:space="preserve">Ship Building and Repairing </v>
      </c>
      <c r="N324" s="90" t="str">
        <f>IFERROR(INDEX('NAICS Code to IS CDR Code'!B:B, MATCH('Processed Non-zero DMR Data'!L324,'NAICS Code to IS CDR Code'!A:A,0)), "NAICS/SIC Not Provided")</f>
        <v>IS43</v>
      </c>
      <c r="O324" s="91" t="str">
        <f>IFERROR(INDEX('NAICS Code to IS CDR Code'!C:C, MATCH('Processed Non-zero DMR Data'!L324,'NAICS Code to IS CDR Code'!A:A,0)), "NAICS/SIC Not Provided")</f>
        <v>Transportation Equipment Manufacturing</v>
      </c>
      <c r="P324" s="91" t="str">
        <f>INDEX('11DCA Mapping'!$K:$K, MATCH('Processed Non-zero DMR Data'!I460,'11DCA Mapping'!$J:$J,0))</f>
        <v>Natural Gas Engines</v>
      </c>
      <c r="Q324" s="91" t="str">
        <f>INDEX('11DCA Mapping'!$L:$L, MATCH('Processed Non-zero DMR Data'!I460,'11DCA Mapping'!$J:$J,0))</f>
        <v xml:space="preserve">The facility is a petroleum processes/refinery. 1,1 DCA detection may be originating from natural gas (if used) combusted at the site. </v>
      </c>
      <c r="R324" s="91" t="str">
        <f>VLOOKUP(I324,'DMR POTW Flag'!$A$2:$B$960,2,FALSE)</f>
        <v>FEDERAL</v>
      </c>
      <c r="S324" s="7" t="s">
        <v>72</v>
      </c>
      <c r="T324" s="244" t="s">
        <v>656</v>
      </c>
      <c r="U324" s="8">
        <f>COUNTIFS('Raw Non-zero DMR Data'!$A:$A, 'Processed Non-zero DMR Data'!A324, 'Raw Non-zero DMR Data'!$C:$C, X324, 'Raw Non-zero DMR Data'!$U:$U,'Processed Non-zero DMR Data'!Y324)</f>
        <v>1</v>
      </c>
      <c r="V324" s="8">
        <f>COUNTIFS('Raw Non-zero DMR Data'!$A:$A, 'Processed Non-zero DMR Data'!A324, 'Raw Non-zero DMR Data'!$C:$C, X324, 'Raw Non-zero DMR Data'!$U:$U,'Processed Non-zero DMR Data'!Y324,'Raw Non-zero DMR Data'!$Z:$Z,"Yes")</f>
        <v>1</v>
      </c>
      <c r="W324">
        <v>1.0430513749999999</v>
      </c>
      <c r="X324" t="s">
        <v>657</v>
      </c>
      <c r="Y324" t="s">
        <v>658</v>
      </c>
      <c r="Z324" s="257">
        <v>200600000401</v>
      </c>
    </row>
    <row r="325" spans="1:26" ht="15" customHeight="1" x14ac:dyDescent="0.25">
      <c r="A325">
        <v>2021</v>
      </c>
      <c r="B325" t="s">
        <v>231</v>
      </c>
      <c r="C325" t="s">
        <v>232</v>
      </c>
      <c r="D325" t="s">
        <v>659</v>
      </c>
      <c r="E325" t="s">
        <v>141</v>
      </c>
      <c r="F325">
        <v>38.2774</v>
      </c>
      <c r="G325">
        <v>-89.666899999999998</v>
      </c>
      <c r="I325" s="1">
        <v>110044852068</v>
      </c>
      <c r="J325">
        <v>4911</v>
      </c>
      <c r="K325" s="175" t="str">
        <f>INDEX('2022 SIC to NAICS'!B:B, MATCH('Processed Non-zero DMR Data'!$J325, '2022 SIC to NAICS'!$A:$A, 0))</f>
        <v>Electric Services</v>
      </c>
      <c r="L325" s="175">
        <f>INDEX('2022 SIC to NAICS'!C:C, MATCH('Processed Non-zero DMR Data'!$J325, '2022 SIC to NAICS'!$A:$A, 0))</f>
        <v>221111</v>
      </c>
      <c r="M325" s="175" t="str">
        <f>INDEX('2022 SIC to NAICS'!D:D, MATCH('Processed Non-zero DMR Data'!$J325, '2022 SIC to NAICS'!$A:$A, 0))</f>
        <v xml:space="preserve">Hydroelectric Power Generation </v>
      </c>
      <c r="N325" s="90" t="str">
        <f>IFERROR(INDEX('NAICS Code to IS CDR Code'!B:B, MATCH('Processed Non-zero DMR Data'!L325,'NAICS Code to IS CDR Code'!A:A,0)), "NAICS/SIC Not Provided")</f>
        <v>NAICS/SIC Not Provided</v>
      </c>
      <c r="O325" s="91" t="str">
        <f>IFERROR(INDEX('NAICS Code to IS CDR Code'!C:C, MATCH('Processed Non-zero DMR Data'!L325,'NAICS Code to IS CDR Code'!A:A,0)), "NAICS/SIC Not Provided")</f>
        <v>NAICS/SIC Not Provided</v>
      </c>
      <c r="P325" s="91" t="str">
        <f>INDEX('11DCA Mapping'!$K:$K, MATCH('Processed Non-zero DMR Data'!I474,'11DCA Mapping'!$J:$J,0))</f>
        <v>POTW</v>
      </c>
      <c r="Q325" s="91" t="str">
        <f>INDEX('11DCA Mapping'!$L:$L, MATCH('Processed Non-zero DMR Data'!I474,'11DCA Mapping'!$J:$J,0))</f>
        <v>Assigned POTW per "Facility Type Indicator"</v>
      </c>
      <c r="R325" s="91" t="str">
        <f>VLOOKUP(I325,'DMR POTW Flag'!$A$2:$B$960,2,FALSE)</f>
        <v>NON-POTW</v>
      </c>
      <c r="S325" s="7" t="s">
        <v>72</v>
      </c>
      <c r="T325" s="244" t="s">
        <v>660</v>
      </c>
      <c r="U325" s="8">
        <f>COUNTIFS('Raw Non-zero DMR Data'!$A:$A, 'Processed Non-zero DMR Data'!A325, 'Raw Non-zero DMR Data'!$C:$C, X325, 'Raw Non-zero DMR Data'!$U:$U,'Processed Non-zero DMR Data'!Y325)</f>
        <v>1</v>
      </c>
      <c r="V325" s="8">
        <f>COUNTIFS('Raw Non-zero DMR Data'!$A:$A, 'Processed Non-zero DMR Data'!A325, 'Raw Non-zero DMR Data'!$C:$C, X325, 'Raw Non-zero DMR Data'!$U:$U,'Processed Non-zero DMR Data'!Y325,'Raw Non-zero DMR Data'!$Z:$Z,"Yes")</f>
        <v>1</v>
      </c>
      <c r="W325">
        <v>1.3066463450000001</v>
      </c>
      <c r="X325" t="s">
        <v>661</v>
      </c>
      <c r="Y325" t="s">
        <v>662</v>
      </c>
      <c r="Z325" s="257">
        <v>71402040302</v>
      </c>
    </row>
    <row r="326" spans="1:26" ht="15" customHeight="1" x14ac:dyDescent="0.25">
      <c r="A326">
        <v>2021</v>
      </c>
      <c r="B326" t="s">
        <v>339</v>
      </c>
      <c r="C326" t="s">
        <v>202</v>
      </c>
      <c r="D326" t="s">
        <v>663</v>
      </c>
      <c r="E326" t="s">
        <v>106</v>
      </c>
      <c r="F326">
        <v>30.233011999999999</v>
      </c>
      <c r="G326">
        <v>-91.022057000000004</v>
      </c>
      <c r="I326" s="1">
        <v>110000911309</v>
      </c>
      <c r="J326">
        <v>4789</v>
      </c>
      <c r="K326" s="175" t="str">
        <f>INDEX('2022 SIC to NAICS'!B:B, MATCH('Processed Non-zero DMR Data'!$J326, '2022 SIC to NAICS'!$A:$A, 0))</f>
        <v>Transportation Services, Nec</v>
      </c>
      <c r="L326" s="175">
        <f>INDEX('2022 SIC to NAICS'!C:C, MATCH('Processed Non-zero DMR Data'!$J326, '2022 SIC to NAICS'!$A:$A, 0))</f>
        <v>487110</v>
      </c>
      <c r="M326" s="175" t="str">
        <f>INDEX('2022 SIC to NAICS'!D:D, MATCH('Processed Non-zero DMR Data'!$J326, '2022 SIC to NAICS'!$A:$A, 0))</f>
        <v>Scenic and Sightseeing Transportation, Land</v>
      </c>
      <c r="N326" s="90" t="str">
        <f>IFERROR(INDEX('NAICS Code to IS CDR Code'!B:B, MATCH('Processed Non-zero DMR Data'!L326,'NAICS Code to IS CDR Code'!A:A,0)), "NAICS/SIC Not Provided")</f>
        <v>IS46</v>
      </c>
      <c r="O326" s="91" t="str">
        <f>IFERROR(INDEX('NAICS Code to IS CDR Code'!C:C, MATCH('Processed Non-zero DMR Data'!L326,'NAICS Code to IS CDR Code'!A:A,0)), "NAICS/SIC Not Provided")</f>
        <v>Wholesale and Retail Trade</v>
      </c>
      <c r="P326" s="91" t="e">
        <f>INDEX('11DCA Mapping'!$K:$K, MATCH('Processed Non-zero DMR Data'!I478,'11DCA Mapping'!$J:$J,0))</f>
        <v>#N/A</v>
      </c>
      <c r="Q326" s="91" t="e">
        <f>INDEX('11DCA Mapping'!$L:$L, MATCH('Processed Non-zero DMR Data'!I478,'11DCA Mapping'!$J:$J,0))</f>
        <v>#N/A</v>
      </c>
      <c r="R326" s="91" t="str">
        <f>VLOOKUP(I326,'DMR POTW Flag'!$A$2:$B$960,2,FALSE)</f>
        <v>NON-POTW</v>
      </c>
      <c r="S326" s="7" t="s">
        <v>72</v>
      </c>
      <c r="T326" s="244" t="s">
        <v>664</v>
      </c>
      <c r="U326" s="8">
        <f>COUNTIFS('Raw Non-zero DMR Data'!$A:$A, 'Processed Non-zero DMR Data'!A326, 'Raw Non-zero DMR Data'!$C:$C, X326, 'Raw Non-zero DMR Data'!$U:$U,'Processed Non-zero DMR Data'!Y326)</f>
        <v>1</v>
      </c>
      <c r="V326" s="8">
        <f>COUNTIFS('Raw Non-zero DMR Data'!$A:$A, 'Processed Non-zero DMR Data'!A326, 'Raw Non-zero DMR Data'!$C:$C, X326, 'Raw Non-zero DMR Data'!$U:$U,'Processed Non-zero DMR Data'!Y326,'Raw Non-zero DMR Data'!$Z:$Z,"Yes")</f>
        <v>1</v>
      </c>
      <c r="W326">
        <v>3.45241547164E-3</v>
      </c>
      <c r="X326" t="s">
        <v>665</v>
      </c>
      <c r="Y326" t="s">
        <v>666</v>
      </c>
      <c r="Z326" s="257">
        <v>80702040103</v>
      </c>
    </row>
    <row r="327" spans="1:26" ht="15" customHeight="1" x14ac:dyDescent="0.25">
      <c r="A327">
        <v>2023</v>
      </c>
      <c r="B327" t="s">
        <v>515</v>
      </c>
      <c r="C327" t="s">
        <v>313</v>
      </c>
      <c r="D327" t="s">
        <v>638</v>
      </c>
      <c r="E327" t="s">
        <v>114</v>
      </c>
      <c r="F327">
        <v>29.706247999999999</v>
      </c>
      <c r="G327">
        <v>-95.251079000000004</v>
      </c>
      <c r="I327" s="1">
        <v>110000461107</v>
      </c>
      <c r="J327">
        <v>2869</v>
      </c>
      <c r="K327" s="175" t="str">
        <f>INDEX('2022 SIC to NAICS'!B:B, MATCH('Processed Non-zero DMR Data'!$J327, '2022 SIC to NAICS'!$A:$A, 0))</f>
        <v>Industrial Organic Chemicals, Nec</v>
      </c>
      <c r="L327" s="175">
        <f>INDEX('2022 SIC to NAICS'!C:C, MATCH('Processed Non-zero DMR Data'!$J327, '2022 SIC to NAICS'!$A:$A, 0))</f>
        <v>325110</v>
      </c>
      <c r="M327" s="175" t="str">
        <f>INDEX('2022 SIC to NAICS'!D:D, MATCH('Processed Non-zero DMR Data'!$J327, '2022 SIC to NAICS'!$A:$A, 0))</f>
        <v>Petrochemical Manufacturing</v>
      </c>
      <c r="N327" s="90" t="str">
        <f>IFERROR(INDEX('NAICS Code to IS CDR Code'!B:B, MATCH('Processed Non-zero DMR Data'!L327,'NAICS Code to IS CDR Code'!A:A,0)), "NAICS/SIC Not Provided")</f>
        <v>IS15</v>
      </c>
      <c r="O327" s="91" t="str">
        <f>IFERROR(INDEX('NAICS Code to IS CDR Code'!C:C, MATCH('Processed Non-zero DMR Data'!L327,'NAICS Code to IS CDR Code'!A:A,0)), "NAICS/SIC Not Provided")</f>
        <v>Petrochemical Manufacturing</v>
      </c>
      <c r="P327" s="91" t="str">
        <f>INDEX('11DCA Mapping'!$K:$K, MATCH('Processed Non-zero DMR Data'!I333,'11DCA Mapping'!$J:$J,0))</f>
        <v>Processing as a Reactant</v>
      </c>
      <c r="Q327" s="91" t="str">
        <f>INDEX('11DCA Mapping'!$L:$L, MATCH('Processed Non-zero DMR Data'!I333,'11DCA Mapping'!$J:$J,0))</f>
        <v>Used mapping of other site with similar SIC description (Industrial Organic Chemicals)</v>
      </c>
      <c r="R327" s="250" t="str">
        <f>VLOOKUP(I327,'DMR POTW Flag'!$A$2:$B$960,2,FALSE)</f>
        <v>NON-POTW</v>
      </c>
      <c r="S327" s="7" t="s">
        <v>62</v>
      </c>
      <c r="T327" s="7" t="s">
        <v>876</v>
      </c>
      <c r="U327" s="8">
        <f>COUNTIFS('Raw Non-zero DMR Data'!$A:$A, 'Processed Non-zero DMR Data'!A327, 'Raw Non-zero DMR Data'!$C:$C, X327, 'Raw Non-zero DMR Data'!$U:$U,'Processed Non-zero DMR Data'!Y327)</f>
        <v>1</v>
      </c>
      <c r="V327" s="8">
        <f>COUNTIFS('Raw Non-zero DMR Data'!$A:$A, 'Processed Non-zero DMR Data'!A327, 'Raw Non-zero DMR Data'!$C:$C, X327, 'Raw Non-zero DMR Data'!$U:$U,'Processed Non-zero DMR Data'!Y327,'Raw Non-zero DMR Data'!$Z:$Z,"Yes")</f>
        <v>1</v>
      </c>
      <c r="W327">
        <v>5.7998500000000001E-2</v>
      </c>
      <c r="X327" t="s">
        <v>877</v>
      </c>
      <c r="Y327" t="s">
        <v>744</v>
      </c>
      <c r="Z327" s="257">
        <v>120401040502</v>
      </c>
    </row>
    <row r="328" spans="1:26" ht="15" customHeight="1" x14ac:dyDescent="0.25">
      <c r="A328">
        <v>2020</v>
      </c>
      <c r="B328" t="s">
        <v>373</v>
      </c>
      <c r="C328" t="s">
        <v>374</v>
      </c>
      <c r="D328" t="s">
        <v>878</v>
      </c>
      <c r="E328" t="s">
        <v>138</v>
      </c>
      <c r="F328">
        <v>37.700833000000003</v>
      </c>
      <c r="G328">
        <v>-83.984443999999996</v>
      </c>
      <c r="I328" s="1">
        <v>110006749162</v>
      </c>
      <c r="J328">
        <v>8711</v>
      </c>
      <c r="K328" s="175" t="str">
        <f>INDEX('2022 SIC to NAICS'!B:B, MATCH('Processed Non-zero DMR Data'!$J328, '2022 SIC to NAICS'!$A:$A, 0))</f>
        <v>Engineering Services</v>
      </c>
      <c r="L328" s="175">
        <f>INDEX('2022 SIC to NAICS'!C:C, MATCH('Processed Non-zero DMR Data'!$J328, '2022 SIC to NAICS'!$A:$A, 0))</f>
        <v>541330</v>
      </c>
      <c r="M328" s="175" t="str">
        <f>INDEX('2022 SIC to NAICS'!D:D, MATCH('Processed Non-zero DMR Data'!$J328, '2022 SIC to NAICS'!$A:$A, 0))</f>
        <v>Engineering Services</v>
      </c>
      <c r="N328" s="90" t="str">
        <f>IFERROR(INDEX('NAICS Code to IS CDR Code'!B:B, MATCH('Processed Non-zero DMR Data'!L328,'NAICS Code to IS CDR Code'!A:A,0)), "NAICS/SIC Not Provided")</f>
        <v>IS47</v>
      </c>
      <c r="O328" s="91" t="str">
        <f>IFERROR(INDEX('NAICS Code to IS CDR Code'!C:C, MATCH('Processed Non-zero DMR Data'!L328,'NAICS Code to IS CDR Code'!A:A,0)), "NAICS/SIC Not Provided")</f>
        <v>Services</v>
      </c>
      <c r="P328" s="91" t="str">
        <f>INDEX('11DCA Mapping'!$K:$K, MATCH('Processed Non-zero DMR Data'!I334,'11DCA Mapping'!$J:$J,0))</f>
        <v>Processing as a Reactant</v>
      </c>
      <c r="Q328" s="91" t="str">
        <f>INDEX('11DCA Mapping'!$L:$L, MATCH('Processed Non-zero DMR Data'!I334,'11DCA Mapping'!$J:$J,0))</f>
        <v>Used mapping of other site with similar SIC description (Industrial Organic Chemicals)</v>
      </c>
      <c r="R328" s="250" t="str">
        <f>VLOOKUP(I328,'DMR POTW Flag'!$A$2:$B$960,2,FALSE)</f>
        <v>POTW</v>
      </c>
      <c r="S328" s="7" t="s">
        <v>67</v>
      </c>
      <c r="T328" s="249" t="s">
        <v>586</v>
      </c>
      <c r="U328" s="8">
        <f>COUNTIFS('Raw Non-zero DMR Data'!$A:$A, 'Processed Non-zero DMR Data'!A328, 'Raw Non-zero DMR Data'!$C:$C, X328, 'Raw Non-zero DMR Data'!$U:$U,'Processed Non-zero DMR Data'!Y328)</f>
        <v>1</v>
      </c>
      <c r="V328" s="8">
        <f>COUNTIFS('Raw Non-zero DMR Data'!$A:$A, 'Processed Non-zero DMR Data'!A328, 'Raw Non-zero DMR Data'!$C:$C, X328, 'Raw Non-zero DMR Data'!$U:$U,'Processed Non-zero DMR Data'!Y328,'Raw Non-zero DMR Data'!$Z:$Z,"Yes")</f>
        <v>1</v>
      </c>
      <c r="W328">
        <v>0.63481073750000006</v>
      </c>
      <c r="X328" t="s">
        <v>879</v>
      </c>
      <c r="Y328" t="s">
        <v>880</v>
      </c>
      <c r="Z328" s="257">
        <v>51002040505</v>
      </c>
    </row>
    <row r="329" spans="1:26" ht="15" customHeight="1" x14ac:dyDescent="0.25">
      <c r="A329">
        <v>2021</v>
      </c>
      <c r="B329" t="s">
        <v>373</v>
      </c>
      <c r="C329" t="s">
        <v>374</v>
      </c>
      <c r="D329" t="s">
        <v>878</v>
      </c>
      <c r="E329" t="s">
        <v>138</v>
      </c>
      <c r="F329">
        <v>37.700833000000003</v>
      </c>
      <c r="G329">
        <v>-83.984443999999996</v>
      </c>
      <c r="I329" s="1">
        <v>110006749162</v>
      </c>
      <c r="J329">
        <v>8711</v>
      </c>
      <c r="K329" s="175" t="str">
        <f>INDEX('2022 SIC to NAICS'!B:B, MATCH('Processed Non-zero DMR Data'!$J329, '2022 SIC to NAICS'!$A:$A, 0))</f>
        <v>Engineering Services</v>
      </c>
      <c r="L329" s="175">
        <f>INDEX('2022 SIC to NAICS'!C:C, MATCH('Processed Non-zero DMR Data'!$J329, '2022 SIC to NAICS'!$A:$A, 0))</f>
        <v>541330</v>
      </c>
      <c r="M329" s="175" t="str">
        <f>INDEX('2022 SIC to NAICS'!D:D, MATCH('Processed Non-zero DMR Data'!$J329, '2022 SIC to NAICS'!$A:$A, 0))</f>
        <v>Engineering Services</v>
      </c>
      <c r="N329" s="90" t="str">
        <f>IFERROR(INDEX('NAICS Code to IS CDR Code'!B:B, MATCH('Processed Non-zero DMR Data'!L329,'NAICS Code to IS CDR Code'!A:A,0)), "NAICS/SIC Not Provided")</f>
        <v>IS47</v>
      </c>
      <c r="O329" s="91" t="str">
        <f>IFERROR(INDEX('NAICS Code to IS CDR Code'!C:C, MATCH('Processed Non-zero DMR Data'!L329,'NAICS Code to IS CDR Code'!A:A,0)), "NAICS/SIC Not Provided")</f>
        <v>Services</v>
      </c>
      <c r="P329" s="91" t="e">
        <f>INDEX('11DCA Mapping'!$K:$K, MATCH('Processed Non-zero DMR Data'!I335,'11DCA Mapping'!$J:$J,0))</f>
        <v>#N/A</v>
      </c>
      <c r="Q329" s="91" t="e">
        <f>INDEX('11DCA Mapping'!$L:$L, MATCH('Processed Non-zero DMR Data'!I335,'11DCA Mapping'!$J:$J,0))</f>
        <v>#N/A</v>
      </c>
      <c r="R329" s="250" t="str">
        <f>VLOOKUP(I329,'DMR POTW Flag'!$A$2:$B$960,2,FALSE)</f>
        <v>POTW</v>
      </c>
      <c r="S329" s="7" t="s">
        <v>67</v>
      </c>
      <c r="T329" s="249" t="s">
        <v>586</v>
      </c>
      <c r="U329" s="8">
        <f>COUNTIFS('Raw Non-zero DMR Data'!$A:$A, 'Processed Non-zero DMR Data'!A329, 'Raw Non-zero DMR Data'!$C:$C, X329, 'Raw Non-zero DMR Data'!$U:$U,'Processed Non-zero DMR Data'!Y329)</f>
        <v>1</v>
      </c>
      <c r="V329" s="8">
        <f>COUNTIFS('Raw Non-zero DMR Data'!$A:$A, 'Processed Non-zero DMR Data'!A329, 'Raw Non-zero DMR Data'!$C:$C, X329, 'Raw Non-zero DMR Data'!$U:$U,'Processed Non-zero DMR Data'!Y329,'Raw Non-zero DMR Data'!$Z:$Z,"Yes")</f>
        <v>1</v>
      </c>
      <c r="W329">
        <v>0.58231278750000004</v>
      </c>
      <c r="X329" t="s">
        <v>879</v>
      </c>
      <c r="Y329" t="s">
        <v>880</v>
      </c>
      <c r="Z329" s="257">
        <v>51002040505</v>
      </c>
    </row>
    <row r="330" spans="1:26" ht="15" customHeight="1" x14ac:dyDescent="0.25">
      <c r="A330">
        <v>2019</v>
      </c>
      <c r="B330" t="s">
        <v>275</v>
      </c>
      <c r="C330" t="s">
        <v>276</v>
      </c>
      <c r="D330" t="s">
        <v>620</v>
      </c>
      <c r="E330" t="s">
        <v>138</v>
      </c>
      <c r="F330">
        <v>37.047736999999998</v>
      </c>
      <c r="G330">
        <v>-88.35866</v>
      </c>
      <c r="I330" s="1">
        <v>110000741608</v>
      </c>
      <c r="J330">
        <v>2869</v>
      </c>
      <c r="K330" s="175" t="str">
        <f>INDEX('2022 SIC to NAICS'!B:B, MATCH('Processed Non-zero DMR Data'!$J330, '2022 SIC to NAICS'!$A:$A, 0))</f>
        <v>Industrial Organic Chemicals, Nec</v>
      </c>
      <c r="L330" s="175">
        <f>INDEX('2022 SIC to NAICS'!C:C, MATCH('Processed Non-zero DMR Data'!$J330, '2022 SIC to NAICS'!$A:$A, 0))</f>
        <v>325110</v>
      </c>
      <c r="M330" s="175" t="str">
        <f>INDEX('2022 SIC to NAICS'!D:D, MATCH('Processed Non-zero DMR Data'!$J330, '2022 SIC to NAICS'!$A:$A, 0))</f>
        <v>Petrochemical Manufacturing</v>
      </c>
      <c r="N330" s="90" t="str">
        <f>IFERROR(INDEX('NAICS Code to IS CDR Code'!B:B, MATCH('Processed Non-zero DMR Data'!L330,'NAICS Code to IS CDR Code'!A:A,0)), "NAICS/SIC Not Provided")</f>
        <v>IS15</v>
      </c>
      <c r="O330" s="91" t="str">
        <f>IFERROR(INDEX('NAICS Code to IS CDR Code'!C:C, MATCH('Processed Non-zero DMR Data'!L330,'NAICS Code to IS CDR Code'!A:A,0)), "NAICS/SIC Not Provided")</f>
        <v>Petrochemical Manufacturing</v>
      </c>
      <c r="P330" s="91" t="str">
        <f>INDEX('11DCA Mapping'!$K:$K, MATCH('Processed Non-zero DMR Data'!I336,'11DCA Mapping'!$J:$J,0))</f>
        <v>POTW</v>
      </c>
      <c r="Q330" s="91" t="str">
        <f>INDEX('11DCA Mapping'!$L:$L, MATCH('Processed Non-zero DMR Data'!I336,'11DCA Mapping'!$J:$J,0))</f>
        <v>Assigned POTW per "Facility Type Indicator"</v>
      </c>
      <c r="R330" s="250" t="str">
        <f>VLOOKUP(I330,'DMR POTW Flag'!$A$2:$B$960,2,FALSE)</f>
        <v>NON-POTW</v>
      </c>
      <c r="S330" s="7" t="s">
        <v>62</v>
      </c>
      <c r="T330" s="7" t="s">
        <v>601</v>
      </c>
      <c r="U330" s="8">
        <f>COUNTIFS('Raw Non-zero DMR Data'!$A:$A, 'Processed Non-zero DMR Data'!A330, 'Raw Non-zero DMR Data'!$C:$C, X330, 'Raw Non-zero DMR Data'!$U:$U,'Processed Non-zero DMR Data'!Y330)</f>
        <v>1</v>
      </c>
      <c r="V330" s="8">
        <f>COUNTIFS('Raw Non-zero DMR Data'!$A:$A, 'Processed Non-zero DMR Data'!A330, 'Raw Non-zero DMR Data'!$C:$C, X330, 'Raw Non-zero DMR Data'!$U:$U,'Processed Non-zero DMR Data'!Y330,'Raw Non-zero DMR Data'!$Z:$Z,"Yes")</f>
        <v>1</v>
      </c>
      <c r="W330">
        <v>4.3084600000000002</v>
      </c>
      <c r="X330" t="s">
        <v>881</v>
      </c>
      <c r="Y330" t="s">
        <v>882</v>
      </c>
      <c r="Z330" s="257">
        <v>60400060503</v>
      </c>
    </row>
    <row r="331" spans="1:26" ht="15" customHeight="1" x14ac:dyDescent="0.25">
      <c r="A331">
        <v>2020</v>
      </c>
      <c r="B331" t="s">
        <v>275</v>
      </c>
      <c r="C331" t="s">
        <v>276</v>
      </c>
      <c r="D331" t="s">
        <v>620</v>
      </c>
      <c r="E331" t="s">
        <v>138</v>
      </c>
      <c r="F331">
        <v>37.047736999999998</v>
      </c>
      <c r="G331">
        <v>-88.35866</v>
      </c>
      <c r="I331" s="1">
        <v>110000741608</v>
      </c>
      <c r="J331">
        <v>2869</v>
      </c>
      <c r="K331" s="175" t="str">
        <f>INDEX('2022 SIC to NAICS'!B:B, MATCH('Processed Non-zero DMR Data'!$J331, '2022 SIC to NAICS'!$A:$A, 0))</f>
        <v>Industrial Organic Chemicals, Nec</v>
      </c>
      <c r="L331" s="175">
        <f>INDEX('2022 SIC to NAICS'!C:C, MATCH('Processed Non-zero DMR Data'!$J331, '2022 SIC to NAICS'!$A:$A, 0))</f>
        <v>325110</v>
      </c>
      <c r="M331" s="175" t="str">
        <f>INDEX('2022 SIC to NAICS'!D:D, MATCH('Processed Non-zero DMR Data'!$J331, '2022 SIC to NAICS'!$A:$A, 0))</f>
        <v>Petrochemical Manufacturing</v>
      </c>
      <c r="N331" s="90" t="str">
        <f>IFERROR(INDEX('NAICS Code to IS CDR Code'!B:B, MATCH('Processed Non-zero DMR Data'!L331,'NAICS Code to IS CDR Code'!A:A,0)), "NAICS/SIC Not Provided")</f>
        <v>IS15</v>
      </c>
      <c r="O331" s="91" t="str">
        <f>IFERROR(INDEX('NAICS Code to IS CDR Code'!C:C, MATCH('Processed Non-zero DMR Data'!L331,'NAICS Code to IS CDR Code'!A:A,0)), "NAICS/SIC Not Provided")</f>
        <v>Petrochemical Manufacturing</v>
      </c>
      <c r="P331" s="91" t="str">
        <f>INDEX('11DCA Mapping'!$K:$K, MATCH('Processed Non-zero DMR Data'!I337,'11DCA Mapping'!$J:$J,0))</f>
        <v>POTW</v>
      </c>
      <c r="Q331" s="91" t="str">
        <f>INDEX('11DCA Mapping'!$L:$L, MATCH('Processed Non-zero DMR Data'!I337,'11DCA Mapping'!$J:$J,0))</f>
        <v>Assigned POTW per "Facility Type Indicator"</v>
      </c>
      <c r="R331" s="250" t="str">
        <f>VLOOKUP(I331,'DMR POTW Flag'!$A$2:$B$960,2,FALSE)</f>
        <v>NON-POTW</v>
      </c>
      <c r="S331" s="7" t="s">
        <v>62</v>
      </c>
      <c r="T331" s="7" t="s">
        <v>601</v>
      </c>
      <c r="U331" s="8">
        <f>COUNTIFS('Raw Non-zero DMR Data'!$A:$A, 'Processed Non-zero DMR Data'!A331, 'Raw Non-zero DMR Data'!$C:$C, X331, 'Raw Non-zero DMR Data'!$U:$U,'Processed Non-zero DMR Data'!Y331)</f>
        <v>1</v>
      </c>
      <c r="V331" s="8">
        <f>COUNTIFS('Raw Non-zero DMR Data'!$A:$A, 'Processed Non-zero DMR Data'!A331, 'Raw Non-zero DMR Data'!$C:$C, X331, 'Raw Non-zero DMR Data'!$U:$U,'Processed Non-zero DMR Data'!Y331,'Raw Non-zero DMR Data'!$Z:$Z,"Yes")</f>
        <v>1</v>
      </c>
      <c r="W331">
        <v>5.3027199999999999</v>
      </c>
      <c r="X331" t="s">
        <v>881</v>
      </c>
      <c r="Y331" t="s">
        <v>882</v>
      </c>
      <c r="Z331" s="257">
        <v>60400060503</v>
      </c>
    </row>
    <row r="332" spans="1:26" ht="15" customHeight="1" x14ac:dyDescent="0.25">
      <c r="A332">
        <v>2021</v>
      </c>
      <c r="B332" t="s">
        <v>275</v>
      </c>
      <c r="C332" t="s">
        <v>276</v>
      </c>
      <c r="D332" t="s">
        <v>620</v>
      </c>
      <c r="E332" t="s">
        <v>138</v>
      </c>
      <c r="F332">
        <v>37.047736999999998</v>
      </c>
      <c r="G332">
        <v>-88.35866</v>
      </c>
      <c r="I332" s="1">
        <v>110000741608</v>
      </c>
      <c r="J332">
        <v>2869</v>
      </c>
      <c r="K332" s="175" t="str">
        <f>INDEX('2022 SIC to NAICS'!B:B, MATCH('Processed Non-zero DMR Data'!$J332, '2022 SIC to NAICS'!$A:$A, 0))</f>
        <v>Industrial Organic Chemicals, Nec</v>
      </c>
      <c r="L332" s="175">
        <f>INDEX('2022 SIC to NAICS'!C:C, MATCH('Processed Non-zero DMR Data'!$J332, '2022 SIC to NAICS'!$A:$A, 0))</f>
        <v>325110</v>
      </c>
      <c r="M332" s="175" t="str">
        <f>INDEX('2022 SIC to NAICS'!D:D, MATCH('Processed Non-zero DMR Data'!$J332, '2022 SIC to NAICS'!$A:$A, 0))</f>
        <v>Petrochemical Manufacturing</v>
      </c>
      <c r="N332" s="90" t="str">
        <f>IFERROR(INDEX('NAICS Code to IS CDR Code'!B:B, MATCH('Processed Non-zero DMR Data'!L332,'NAICS Code to IS CDR Code'!A:A,0)), "NAICS/SIC Not Provided")</f>
        <v>IS15</v>
      </c>
      <c r="O332" s="91" t="str">
        <f>IFERROR(INDEX('NAICS Code to IS CDR Code'!C:C, MATCH('Processed Non-zero DMR Data'!L332,'NAICS Code to IS CDR Code'!A:A,0)), "NAICS/SIC Not Provided")</f>
        <v>Petrochemical Manufacturing</v>
      </c>
      <c r="P332" s="91" t="str">
        <f>INDEX('11DCA Mapping'!$K:$K, MATCH('Processed Non-zero DMR Data'!I338,'11DCA Mapping'!$J:$J,0))</f>
        <v>Unknown</v>
      </c>
      <c r="Q332" s="91" t="str">
        <f>INDEX('11DCA Mapping'!$L:$L, MATCH('Processed Non-zero DMR Data'!I338,'11DCA Mapping'!$J:$J,0))</f>
        <v>Unknown how 1,1-DCA is used in hotels and motels</v>
      </c>
      <c r="R332" s="250" t="str">
        <f>VLOOKUP(I332,'DMR POTW Flag'!$A$2:$B$960,2,FALSE)</f>
        <v>NON-POTW</v>
      </c>
      <c r="S332" s="7" t="s">
        <v>62</v>
      </c>
      <c r="T332" s="7" t="s">
        <v>601</v>
      </c>
      <c r="U332" s="8">
        <f>COUNTIFS('Raw Non-zero DMR Data'!$A:$A, 'Processed Non-zero DMR Data'!A332, 'Raw Non-zero DMR Data'!$C:$C, X332, 'Raw Non-zero DMR Data'!$U:$U,'Processed Non-zero DMR Data'!Y332)</f>
        <v>1</v>
      </c>
      <c r="V332" s="8">
        <f>COUNTIFS('Raw Non-zero DMR Data'!$A:$A, 'Processed Non-zero DMR Data'!A332, 'Raw Non-zero DMR Data'!$C:$C, X332, 'Raw Non-zero DMR Data'!$U:$U,'Processed Non-zero DMR Data'!Y332,'Raw Non-zero DMR Data'!$Z:$Z,"Yes")</f>
        <v>1</v>
      </c>
      <c r="W332">
        <v>8.2026450000000004</v>
      </c>
      <c r="X332" t="s">
        <v>881</v>
      </c>
      <c r="Y332" t="s">
        <v>882</v>
      </c>
      <c r="Z332" s="257">
        <v>60400060503</v>
      </c>
    </row>
    <row r="333" spans="1:26" ht="15" customHeight="1" x14ac:dyDescent="0.25">
      <c r="A333">
        <v>2022</v>
      </c>
      <c r="B333" t="s">
        <v>275</v>
      </c>
      <c r="C333" t="s">
        <v>276</v>
      </c>
      <c r="D333" t="s">
        <v>620</v>
      </c>
      <c r="E333" t="s">
        <v>138</v>
      </c>
      <c r="F333">
        <v>37.047736999999998</v>
      </c>
      <c r="G333">
        <v>-88.35866</v>
      </c>
      <c r="I333" s="1">
        <v>110000741608</v>
      </c>
      <c r="J333">
        <v>2869</v>
      </c>
      <c r="K333" s="175" t="str">
        <f>INDEX('2022 SIC to NAICS'!B:B, MATCH('Processed Non-zero DMR Data'!$J333, '2022 SIC to NAICS'!$A:$A, 0))</f>
        <v>Industrial Organic Chemicals, Nec</v>
      </c>
      <c r="L333" s="175">
        <f>INDEX('2022 SIC to NAICS'!C:C, MATCH('Processed Non-zero DMR Data'!$J333, '2022 SIC to NAICS'!$A:$A, 0))</f>
        <v>325110</v>
      </c>
      <c r="M333" s="175" t="str">
        <f>INDEX('2022 SIC to NAICS'!D:D, MATCH('Processed Non-zero DMR Data'!$J333, '2022 SIC to NAICS'!$A:$A, 0))</f>
        <v>Petrochemical Manufacturing</v>
      </c>
      <c r="N333" s="90" t="str">
        <f>IFERROR(INDEX('NAICS Code to IS CDR Code'!B:B, MATCH('Processed Non-zero DMR Data'!L333,'NAICS Code to IS CDR Code'!A:A,0)), "NAICS/SIC Not Provided")</f>
        <v>IS15</v>
      </c>
      <c r="O333" s="91" t="str">
        <f>IFERROR(INDEX('NAICS Code to IS CDR Code'!C:C, MATCH('Processed Non-zero DMR Data'!L333,'NAICS Code to IS CDR Code'!A:A,0)), "NAICS/SIC Not Provided")</f>
        <v>Petrochemical Manufacturing</v>
      </c>
      <c r="P333" s="91" t="str">
        <f>INDEX('11DCA Mapping'!$K:$K, MATCH('Processed Non-zero DMR Data'!I339,'11DCA Mapping'!$J:$J,0))</f>
        <v>Processing as a Reactant</v>
      </c>
      <c r="Q333" s="91" t="str">
        <f>INDEX('11DCA Mapping'!$L:$L, MATCH('Processed Non-zero DMR Data'!I339,'11DCA Mapping'!$J:$J,0))</f>
        <v>Based on SIC code</v>
      </c>
      <c r="R333" s="250" t="str">
        <f>VLOOKUP(I333,'DMR POTW Flag'!$A$2:$B$960,2,FALSE)</f>
        <v>NON-POTW</v>
      </c>
      <c r="S333" s="7" t="s">
        <v>62</v>
      </c>
      <c r="T333" s="7" t="s">
        <v>601</v>
      </c>
      <c r="U333" s="8">
        <f>COUNTIFS('Raw Non-zero DMR Data'!$A:$A, 'Processed Non-zero DMR Data'!A333, 'Raw Non-zero DMR Data'!$C:$C, X333, 'Raw Non-zero DMR Data'!$U:$U,'Processed Non-zero DMR Data'!Y333)</f>
        <v>1</v>
      </c>
      <c r="V333" s="8">
        <f>COUNTIFS('Raw Non-zero DMR Data'!$A:$A, 'Processed Non-zero DMR Data'!A333, 'Raw Non-zero DMR Data'!$C:$C, X333, 'Raw Non-zero DMR Data'!$U:$U,'Processed Non-zero DMR Data'!Y333,'Raw Non-zero DMR Data'!$Z:$Z,"Yes")</f>
        <v>1</v>
      </c>
      <c r="W333">
        <v>1.2428250000000001</v>
      </c>
      <c r="X333" t="s">
        <v>881</v>
      </c>
      <c r="Y333" t="s">
        <v>882</v>
      </c>
      <c r="Z333" s="257">
        <v>60400060503</v>
      </c>
    </row>
    <row r="334" spans="1:26" ht="15" customHeight="1" x14ac:dyDescent="0.25">
      <c r="A334">
        <v>2023</v>
      </c>
      <c r="B334" t="s">
        <v>275</v>
      </c>
      <c r="C334" t="s">
        <v>276</v>
      </c>
      <c r="D334" t="s">
        <v>620</v>
      </c>
      <c r="E334" t="s">
        <v>138</v>
      </c>
      <c r="F334">
        <v>37.047736999999998</v>
      </c>
      <c r="G334">
        <v>-88.35866</v>
      </c>
      <c r="I334" s="1">
        <v>110000741608</v>
      </c>
      <c r="J334">
        <v>2869</v>
      </c>
      <c r="K334" s="175" t="str">
        <f>INDEX('2022 SIC to NAICS'!B:B, MATCH('Processed Non-zero DMR Data'!$J334, '2022 SIC to NAICS'!$A:$A, 0))</f>
        <v>Industrial Organic Chemicals, Nec</v>
      </c>
      <c r="L334" s="175">
        <f>INDEX('2022 SIC to NAICS'!C:C, MATCH('Processed Non-zero DMR Data'!$J334, '2022 SIC to NAICS'!$A:$A, 0))</f>
        <v>325110</v>
      </c>
      <c r="M334" s="175" t="str">
        <f>INDEX('2022 SIC to NAICS'!D:D, MATCH('Processed Non-zero DMR Data'!$J334, '2022 SIC to NAICS'!$A:$A, 0))</f>
        <v>Petrochemical Manufacturing</v>
      </c>
      <c r="N334" s="90" t="str">
        <f>IFERROR(INDEX('NAICS Code to IS CDR Code'!B:B, MATCH('Processed Non-zero DMR Data'!L334,'NAICS Code to IS CDR Code'!A:A,0)), "NAICS/SIC Not Provided")</f>
        <v>IS15</v>
      </c>
      <c r="O334" s="91" t="str">
        <f>IFERROR(INDEX('NAICS Code to IS CDR Code'!C:C, MATCH('Processed Non-zero DMR Data'!L334,'NAICS Code to IS CDR Code'!A:A,0)), "NAICS/SIC Not Provided")</f>
        <v>Petrochemical Manufacturing</v>
      </c>
      <c r="P334" s="91" t="str">
        <f>INDEX('11DCA Mapping'!$K:$K, MATCH('Processed Non-zero DMR Data'!I340,'11DCA Mapping'!$J:$J,0))</f>
        <v>Processing as a Reactant</v>
      </c>
      <c r="Q334" s="91" t="str">
        <f>INDEX('11DCA Mapping'!$L:$L, MATCH('Processed Non-zero DMR Data'!I340,'11DCA Mapping'!$J:$J,0))</f>
        <v>Based on SIC code</v>
      </c>
      <c r="R334" s="250" t="str">
        <f>VLOOKUP(I334,'DMR POTW Flag'!$A$2:$B$960,2,FALSE)</f>
        <v>NON-POTW</v>
      </c>
      <c r="S334" s="7" t="s">
        <v>62</v>
      </c>
      <c r="T334" s="7" t="s">
        <v>601</v>
      </c>
      <c r="U334" s="8">
        <f>COUNTIFS('Raw Non-zero DMR Data'!$A:$A, 'Processed Non-zero DMR Data'!A334, 'Raw Non-zero DMR Data'!$C:$C, X334, 'Raw Non-zero DMR Data'!$U:$U,'Processed Non-zero DMR Data'!Y334)</f>
        <v>1</v>
      </c>
      <c r="V334" s="8">
        <f>COUNTIFS('Raw Non-zero DMR Data'!$A:$A, 'Processed Non-zero DMR Data'!A334, 'Raw Non-zero DMR Data'!$C:$C, X334, 'Raw Non-zero DMR Data'!$U:$U,'Processed Non-zero DMR Data'!Y334,'Raw Non-zero DMR Data'!$Z:$Z,"Yes")</f>
        <v>1</v>
      </c>
      <c r="W334">
        <v>0.49713000000000002</v>
      </c>
      <c r="X334" t="s">
        <v>881</v>
      </c>
      <c r="Y334" t="s">
        <v>882</v>
      </c>
      <c r="Z334" s="257">
        <v>60400060503</v>
      </c>
    </row>
    <row r="335" spans="1:26" ht="15" customHeight="1" x14ac:dyDescent="0.25">
      <c r="A335">
        <v>2021</v>
      </c>
      <c r="B335" t="s">
        <v>453</v>
      </c>
      <c r="C335" t="s">
        <v>454</v>
      </c>
      <c r="D335" t="s">
        <v>839</v>
      </c>
      <c r="E335" t="s">
        <v>146</v>
      </c>
      <c r="F335">
        <v>38.333300000000001</v>
      </c>
      <c r="G335">
        <v>-120.7833</v>
      </c>
      <c r="I335" s="1">
        <v>110011373637</v>
      </c>
      <c r="J335">
        <v>4952</v>
      </c>
      <c r="K335" s="175" t="str">
        <f>INDEX('2022 SIC to NAICS'!B:B, MATCH('Processed Non-zero DMR Data'!$J335, '2022 SIC to NAICS'!$A:$A, 0))</f>
        <v>Sewerage Systems</v>
      </c>
      <c r="L335" s="175">
        <f>INDEX('2022 SIC to NAICS'!C:C, MATCH('Processed Non-zero DMR Data'!$J335, '2022 SIC to NAICS'!$A:$A, 0))</f>
        <v>221320</v>
      </c>
      <c r="M335" s="175" t="str">
        <f>INDEX('2022 SIC to NAICS'!D:D, MATCH('Processed Non-zero DMR Data'!$J335, '2022 SIC to NAICS'!$A:$A, 0))</f>
        <v xml:space="preserve">Sewage Treatment Facilities </v>
      </c>
      <c r="N335" s="90" t="str">
        <f>IFERROR(INDEX('NAICS Code to IS CDR Code'!B:B, MATCH('Processed Non-zero DMR Data'!L335,'NAICS Code to IS CDR Code'!A:A,0)), "NAICS/SIC Not Provided")</f>
        <v>IS4</v>
      </c>
      <c r="O335" s="91" t="str">
        <f>IFERROR(INDEX('NAICS Code to IS CDR Code'!C:C, MATCH('Processed Non-zero DMR Data'!L335,'NAICS Code to IS CDR Code'!A:A,0)), "NAICS/SIC Not Provided")</f>
        <v>Utilities</v>
      </c>
      <c r="P335" s="91" t="str">
        <f>INDEX('11DCA Mapping'!$K:$K, MATCH('Processed Non-zero DMR Data'!I341,'11DCA Mapping'!$J:$J,0))</f>
        <v>Processing as a Reactant</v>
      </c>
      <c r="Q335" s="91" t="str">
        <f>INDEX('11DCA Mapping'!$L:$L, MATCH('Processed Non-zero DMR Data'!I341,'11DCA Mapping'!$J:$J,0))</f>
        <v>Based on SIC code</v>
      </c>
      <c r="R335" s="250" t="str">
        <f>VLOOKUP(I335,'DMR POTW Flag'!$A$2:$B$960,2,FALSE)</f>
        <v>POTW</v>
      </c>
      <c r="S335" s="7" t="s">
        <v>67</v>
      </c>
      <c r="T335" s="249" t="s">
        <v>586</v>
      </c>
      <c r="U335" s="8">
        <f>COUNTIFS('Raw Non-zero DMR Data'!$A:$A, 'Processed Non-zero DMR Data'!A335, 'Raw Non-zero DMR Data'!$C:$C, X335, 'Raw Non-zero DMR Data'!$U:$U,'Processed Non-zero DMR Data'!Y335)</f>
        <v>1</v>
      </c>
      <c r="V335" s="8">
        <f>COUNTIFS('Raw Non-zero DMR Data'!$A:$A, 'Processed Non-zero DMR Data'!A335, 'Raw Non-zero DMR Data'!$C:$C, X335, 'Raw Non-zero DMR Data'!$U:$U,'Processed Non-zero DMR Data'!Y335,'Raw Non-zero DMR Data'!$Z:$Z,"Yes")</f>
        <v>1</v>
      </c>
      <c r="W335">
        <v>0.13427665999999999</v>
      </c>
      <c r="X335" t="s">
        <v>883</v>
      </c>
      <c r="Y335" t="s">
        <v>884</v>
      </c>
      <c r="Z335" s="257">
        <v>180400120702</v>
      </c>
    </row>
    <row r="336" spans="1:26" ht="15" customHeight="1" x14ac:dyDescent="0.25">
      <c r="A336">
        <v>2020</v>
      </c>
      <c r="B336" t="s">
        <v>435</v>
      </c>
      <c r="C336" t="s">
        <v>436</v>
      </c>
      <c r="D336" t="s">
        <v>885</v>
      </c>
      <c r="E336" t="s">
        <v>138</v>
      </c>
      <c r="F336">
        <v>37.780760000000001</v>
      </c>
      <c r="G336">
        <v>-85.510740999999996</v>
      </c>
      <c r="I336" s="1">
        <v>110009933402</v>
      </c>
      <c r="J336">
        <v>4952</v>
      </c>
      <c r="K336" s="175" t="str">
        <f>INDEX('2022 SIC to NAICS'!B:B, MATCH('Processed Non-zero DMR Data'!$J336, '2022 SIC to NAICS'!$A:$A, 0))</f>
        <v>Sewerage Systems</v>
      </c>
      <c r="L336" s="175">
        <f>INDEX('2022 SIC to NAICS'!C:C, MATCH('Processed Non-zero DMR Data'!$J336, '2022 SIC to NAICS'!$A:$A, 0))</f>
        <v>221320</v>
      </c>
      <c r="M336" s="175" t="str">
        <f>INDEX('2022 SIC to NAICS'!D:D, MATCH('Processed Non-zero DMR Data'!$J336, '2022 SIC to NAICS'!$A:$A, 0))</f>
        <v xml:space="preserve">Sewage Treatment Facilities </v>
      </c>
      <c r="N336" s="90" t="str">
        <f>IFERROR(INDEX('NAICS Code to IS CDR Code'!B:B, MATCH('Processed Non-zero DMR Data'!L336,'NAICS Code to IS CDR Code'!A:A,0)), "NAICS/SIC Not Provided")</f>
        <v>IS4</v>
      </c>
      <c r="O336" s="91" t="str">
        <f>IFERROR(INDEX('NAICS Code to IS CDR Code'!C:C, MATCH('Processed Non-zero DMR Data'!L336,'NAICS Code to IS CDR Code'!A:A,0)), "NAICS/SIC Not Provided")</f>
        <v>Utilities</v>
      </c>
      <c r="P336" s="91" t="str">
        <f>INDEX('11DCA Mapping'!$K:$K, MATCH('Processed Non-zero DMR Data'!I342,'11DCA Mapping'!$J:$J,0))</f>
        <v>Processing as a Reactant</v>
      </c>
      <c r="Q336" s="91" t="str">
        <f>INDEX('11DCA Mapping'!$L:$L, MATCH('Processed Non-zero DMR Data'!I342,'11DCA Mapping'!$J:$J,0))</f>
        <v>Based on SIC code</v>
      </c>
      <c r="R336" s="250" t="str">
        <f>VLOOKUP(I336,'DMR POTW Flag'!$A$2:$B$960,2,FALSE)</f>
        <v>POTW</v>
      </c>
      <c r="S336" s="7" t="s">
        <v>67</v>
      </c>
      <c r="T336" s="249" t="s">
        <v>586</v>
      </c>
      <c r="U336" s="8">
        <f>COUNTIFS('Raw Non-zero DMR Data'!$A:$A, 'Processed Non-zero DMR Data'!A336, 'Raw Non-zero DMR Data'!$C:$C, X336, 'Raw Non-zero DMR Data'!$U:$U,'Processed Non-zero DMR Data'!Y336)</f>
        <v>1</v>
      </c>
      <c r="V336" s="8">
        <f>COUNTIFS('Raw Non-zero DMR Data'!$A:$A, 'Processed Non-zero DMR Data'!A336, 'Raw Non-zero DMR Data'!$C:$C, X336, 'Raw Non-zero DMR Data'!$U:$U,'Processed Non-zero DMR Data'!Y336,'Raw Non-zero DMR Data'!$Z:$Z,"Yes")</f>
        <v>1</v>
      </c>
      <c r="W336">
        <v>1.2212681000000001</v>
      </c>
      <c r="X336" t="s">
        <v>886</v>
      </c>
      <c r="Y336" t="s">
        <v>887</v>
      </c>
      <c r="Z336" s="257">
        <v>51401030306</v>
      </c>
    </row>
    <row r="337" spans="1:26" ht="15" customHeight="1" x14ac:dyDescent="0.25">
      <c r="A337">
        <v>2021</v>
      </c>
      <c r="B337" t="s">
        <v>435</v>
      </c>
      <c r="C337" t="s">
        <v>436</v>
      </c>
      <c r="D337" t="s">
        <v>885</v>
      </c>
      <c r="E337" t="s">
        <v>138</v>
      </c>
      <c r="F337">
        <v>37.780760000000001</v>
      </c>
      <c r="G337">
        <v>-85.510740999999996</v>
      </c>
      <c r="I337" s="1">
        <v>110009933402</v>
      </c>
      <c r="J337">
        <v>4952</v>
      </c>
      <c r="K337" s="175" t="str">
        <f>INDEX('2022 SIC to NAICS'!B:B, MATCH('Processed Non-zero DMR Data'!$J337, '2022 SIC to NAICS'!$A:$A, 0))</f>
        <v>Sewerage Systems</v>
      </c>
      <c r="L337" s="175">
        <f>INDEX('2022 SIC to NAICS'!C:C, MATCH('Processed Non-zero DMR Data'!$J337, '2022 SIC to NAICS'!$A:$A, 0))</f>
        <v>221320</v>
      </c>
      <c r="M337" s="175" t="str">
        <f>INDEX('2022 SIC to NAICS'!D:D, MATCH('Processed Non-zero DMR Data'!$J337, '2022 SIC to NAICS'!$A:$A, 0))</f>
        <v xml:space="preserve">Sewage Treatment Facilities </v>
      </c>
      <c r="N337" s="90" t="str">
        <f>IFERROR(INDEX('NAICS Code to IS CDR Code'!B:B, MATCH('Processed Non-zero DMR Data'!L337,'NAICS Code to IS CDR Code'!A:A,0)), "NAICS/SIC Not Provided")</f>
        <v>IS4</v>
      </c>
      <c r="O337" s="91" t="str">
        <f>IFERROR(INDEX('NAICS Code to IS CDR Code'!C:C, MATCH('Processed Non-zero DMR Data'!L337,'NAICS Code to IS CDR Code'!A:A,0)), "NAICS/SIC Not Provided")</f>
        <v>Utilities</v>
      </c>
      <c r="P337" s="91" t="str">
        <f>INDEX('11DCA Mapping'!$K:$K, MATCH('Processed Non-zero DMR Data'!I343,'11DCA Mapping'!$J:$J,0))</f>
        <v>POTW</v>
      </c>
      <c r="Q337" s="91" t="str">
        <f>INDEX('11DCA Mapping'!$L:$L, MATCH('Processed Non-zero DMR Data'!I343,'11DCA Mapping'!$J:$J,0))</f>
        <v>SIC and NAICS description indicate POTW</v>
      </c>
      <c r="R337" s="250" t="str">
        <f>VLOOKUP(I337,'DMR POTW Flag'!$A$2:$B$960,2,FALSE)</f>
        <v>POTW</v>
      </c>
      <c r="S337" s="7" t="s">
        <v>67</v>
      </c>
      <c r="T337" s="249" t="s">
        <v>586</v>
      </c>
      <c r="U337" s="8">
        <f>COUNTIFS('Raw Non-zero DMR Data'!$A:$A, 'Processed Non-zero DMR Data'!A337, 'Raw Non-zero DMR Data'!$C:$C, X337, 'Raw Non-zero DMR Data'!$U:$U,'Processed Non-zero DMR Data'!Y337)</f>
        <v>1</v>
      </c>
      <c r="V337" s="8">
        <f>COUNTIFS('Raw Non-zero DMR Data'!$A:$A, 'Processed Non-zero DMR Data'!A337, 'Raw Non-zero DMR Data'!$C:$C, X337, 'Raw Non-zero DMR Data'!$U:$U,'Processed Non-zero DMR Data'!Y337,'Raw Non-zero DMR Data'!$Z:$Z,"Yes")</f>
        <v>1</v>
      </c>
      <c r="W337">
        <v>1.6219103500000001</v>
      </c>
      <c r="X337" t="s">
        <v>886</v>
      </c>
      <c r="Y337" t="s">
        <v>887</v>
      </c>
      <c r="Z337" s="257">
        <v>51401030306</v>
      </c>
    </row>
    <row r="338" spans="1:26" ht="15" customHeight="1" x14ac:dyDescent="0.25">
      <c r="A338">
        <v>2021</v>
      </c>
      <c r="B338" t="s">
        <v>171</v>
      </c>
      <c r="C338" t="s">
        <v>157</v>
      </c>
      <c r="D338" t="s">
        <v>554</v>
      </c>
      <c r="E338" t="s">
        <v>158</v>
      </c>
      <c r="F338">
        <v>36.132570000000001</v>
      </c>
      <c r="G338">
        <v>-115.16477</v>
      </c>
      <c r="I338" s="1">
        <v>110041253256</v>
      </c>
      <c r="J338">
        <v>7011</v>
      </c>
      <c r="K338" s="175" t="str">
        <f>INDEX('2022 SIC to NAICS'!B:B, MATCH('Processed Non-zero DMR Data'!$J338, '2022 SIC to NAICS'!$A:$A, 0))</f>
        <v>Hotels and Motels</v>
      </c>
      <c r="L338" s="175">
        <f>INDEX('2022 SIC to NAICS'!C:C, MATCH('Processed Non-zero DMR Data'!$J338, '2022 SIC to NAICS'!$A:$A, 0))</f>
        <v>721110</v>
      </c>
      <c r="M338" s="175" t="str">
        <f>INDEX('2022 SIC to NAICS'!D:D, MATCH('Processed Non-zero DMR Data'!$J338, '2022 SIC to NAICS'!$A:$A, 0))</f>
        <v xml:space="preserve">Hotels (except Casino Hotels) and Motels </v>
      </c>
      <c r="N338" s="90" t="str">
        <f>IFERROR(INDEX('NAICS Code to IS CDR Code'!B:B, MATCH('Processed Non-zero DMR Data'!L338,'NAICS Code to IS CDR Code'!A:A,0)), "NAICS/SIC Not Provided")</f>
        <v>IS47</v>
      </c>
      <c r="O338" s="91" t="str">
        <f>IFERROR(INDEX('NAICS Code to IS CDR Code'!C:C, MATCH('Processed Non-zero DMR Data'!L338,'NAICS Code to IS CDR Code'!A:A,0)), "NAICS/SIC Not Provided")</f>
        <v>Services</v>
      </c>
      <c r="P338" s="91" t="str">
        <f>INDEX('11DCA Mapping'!$K:$K, MATCH('Processed Non-zero DMR Data'!I485,'11DCA Mapping'!$J:$J,0))</f>
        <v>POTW</v>
      </c>
      <c r="Q338" s="91" t="str">
        <f>INDEX('11DCA Mapping'!$L:$L, MATCH('Processed Non-zero DMR Data'!I485,'11DCA Mapping'!$J:$J,0))</f>
        <v>Based on DMR "Facility Type Indicator"</v>
      </c>
      <c r="R338" s="91" t="str">
        <f>VLOOKUP(I338,'DMR POTW Flag'!$A$2:$B$960,2,FALSE)</f>
        <v>NON-POTW</v>
      </c>
      <c r="S338" s="7" t="s">
        <v>72</v>
      </c>
      <c r="T338" s="244" t="s">
        <v>667</v>
      </c>
      <c r="U338" s="8">
        <f>COUNTIFS('Raw Non-zero DMR Data'!$A:$A, 'Processed Non-zero DMR Data'!A338, 'Raw Non-zero DMR Data'!$C:$C, X338, 'Raw Non-zero DMR Data'!$U:$U,'Processed Non-zero DMR Data'!Y338)</f>
        <v>1</v>
      </c>
      <c r="V338" s="8">
        <f>COUNTIFS('Raw Non-zero DMR Data'!$A:$A, 'Processed Non-zero DMR Data'!A338, 'Raw Non-zero DMR Data'!$C:$C, X338, 'Raw Non-zero DMR Data'!$U:$U,'Processed Non-zero DMR Data'!Y338,'Raw Non-zero DMR Data'!$Z:$Z,"Yes")</f>
        <v>1</v>
      </c>
      <c r="W338">
        <v>0.10361437499999999</v>
      </c>
      <c r="X338" t="s">
        <v>668</v>
      </c>
      <c r="Y338" t="s">
        <v>578</v>
      </c>
      <c r="Z338" s="257">
        <v>150100150604</v>
      </c>
    </row>
    <row r="339" spans="1:26" ht="15" customHeight="1" x14ac:dyDescent="0.25">
      <c r="A339">
        <v>2020</v>
      </c>
      <c r="B339" t="s">
        <v>377</v>
      </c>
      <c r="C339" t="s">
        <v>378</v>
      </c>
      <c r="D339" t="s">
        <v>888</v>
      </c>
      <c r="E339" t="s">
        <v>114</v>
      </c>
      <c r="F339">
        <v>29.458400000000001</v>
      </c>
      <c r="G339">
        <v>-95.330399999999997</v>
      </c>
      <c r="I339" s="1">
        <v>110000599479</v>
      </c>
      <c r="J339">
        <v>2869</v>
      </c>
      <c r="K339" s="175" t="str">
        <f>INDEX('2022 SIC to NAICS'!B:B, MATCH('Processed Non-zero DMR Data'!$J339, '2022 SIC to NAICS'!$A:$A, 0))</f>
        <v>Industrial Organic Chemicals, Nec</v>
      </c>
      <c r="L339" s="175">
        <f>INDEX('2022 SIC to NAICS'!C:C, MATCH('Processed Non-zero DMR Data'!$J339, '2022 SIC to NAICS'!$A:$A, 0))</f>
        <v>325110</v>
      </c>
      <c r="M339" s="175" t="str">
        <f>INDEX('2022 SIC to NAICS'!D:D, MATCH('Processed Non-zero DMR Data'!$J339, '2022 SIC to NAICS'!$A:$A, 0))</f>
        <v>Petrochemical Manufacturing</v>
      </c>
      <c r="N339" s="90" t="str">
        <f>IFERROR(INDEX('NAICS Code to IS CDR Code'!B:B, MATCH('Processed Non-zero DMR Data'!L339,'NAICS Code to IS CDR Code'!A:A,0)), "NAICS/SIC Not Provided")</f>
        <v>IS15</v>
      </c>
      <c r="O339" s="91" t="str">
        <f>IFERROR(INDEX('NAICS Code to IS CDR Code'!C:C, MATCH('Processed Non-zero DMR Data'!L339,'NAICS Code to IS CDR Code'!A:A,0)), "NAICS/SIC Not Provided")</f>
        <v>Petrochemical Manufacturing</v>
      </c>
      <c r="P339" s="91" t="e">
        <f>INDEX('11DCA Mapping'!$K:$K, MATCH('Processed Non-zero DMR Data'!I345,'11DCA Mapping'!$J:$J,0))</f>
        <v>#N/A</v>
      </c>
      <c r="Q339" s="91" t="e">
        <f>INDEX('11DCA Mapping'!$L:$L, MATCH('Processed Non-zero DMR Data'!I345,'11DCA Mapping'!$J:$J,0))</f>
        <v>#N/A</v>
      </c>
      <c r="R339" s="250" t="str">
        <f>VLOOKUP(I339,'DMR POTW Flag'!$A$2:$B$960,2,FALSE)</f>
        <v>NON-POTW</v>
      </c>
      <c r="S339" s="7" t="s">
        <v>62</v>
      </c>
      <c r="T339" s="7" t="s">
        <v>601</v>
      </c>
      <c r="U339" s="8">
        <f>COUNTIFS('Raw Non-zero DMR Data'!$A:$A, 'Processed Non-zero DMR Data'!A339, 'Raw Non-zero DMR Data'!$C:$C, X339, 'Raw Non-zero DMR Data'!$U:$U,'Processed Non-zero DMR Data'!Y339)</f>
        <v>1</v>
      </c>
      <c r="V339" s="8">
        <f>COUNTIFS('Raw Non-zero DMR Data'!$A:$A, 'Processed Non-zero DMR Data'!A339, 'Raw Non-zero DMR Data'!$C:$C, X339, 'Raw Non-zero DMR Data'!$U:$U,'Processed Non-zero DMR Data'!Y339,'Raw Non-zero DMR Data'!$Z:$Z,"Yes")</f>
        <v>0</v>
      </c>
      <c r="W339">
        <v>1.4913900000000001E-2</v>
      </c>
      <c r="X339" t="s">
        <v>889</v>
      </c>
      <c r="Y339" t="s">
        <v>890</v>
      </c>
      <c r="Z339" s="257">
        <v>120402040400</v>
      </c>
    </row>
    <row r="340" spans="1:26" ht="15" customHeight="1" x14ac:dyDescent="0.25">
      <c r="A340">
        <v>2021</v>
      </c>
      <c r="B340" t="s">
        <v>377</v>
      </c>
      <c r="C340" t="s">
        <v>378</v>
      </c>
      <c r="D340" t="s">
        <v>888</v>
      </c>
      <c r="E340" t="s">
        <v>114</v>
      </c>
      <c r="F340">
        <v>29.458400000000001</v>
      </c>
      <c r="G340">
        <v>-95.330399999999997</v>
      </c>
      <c r="I340" s="1">
        <v>110000599479</v>
      </c>
      <c r="J340">
        <v>2869</v>
      </c>
      <c r="K340" s="175" t="str">
        <f>INDEX('2022 SIC to NAICS'!B:B, MATCH('Processed Non-zero DMR Data'!$J340, '2022 SIC to NAICS'!$A:$A, 0))</f>
        <v>Industrial Organic Chemicals, Nec</v>
      </c>
      <c r="L340" s="175">
        <f>INDEX('2022 SIC to NAICS'!C:C, MATCH('Processed Non-zero DMR Data'!$J340, '2022 SIC to NAICS'!$A:$A, 0))</f>
        <v>325110</v>
      </c>
      <c r="M340" s="175" t="str">
        <f>INDEX('2022 SIC to NAICS'!D:D, MATCH('Processed Non-zero DMR Data'!$J340, '2022 SIC to NAICS'!$A:$A, 0))</f>
        <v>Petrochemical Manufacturing</v>
      </c>
      <c r="N340" s="90" t="str">
        <f>IFERROR(INDEX('NAICS Code to IS CDR Code'!B:B, MATCH('Processed Non-zero DMR Data'!L340,'NAICS Code to IS CDR Code'!A:A,0)), "NAICS/SIC Not Provided")</f>
        <v>IS15</v>
      </c>
      <c r="O340" s="91" t="str">
        <f>IFERROR(INDEX('NAICS Code to IS CDR Code'!C:C, MATCH('Processed Non-zero DMR Data'!L340,'NAICS Code to IS CDR Code'!A:A,0)), "NAICS/SIC Not Provided")</f>
        <v>Petrochemical Manufacturing</v>
      </c>
      <c r="P340" s="91" t="e">
        <f>INDEX('11DCA Mapping'!$K:$K, MATCH('Processed Non-zero DMR Data'!I346,'11DCA Mapping'!$J:$J,0))</f>
        <v>#N/A</v>
      </c>
      <c r="Q340" s="91" t="e">
        <f>INDEX('11DCA Mapping'!$L:$L, MATCH('Processed Non-zero DMR Data'!I346,'11DCA Mapping'!$J:$J,0))</f>
        <v>#N/A</v>
      </c>
      <c r="R340" s="250" t="str">
        <f>VLOOKUP(I340,'DMR POTW Flag'!$A$2:$B$960,2,FALSE)</f>
        <v>NON-POTW</v>
      </c>
      <c r="S340" s="7" t="s">
        <v>62</v>
      </c>
      <c r="T340" s="7" t="s">
        <v>601</v>
      </c>
      <c r="U340" s="8">
        <f>COUNTIFS('Raw Non-zero DMR Data'!$A:$A, 'Processed Non-zero DMR Data'!A340, 'Raw Non-zero DMR Data'!$C:$C, X340, 'Raw Non-zero DMR Data'!$U:$U,'Processed Non-zero DMR Data'!Y340)</f>
        <v>1</v>
      </c>
      <c r="V340" s="8">
        <f>COUNTIFS('Raw Non-zero DMR Data'!$A:$A, 'Processed Non-zero DMR Data'!A340, 'Raw Non-zero DMR Data'!$C:$C, X340, 'Raw Non-zero DMR Data'!$U:$U,'Processed Non-zero DMR Data'!Y340,'Raw Non-zero DMR Data'!$Z:$Z,"Yes")</f>
        <v>0</v>
      </c>
      <c r="W340">
        <v>1.4913900000000001E-2</v>
      </c>
      <c r="X340" t="s">
        <v>889</v>
      </c>
      <c r="Y340" t="s">
        <v>890</v>
      </c>
      <c r="Z340" s="257">
        <v>120402040400</v>
      </c>
    </row>
    <row r="341" spans="1:26" ht="15" customHeight="1" x14ac:dyDescent="0.25">
      <c r="A341">
        <v>2022</v>
      </c>
      <c r="B341" t="s">
        <v>377</v>
      </c>
      <c r="C341" t="s">
        <v>378</v>
      </c>
      <c r="D341" t="s">
        <v>888</v>
      </c>
      <c r="E341" t="s">
        <v>114</v>
      </c>
      <c r="F341">
        <v>29.458400000000001</v>
      </c>
      <c r="G341">
        <v>-95.330399999999997</v>
      </c>
      <c r="I341" s="1">
        <v>110000599479</v>
      </c>
      <c r="J341">
        <v>2869</v>
      </c>
      <c r="K341" s="175" t="str">
        <f>INDEX('2022 SIC to NAICS'!B:B, MATCH('Processed Non-zero DMR Data'!$J341, '2022 SIC to NAICS'!$A:$A, 0))</f>
        <v>Industrial Organic Chemicals, Nec</v>
      </c>
      <c r="L341" s="175">
        <f>INDEX('2022 SIC to NAICS'!C:C, MATCH('Processed Non-zero DMR Data'!$J341, '2022 SIC to NAICS'!$A:$A, 0))</f>
        <v>325110</v>
      </c>
      <c r="M341" s="175" t="str">
        <f>INDEX('2022 SIC to NAICS'!D:D, MATCH('Processed Non-zero DMR Data'!$J341, '2022 SIC to NAICS'!$A:$A, 0))</f>
        <v>Petrochemical Manufacturing</v>
      </c>
      <c r="N341" s="90" t="str">
        <f>IFERROR(INDEX('NAICS Code to IS CDR Code'!B:B, MATCH('Processed Non-zero DMR Data'!L341,'NAICS Code to IS CDR Code'!A:A,0)), "NAICS/SIC Not Provided")</f>
        <v>IS15</v>
      </c>
      <c r="O341" s="91" t="str">
        <f>IFERROR(INDEX('NAICS Code to IS CDR Code'!C:C, MATCH('Processed Non-zero DMR Data'!L341,'NAICS Code to IS CDR Code'!A:A,0)), "NAICS/SIC Not Provided")</f>
        <v>Petrochemical Manufacturing</v>
      </c>
      <c r="P341" s="91" t="str">
        <f>INDEX('11DCA Mapping'!$K:$K, MATCH('Processed Non-zero DMR Data'!I347,'11DCA Mapping'!$J:$J,0))</f>
        <v>POTW</v>
      </c>
      <c r="Q341" s="91" t="str">
        <f>INDEX('11DCA Mapping'!$L:$L, MATCH('Processed Non-zero DMR Data'!I347,'11DCA Mapping'!$J:$J,0))</f>
        <v>Assigned POTW per "Facility Type Indicator"</v>
      </c>
      <c r="R341" s="250" t="str">
        <f>VLOOKUP(I341,'DMR POTW Flag'!$A$2:$B$960,2,FALSE)</f>
        <v>NON-POTW</v>
      </c>
      <c r="S341" s="7" t="s">
        <v>62</v>
      </c>
      <c r="T341" s="7" t="s">
        <v>601</v>
      </c>
      <c r="U341" s="8">
        <f>COUNTIFS('Raw Non-zero DMR Data'!$A:$A, 'Processed Non-zero DMR Data'!A341, 'Raw Non-zero DMR Data'!$C:$C, X341, 'Raw Non-zero DMR Data'!$U:$U,'Processed Non-zero DMR Data'!Y341)</f>
        <v>1</v>
      </c>
      <c r="V341" s="8">
        <f>COUNTIFS('Raw Non-zero DMR Data'!$A:$A, 'Processed Non-zero DMR Data'!A341, 'Raw Non-zero DMR Data'!$C:$C, X341, 'Raw Non-zero DMR Data'!$U:$U,'Processed Non-zero DMR Data'!Y341,'Raw Non-zero DMR Data'!$Z:$Z,"Yes")</f>
        <v>0</v>
      </c>
      <c r="W341">
        <v>1.4913900000000001E-2</v>
      </c>
      <c r="X341" t="s">
        <v>889</v>
      </c>
      <c r="Y341" t="s">
        <v>890</v>
      </c>
      <c r="Z341" s="257">
        <v>120402040400</v>
      </c>
    </row>
    <row r="342" spans="1:26" ht="15" customHeight="1" x14ac:dyDescent="0.25">
      <c r="A342">
        <v>2023</v>
      </c>
      <c r="B342" t="s">
        <v>377</v>
      </c>
      <c r="C342" t="s">
        <v>378</v>
      </c>
      <c r="D342" t="s">
        <v>888</v>
      </c>
      <c r="E342" t="s">
        <v>114</v>
      </c>
      <c r="F342">
        <v>29.458400000000001</v>
      </c>
      <c r="G342">
        <v>-95.330399999999997</v>
      </c>
      <c r="I342" s="1">
        <v>110000599479</v>
      </c>
      <c r="J342">
        <v>2869</v>
      </c>
      <c r="K342" s="175" t="str">
        <f>INDEX('2022 SIC to NAICS'!B:B, MATCH('Processed Non-zero DMR Data'!$J342, '2022 SIC to NAICS'!$A:$A, 0))</f>
        <v>Industrial Organic Chemicals, Nec</v>
      </c>
      <c r="L342" s="175">
        <f>INDEX('2022 SIC to NAICS'!C:C, MATCH('Processed Non-zero DMR Data'!$J342, '2022 SIC to NAICS'!$A:$A, 0))</f>
        <v>325110</v>
      </c>
      <c r="M342" s="175" t="str">
        <f>INDEX('2022 SIC to NAICS'!D:D, MATCH('Processed Non-zero DMR Data'!$J342, '2022 SIC to NAICS'!$A:$A, 0))</f>
        <v>Petrochemical Manufacturing</v>
      </c>
      <c r="N342" s="90" t="str">
        <f>IFERROR(INDEX('NAICS Code to IS CDR Code'!B:B, MATCH('Processed Non-zero DMR Data'!L342,'NAICS Code to IS CDR Code'!A:A,0)), "NAICS/SIC Not Provided")</f>
        <v>IS15</v>
      </c>
      <c r="O342" s="91" t="str">
        <f>IFERROR(INDEX('NAICS Code to IS CDR Code'!C:C, MATCH('Processed Non-zero DMR Data'!L342,'NAICS Code to IS CDR Code'!A:A,0)), "NAICS/SIC Not Provided")</f>
        <v>Petrochemical Manufacturing</v>
      </c>
      <c r="P342" s="91" t="str">
        <f>INDEX('11DCA Mapping'!$K:$K, MATCH('Processed Non-zero DMR Data'!I348,'11DCA Mapping'!$J:$J,0))</f>
        <v>POTW</v>
      </c>
      <c r="Q342" s="91" t="str">
        <f>INDEX('11DCA Mapping'!$L:$L, MATCH('Processed Non-zero DMR Data'!I348,'11DCA Mapping'!$J:$J,0))</f>
        <v>Assigned POTW per "Facility Type Indicator"</v>
      </c>
      <c r="R342" s="250" t="str">
        <f>VLOOKUP(I342,'DMR POTW Flag'!$A$2:$B$960,2,FALSE)</f>
        <v>NON-POTW</v>
      </c>
      <c r="S342" s="7" t="s">
        <v>62</v>
      </c>
      <c r="T342" s="7" t="s">
        <v>601</v>
      </c>
      <c r="U342" s="8">
        <f>COUNTIFS('Raw Non-zero DMR Data'!$A:$A, 'Processed Non-zero DMR Data'!A342, 'Raw Non-zero DMR Data'!$C:$C, X342, 'Raw Non-zero DMR Data'!$U:$U,'Processed Non-zero DMR Data'!Y342)</f>
        <v>1</v>
      </c>
      <c r="V342" s="8">
        <f>COUNTIFS('Raw Non-zero DMR Data'!$A:$A, 'Processed Non-zero DMR Data'!A342, 'Raw Non-zero DMR Data'!$C:$C, X342, 'Raw Non-zero DMR Data'!$U:$U,'Processed Non-zero DMR Data'!Y342,'Raw Non-zero DMR Data'!$Z:$Z,"Yes")</f>
        <v>0</v>
      </c>
      <c r="W342">
        <v>1.4913900000000001E-2</v>
      </c>
      <c r="X342" t="s">
        <v>889</v>
      </c>
      <c r="Y342" t="s">
        <v>890</v>
      </c>
      <c r="Z342" s="257">
        <v>120402040400</v>
      </c>
    </row>
    <row r="343" spans="1:26" ht="15" customHeight="1" x14ac:dyDescent="0.25">
      <c r="A343">
        <v>2019</v>
      </c>
      <c r="B343" t="s">
        <v>321</v>
      </c>
      <c r="C343" t="s">
        <v>322</v>
      </c>
      <c r="D343" t="s">
        <v>891</v>
      </c>
      <c r="E343" t="s">
        <v>138</v>
      </c>
      <c r="F343">
        <v>38.542222000000002</v>
      </c>
      <c r="G343">
        <v>-84.831943999999993</v>
      </c>
      <c r="I343" s="1">
        <v>110009938737</v>
      </c>
      <c r="J343">
        <v>4952</v>
      </c>
      <c r="K343" s="175" t="str">
        <f>INDEX('2022 SIC to NAICS'!B:B, MATCH('Processed Non-zero DMR Data'!$J343, '2022 SIC to NAICS'!$A:$A, 0))</f>
        <v>Sewerage Systems</v>
      </c>
      <c r="L343" s="175">
        <f>INDEX('2022 SIC to NAICS'!C:C, MATCH('Processed Non-zero DMR Data'!$J343, '2022 SIC to NAICS'!$A:$A, 0))</f>
        <v>221320</v>
      </c>
      <c r="M343" s="175" t="str">
        <f>INDEX('2022 SIC to NAICS'!D:D, MATCH('Processed Non-zero DMR Data'!$J343, '2022 SIC to NAICS'!$A:$A, 0))</f>
        <v xml:space="preserve">Sewage Treatment Facilities </v>
      </c>
      <c r="N343" s="90" t="str">
        <f>IFERROR(INDEX('NAICS Code to IS CDR Code'!B:B, MATCH('Processed Non-zero DMR Data'!L343,'NAICS Code to IS CDR Code'!A:A,0)), "NAICS/SIC Not Provided")</f>
        <v>IS4</v>
      </c>
      <c r="O343" s="91" t="str">
        <f>IFERROR(INDEX('NAICS Code to IS CDR Code'!C:C, MATCH('Processed Non-zero DMR Data'!L343,'NAICS Code to IS CDR Code'!A:A,0)), "NAICS/SIC Not Provided")</f>
        <v>Utilities</v>
      </c>
      <c r="P343" s="91" t="e">
        <f>INDEX('11DCA Mapping'!$K:$K, MATCH('Processed Non-zero DMR Data'!I349,'11DCA Mapping'!$J:$J,0))</f>
        <v>#N/A</v>
      </c>
      <c r="Q343" s="91" t="e">
        <f>INDEX('11DCA Mapping'!$L:$L, MATCH('Processed Non-zero DMR Data'!I349,'11DCA Mapping'!$J:$J,0))</f>
        <v>#N/A</v>
      </c>
      <c r="R343" s="250" t="str">
        <f>VLOOKUP(I343,'DMR POTW Flag'!$A$2:$B$960,2,FALSE)</f>
        <v>NON-POTW</v>
      </c>
      <c r="S343" s="7" t="s">
        <v>68</v>
      </c>
      <c r="T343" s="7" t="s">
        <v>892</v>
      </c>
      <c r="U343" s="8">
        <f>COUNTIFS('Raw Non-zero DMR Data'!$A:$A, 'Processed Non-zero DMR Data'!A343, 'Raw Non-zero DMR Data'!$C:$C, X343, 'Raw Non-zero DMR Data'!$U:$U,'Processed Non-zero DMR Data'!Y343)</f>
        <v>1</v>
      </c>
      <c r="V343" s="8">
        <f>COUNTIFS('Raw Non-zero DMR Data'!$A:$A, 'Processed Non-zero DMR Data'!A343, 'Raw Non-zero DMR Data'!$C:$C, X343, 'Raw Non-zero DMR Data'!$U:$U,'Processed Non-zero DMR Data'!Y343,'Raw Non-zero DMR Data'!$Z:$Z,"Yes")</f>
        <v>1</v>
      </c>
      <c r="W343">
        <v>0.65795128125000002</v>
      </c>
      <c r="X343" t="s">
        <v>893</v>
      </c>
      <c r="Y343" t="s">
        <v>894</v>
      </c>
      <c r="Z343" s="257">
        <v>51002051307</v>
      </c>
    </row>
    <row r="344" spans="1:26" ht="15" customHeight="1" x14ac:dyDescent="0.25">
      <c r="A344">
        <v>2019</v>
      </c>
      <c r="B344" t="s">
        <v>248</v>
      </c>
      <c r="C344" t="s">
        <v>249</v>
      </c>
      <c r="D344" t="s">
        <v>895</v>
      </c>
      <c r="E344" t="s">
        <v>250</v>
      </c>
      <c r="F344">
        <v>43.197788000000003</v>
      </c>
      <c r="G344">
        <v>-77.629835999999997</v>
      </c>
      <c r="I344" s="1">
        <v>110000492173</v>
      </c>
      <c r="J344">
        <v>3861</v>
      </c>
      <c r="K344" s="175" t="str">
        <f>INDEX('2022 SIC to NAICS'!B:B, MATCH('Processed Non-zero DMR Data'!$J344, '2022 SIC to NAICS'!$A:$A, 0))</f>
        <v>Photographic Equipment and Supplies</v>
      </c>
      <c r="L344" s="175">
        <f>INDEX('2022 SIC to NAICS'!C:C, MATCH('Processed Non-zero DMR Data'!$J344, '2022 SIC to NAICS'!$A:$A, 0))</f>
        <v>325992</v>
      </c>
      <c r="M344" s="175" t="str">
        <f>INDEX('2022 SIC to NAICS'!D:D, MATCH('Processed Non-zero DMR Data'!$J344, '2022 SIC to NAICS'!$A:$A, 0))</f>
        <v xml:space="preserve">Photographic Film, Paper, Plate, Chemical, and Copy Toner Manufacturing </v>
      </c>
      <c r="N344" s="90" t="str">
        <f>IFERROR(INDEX('NAICS Code to IS CDR Code'!B:B, MATCH('Processed Non-zero DMR Data'!L344,'NAICS Code to IS CDR Code'!A:A,0)), "NAICS/SIC Not Provided")</f>
        <v>IS33</v>
      </c>
      <c r="O344" s="91" t="str">
        <f>IFERROR(INDEX('NAICS Code to IS CDR Code'!C:C, MATCH('Processed Non-zero DMR Data'!L344,'NAICS Code to IS CDR Code'!A:A,0)), "NAICS/SIC Not Provided")</f>
        <v>Photographic Film Paper, Plate, and Chemical Manufacturing</v>
      </c>
      <c r="P344" s="91" t="e">
        <f>INDEX('11DCA Mapping'!$K:$K, MATCH('Processed Non-zero DMR Data'!I350,'11DCA Mapping'!$J:$J,0))</f>
        <v>#N/A</v>
      </c>
      <c r="Q344" s="91" t="e">
        <f>INDEX('11DCA Mapping'!$L:$L, MATCH('Processed Non-zero DMR Data'!I350,'11DCA Mapping'!$J:$J,0))</f>
        <v>#N/A</v>
      </c>
      <c r="R344" s="250" t="str">
        <f>VLOOKUP(I344,'DMR POTW Flag'!$A$2:$B$960,2,FALSE)</f>
        <v>NON-POTW</v>
      </c>
      <c r="S344" s="7" t="s">
        <v>65</v>
      </c>
      <c r="T344" s="7" t="s">
        <v>5471</v>
      </c>
      <c r="U344" s="8">
        <f>COUNTIFS('Raw Non-zero DMR Data'!$A:$A, 'Processed Non-zero DMR Data'!A344, 'Raw Non-zero DMR Data'!$C:$C, X344, 'Raw Non-zero DMR Data'!$U:$U,'Processed Non-zero DMR Data'!Y344)</f>
        <v>1</v>
      </c>
      <c r="V344" s="8">
        <f>COUNTIFS('Raw Non-zero DMR Data'!$A:$A, 'Processed Non-zero DMR Data'!A344, 'Raw Non-zero DMR Data'!$C:$C, X344, 'Raw Non-zero DMR Data'!$U:$U,'Processed Non-zero DMR Data'!Y344,'Raw Non-zero DMR Data'!$Z:$Z,"Yes")</f>
        <v>0</v>
      </c>
      <c r="W344">
        <v>4.2712320000000004</v>
      </c>
      <c r="X344" t="s">
        <v>896</v>
      </c>
      <c r="Y344" t="s">
        <v>897</v>
      </c>
      <c r="Z344" s="257">
        <v>41300030704</v>
      </c>
    </row>
    <row r="345" spans="1:26" ht="15" customHeight="1" x14ac:dyDescent="0.25">
      <c r="A345">
        <v>2023</v>
      </c>
      <c r="B345" t="s">
        <v>248</v>
      </c>
      <c r="C345" t="s">
        <v>249</v>
      </c>
      <c r="D345" t="s">
        <v>895</v>
      </c>
      <c r="E345" t="s">
        <v>250</v>
      </c>
      <c r="F345">
        <v>43.197788000000003</v>
      </c>
      <c r="G345">
        <v>-77.629835999999997</v>
      </c>
      <c r="I345" s="1">
        <v>110000492173</v>
      </c>
      <c r="J345">
        <v>3861</v>
      </c>
      <c r="K345" s="175" t="str">
        <f>INDEX('2022 SIC to NAICS'!B:B, MATCH('Processed Non-zero DMR Data'!$J345, '2022 SIC to NAICS'!$A:$A, 0))</f>
        <v>Photographic Equipment and Supplies</v>
      </c>
      <c r="L345" s="175">
        <f>INDEX('2022 SIC to NAICS'!C:C, MATCH('Processed Non-zero DMR Data'!$J345, '2022 SIC to NAICS'!$A:$A, 0))</f>
        <v>325992</v>
      </c>
      <c r="M345" s="175" t="str">
        <f>INDEX('2022 SIC to NAICS'!D:D, MATCH('Processed Non-zero DMR Data'!$J345, '2022 SIC to NAICS'!$A:$A, 0))</f>
        <v xml:space="preserve">Photographic Film, Paper, Plate, Chemical, and Copy Toner Manufacturing </v>
      </c>
      <c r="N345" s="90" t="str">
        <f>IFERROR(INDEX('NAICS Code to IS CDR Code'!B:B, MATCH('Processed Non-zero DMR Data'!L345,'NAICS Code to IS CDR Code'!A:A,0)), "NAICS/SIC Not Provided")</f>
        <v>IS33</v>
      </c>
      <c r="O345" s="91" t="str">
        <f>IFERROR(INDEX('NAICS Code to IS CDR Code'!C:C, MATCH('Processed Non-zero DMR Data'!L345,'NAICS Code to IS CDR Code'!A:A,0)), "NAICS/SIC Not Provided")</f>
        <v>Photographic Film Paper, Plate, and Chemical Manufacturing</v>
      </c>
      <c r="P345" s="91" t="str">
        <f>INDEX('11DCA Mapping'!$K:$K, MATCH('Processed Non-zero DMR Data'!I351,'11DCA Mapping'!$J:$J,0))</f>
        <v>Unknown</v>
      </c>
      <c r="Q345" s="91" t="str">
        <f>INDEX('11DCA Mapping'!$L:$L, MATCH('Processed Non-zero DMR Data'!I351,'11DCA Mapping'!$J:$J,0))</f>
        <v>Discharge collected groundwater and stormwater and dewatering system (CH)</v>
      </c>
      <c r="R345" s="250" t="str">
        <f>VLOOKUP(I345,'DMR POTW Flag'!$A$2:$B$960,2,FALSE)</f>
        <v>NON-POTW</v>
      </c>
      <c r="S345" s="7" t="s">
        <v>65</v>
      </c>
      <c r="T345" s="7" t="s">
        <v>5471</v>
      </c>
      <c r="U345" s="8">
        <f>COUNTIFS('Raw Non-zero DMR Data'!$A:$A, 'Processed Non-zero DMR Data'!A345, 'Raw Non-zero DMR Data'!$C:$C, X345, 'Raw Non-zero DMR Data'!$U:$U,'Processed Non-zero DMR Data'!Y345)</f>
        <v>1</v>
      </c>
      <c r="V345" s="8">
        <f>COUNTIFS('Raw Non-zero DMR Data'!$A:$A, 'Processed Non-zero DMR Data'!A345, 'Raw Non-zero DMR Data'!$C:$C, X345, 'Raw Non-zero DMR Data'!$U:$U,'Processed Non-zero DMR Data'!Y345,'Raw Non-zero DMR Data'!$Z:$Z,"Yes")</f>
        <v>0</v>
      </c>
      <c r="W345">
        <v>3.4622039999999998</v>
      </c>
      <c r="X345" t="s">
        <v>896</v>
      </c>
      <c r="Y345" t="s">
        <v>897</v>
      </c>
      <c r="Z345" s="257">
        <v>41300030704</v>
      </c>
    </row>
    <row r="346" spans="1:26" ht="15" customHeight="1" x14ac:dyDescent="0.25">
      <c r="A346">
        <v>2022</v>
      </c>
      <c r="B346" t="s">
        <v>499</v>
      </c>
      <c r="C346" t="s">
        <v>500</v>
      </c>
      <c r="D346" t="s">
        <v>898</v>
      </c>
      <c r="E346" t="s">
        <v>501</v>
      </c>
      <c r="F346">
        <v>40.506320000000002</v>
      </c>
      <c r="G346">
        <v>-81.474299999999999</v>
      </c>
      <c r="I346" s="1">
        <v>110000496981</v>
      </c>
      <c r="J346">
        <v>2869</v>
      </c>
      <c r="K346" s="175" t="str">
        <f>INDEX('2022 SIC to NAICS'!B:B, MATCH('Processed Non-zero DMR Data'!$J346, '2022 SIC to NAICS'!$A:$A, 0))</f>
        <v>Industrial Organic Chemicals, Nec</v>
      </c>
      <c r="L346" s="175">
        <f>INDEX('2022 SIC to NAICS'!C:C, MATCH('Processed Non-zero DMR Data'!$J346, '2022 SIC to NAICS'!$A:$A, 0))</f>
        <v>325110</v>
      </c>
      <c r="M346" s="175" t="str">
        <f>INDEX('2022 SIC to NAICS'!D:D, MATCH('Processed Non-zero DMR Data'!$J346, '2022 SIC to NAICS'!$A:$A, 0))</f>
        <v>Petrochemical Manufacturing</v>
      </c>
      <c r="N346" s="90" t="str">
        <f>IFERROR(INDEX('NAICS Code to IS CDR Code'!B:B, MATCH('Processed Non-zero DMR Data'!L346,'NAICS Code to IS CDR Code'!A:A,0)), "NAICS/SIC Not Provided")</f>
        <v>IS15</v>
      </c>
      <c r="O346" s="91" t="str">
        <f>IFERROR(INDEX('NAICS Code to IS CDR Code'!C:C, MATCH('Processed Non-zero DMR Data'!L346,'NAICS Code to IS CDR Code'!A:A,0)), "NAICS/SIC Not Provided")</f>
        <v>Petrochemical Manufacturing</v>
      </c>
      <c r="P346" s="91" t="e">
        <f>INDEX('11DCA Mapping'!$K:$K, MATCH('Processed Non-zero DMR Data'!I352,'11DCA Mapping'!$J:$J,0))</f>
        <v>#N/A</v>
      </c>
      <c r="Q346" s="91" t="e">
        <f>INDEX('11DCA Mapping'!$L:$L, MATCH('Processed Non-zero DMR Data'!I352,'11DCA Mapping'!$J:$J,0))</f>
        <v>#N/A</v>
      </c>
      <c r="R346" s="250" t="str">
        <f>VLOOKUP(I346,'DMR POTW Flag'!$A$2:$B$960,2,FALSE)</f>
        <v>NON-POTW</v>
      </c>
      <c r="S346" s="7" t="s">
        <v>62</v>
      </c>
      <c r="T346" s="7" t="s">
        <v>876</v>
      </c>
      <c r="U346" s="8">
        <f>COUNTIFS('Raw Non-zero DMR Data'!$A:$A, 'Processed Non-zero DMR Data'!A346, 'Raw Non-zero DMR Data'!$C:$C, X346, 'Raw Non-zero DMR Data'!$U:$U,'Processed Non-zero DMR Data'!Y346)</f>
        <v>1</v>
      </c>
      <c r="V346" s="8">
        <f>COUNTIFS('Raw Non-zero DMR Data'!$A:$A, 'Processed Non-zero DMR Data'!A346, 'Raw Non-zero DMR Data'!$C:$C, X346, 'Raw Non-zero DMR Data'!$U:$U,'Processed Non-zero DMR Data'!Y346,'Raw Non-zero DMR Data'!$Z:$Z,"Yes")</f>
        <v>0</v>
      </c>
      <c r="W346">
        <v>0.93744000000000005</v>
      </c>
      <c r="X346" t="s">
        <v>899</v>
      </c>
      <c r="Y346" t="s">
        <v>900</v>
      </c>
      <c r="Z346" s="257">
        <v>50400011704</v>
      </c>
    </row>
    <row r="347" spans="1:26" ht="15" customHeight="1" x14ac:dyDescent="0.25">
      <c r="A347">
        <v>2020</v>
      </c>
      <c r="B347" t="s">
        <v>381</v>
      </c>
      <c r="C347" t="s">
        <v>382</v>
      </c>
      <c r="D347" t="s">
        <v>901</v>
      </c>
      <c r="E347" t="s">
        <v>138</v>
      </c>
      <c r="F347">
        <v>38.391995999999999</v>
      </c>
      <c r="G347">
        <v>-85.416021999999998</v>
      </c>
      <c r="I347" s="1">
        <v>110002108059</v>
      </c>
      <c r="J347">
        <v>9223</v>
      </c>
      <c r="K347" s="175" t="str">
        <f>INDEX('2022 SIC to NAICS'!B:B, MATCH('Processed Non-zero DMR Data'!$J347, '2022 SIC to NAICS'!$A:$A, 0))</f>
        <v>Correctional Institutions</v>
      </c>
      <c r="L347" s="175">
        <f>INDEX('2022 SIC to NAICS'!C:C, MATCH('Processed Non-zero DMR Data'!$J347, '2022 SIC to NAICS'!$A:$A, 0))</f>
        <v>922140</v>
      </c>
      <c r="M347" s="175" t="str">
        <f>INDEX('2022 SIC to NAICS'!D:D, MATCH('Processed Non-zero DMR Data'!$J347, '2022 SIC to NAICS'!$A:$A, 0))</f>
        <v xml:space="preserve">Correctional Institutions </v>
      </c>
      <c r="N347" s="90" t="str">
        <f>IFERROR(INDEX('NAICS Code to IS CDR Code'!B:B, MATCH('Processed Non-zero DMR Data'!L347,'NAICS Code to IS CDR Code'!A:A,0)), "NAICS/SIC Not Provided")</f>
        <v>IS47</v>
      </c>
      <c r="O347" s="91" t="str">
        <f>IFERROR(INDEX('NAICS Code to IS CDR Code'!C:C, MATCH('Processed Non-zero DMR Data'!L347,'NAICS Code to IS CDR Code'!A:A,0)), "NAICS/SIC Not Provided")</f>
        <v>Services</v>
      </c>
      <c r="P347" s="91" t="str">
        <f>INDEX('11DCA Mapping'!$K:$K, MATCH('Processed Non-zero DMR Data'!I353,'11DCA Mapping'!$J:$J,0))</f>
        <v>Unknown</v>
      </c>
      <c r="Q347" s="91">
        <f>INDEX('11DCA Mapping'!$L:$L, MATCH('Processed Non-zero DMR Data'!I353,'11DCA Mapping'!$J:$J,0))</f>
        <v>0</v>
      </c>
      <c r="R347" s="250" t="str">
        <f>VLOOKUP(I347,'DMR POTW Flag'!$A$2:$B$960,2,FALSE)</f>
        <v>POTW</v>
      </c>
      <c r="S347" s="7" t="s">
        <v>67</v>
      </c>
      <c r="T347" s="249" t="s">
        <v>586</v>
      </c>
      <c r="U347" s="8">
        <f>COUNTIFS('Raw Non-zero DMR Data'!$A:$A, 'Processed Non-zero DMR Data'!A347, 'Raw Non-zero DMR Data'!$C:$C, X347, 'Raw Non-zero DMR Data'!$U:$U,'Processed Non-zero DMR Data'!Y347)</f>
        <v>1</v>
      </c>
      <c r="V347" s="8">
        <f>COUNTIFS('Raw Non-zero DMR Data'!$A:$A, 'Processed Non-zero DMR Data'!A347, 'Raw Non-zero DMR Data'!$C:$C, X347, 'Raw Non-zero DMR Data'!$U:$U,'Processed Non-zero DMR Data'!Y347,'Raw Non-zero DMR Data'!$Z:$Z,"Yes")</f>
        <v>1</v>
      </c>
      <c r="W347">
        <v>2.1137332500000001</v>
      </c>
      <c r="X347" t="s">
        <v>902</v>
      </c>
      <c r="Y347" t="s">
        <v>903</v>
      </c>
      <c r="Z347" s="257">
        <v>51401010502</v>
      </c>
    </row>
    <row r="348" spans="1:26" ht="15" customHeight="1" x14ac:dyDescent="0.25">
      <c r="A348">
        <v>2023</v>
      </c>
      <c r="B348" t="s">
        <v>381</v>
      </c>
      <c r="C348" t="s">
        <v>382</v>
      </c>
      <c r="D348" t="s">
        <v>901</v>
      </c>
      <c r="E348" t="s">
        <v>138</v>
      </c>
      <c r="F348">
        <v>38.391995999999999</v>
      </c>
      <c r="G348">
        <v>-85.416021999999998</v>
      </c>
      <c r="I348" s="1">
        <v>110002108059</v>
      </c>
      <c r="J348">
        <v>9223</v>
      </c>
      <c r="K348" s="175" t="str">
        <f>INDEX('2022 SIC to NAICS'!B:B, MATCH('Processed Non-zero DMR Data'!$J348, '2022 SIC to NAICS'!$A:$A, 0))</f>
        <v>Correctional Institutions</v>
      </c>
      <c r="L348" s="175">
        <f>INDEX('2022 SIC to NAICS'!C:C, MATCH('Processed Non-zero DMR Data'!$J348, '2022 SIC to NAICS'!$A:$A, 0))</f>
        <v>922140</v>
      </c>
      <c r="M348" s="175" t="str">
        <f>INDEX('2022 SIC to NAICS'!D:D, MATCH('Processed Non-zero DMR Data'!$J348, '2022 SIC to NAICS'!$A:$A, 0))</f>
        <v xml:space="preserve">Correctional Institutions </v>
      </c>
      <c r="N348" s="90" t="str">
        <f>IFERROR(INDEX('NAICS Code to IS CDR Code'!B:B, MATCH('Processed Non-zero DMR Data'!L348,'NAICS Code to IS CDR Code'!A:A,0)), "NAICS/SIC Not Provided")</f>
        <v>IS47</v>
      </c>
      <c r="O348" s="91" t="str">
        <f>IFERROR(INDEX('NAICS Code to IS CDR Code'!C:C, MATCH('Processed Non-zero DMR Data'!L348,'NAICS Code to IS CDR Code'!A:A,0)), "NAICS/SIC Not Provided")</f>
        <v>Services</v>
      </c>
      <c r="P348" s="91" t="str">
        <f>INDEX('11DCA Mapping'!$K:$K, MATCH('Processed Non-zero DMR Data'!I354,'11DCA Mapping'!$J:$J,0))</f>
        <v>Unknown</v>
      </c>
      <c r="Q348" s="91">
        <f>INDEX('11DCA Mapping'!$L:$L, MATCH('Processed Non-zero DMR Data'!I354,'11DCA Mapping'!$J:$J,0))</f>
        <v>0</v>
      </c>
      <c r="R348" s="250" t="str">
        <f>VLOOKUP(I348,'DMR POTW Flag'!$A$2:$B$960,2,FALSE)</f>
        <v>POTW</v>
      </c>
      <c r="S348" s="7" t="s">
        <v>67</v>
      </c>
      <c r="T348" s="249" t="s">
        <v>586</v>
      </c>
      <c r="U348" s="8">
        <f>COUNTIFS('Raw Non-zero DMR Data'!$A:$A, 'Processed Non-zero DMR Data'!A348, 'Raw Non-zero DMR Data'!$C:$C, X348, 'Raw Non-zero DMR Data'!$U:$U,'Processed Non-zero DMR Data'!Y348)</f>
        <v>1</v>
      </c>
      <c r="V348" s="8">
        <f>COUNTIFS('Raw Non-zero DMR Data'!$A:$A, 'Processed Non-zero DMR Data'!A348, 'Raw Non-zero DMR Data'!$C:$C, X348, 'Raw Non-zero DMR Data'!$U:$U,'Processed Non-zero DMR Data'!Y348,'Raw Non-zero DMR Data'!$Z:$Z,"Yes")</f>
        <v>1</v>
      </c>
      <c r="W348">
        <v>1.7752596249999999</v>
      </c>
      <c r="X348" t="s">
        <v>902</v>
      </c>
      <c r="Y348" t="s">
        <v>903</v>
      </c>
      <c r="Z348" s="257">
        <v>51401010502</v>
      </c>
    </row>
    <row r="349" spans="1:26" ht="15" customHeight="1" x14ac:dyDescent="0.25">
      <c r="A349">
        <v>2020</v>
      </c>
      <c r="B349" t="s">
        <v>371</v>
      </c>
      <c r="C349" t="s">
        <v>372</v>
      </c>
      <c r="D349" t="s">
        <v>904</v>
      </c>
      <c r="E349" t="s">
        <v>114</v>
      </c>
      <c r="F349">
        <v>29.726493000000001</v>
      </c>
      <c r="G349">
        <v>-95.089771999999996</v>
      </c>
      <c r="I349" s="1">
        <v>110045651344</v>
      </c>
      <c r="J349">
        <v>2821</v>
      </c>
      <c r="K349" s="175" t="str">
        <f>INDEX('2022 SIC to NAICS'!B:B, MATCH('Processed Non-zero DMR Data'!$J349, '2022 SIC to NAICS'!$A:$A, 0))</f>
        <v>Plastics Materials and Resins</v>
      </c>
      <c r="L349" s="175">
        <f>INDEX('2022 SIC to NAICS'!C:C, MATCH('Processed Non-zero DMR Data'!$J349, '2022 SIC to NAICS'!$A:$A, 0))</f>
        <v>325211</v>
      </c>
      <c r="M349" s="175" t="str">
        <f>INDEX('2022 SIC to NAICS'!D:D, MATCH('Processed Non-zero DMR Data'!$J349, '2022 SIC to NAICS'!$A:$A, 0))</f>
        <v xml:space="preserve">Plastics Material and Resin Manufacturing </v>
      </c>
      <c r="N349" s="90" t="str">
        <f>IFERROR(INDEX('NAICS Code to IS CDR Code'!B:B, MATCH('Processed Non-zero DMR Data'!L349,'NAICS Code to IS CDR Code'!A:A,0)), "NAICS/SIC Not Provided")</f>
        <v>IS22</v>
      </c>
      <c r="O349" s="91" t="str">
        <f>IFERROR(INDEX('NAICS Code to IS CDR Code'!C:C, MATCH('Processed Non-zero DMR Data'!L349,'NAICS Code to IS CDR Code'!A:A,0)), "NAICS/SIC Not Provided")</f>
        <v>Plastic Material and Resin Manufacturing</v>
      </c>
      <c r="P349" s="91" t="str">
        <f>INDEX('11DCA Mapping'!$K:$K, MATCH('Processed Non-zero DMR Data'!I355,'11DCA Mapping'!$J:$J,0))</f>
        <v>Unknown</v>
      </c>
      <c r="Q349" s="91">
        <f>INDEX('11DCA Mapping'!$L:$L, MATCH('Processed Non-zero DMR Data'!I355,'11DCA Mapping'!$J:$J,0))</f>
        <v>0</v>
      </c>
      <c r="R349" s="250" t="str">
        <f>VLOOKUP(I349,'DMR POTW Flag'!$A$2:$B$960,2,FALSE)</f>
        <v>NON-POTW</v>
      </c>
      <c r="S349" s="7" t="s">
        <v>63</v>
      </c>
      <c r="T349" s="7" t="s">
        <v>5470</v>
      </c>
      <c r="U349" s="8">
        <f>COUNTIFS('Raw Non-zero DMR Data'!$A:$A, 'Processed Non-zero DMR Data'!A349, 'Raw Non-zero DMR Data'!$C:$C, X349, 'Raw Non-zero DMR Data'!$U:$U,'Processed Non-zero DMR Data'!Y349)</f>
        <v>1</v>
      </c>
      <c r="V349" s="8">
        <f>COUNTIFS('Raw Non-zero DMR Data'!$A:$A, 'Processed Non-zero DMR Data'!A349, 'Raw Non-zero DMR Data'!$C:$C, X349, 'Raw Non-zero DMR Data'!$U:$U,'Processed Non-zero DMR Data'!Y349,'Raw Non-zero DMR Data'!$Z:$Z,"Yes")</f>
        <v>0</v>
      </c>
      <c r="W349">
        <v>0.16571</v>
      </c>
      <c r="X349" t="s">
        <v>905</v>
      </c>
      <c r="Y349" t="s">
        <v>765</v>
      </c>
      <c r="Z349" s="257">
        <v>120401040703</v>
      </c>
    </row>
    <row r="350" spans="1:26" ht="15" customHeight="1" x14ac:dyDescent="0.25">
      <c r="A350">
        <v>2021</v>
      </c>
      <c r="B350" t="s">
        <v>466</v>
      </c>
      <c r="C350" t="s">
        <v>467</v>
      </c>
      <c r="D350" t="s">
        <v>906</v>
      </c>
      <c r="E350" t="s">
        <v>138</v>
      </c>
      <c r="F350">
        <v>37.616959999999999</v>
      </c>
      <c r="G350">
        <v>-84.585099999999997</v>
      </c>
      <c r="I350" s="1">
        <v>110039705049</v>
      </c>
      <c r="J350">
        <v>4952</v>
      </c>
      <c r="K350" s="175" t="str">
        <f>INDEX('2022 SIC to NAICS'!B:B, MATCH('Processed Non-zero DMR Data'!$J350, '2022 SIC to NAICS'!$A:$A, 0))</f>
        <v>Sewerage Systems</v>
      </c>
      <c r="L350" s="175">
        <f>INDEX('2022 SIC to NAICS'!C:C, MATCH('Processed Non-zero DMR Data'!$J350, '2022 SIC to NAICS'!$A:$A, 0))</f>
        <v>221320</v>
      </c>
      <c r="M350" s="175" t="str">
        <f>INDEX('2022 SIC to NAICS'!D:D, MATCH('Processed Non-zero DMR Data'!$J350, '2022 SIC to NAICS'!$A:$A, 0))</f>
        <v xml:space="preserve">Sewage Treatment Facilities </v>
      </c>
      <c r="N350" s="90" t="str">
        <f>IFERROR(INDEX('NAICS Code to IS CDR Code'!B:B, MATCH('Processed Non-zero DMR Data'!L350,'NAICS Code to IS CDR Code'!A:A,0)), "NAICS/SIC Not Provided")</f>
        <v>IS4</v>
      </c>
      <c r="O350" s="91" t="str">
        <f>IFERROR(INDEX('NAICS Code to IS CDR Code'!C:C, MATCH('Processed Non-zero DMR Data'!L350,'NAICS Code to IS CDR Code'!A:A,0)), "NAICS/SIC Not Provided")</f>
        <v>Utilities</v>
      </c>
      <c r="P350" s="91" t="str">
        <f>INDEX('11DCA Mapping'!$K:$K, MATCH('Processed Non-zero DMR Data'!I356,'11DCA Mapping'!$J:$J,0))</f>
        <v>Unknown</v>
      </c>
      <c r="Q350" s="91">
        <f>INDEX('11DCA Mapping'!$L:$L, MATCH('Processed Non-zero DMR Data'!I356,'11DCA Mapping'!$J:$J,0))</f>
        <v>0</v>
      </c>
      <c r="R350" s="250" t="str">
        <f>VLOOKUP(I350,'DMR POTW Flag'!$A$2:$B$960,2,FALSE)</f>
        <v>POTW</v>
      </c>
      <c r="S350" s="7" t="s">
        <v>67</v>
      </c>
      <c r="T350" s="249" t="s">
        <v>586</v>
      </c>
      <c r="U350" s="8">
        <f>COUNTIFS('Raw Non-zero DMR Data'!$A:$A, 'Processed Non-zero DMR Data'!A350, 'Raw Non-zero DMR Data'!$C:$C, X350, 'Raw Non-zero DMR Data'!$U:$U,'Processed Non-zero DMR Data'!Y350)</f>
        <v>1</v>
      </c>
      <c r="V350" s="8">
        <f>COUNTIFS('Raw Non-zero DMR Data'!$A:$A, 'Processed Non-zero DMR Data'!A350, 'Raw Non-zero DMR Data'!$C:$C, X350, 'Raw Non-zero DMR Data'!$U:$U,'Processed Non-zero DMR Data'!Y350,'Raw Non-zero DMR Data'!$Z:$Z,"Yes")</f>
        <v>1</v>
      </c>
      <c r="W350">
        <v>3.2700696749999998</v>
      </c>
      <c r="X350" t="s">
        <v>907</v>
      </c>
      <c r="Y350" t="s">
        <v>908</v>
      </c>
      <c r="Z350" s="257">
        <v>51002050504</v>
      </c>
    </row>
    <row r="351" spans="1:26" ht="15" customHeight="1" x14ac:dyDescent="0.25">
      <c r="A351">
        <v>2021</v>
      </c>
      <c r="B351" t="s">
        <v>470</v>
      </c>
      <c r="C351" t="s">
        <v>157</v>
      </c>
      <c r="D351" t="s">
        <v>554</v>
      </c>
      <c r="E351" t="s">
        <v>158</v>
      </c>
      <c r="F351">
        <v>36.137529999999998</v>
      </c>
      <c r="G351">
        <v>-115.15479000000001</v>
      </c>
      <c r="I351" s="1">
        <v>110020039402</v>
      </c>
      <c r="J351">
        <v>7011</v>
      </c>
      <c r="K351" s="175" t="str">
        <f>INDEX('2022 SIC to NAICS'!B:B, MATCH('Processed Non-zero DMR Data'!$J351, '2022 SIC to NAICS'!$A:$A, 0))</f>
        <v>Hotels and Motels</v>
      </c>
      <c r="L351" s="175">
        <f>INDEX('2022 SIC to NAICS'!C:C, MATCH('Processed Non-zero DMR Data'!$J351, '2022 SIC to NAICS'!$A:$A, 0))</f>
        <v>721110</v>
      </c>
      <c r="M351" s="175" t="str">
        <f>INDEX('2022 SIC to NAICS'!D:D, MATCH('Processed Non-zero DMR Data'!$J351, '2022 SIC to NAICS'!$A:$A, 0))</f>
        <v xml:space="preserve">Hotels (except Casino Hotels) and Motels </v>
      </c>
      <c r="N351" s="90" t="str">
        <f>IFERROR(INDEX('NAICS Code to IS CDR Code'!B:B, MATCH('Processed Non-zero DMR Data'!L351,'NAICS Code to IS CDR Code'!A:A,0)), "NAICS/SIC Not Provided")</f>
        <v>IS47</v>
      </c>
      <c r="O351" s="91" t="str">
        <f>IFERROR(INDEX('NAICS Code to IS CDR Code'!C:C, MATCH('Processed Non-zero DMR Data'!L351,'NAICS Code to IS CDR Code'!A:A,0)), "NAICS/SIC Not Provided")</f>
        <v>Services</v>
      </c>
      <c r="P351" s="91" t="str">
        <f>INDEX('11DCA Mapping'!$K:$K, MATCH('Processed Non-zero DMR Data'!I584,'11DCA Mapping'!$J:$J,0))</f>
        <v>POTW</v>
      </c>
      <c r="Q351" s="91" t="str">
        <f>INDEX('11DCA Mapping'!$L:$L, MATCH('Processed Non-zero DMR Data'!I584,'11DCA Mapping'!$J:$J,0))</f>
        <v>Assigned POTW per "Facility Type Indicator"</v>
      </c>
      <c r="R351" s="91" t="str">
        <f>VLOOKUP(I351,'DMR POTW Flag'!$A$2:$B$960,2,FALSE)</f>
        <v>NON-POTW</v>
      </c>
      <c r="S351" s="7" t="s">
        <v>72</v>
      </c>
      <c r="T351" s="244" t="s">
        <v>909</v>
      </c>
      <c r="U351" s="8">
        <f>COUNTIFS('Raw Non-zero DMR Data'!$A:$A, 'Processed Non-zero DMR Data'!A351, 'Raw Non-zero DMR Data'!$C:$C, X351, 'Raw Non-zero DMR Data'!$U:$U,'Processed Non-zero DMR Data'!Y351)</f>
        <v>1</v>
      </c>
      <c r="V351" s="8">
        <f>COUNTIFS('Raw Non-zero DMR Data'!$A:$A, 'Processed Non-zero DMR Data'!A351, 'Raw Non-zero DMR Data'!$C:$C, X351, 'Raw Non-zero DMR Data'!$U:$U,'Processed Non-zero DMR Data'!Y351,'Raw Non-zero DMR Data'!$Z:$Z,"Yes")</f>
        <v>1</v>
      </c>
      <c r="W351">
        <v>3.3080986137137502E-3</v>
      </c>
      <c r="X351" t="s">
        <v>910</v>
      </c>
      <c r="Y351" t="s">
        <v>578</v>
      </c>
      <c r="Z351" s="257">
        <v>150100150604</v>
      </c>
    </row>
    <row r="352" spans="1:26" ht="15" customHeight="1" x14ac:dyDescent="0.25">
      <c r="A352">
        <v>2021</v>
      </c>
      <c r="B352" t="s">
        <v>240</v>
      </c>
      <c r="C352" t="s">
        <v>241</v>
      </c>
      <c r="D352" t="s">
        <v>669</v>
      </c>
      <c r="E352" t="s">
        <v>114</v>
      </c>
      <c r="F352">
        <v>29.378699999999998</v>
      </c>
      <c r="G352">
        <v>-98.551670000000001</v>
      </c>
      <c r="I352" s="1">
        <v>110042004915</v>
      </c>
      <c r="J352">
        <v>9711</v>
      </c>
      <c r="K352" s="175" t="str">
        <f>INDEX('2022 SIC to NAICS'!B:B, MATCH('Processed Non-zero DMR Data'!$J352, '2022 SIC to NAICS'!$A:$A, 0))</f>
        <v>National Security</v>
      </c>
      <c r="L352" s="175">
        <f>INDEX('2022 SIC to NAICS'!C:C, MATCH('Processed Non-zero DMR Data'!$J352, '2022 SIC to NAICS'!$A:$A, 0))</f>
        <v>928110</v>
      </c>
      <c r="M352" s="175" t="str">
        <f>INDEX('2022 SIC to NAICS'!D:D, MATCH('Processed Non-zero DMR Data'!$J352, '2022 SIC to NAICS'!$A:$A, 0))</f>
        <v xml:space="preserve">National Security </v>
      </c>
      <c r="N352" s="90" t="str">
        <f>IFERROR(INDEX('NAICS Code to IS CDR Code'!B:B, MATCH('Processed Non-zero DMR Data'!L352,'NAICS Code to IS CDR Code'!A:A,0)), "NAICS/SIC Not Provided")</f>
        <v>IS47</v>
      </c>
      <c r="O352" s="91" t="str">
        <f>IFERROR(INDEX('NAICS Code to IS CDR Code'!C:C, MATCH('Processed Non-zero DMR Data'!L352,'NAICS Code to IS CDR Code'!A:A,0)), "NAICS/SIC Not Provided")</f>
        <v>Services</v>
      </c>
      <c r="P352" s="91" t="e">
        <f>INDEX('11DCA Mapping'!$K:$K, MATCH('Processed Non-zero DMR Data'!I596,'11DCA Mapping'!$J:$J,0))</f>
        <v>#N/A</v>
      </c>
      <c r="Q352" s="91" t="e">
        <f>INDEX('11DCA Mapping'!$L:$L, MATCH('Processed Non-zero DMR Data'!I596,'11DCA Mapping'!$J:$J,0))</f>
        <v>#N/A</v>
      </c>
      <c r="R352" s="91" t="str">
        <f>VLOOKUP(I352,'DMR POTW Flag'!$A$2:$B$960,2,FALSE)</f>
        <v>FEDERAL</v>
      </c>
      <c r="S352" s="7" t="s">
        <v>72</v>
      </c>
      <c r="T352" s="7" t="s">
        <v>670</v>
      </c>
      <c r="U352" s="8">
        <f>COUNTIFS('Raw Non-zero DMR Data'!$A:$A, 'Processed Non-zero DMR Data'!A352, 'Raw Non-zero DMR Data'!$C:$C, X352, 'Raw Non-zero DMR Data'!$U:$U,'Processed Non-zero DMR Data'!Y352)</f>
        <v>1</v>
      </c>
      <c r="V352" s="8">
        <f>COUNTIFS('Raw Non-zero DMR Data'!$A:$A, 'Processed Non-zero DMR Data'!A352, 'Raw Non-zero DMR Data'!$C:$C, X352, 'Raw Non-zero DMR Data'!$U:$U,'Processed Non-zero DMR Data'!Y352,'Raw Non-zero DMR Data'!$Z:$Z,"Yes")</f>
        <v>1</v>
      </c>
      <c r="W352">
        <v>3.6077092752499998E-2</v>
      </c>
      <c r="X352" t="s">
        <v>671</v>
      </c>
      <c r="Y352" t="s">
        <v>672</v>
      </c>
      <c r="Z352" s="257">
        <v>121003010203</v>
      </c>
    </row>
    <row r="353" spans="1:26" ht="15" customHeight="1" x14ac:dyDescent="0.25">
      <c r="A353">
        <v>2020</v>
      </c>
      <c r="B353" t="s">
        <v>415</v>
      </c>
      <c r="C353" t="s">
        <v>157</v>
      </c>
      <c r="D353" t="s">
        <v>554</v>
      </c>
      <c r="E353" t="s">
        <v>158</v>
      </c>
      <c r="F353">
        <v>36.131489999999999</v>
      </c>
      <c r="G353">
        <v>-115.15483</v>
      </c>
      <c r="I353" s="1">
        <v>110059844156</v>
      </c>
      <c r="J353">
        <v>1799</v>
      </c>
      <c r="K353" s="175" t="str">
        <f>INDEX('2022 SIC to NAICS'!B:B, MATCH('Processed Non-zero DMR Data'!$J353, '2022 SIC to NAICS'!$A:$A, 0))</f>
        <v>Special Trade Contractors, Nec</v>
      </c>
      <c r="L353" s="175">
        <f>INDEX('2022 SIC to NAICS'!C:C, MATCH('Processed Non-zero DMR Data'!$J353, '2022 SIC to NAICS'!$A:$A, 0))</f>
        <v>236220</v>
      </c>
      <c r="M353" s="175" t="str">
        <f>INDEX('2022 SIC to NAICS'!D:D, MATCH('Processed Non-zero DMR Data'!$J353, '2022 SIC to NAICS'!$A:$A, 0))</f>
        <v xml:space="preserve">Commercial and Institutional Building Construction </v>
      </c>
      <c r="N353" s="90" t="str">
        <f>IFERROR(INDEX('NAICS Code to IS CDR Code'!B:B, MATCH('Processed Non-zero DMR Data'!L353,'NAICS Code to IS CDR Code'!A:A,0)), "NAICS/SIC Not Provided")</f>
        <v>IS5</v>
      </c>
      <c r="O353" s="91" t="str">
        <f>IFERROR(INDEX('NAICS Code to IS CDR Code'!C:C, MATCH('Processed Non-zero DMR Data'!L353,'NAICS Code to IS CDR Code'!A:A,0)), "NAICS/SIC Not Provided")</f>
        <v>Construction</v>
      </c>
      <c r="P353" s="91" t="e">
        <f>INDEX('11DCA Mapping'!$K:$K, MATCH('Processed Non-zero DMR Data'!I359,'11DCA Mapping'!$J:$J,0))</f>
        <v>#N/A</v>
      </c>
      <c r="Q353" s="91" t="e">
        <f>INDEX('11DCA Mapping'!$L:$L, MATCH('Processed Non-zero DMR Data'!I359,'11DCA Mapping'!$J:$J,0))</f>
        <v>#N/A</v>
      </c>
      <c r="R353" s="250" t="str">
        <f>VLOOKUP(I353,'DMR POTW Flag'!$A$2:$B$960,2,FALSE)</f>
        <v>NON-POTW</v>
      </c>
      <c r="S353" s="7" t="s">
        <v>71</v>
      </c>
      <c r="T353" s="7" t="s">
        <v>911</v>
      </c>
      <c r="U353" s="8">
        <f>COUNTIFS('Raw Non-zero DMR Data'!$A:$A, 'Processed Non-zero DMR Data'!A353, 'Raw Non-zero DMR Data'!$C:$C, X353, 'Raw Non-zero DMR Data'!$U:$U,'Processed Non-zero DMR Data'!Y353)</f>
        <v>2</v>
      </c>
      <c r="V353" s="8">
        <f>COUNTIFS('Raw Non-zero DMR Data'!$A:$A, 'Processed Non-zero DMR Data'!A353, 'Raw Non-zero DMR Data'!$C:$C, X353, 'Raw Non-zero DMR Data'!$U:$U,'Processed Non-zero DMR Data'!Y353,'Raw Non-zero DMR Data'!$Z:$Z,"Yes")</f>
        <v>2</v>
      </c>
      <c r="W353">
        <v>4.5219040156250001E-2</v>
      </c>
      <c r="X353" t="s">
        <v>912</v>
      </c>
      <c r="Y353" t="s">
        <v>578</v>
      </c>
      <c r="Z353" s="257">
        <v>150100150604</v>
      </c>
    </row>
    <row r="354" spans="1:26" ht="15" customHeight="1" x14ac:dyDescent="0.25">
      <c r="A354">
        <v>2020</v>
      </c>
      <c r="B354" t="s">
        <v>415</v>
      </c>
      <c r="C354" t="s">
        <v>157</v>
      </c>
      <c r="D354" t="s">
        <v>554</v>
      </c>
      <c r="E354" t="s">
        <v>158</v>
      </c>
      <c r="F354">
        <v>36.131489999999999</v>
      </c>
      <c r="G354">
        <v>-115.15483</v>
      </c>
      <c r="I354" s="1">
        <v>110059844156</v>
      </c>
      <c r="J354">
        <v>1799</v>
      </c>
      <c r="K354" s="175" t="str">
        <f>INDEX('2022 SIC to NAICS'!B:B, MATCH('Processed Non-zero DMR Data'!$J354, '2022 SIC to NAICS'!$A:$A, 0))</f>
        <v>Special Trade Contractors, Nec</v>
      </c>
      <c r="L354" s="175">
        <f>INDEX('2022 SIC to NAICS'!C:C, MATCH('Processed Non-zero DMR Data'!$J354, '2022 SIC to NAICS'!$A:$A, 0))</f>
        <v>236220</v>
      </c>
      <c r="M354" s="175" t="str">
        <f>INDEX('2022 SIC to NAICS'!D:D, MATCH('Processed Non-zero DMR Data'!$J354, '2022 SIC to NAICS'!$A:$A, 0))</f>
        <v xml:space="preserve">Commercial and Institutional Building Construction </v>
      </c>
      <c r="N354" s="90" t="str">
        <f>IFERROR(INDEX('NAICS Code to IS CDR Code'!B:B, MATCH('Processed Non-zero DMR Data'!L354,'NAICS Code to IS CDR Code'!A:A,0)), "NAICS/SIC Not Provided")</f>
        <v>IS5</v>
      </c>
      <c r="O354" s="91" t="str">
        <f>IFERROR(INDEX('NAICS Code to IS CDR Code'!C:C, MATCH('Processed Non-zero DMR Data'!L354,'NAICS Code to IS CDR Code'!A:A,0)), "NAICS/SIC Not Provided")</f>
        <v>Construction</v>
      </c>
      <c r="P354" s="91" t="str">
        <f>INDEX('11DCA Mapping'!$K:$K, MATCH('Processed Non-zero DMR Data'!I360,'11DCA Mapping'!$J:$J,0))</f>
        <v>POTW</v>
      </c>
      <c r="Q354" s="91" t="str">
        <f>INDEX('11DCA Mapping'!$L:$L, MATCH('Processed Non-zero DMR Data'!I360,'11DCA Mapping'!$J:$J,0))</f>
        <v>Based on DMR "Facility Type Indicator"</v>
      </c>
      <c r="R354" s="250" t="str">
        <f>VLOOKUP(I354,'DMR POTW Flag'!$A$2:$B$960,2,FALSE)</f>
        <v>NON-POTW</v>
      </c>
      <c r="S354" s="7" t="s">
        <v>71</v>
      </c>
      <c r="T354" s="7" t="s">
        <v>911</v>
      </c>
      <c r="U354" s="8">
        <f>COUNTIFS('Raw Non-zero DMR Data'!$A:$A, 'Processed Non-zero DMR Data'!A354, 'Raw Non-zero DMR Data'!$C:$C, X354, 'Raw Non-zero DMR Data'!$U:$U,'Processed Non-zero DMR Data'!Y354)</f>
        <v>2</v>
      </c>
      <c r="V354" s="8">
        <f>COUNTIFS('Raw Non-zero DMR Data'!$A:$A, 'Processed Non-zero DMR Data'!A354, 'Raw Non-zero DMR Data'!$C:$C, X354, 'Raw Non-zero DMR Data'!$U:$U,'Processed Non-zero DMR Data'!Y354,'Raw Non-zero DMR Data'!$Z:$Z,"Yes")</f>
        <v>2</v>
      </c>
      <c r="W354">
        <v>1.8325238362499999E-2</v>
      </c>
      <c r="X354" t="s">
        <v>912</v>
      </c>
      <c r="Y354" t="s">
        <v>578</v>
      </c>
      <c r="Z354" s="257">
        <v>150100150604</v>
      </c>
    </row>
    <row r="355" spans="1:26" ht="15" customHeight="1" x14ac:dyDescent="0.25">
      <c r="A355">
        <v>2021</v>
      </c>
      <c r="B355" t="s">
        <v>415</v>
      </c>
      <c r="C355" t="s">
        <v>157</v>
      </c>
      <c r="D355" t="s">
        <v>554</v>
      </c>
      <c r="E355" t="s">
        <v>158</v>
      </c>
      <c r="F355">
        <v>36.131489999999999</v>
      </c>
      <c r="G355">
        <v>-115.15483</v>
      </c>
      <c r="I355" s="1">
        <v>110059844156</v>
      </c>
      <c r="J355">
        <v>1799</v>
      </c>
      <c r="K355" s="175" t="str">
        <f>INDEX('2022 SIC to NAICS'!B:B, MATCH('Processed Non-zero DMR Data'!$J355, '2022 SIC to NAICS'!$A:$A, 0))</f>
        <v>Special Trade Contractors, Nec</v>
      </c>
      <c r="L355" s="175">
        <f>INDEX('2022 SIC to NAICS'!C:C, MATCH('Processed Non-zero DMR Data'!$J355, '2022 SIC to NAICS'!$A:$A, 0))</f>
        <v>236220</v>
      </c>
      <c r="M355" s="175" t="str">
        <f>INDEX('2022 SIC to NAICS'!D:D, MATCH('Processed Non-zero DMR Data'!$J355, '2022 SIC to NAICS'!$A:$A, 0))</f>
        <v xml:space="preserve">Commercial and Institutional Building Construction </v>
      </c>
      <c r="N355" s="90" t="str">
        <f>IFERROR(INDEX('NAICS Code to IS CDR Code'!B:B, MATCH('Processed Non-zero DMR Data'!L355,'NAICS Code to IS CDR Code'!A:A,0)), "NAICS/SIC Not Provided")</f>
        <v>IS5</v>
      </c>
      <c r="O355" s="91" t="str">
        <f>IFERROR(INDEX('NAICS Code to IS CDR Code'!C:C, MATCH('Processed Non-zero DMR Data'!L355,'NAICS Code to IS CDR Code'!A:A,0)), "NAICS/SIC Not Provided")</f>
        <v>Construction</v>
      </c>
      <c r="P355" s="91" t="str">
        <f>INDEX('11DCA Mapping'!$K:$K, MATCH('Processed Non-zero DMR Data'!I361,'11DCA Mapping'!$J:$J,0))</f>
        <v>POTW</v>
      </c>
      <c r="Q355" s="91" t="str">
        <f>INDEX('11DCA Mapping'!$L:$L, MATCH('Processed Non-zero DMR Data'!I361,'11DCA Mapping'!$J:$J,0))</f>
        <v>Assigned POTW per "Facility Type Indicator"</v>
      </c>
      <c r="R355" s="250" t="str">
        <f>VLOOKUP(I355,'DMR POTW Flag'!$A$2:$B$960,2,FALSE)</f>
        <v>NON-POTW</v>
      </c>
      <c r="S355" s="7" t="s">
        <v>71</v>
      </c>
      <c r="T355" s="7" t="s">
        <v>911</v>
      </c>
      <c r="U355" s="8">
        <f>COUNTIFS('Raw Non-zero DMR Data'!$A:$A, 'Processed Non-zero DMR Data'!A355, 'Raw Non-zero DMR Data'!$C:$C, X355, 'Raw Non-zero DMR Data'!$U:$U,'Processed Non-zero DMR Data'!Y355)</f>
        <v>2</v>
      </c>
      <c r="V355" s="8">
        <f>COUNTIFS('Raw Non-zero DMR Data'!$A:$A, 'Processed Non-zero DMR Data'!A355, 'Raw Non-zero DMR Data'!$C:$C, X355, 'Raw Non-zero DMR Data'!$U:$U,'Processed Non-zero DMR Data'!Y355,'Raw Non-zero DMR Data'!$Z:$Z,"Yes")</f>
        <v>2</v>
      </c>
      <c r="W355">
        <v>4.4369402281249998E-2</v>
      </c>
      <c r="X355" t="s">
        <v>912</v>
      </c>
      <c r="Y355" t="s">
        <v>578</v>
      </c>
      <c r="Z355" s="257">
        <v>150100150604</v>
      </c>
    </row>
    <row r="356" spans="1:26" ht="15" customHeight="1" x14ac:dyDescent="0.25">
      <c r="A356">
        <v>2023</v>
      </c>
      <c r="B356" t="s">
        <v>415</v>
      </c>
      <c r="C356" t="s">
        <v>157</v>
      </c>
      <c r="D356" t="s">
        <v>554</v>
      </c>
      <c r="E356" t="s">
        <v>158</v>
      </c>
      <c r="F356">
        <v>36.131489999999999</v>
      </c>
      <c r="G356">
        <v>-115.15483</v>
      </c>
      <c r="I356" s="1">
        <v>110059844156</v>
      </c>
      <c r="J356">
        <v>1799</v>
      </c>
      <c r="K356" s="175" t="str">
        <f>INDEX('2022 SIC to NAICS'!B:B, MATCH('Processed Non-zero DMR Data'!$J356, '2022 SIC to NAICS'!$A:$A, 0))</f>
        <v>Special Trade Contractors, Nec</v>
      </c>
      <c r="L356" s="175">
        <f>INDEX('2022 SIC to NAICS'!C:C, MATCH('Processed Non-zero DMR Data'!$J356, '2022 SIC to NAICS'!$A:$A, 0))</f>
        <v>236220</v>
      </c>
      <c r="M356" s="175" t="str">
        <f>INDEX('2022 SIC to NAICS'!D:D, MATCH('Processed Non-zero DMR Data'!$J356, '2022 SIC to NAICS'!$A:$A, 0))</f>
        <v xml:space="preserve">Commercial and Institutional Building Construction </v>
      </c>
      <c r="N356" s="90" t="str">
        <f>IFERROR(INDEX('NAICS Code to IS CDR Code'!B:B, MATCH('Processed Non-zero DMR Data'!L356,'NAICS Code to IS CDR Code'!A:A,0)), "NAICS/SIC Not Provided")</f>
        <v>IS5</v>
      </c>
      <c r="O356" s="91" t="str">
        <f>IFERROR(INDEX('NAICS Code to IS CDR Code'!C:C, MATCH('Processed Non-zero DMR Data'!L356,'NAICS Code to IS CDR Code'!A:A,0)), "NAICS/SIC Not Provided")</f>
        <v>Construction</v>
      </c>
      <c r="P356" s="91" t="str">
        <f>INDEX('11DCA Mapping'!$K:$K, MATCH('Processed Non-zero DMR Data'!I362,'11DCA Mapping'!$J:$J,0))</f>
        <v>POTW</v>
      </c>
      <c r="Q356" s="91" t="str">
        <f>INDEX('11DCA Mapping'!$L:$L, MATCH('Processed Non-zero DMR Data'!I362,'11DCA Mapping'!$J:$J,0))</f>
        <v>Assigned POTW per "Facility Type Indicator"</v>
      </c>
      <c r="R356" s="250" t="str">
        <f>VLOOKUP(I356,'DMR POTW Flag'!$A$2:$B$960,2,FALSE)</f>
        <v>NON-POTW</v>
      </c>
      <c r="S356" s="7" t="s">
        <v>71</v>
      </c>
      <c r="T356" s="7" t="s">
        <v>911</v>
      </c>
      <c r="U356" s="8">
        <f>COUNTIFS('Raw Non-zero DMR Data'!$A:$A, 'Processed Non-zero DMR Data'!A356, 'Raw Non-zero DMR Data'!$C:$C, X356, 'Raw Non-zero DMR Data'!$U:$U,'Processed Non-zero DMR Data'!Y356)</f>
        <v>2</v>
      </c>
      <c r="V356" s="8">
        <f>COUNTIFS('Raw Non-zero DMR Data'!$A:$A, 'Processed Non-zero DMR Data'!A356, 'Raw Non-zero DMR Data'!$C:$C, X356, 'Raw Non-zero DMR Data'!$U:$U,'Processed Non-zero DMR Data'!Y356,'Raw Non-zero DMR Data'!$Z:$Z,"Yes")</f>
        <v>2</v>
      </c>
      <c r="W356">
        <v>3.7662098406249997E-2</v>
      </c>
      <c r="X356" t="s">
        <v>912</v>
      </c>
      <c r="Y356" t="s">
        <v>578</v>
      </c>
      <c r="Z356" s="257">
        <v>150100150604</v>
      </c>
    </row>
    <row r="357" spans="1:26" ht="15" customHeight="1" x14ac:dyDescent="0.25">
      <c r="A357">
        <v>2023</v>
      </c>
      <c r="B357" t="s">
        <v>415</v>
      </c>
      <c r="C357" t="s">
        <v>157</v>
      </c>
      <c r="D357" t="s">
        <v>554</v>
      </c>
      <c r="E357" t="s">
        <v>158</v>
      </c>
      <c r="F357">
        <v>36.131489999999999</v>
      </c>
      <c r="G357">
        <v>-115.15483</v>
      </c>
      <c r="I357" s="1">
        <v>110059844156</v>
      </c>
      <c r="J357">
        <v>1799</v>
      </c>
      <c r="K357" s="175" t="str">
        <f>INDEX('2022 SIC to NAICS'!B:B, MATCH('Processed Non-zero DMR Data'!$J357, '2022 SIC to NAICS'!$A:$A, 0))</f>
        <v>Special Trade Contractors, Nec</v>
      </c>
      <c r="L357" s="175">
        <f>INDEX('2022 SIC to NAICS'!C:C, MATCH('Processed Non-zero DMR Data'!$J357, '2022 SIC to NAICS'!$A:$A, 0))</f>
        <v>236220</v>
      </c>
      <c r="M357" s="175" t="str">
        <f>INDEX('2022 SIC to NAICS'!D:D, MATCH('Processed Non-zero DMR Data'!$J357, '2022 SIC to NAICS'!$A:$A, 0))</f>
        <v xml:space="preserve">Commercial and Institutional Building Construction </v>
      </c>
      <c r="N357" s="90" t="str">
        <f>IFERROR(INDEX('NAICS Code to IS CDR Code'!B:B, MATCH('Processed Non-zero DMR Data'!L357,'NAICS Code to IS CDR Code'!A:A,0)), "NAICS/SIC Not Provided")</f>
        <v>IS5</v>
      </c>
      <c r="O357" s="91" t="str">
        <f>IFERROR(INDEX('NAICS Code to IS CDR Code'!C:C, MATCH('Processed Non-zero DMR Data'!L357,'NAICS Code to IS CDR Code'!A:A,0)), "NAICS/SIC Not Provided")</f>
        <v>Construction</v>
      </c>
      <c r="P357" s="91" t="e">
        <f>INDEX('11DCA Mapping'!$K:$K, MATCH('Processed Non-zero DMR Data'!I363,'11DCA Mapping'!$J:$J,0))</f>
        <v>#N/A</v>
      </c>
      <c r="Q357" s="91" t="e">
        <f>INDEX('11DCA Mapping'!$L:$L, MATCH('Processed Non-zero DMR Data'!I363,'11DCA Mapping'!$J:$J,0))</f>
        <v>#N/A</v>
      </c>
      <c r="R357" s="250" t="str">
        <f>VLOOKUP(I357,'DMR POTW Flag'!$A$2:$B$960,2,FALSE)</f>
        <v>NON-POTW</v>
      </c>
      <c r="S357" s="7" t="s">
        <v>71</v>
      </c>
      <c r="T357" s="7" t="s">
        <v>911</v>
      </c>
      <c r="U357" s="8">
        <f>COUNTIFS('Raw Non-zero DMR Data'!$A:$A, 'Processed Non-zero DMR Data'!A357, 'Raw Non-zero DMR Data'!$C:$C, X357, 'Raw Non-zero DMR Data'!$U:$U,'Processed Non-zero DMR Data'!Y357)</f>
        <v>2</v>
      </c>
      <c r="V357" s="8">
        <f>COUNTIFS('Raw Non-zero DMR Data'!$A:$A, 'Processed Non-zero DMR Data'!A357, 'Raw Non-zero DMR Data'!$C:$C, X357, 'Raw Non-zero DMR Data'!$U:$U,'Processed Non-zero DMR Data'!Y357,'Raw Non-zero DMR Data'!$Z:$Z,"Yes")</f>
        <v>2</v>
      </c>
      <c r="W357">
        <v>4.09242243125E-2</v>
      </c>
      <c r="X357" t="s">
        <v>912</v>
      </c>
      <c r="Y357" t="s">
        <v>578</v>
      </c>
      <c r="Z357" s="257">
        <v>150100150604</v>
      </c>
    </row>
    <row r="358" spans="1:26" ht="15" customHeight="1" x14ac:dyDescent="0.25">
      <c r="A358">
        <v>2022</v>
      </c>
      <c r="B358" t="s">
        <v>508</v>
      </c>
      <c r="C358" t="s">
        <v>509</v>
      </c>
      <c r="D358" t="s">
        <v>913</v>
      </c>
      <c r="E358" t="s">
        <v>146</v>
      </c>
      <c r="F358">
        <v>40.638300000000001</v>
      </c>
      <c r="G358">
        <v>-124.22553000000001</v>
      </c>
      <c r="I358" s="1">
        <v>110010059649</v>
      </c>
      <c r="J358">
        <v>4952</v>
      </c>
      <c r="K358" s="175" t="str">
        <f>INDEX('2022 SIC to NAICS'!B:B, MATCH('Processed Non-zero DMR Data'!$J358, '2022 SIC to NAICS'!$A:$A, 0))</f>
        <v>Sewerage Systems</v>
      </c>
      <c r="L358" s="175">
        <f>INDEX('2022 SIC to NAICS'!C:C, MATCH('Processed Non-zero DMR Data'!$J358, '2022 SIC to NAICS'!$A:$A, 0))</f>
        <v>221320</v>
      </c>
      <c r="M358" s="175" t="str">
        <f>INDEX('2022 SIC to NAICS'!D:D, MATCH('Processed Non-zero DMR Data'!$J358, '2022 SIC to NAICS'!$A:$A, 0))</f>
        <v xml:space="preserve">Sewage Treatment Facilities </v>
      </c>
      <c r="N358" s="90" t="str">
        <f>IFERROR(INDEX('NAICS Code to IS CDR Code'!B:B, MATCH('Processed Non-zero DMR Data'!L358,'NAICS Code to IS CDR Code'!A:A,0)), "NAICS/SIC Not Provided")</f>
        <v>IS4</v>
      </c>
      <c r="O358" s="91" t="str">
        <f>IFERROR(INDEX('NAICS Code to IS CDR Code'!C:C, MATCH('Processed Non-zero DMR Data'!L358,'NAICS Code to IS CDR Code'!A:A,0)), "NAICS/SIC Not Provided")</f>
        <v>Utilities</v>
      </c>
      <c r="P358" s="91" t="str">
        <f>INDEX('11DCA Mapping'!$K:$K, MATCH('Processed Non-zero DMR Data'!I364,'11DCA Mapping'!$J:$J,0))</f>
        <v>POTW</v>
      </c>
      <c r="Q358" s="91" t="str">
        <f>INDEX('11DCA Mapping'!$L:$L, MATCH('Processed Non-zero DMR Data'!I364,'11DCA Mapping'!$J:$J,0))</f>
        <v>Assigned POTW per "Facility Type Indicator"</v>
      </c>
      <c r="R358" s="250" t="str">
        <f>VLOOKUP(I358,'DMR POTW Flag'!$A$2:$B$960,2,FALSE)</f>
        <v>POTW</v>
      </c>
      <c r="S358" s="7" t="s">
        <v>67</v>
      </c>
      <c r="T358" s="249" t="s">
        <v>586</v>
      </c>
      <c r="U358" s="8">
        <f>COUNTIFS('Raw Non-zero DMR Data'!$A:$A, 'Processed Non-zero DMR Data'!A358, 'Raw Non-zero DMR Data'!$C:$C, X358, 'Raw Non-zero DMR Data'!$U:$U,'Processed Non-zero DMR Data'!Y358)</f>
        <v>1</v>
      </c>
      <c r="V358" s="8">
        <f>COUNTIFS('Raw Non-zero DMR Data'!$A:$A, 'Processed Non-zero DMR Data'!A358, 'Raw Non-zero DMR Data'!$C:$C, X358, 'Raw Non-zero DMR Data'!$U:$U,'Processed Non-zero DMR Data'!Y358,'Raw Non-zero DMR Data'!$Z:$Z,"Yes")</f>
        <v>1</v>
      </c>
      <c r="W358">
        <v>6.8385487499999995E-2</v>
      </c>
      <c r="X358" t="s">
        <v>914</v>
      </c>
      <c r="Y358" t="s">
        <v>915</v>
      </c>
      <c r="Z358" s="257">
        <v>180101051102</v>
      </c>
    </row>
    <row r="359" spans="1:26" ht="15" customHeight="1" x14ac:dyDescent="0.25">
      <c r="A359">
        <v>2023</v>
      </c>
      <c r="B359" t="s">
        <v>508</v>
      </c>
      <c r="C359" t="s">
        <v>509</v>
      </c>
      <c r="D359" t="s">
        <v>913</v>
      </c>
      <c r="E359" t="s">
        <v>146</v>
      </c>
      <c r="F359">
        <v>40.638300000000001</v>
      </c>
      <c r="G359">
        <v>-124.22553000000001</v>
      </c>
      <c r="I359" s="1">
        <v>110010059649</v>
      </c>
      <c r="J359">
        <v>4952</v>
      </c>
      <c r="K359" s="175" t="str">
        <f>INDEX('2022 SIC to NAICS'!B:B, MATCH('Processed Non-zero DMR Data'!$J359, '2022 SIC to NAICS'!$A:$A, 0))</f>
        <v>Sewerage Systems</v>
      </c>
      <c r="L359" s="175">
        <f>INDEX('2022 SIC to NAICS'!C:C, MATCH('Processed Non-zero DMR Data'!$J359, '2022 SIC to NAICS'!$A:$A, 0))</f>
        <v>221320</v>
      </c>
      <c r="M359" s="175" t="str">
        <f>INDEX('2022 SIC to NAICS'!D:D, MATCH('Processed Non-zero DMR Data'!$J359, '2022 SIC to NAICS'!$A:$A, 0))</f>
        <v xml:space="preserve">Sewage Treatment Facilities </v>
      </c>
      <c r="N359" s="90" t="str">
        <f>IFERROR(INDEX('NAICS Code to IS CDR Code'!B:B, MATCH('Processed Non-zero DMR Data'!L359,'NAICS Code to IS CDR Code'!A:A,0)), "NAICS/SIC Not Provided")</f>
        <v>IS4</v>
      </c>
      <c r="O359" s="91" t="str">
        <f>IFERROR(INDEX('NAICS Code to IS CDR Code'!C:C, MATCH('Processed Non-zero DMR Data'!L359,'NAICS Code to IS CDR Code'!A:A,0)), "NAICS/SIC Not Provided")</f>
        <v>Utilities</v>
      </c>
      <c r="P359" s="91" t="str">
        <f>INDEX('11DCA Mapping'!$K:$K, MATCH('Processed Non-zero DMR Data'!I365,'11DCA Mapping'!$J:$J,0))</f>
        <v>POTW</v>
      </c>
      <c r="Q359" s="91" t="str">
        <f>INDEX('11DCA Mapping'!$L:$L, MATCH('Processed Non-zero DMR Data'!I365,'11DCA Mapping'!$J:$J,0))</f>
        <v>Assigned POTW per "Facility Type Indicator"</v>
      </c>
      <c r="R359" s="250" t="str">
        <f>VLOOKUP(I359,'DMR POTW Flag'!$A$2:$B$960,2,FALSE)</f>
        <v>POTW</v>
      </c>
      <c r="S359" s="7" t="s">
        <v>67</v>
      </c>
      <c r="T359" s="249" t="s">
        <v>586</v>
      </c>
      <c r="U359" s="8">
        <f>COUNTIFS('Raw Non-zero DMR Data'!$A:$A, 'Processed Non-zero DMR Data'!A359, 'Raw Non-zero DMR Data'!$C:$C, X359, 'Raw Non-zero DMR Data'!$U:$U,'Processed Non-zero DMR Data'!Y359)</f>
        <v>1</v>
      </c>
      <c r="V359" s="8">
        <f>COUNTIFS('Raw Non-zero DMR Data'!$A:$A, 'Processed Non-zero DMR Data'!A359, 'Raw Non-zero DMR Data'!$C:$C, X359, 'Raw Non-zero DMR Data'!$U:$U,'Processed Non-zero DMR Data'!Y359,'Raw Non-zero DMR Data'!$Z:$Z,"Yes")</f>
        <v>1</v>
      </c>
      <c r="W359">
        <v>1.222649625E-2</v>
      </c>
      <c r="X359" t="s">
        <v>914</v>
      </c>
      <c r="Y359" t="s">
        <v>915</v>
      </c>
      <c r="Z359" s="257">
        <v>180101051102</v>
      </c>
    </row>
    <row r="360" spans="1:26" ht="15" customHeight="1" x14ac:dyDescent="0.25">
      <c r="A360">
        <v>2019</v>
      </c>
      <c r="B360" t="s">
        <v>225</v>
      </c>
      <c r="C360" t="s">
        <v>226</v>
      </c>
      <c r="D360" t="s">
        <v>916</v>
      </c>
      <c r="E360" t="s">
        <v>146</v>
      </c>
      <c r="F360">
        <v>34.661079999999998</v>
      </c>
      <c r="G360">
        <v>-120.48135000000001</v>
      </c>
      <c r="I360" s="1">
        <v>110009547222</v>
      </c>
      <c r="J360">
        <v>4952</v>
      </c>
      <c r="K360" s="175" t="str">
        <f>INDEX('2022 SIC to NAICS'!B:B, MATCH('Processed Non-zero DMR Data'!$J360, '2022 SIC to NAICS'!$A:$A, 0))</f>
        <v>Sewerage Systems</v>
      </c>
      <c r="L360" s="175">
        <f>INDEX('2022 SIC to NAICS'!C:C, MATCH('Processed Non-zero DMR Data'!$J360, '2022 SIC to NAICS'!$A:$A, 0))</f>
        <v>221320</v>
      </c>
      <c r="M360" s="175" t="str">
        <f>INDEX('2022 SIC to NAICS'!D:D, MATCH('Processed Non-zero DMR Data'!$J360, '2022 SIC to NAICS'!$A:$A, 0))</f>
        <v xml:space="preserve">Sewage Treatment Facilities </v>
      </c>
      <c r="N360" s="90" t="str">
        <f>IFERROR(INDEX('NAICS Code to IS CDR Code'!B:B, MATCH('Processed Non-zero DMR Data'!L360,'NAICS Code to IS CDR Code'!A:A,0)), "NAICS/SIC Not Provided")</f>
        <v>IS4</v>
      </c>
      <c r="O360" s="91" t="str">
        <f>IFERROR(INDEX('NAICS Code to IS CDR Code'!C:C, MATCH('Processed Non-zero DMR Data'!L360,'NAICS Code to IS CDR Code'!A:A,0)), "NAICS/SIC Not Provided")</f>
        <v>Utilities</v>
      </c>
      <c r="P360" s="91" t="str">
        <f>INDEX('11DCA Mapping'!$K:$K, MATCH('Processed Non-zero DMR Data'!I366,'11DCA Mapping'!$J:$J,0))</f>
        <v>POTW</v>
      </c>
      <c r="Q360" s="91" t="str">
        <f>INDEX('11DCA Mapping'!$L:$L, MATCH('Processed Non-zero DMR Data'!I366,'11DCA Mapping'!$J:$J,0))</f>
        <v>Assigned POTW per "Facility Type Indicator"</v>
      </c>
      <c r="R360" s="250" t="str">
        <f>VLOOKUP(I360,'DMR POTW Flag'!$A$2:$B$960,2,FALSE)</f>
        <v>POTW</v>
      </c>
      <c r="S360" s="7" t="s">
        <v>67</v>
      </c>
      <c r="T360" s="249" t="s">
        <v>586</v>
      </c>
      <c r="U360" s="8">
        <f>COUNTIFS('Raw Non-zero DMR Data'!$A:$A, 'Processed Non-zero DMR Data'!A360, 'Raw Non-zero DMR Data'!$C:$C, X360, 'Raw Non-zero DMR Data'!$U:$U,'Processed Non-zero DMR Data'!Y360)</f>
        <v>1</v>
      </c>
      <c r="V360" s="8">
        <f>COUNTIFS('Raw Non-zero DMR Data'!$A:$A, 'Processed Non-zero DMR Data'!A360, 'Raw Non-zero DMR Data'!$C:$C, X360, 'Raw Non-zero DMR Data'!$U:$U,'Processed Non-zero DMR Data'!Y360,'Raw Non-zero DMR Data'!$Z:$Z,"Yes")</f>
        <v>1</v>
      </c>
      <c r="W360">
        <v>1.0603204374999999</v>
      </c>
      <c r="X360" t="s">
        <v>917</v>
      </c>
      <c r="Y360" t="s">
        <v>918</v>
      </c>
      <c r="Z360" s="257">
        <v>180600100703</v>
      </c>
    </row>
    <row r="361" spans="1:26" ht="15" customHeight="1" x14ac:dyDescent="0.25">
      <c r="A361">
        <v>2020</v>
      </c>
      <c r="B361" t="s">
        <v>421</v>
      </c>
      <c r="C361" t="s">
        <v>422</v>
      </c>
      <c r="D361" t="s">
        <v>919</v>
      </c>
      <c r="E361" t="s">
        <v>138</v>
      </c>
      <c r="F361">
        <v>37.106380000000001</v>
      </c>
      <c r="G361">
        <v>-84.066829999999996</v>
      </c>
      <c r="I361" s="1">
        <v>110000557013</v>
      </c>
      <c r="J361">
        <v>4952</v>
      </c>
      <c r="K361" s="175" t="str">
        <f>INDEX('2022 SIC to NAICS'!B:B, MATCH('Processed Non-zero DMR Data'!$J361, '2022 SIC to NAICS'!$A:$A, 0))</f>
        <v>Sewerage Systems</v>
      </c>
      <c r="L361" s="175">
        <f>INDEX('2022 SIC to NAICS'!C:C, MATCH('Processed Non-zero DMR Data'!$J361, '2022 SIC to NAICS'!$A:$A, 0))</f>
        <v>221320</v>
      </c>
      <c r="M361" s="175" t="str">
        <f>INDEX('2022 SIC to NAICS'!D:D, MATCH('Processed Non-zero DMR Data'!$J361, '2022 SIC to NAICS'!$A:$A, 0))</f>
        <v xml:space="preserve">Sewage Treatment Facilities </v>
      </c>
      <c r="N361" s="90" t="str">
        <f>IFERROR(INDEX('NAICS Code to IS CDR Code'!B:B, MATCH('Processed Non-zero DMR Data'!L361,'NAICS Code to IS CDR Code'!A:A,0)), "NAICS/SIC Not Provided")</f>
        <v>IS4</v>
      </c>
      <c r="O361" s="91" t="str">
        <f>IFERROR(INDEX('NAICS Code to IS CDR Code'!C:C, MATCH('Processed Non-zero DMR Data'!L361,'NAICS Code to IS CDR Code'!A:A,0)), "NAICS/SIC Not Provided")</f>
        <v>Utilities</v>
      </c>
      <c r="P361" s="91" t="str">
        <f>INDEX('11DCA Mapping'!$K:$K, MATCH('Processed Non-zero DMR Data'!I367,'11DCA Mapping'!$J:$J,0))</f>
        <v>POTW</v>
      </c>
      <c r="Q361" s="91" t="str">
        <f>INDEX('11DCA Mapping'!$L:$L, MATCH('Processed Non-zero DMR Data'!I367,'11DCA Mapping'!$J:$J,0))</f>
        <v>Assigned POTW per "Facility Type Indicator"</v>
      </c>
      <c r="R361" s="250" t="str">
        <f>VLOOKUP(I361,'DMR POTW Flag'!$A$2:$B$960,2,FALSE)</f>
        <v>POTW</v>
      </c>
      <c r="S361" s="7" t="s">
        <v>67</v>
      </c>
      <c r="T361" s="249" t="s">
        <v>586</v>
      </c>
      <c r="U361" s="8">
        <f>COUNTIFS('Raw Non-zero DMR Data'!$A:$A, 'Processed Non-zero DMR Data'!A361, 'Raw Non-zero DMR Data'!$C:$C, X361, 'Raw Non-zero DMR Data'!$U:$U,'Processed Non-zero DMR Data'!Y361)</f>
        <v>1</v>
      </c>
      <c r="V361" s="8">
        <f>COUNTIFS('Raw Non-zero DMR Data'!$A:$A, 'Processed Non-zero DMR Data'!A361, 'Raw Non-zero DMR Data'!$C:$C, X361, 'Raw Non-zero DMR Data'!$U:$U,'Processed Non-zero DMR Data'!Y361,'Raw Non-zero DMR Data'!$Z:$Z,"Yes")</f>
        <v>1</v>
      </c>
      <c r="W361">
        <v>2.8348892999999999</v>
      </c>
      <c r="X361" t="s">
        <v>920</v>
      </c>
      <c r="Y361" t="s">
        <v>921</v>
      </c>
      <c r="Z361" s="257">
        <v>51301010802</v>
      </c>
    </row>
    <row r="362" spans="1:26" ht="15" customHeight="1" x14ac:dyDescent="0.25">
      <c r="A362">
        <v>2021</v>
      </c>
      <c r="B362" t="s">
        <v>421</v>
      </c>
      <c r="C362" t="s">
        <v>422</v>
      </c>
      <c r="D362" t="s">
        <v>919</v>
      </c>
      <c r="E362" t="s">
        <v>138</v>
      </c>
      <c r="F362">
        <v>37.106380000000001</v>
      </c>
      <c r="G362">
        <v>-84.066829999999996</v>
      </c>
      <c r="I362" s="1">
        <v>110000557013</v>
      </c>
      <c r="J362">
        <v>4952</v>
      </c>
      <c r="K362" s="175" t="str">
        <f>INDEX('2022 SIC to NAICS'!B:B, MATCH('Processed Non-zero DMR Data'!$J362, '2022 SIC to NAICS'!$A:$A, 0))</f>
        <v>Sewerage Systems</v>
      </c>
      <c r="L362" s="175">
        <f>INDEX('2022 SIC to NAICS'!C:C, MATCH('Processed Non-zero DMR Data'!$J362, '2022 SIC to NAICS'!$A:$A, 0))</f>
        <v>221320</v>
      </c>
      <c r="M362" s="175" t="str">
        <f>INDEX('2022 SIC to NAICS'!D:D, MATCH('Processed Non-zero DMR Data'!$J362, '2022 SIC to NAICS'!$A:$A, 0))</f>
        <v xml:space="preserve">Sewage Treatment Facilities </v>
      </c>
      <c r="N362" s="90" t="str">
        <f>IFERROR(INDEX('NAICS Code to IS CDR Code'!B:B, MATCH('Processed Non-zero DMR Data'!L362,'NAICS Code to IS CDR Code'!A:A,0)), "NAICS/SIC Not Provided")</f>
        <v>IS4</v>
      </c>
      <c r="O362" s="91" t="str">
        <f>IFERROR(INDEX('NAICS Code to IS CDR Code'!C:C, MATCH('Processed Non-zero DMR Data'!L362,'NAICS Code to IS CDR Code'!A:A,0)), "NAICS/SIC Not Provided")</f>
        <v>Utilities</v>
      </c>
      <c r="P362" s="91" t="str">
        <f>INDEX('11DCA Mapping'!$K:$K, MATCH('Processed Non-zero DMR Data'!I368,'11DCA Mapping'!$J:$J,0))</f>
        <v>POTW</v>
      </c>
      <c r="Q362" s="91" t="str">
        <f>INDEX('11DCA Mapping'!$L:$L, MATCH('Processed Non-zero DMR Data'!I368,'11DCA Mapping'!$J:$J,0))</f>
        <v>Assigned POTW per "Facility Type Indicator"</v>
      </c>
      <c r="R362" s="250" t="str">
        <f>VLOOKUP(I362,'DMR POTW Flag'!$A$2:$B$960,2,FALSE)</f>
        <v>POTW</v>
      </c>
      <c r="S362" s="7" t="s">
        <v>67</v>
      </c>
      <c r="T362" s="249" t="s">
        <v>586</v>
      </c>
      <c r="U362" s="8">
        <f>COUNTIFS('Raw Non-zero DMR Data'!$A:$A, 'Processed Non-zero DMR Data'!A362, 'Raw Non-zero DMR Data'!$C:$C, X362, 'Raw Non-zero DMR Data'!$U:$U,'Processed Non-zero DMR Data'!Y362)</f>
        <v>1</v>
      </c>
      <c r="V362" s="8">
        <f>COUNTIFS('Raw Non-zero DMR Data'!$A:$A, 'Processed Non-zero DMR Data'!A362, 'Raw Non-zero DMR Data'!$C:$C, X362, 'Raw Non-zero DMR Data'!$U:$U,'Processed Non-zero DMR Data'!Y362,'Raw Non-zero DMR Data'!$Z:$Z,"Yes")</f>
        <v>1</v>
      </c>
      <c r="W362">
        <v>2.1586328125000001</v>
      </c>
      <c r="X362" t="s">
        <v>920</v>
      </c>
      <c r="Y362" t="s">
        <v>921</v>
      </c>
      <c r="Z362" s="257">
        <v>51301010802</v>
      </c>
    </row>
    <row r="363" spans="1:26" ht="15" customHeight="1" x14ac:dyDescent="0.25">
      <c r="A363">
        <v>2019</v>
      </c>
      <c r="B363" t="s">
        <v>198</v>
      </c>
      <c r="C363" t="s">
        <v>175</v>
      </c>
      <c r="D363" t="s">
        <v>630</v>
      </c>
      <c r="E363" t="s">
        <v>106</v>
      </c>
      <c r="F363">
        <v>30.214192000000001</v>
      </c>
      <c r="G363">
        <v>-93.308589999999995</v>
      </c>
      <c r="I363" s="1">
        <v>110070208769</v>
      </c>
      <c r="J363">
        <v>2869</v>
      </c>
      <c r="K363" s="175" t="str">
        <f>INDEX('2022 SIC to NAICS'!B:B, MATCH('Processed Non-zero DMR Data'!$J363, '2022 SIC to NAICS'!$A:$A, 0))</f>
        <v>Industrial Organic Chemicals, Nec</v>
      </c>
      <c r="L363" s="175">
        <f>INDEX('2022 SIC to NAICS'!C:C, MATCH('Processed Non-zero DMR Data'!$J363, '2022 SIC to NAICS'!$A:$A, 0))</f>
        <v>325110</v>
      </c>
      <c r="M363" s="175" t="str">
        <f>INDEX('2022 SIC to NAICS'!D:D, MATCH('Processed Non-zero DMR Data'!$J363, '2022 SIC to NAICS'!$A:$A, 0))</f>
        <v>Petrochemical Manufacturing</v>
      </c>
      <c r="N363" s="90" t="str">
        <f>IFERROR(INDEX('NAICS Code to IS CDR Code'!B:B, MATCH('Processed Non-zero DMR Data'!L363,'NAICS Code to IS CDR Code'!A:A,0)), "NAICS/SIC Not Provided")</f>
        <v>IS15</v>
      </c>
      <c r="O363" s="91" t="str">
        <f>IFERROR(INDEX('NAICS Code to IS CDR Code'!C:C, MATCH('Processed Non-zero DMR Data'!L363,'NAICS Code to IS CDR Code'!A:A,0)), "NAICS/SIC Not Provided")</f>
        <v>Petrochemical Manufacturing</v>
      </c>
      <c r="P363" s="91" t="str">
        <f>INDEX('11DCA Mapping'!$K:$K, MATCH('Processed Non-zero DMR Data'!I369,'11DCA Mapping'!$J:$J,0))</f>
        <v>POTW</v>
      </c>
      <c r="Q363" s="91" t="str">
        <f>INDEX('11DCA Mapping'!$L:$L, MATCH('Processed Non-zero DMR Data'!I369,'11DCA Mapping'!$J:$J,0))</f>
        <v>Assigned POTW per "Facility Type Indicator"</v>
      </c>
      <c r="R363" s="250" t="str">
        <f>VLOOKUP(I363,'DMR POTW Flag'!$A$2:$B$960,2,FALSE)</f>
        <v>NON-POTW</v>
      </c>
      <c r="S363" s="7" t="s">
        <v>62</v>
      </c>
      <c r="T363" s="7" t="s">
        <v>876</v>
      </c>
      <c r="U363" s="8">
        <f>COUNTIFS('Raw Non-zero DMR Data'!$A:$A, 'Processed Non-zero DMR Data'!A363, 'Raw Non-zero DMR Data'!$C:$C, X363, 'Raw Non-zero DMR Data'!$U:$U,'Processed Non-zero DMR Data'!Y363)</f>
        <v>1</v>
      </c>
      <c r="V363" s="8">
        <f>COUNTIFS('Raw Non-zero DMR Data'!$A:$A, 'Processed Non-zero DMR Data'!A363, 'Raw Non-zero DMR Data'!$C:$C, X363, 'Raw Non-zero DMR Data'!$U:$U,'Processed Non-zero DMR Data'!Y363,'Raw Non-zero DMR Data'!$Z:$Z,"Yes")</f>
        <v>1</v>
      </c>
      <c r="W363">
        <v>4.8884449999999999</v>
      </c>
      <c r="X363" t="s">
        <v>922</v>
      </c>
      <c r="Y363" t="s">
        <v>767</v>
      </c>
      <c r="Z363" s="257">
        <v>80802060301</v>
      </c>
    </row>
    <row r="364" spans="1:26" ht="15" customHeight="1" x14ac:dyDescent="0.25">
      <c r="A364">
        <v>2020</v>
      </c>
      <c r="B364" t="s">
        <v>433</v>
      </c>
      <c r="C364" t="s">
        <v>434</v>
      </c>
      <c r="D364" t="s">
        <v>923</v>
      </c>
      <c r="E364" t="s">
        <v>138</v>
      </c>
      <c r="F364">
        <v>37.318492999999997</v>
      </c>
      <c r="G364">
        <v>-87.549857000000003</v>
      </c>
      <c r="I364" s="1">
        <v>110002041380</v>
      </c>
      <c r="J364">
        <v>4952</v>
      </c>
      <c r="K364" s="175" t="str">
        <f>INDEX('2022 SIC to NAICS'!B:B, MATCH('Processed Non-zero DMR Data'!$J364, '2022 SIC to NAICS'!$A:$A, 0))</f>
        <v>Sewerage Systems</v>
      </c>
      <c r="L364" s="175">
        <f>INDEX('2022 SIC to NAICS'!C:C, MATCH('Processed Non-zero DMR Data'!$J364, '2022 SIC to NAICS'!$A:$A, 0))</f>
        <v>221320</v>
      </c>
      <c r="M364" s="175" t="str">
        <f>INDEX('2022 SIC to NAICS'!D:D, MATCH('Processed Non-zero DMR Data'!$J364, '2022 SIC to NAICS'!$A:$A, 0))</f>
        <v xml:space="preserve">Sewage Treatment Facilities </v>
      </c>
      <c r="N364" s="90" t="str">
        <f>IFERROR(INDEX('NAICS Code to IS CDR Code'!B:B, MATCH('Processed Non-zero DMR Data'!L364,'NAICS Code to IS CDR Code'!A:A,0)), "NAICS/SIC Not Provided")</f>
        <v>IS4</v>
      </c>
      <c r="O364" s="91" t="str">
        <f>IFERROR(INDEX('NAICS Code to IS CDR Code'!C:C, MATCH('Processed Non-zero DMR Data'!L364,'NAICS Code to IS CDR Code'!A:A,0)), "NAICS/SIC Not Provided")</f>
        <v>Utilities</v>
      </c>
      <c r="P364" s="91" t="e">
        <f>INDEX('11DCA Mapping'!$K:$K, MATCH('Processed Non-zero DMR Data'!I370,'11DCA Mapping'!$J:$J,0))</f>
        <v>#N/A</v>
      </c>
      <c r="Q364" s="91" t="e">
        <f>INDEX('11DCA Mapping'!$L:$L, MATCH('Processed Non-zero DMR Data'!I370,'11DCA Mapping'!$J:$J,0))</f>
        <v>#N/A</v>
      </c>
      <c r="R364" s="250" t="str">
        <f>VLOOKUP(I364,'DMR POTW Flag'!$A$2:$B$960,2,FALSE)</f>
        <v>POTW</v>
      </c>
      <c r="S364" s="7" t="s">
        <v>67</v>
      </c>
      <c r="T364" s="249" t="s">
        <v>586</v>
      </c>
      <c r="U364" s="8">
        <f>COUNTIFS('Raw Non-zero DMR Data'!$A:$A, 'Processed Non-zero DMR Data'!A364, 'Raw Non-zero DMR Data'!$C:$C, X364, 'Raw Non-zero DMR Data'!$U:$U,'Processed Non-zero DMR Data'!Y364)</f>
        <v>1</v>
      </c>
      <c r="V364" s="8">
        <f>COUNTIFS('Raw Non-zero DMR Data'!$A:$A, 'Processed Non-zero DMR Data'!A364, 'Raw Non-zero DMR Data'!$C:$C, X364, 'Raw Non-zero DMR Data'!$U:$U,'Processed Non-zero DMR Data'!Y364,'Raw Non-zero DMR Data'!$Z:$Z,"Yes")</f>
        <v>1</v>
      </c>
      <c r="W364">
        <v>6.6741472750000002</v>
      </c>
      <c r="X364" t="s">
        <v>924</v>
      </c>
      <c r="Y364" t="s">
        <v>925</v>
      </c>
      <c r="Z364" s="257">
        <v>51402050202</v>
      </c>
    </row>
    <row r="365" spans="1:26" ht="15" customHeight="1" x14ac:dyDescent="0.25">
      <c r="A365">
        <v>2021</v>
      </c>
      <c r="B365" t="s">
        <v>433</v>
      </c>
      <c r="C365" t="s">
        <v>434</v>
      </c>
      <c r="D365" t="s">
        <v>923</v>
      </c>
      <c r="E365" t="s">
        <v>138</v>
      </c>
      <c r="F365">
        <v>37.318492999999997</v>
      </c>
      <c r="G365">
        <v>-87.549857000000003</v>
      </c>
      <c r="I365" s="1">
        <v>110002041380</v>
      </c>
      <c r="J365">
        <v>4952</v>
      </c>
      <c r="K365" s="175" t="str">
        <f>INDEX('2022 SIC to NAICS'!B:B, MATCH('Processed Non-zero DMR Data'!$J365, '2022 SIC to NAICS'!$A:$A, 0))</f>
        <v>Sewerage Systems</v>
      </c>
      <c r="L365" s="175">
        <f>INDEX('2022 SIC to NAICS'!C:C, MATCH('Processed Non-zero DMR Data'!$J365, '2022 SIC to NAICS'!$A:$A, 0))</f>
        <v>221320</v>
      </c>
      <c r="M365" s="175" t="str">
        <f>INDEX('2022 SIC to NAICS'!D:D, MATCH('Processed Non-zero DMR Data'!$J365, '2022 SIC to NAICS'!$A:$A, 0))</f>
        <v xml:space="preserve">Sewage Treatment Facilities </v>
      </c>
      <c r="N365" s="90" t="str">
        <f>IFERROR(INDEX('NAICS Code to IS CDR Code'!B:B, MATCH('Processed Non-zero DMR Data'!L365,'NAICS Code to IS CDR Code'!A:A,0)), "NAICS/SIC Not Provided")</f>
        <v>IS4</v>
      </c>
      <c r="O365" s="91" t="str">
        <f>IFERROR(INDEX('NAICS Code to IS CDR Code'!C:C, MATCH('Processed Non-zero DMR Data'!L365,'NAICS Code to IS CDR Code'!A:A,0)), "NAICS/SIC Not Provided")</f>
        <v>Utilities</v>
      </c>
      <c r="P365" s="91" t="str">
        <f>INDEX('11DCA Mapping'!$K:$K, MATCH('Processed Non-zero DMR Data'!I371,'11DCA Mapping'!$J:$J,0))</f>
        <v>Unknown</v>
      </c>
      <c r="Q365" s="91">
        <f>INDEX('11DCA Mapping'!$L:$L, MATCH('Processed Non-zero DMR Data'!I371,'11DCA Mapping'!$J:$J,0))</f>
        <v>0</v>
      </c>
      <c r="R365" s="250" t="str">
        <f>VLOOKUP(I365,'DMR POTW Flag'!$A$2:$B$960,2,FALSE)</f>
        <v>POTW</v>
      </c>
      <c r="S365" s="7" t="s">
        <v>67</v>
      </c>
      <c r="T365" s="249" t="s">
        <v>586</v>
      </c>
      <c r="U365" s="8">
        <f>COUNTIFS('Raw Non-zero DMR Data'!$A:$A, 'Processed Non-zero DMR Data'!A365, 'Raw Non-zero DMR Data'!$C:$C, X365, 'Raw Non-zero DMR Data'!$U:$U,'Processed Non-zero DMR Data'!Y365)</f>
        <v>1</v>
      </c>
      <c r="V365" s="8">
        <f>COUNTIFS('Raw Non-zero DMR Data'!$A:$A, 'Processed Non-zero DMR Data'!A365, 'Raw Non-zero DMR Data'!$C:$C, X365, 'Raw Non-zero DMR Data'!$U:$U,'Processed Non-zero DMR Data'!Y365,'Raw Non-zero DMR Data'!$Z:$Z,"Yes")</f>
        <v>1</v>
      </c>
      <c r="W365">
        <v>19.372434312500001</v>
      </c>
      <c r="X365" t="s">
        <v>924</v>
      </c>
      <c r="Y365" t="s">
        <v>925</v>
      </c>
      <c r="Z365" s="257">
        <v>51402050202</v>
      </c>
    </row>
    <row r="366" spans="1:26" ht="15" customHeight="1" x14ac:dyDescent="0.25">
      <c r="A366">
        <v>2022</v>
      </c>
      <c r="B366" t="s">
        <v>433</v>
      </c>
      <c r="C366" t="s">
        <v>434</v>
      </c>
      <c r="D366" t="s">
        <v>923</v>
      </c>
      <c r="E366" t="s">
        <v>138</v>
      </c>
      <c r="F366">
        <v>37.318492999999997</v>
      </c>
      <c r="G366">
        <v>-87.549857000000003</v>
      </c>
      <c r="I366" s="1">
        <v>110002041380</v>
      </c>
      <c r="J366">
        <v>4952</v>
      </c>
      <c r="K366" s="175" t="str">
        <f>INDEX('2022 SIC to NAICS'!B:B, MATCH('Processed Non-zero DMR Data'!$J366, '2022 SIC to NAICS'!$A:$A, 0))</f>
        <v>Sewerage Systems</v>
      </c>
      <c r="L366" s="175">
        <f>INDEX('2022 SIC to NAICS'!C:C, MATCH('Processed Non-zero DMR Data'!$J366, '2022 SIC to NAICS'!$A:$A, 0))</f>
        <v>221320</v>
      </c>
      <c r="M366" s="175" t="str">
        <f>INDEX('2022 SIC to NAICS'!D:D, MATCH('Processed Non-zero DMR Data'!$J366, '2022 SIC to NAICS'!$A:$A, 0))</f>
        <v xml:space="preserve">Sewage Treatment Facilities </v>
      </c>
      <c r="N366" s="90" t="str">
        <f>IFERROR(INDEX('NAICS Code to IS CDR Code'!B:B, MATCH('Processed Non-zero DMR Data'!L366,'NAICS Code to IS CDR Code'!A:A,0)), "NAICS/SIC Not Provided")</f>
        <v>IS4</v>
      </c>
      <c r="O366" s="91" t="str">
        <f>IFERROR(INDEX('NAICS Code to IS CDR Code'!C:C, MATCH('Processed Non-zero DMR Data'!L366,'NAICS Code to IS CDR Code'!A:A,0)), "NAICS/SIC Not Provided")</f>
        <v>Utilities</v>
      </c>
      <c r="P366" s="91" t="e">
        <f>INDEX('11DCA Mapping'!$K:$K, MATCH('Processed Non-zero DMR Data'!I372,'11DCA Mapping'!$J:$J,0))</f>
        <v>#N/A</v>
      </c>
      <c r="Q366" s="91" t="e">
        <f>INDEX('11DCA Mapping'!$L:$L, MATCH('Processed Non-zero DMR Data'!I372,'11DCA Mapping'!$J:$J,0))</f>
        <v>#N/A</v>
      </c>
      <c r="R366" s="250" t="str">
        <f>VLOOKUP(I366,'DMR POTW Flag'!$A$2:$B$960,2,FALSE)</f>
        <v>POTW</v>
      </c>
      <c r="S366" s="7" t="s">
        <v>67</v>
      </c>
      <c r="T366" s="249" t="s">
        <v>586</v>
      </c>
      <c r="U366" s="8">
        <f>COUNTIFS('Raw Non-zero DMR Data'!$A:$A, 'Processed Non-zero DMR Data'!A366, 'Raw Non-zero DMR Data'!$C:$C, X366, 'Raw Non-zero DMR Data'!$U:$U,'Processed Non-zero DMR Data'!Y366)</f>
        <v>1</v>
      </c>
      <c r="V366" s="8">
        <f>COUNTIFS('Raw Non-zero DMR Data'!$A:$A, 'Processed Non-zero DMR Data'!A366, 'Raw Non-zero DMR Data'!$C:$C, X366, 'Raw Non-zero DMR Data'!$U:$U,'Processed Non-zero DMR Data'!Y366,'Raw Non-zero DMR Data'!$Z:$Z,"Yes")</f>
        <v>1</v>
      </c>
      <c r="W366">
        <v>6.4088944750000003</v>
      </c>
      <c r="X366" t="s">
        <v>924</v>
      </c>
      <c r="Y366" t="s">
        <v>925</v>
      </c>
      <c r="Z366" s="257">
        <v>51402050202</v>
      </c>
    </row>
    <row r="367" spans="1:26" ht="15" customHeight="1" x14ac:dyDescent="0.25">
      <c r="A367">
        <v>2019</v>
      </c>
      <c r="B367" t="s">
        <v>358</v>
      </c>
      <c r="C367" t="s">
        <v>359</v>
      </c>
      <c r="D367" t="s">
        <v>643</v>
      </c>
      <c r="E367" t="s">
        <v>138</v>
      </c>
      <c r="F367">
        <v>37.177222</v>
      </c>
      <c r="G367">
        <v>-83.761388999999994</v>
      </c>
      <c r="I367" s="1">
        <v>110009938808</v>
      </c>
      <c r="J367">
        <v>4952</v>
      </c>
      <c r="K367" s="175" t="str">
        <f>INDEX('2022 SIC to NAICS'!B:B, MATCH('Processed Non-zero DMR Data'!$J367, '2022 SIC to NAICS'!$A:$A, 0))</f>
        <v>Sewerage Systems</v>
      </c>
      <c r="L367" s="175">
        <f>INDEX('2022 SIC to NAICS'!C:C, MATCH('Processed Non-zero DMR Data'!$J367, '2022 SIC to NAICS'!$A:$A, 0))</f>
        <v>221320</v>
      </c>
      <c r="M367" s="175" t="str">
        <f>INDEX('2022 SIC to NAICS'!D:D, MATCH('Processed Non-zero DMR Data'!$J367, '2022 SIC to NAICS'!$A:$A, 0))</f>
        <v xml:space="preserve">Sewage Treatment Facilities </v>
      </c>
      <c r="N367" s="90" t="str">
        <f>IFERROR(INDEX('NAICS Code to IS CDR Code'!B:B, MATCH('Processed Non-zero DMR Data'!L367,'NAICS Code to IS CDR Code'!A:A,0)), "NAICS/SIC Not Provided")</f>
        <v>IS4</v>
      </c>
      <c r="O367" s="91" t="str">
        <f>IFERROR(INDEX('NAICS Code to IS CDR Code'!C:C, MATCH('Processed Non-zero DMR Data'!L367,'NAICS Code to IS CDR Code'!A:A,0)), "NAICS/SIC Not Provided")</f>
        <v>Utilities</v>
      </c>
      <c r="P367" s="91" t="e">
        <f>INDEX('11DCA Mapping'!$K:$K, MATCH('Processed Non-zero DMR Data'!I373,'11DCA Mapping'!$J:$J,0))</f>
        <v>#N/A</v>
      </c>
      <c r="Q367" s="91" t="e">
        <f>INDEX('11DCA Mapping'!$L:$L, MATCH('Processed Non-zero DMR Data'!I373,'11DCA Mapping'!$J:$J,0))</f>
        <v>#N/A</v>
      </c>
      <c r="R367" s="250" t="str">
        <f>VLOOKUP(I367,'DMR POTW Flag'!$A$2:$B$960,2,FALSE)</f>
        <v>POTW</v>
      </c>
      <c r="S367" s="7" t="s">
        <v>67</v>
      </c>
      <c r="T367" s="249" t="s">
        <v>586</v>
      </c>
      <c r="U367" s="8">
        <f>COUNTIFS('Raw Non-zero DMR Data'!$A:$A, 'Processed Non-zero DMR Data'!A367, 'Raw Non-zero DMR Data'!$C:$C, X367, 'Raw Non-zero DMR Data'!$U:$U,'Processed Non-zero DMR Data'!Y367)</f>
        <v>1</v>
      </c>
      <c r="V367" s="8">
        <f>COUNTIFS('Raw Non-zero DMR Data'!$A:$A, 'Processed Non-zero DMR Data'!A367, 'Raw Non-zero DMR Data'!$C:$C, X367, 'Raw Non-zero DMR Data'!$U:$U,'Processed Non-zero DMR Data'!Y367,'Raw Non-zero DMR Data'!$Z:$Z,"Yes")</f>
        <v>1</v>
      </c>
      <c r="W367">
        <v>3.446904875</v>
      </c>
      <c r="X367" t="s">
        <v>926</v>
      </c>
      <c r="Y367" t="s">
        <v>927</v>
      </c>
      <c r="Z367" s="257">
        <v>51002030303</v>
      </c>
    </row>
    <row r="368" spans="1:26" ht="15" customHeight="1" x14ac:dyDescent="0.25">
      <c r="A368">
        <v>2020</v>
      </c>
      <c r="B368" t="s">
        <v>358</v>
      </c>
      <c r="C368" t="s">
        <v>359</v>
      </c>
      <c r="D368" t="s">
        <v>643</v>
      </c>
      <c r="E368" t="s">
        <v>138</v>
      </c>
      <c r="F368">
        <v>37.177222</v>
      </c>
      <c r="G368">
        <v>-83.761388999999994</v>
      </c>
      <c r="I368" s="1">
        <v>110009938808</v>
      </c>
      <c r="J368">
        <v>4952</v>
      </c>
      <c r="K368" s="175" t="str">
        <f>INDEX('2022 SIC to NAICS'!B:B, MATCH('Processed Non-zero DMR Data'!$J368, '2022 SIC to NAICS'!$A:$A, 0))</f>
        <v>Sewerage Systems</v>
      </c>
      <c r="L368" s="175">
        <f>INDEX('2022 SIC to NAICS'!C:C, MATCH('Processed Non-zero DMR Data'!$J368, '2022 SIC to NAICS'!$A:$A, 0))</f>
        <v>221320</v>
      </c>
      <c r="M368" s="175" t="str">
        <f>INDEX('2022 SIC to NAICS'!D:D, MATCH('Processed Non-zero DMR Data'!$J368, '2022 SIC to NAICS'!$A:$A, 0))</f>
        <v xml:space="preserve">Sewage Treatment Facilities </v>
      </c>
      <c r="N368" s="90" t="str">
        <f>IFERROR(INDEX('NAICS Code to IS CDR Code'!B:B, MATCH('Processed Non-zero DMR Data'!L368,'NAICS Code to IS CDR Code'!A:A,0)), "NAICS/SIC Not Provided")</f>
        <v>IS4</v>
      </c>
      <c r="O368" s="91" t="str">
        <f>IFERROR(INDEX('NAICS Code to IS CDR Code'!C:C, MATCH('Processed Non-zero DMR Data'!L368,'NAICS Code to IS CDR Code'!A:A,0)), "NAICS/SIC Not Provided")</f>
        <v>Utilities</v>
      </c>
      <c r="P368" s="91" t="str">
        <f>INDEX('11DCA Mapping'!$K:$K, MATCH('Processed Non-zero DMR Data'!I374,'11DCA Mapping'!$J:$J,0))</f>
        <v>POTW</v>
      </c>
      <c r="Q368" s="91" t="str">
        <f>INDEX('11DCA Mapping'!$L:$L, MATCH('Processed Non-zero DMR Data'!I374,'11DCA Mapping'!$J:$J,0))</f>
        <v>Assigned POTW per "Facility Type Indicator"</v>
      </c>
      <c r="R368" s="250" t="str">
        <f>VLOOKUP(I368,'DMR POTW Flag'!$A$2:$B$960,2,FALSE)</f>
        <v>POTW</v>
      </c>
      <c r="S368" s="7" t="s">
        <v>67</v>
      </c>
      <c r="T368" s="249" t="s">
        <v>586</v>
      </c>
      <c r="U368" s="8">
        <f>COUNTIFS('Raw Non-zero DMR Data'!$A:$A, 'Processed Non-zero DMR Data'!A368, 'Raw Non-zero DMR Data'!$C:$C, X368, 'Raw Non-zero DMR Data'!$U:$U,'Processed Non-zero DMR Data'!Y368)</f>
        <v>1</v>
      </c>
      <c r="V368" s="8">
        <f>COUNTIFS('Raw Non-zero DMR Data'!$A:$A, 'Processed Non-zero DMR Data'!A368, 'Raw Non-zero DMR Data'!$C:$C, X368, 'Raw Non-zero DMR Data'!$U:$U,'Processed Non-zero DMR Data'!Y368,'Raw Non-zero DMR Data'!$Z:$Z,"Yes")</f>
        <v>1</v>
      </c>
      <c r="W368">
        <v>3.336382875</v>
      </c>
      <c r="X368" t="s">
        <v>926</v>
      </c>
      <c r="Y368" t="s">
        <v>927</v>
      </c>
      <c r="Z368" s="257">
        <v>51002030303</v>
      </c>
    </row>
    <row r="369" spans="1:26" ht="15" customHeight="1" x14ac:dyDescent="0.25">
      <c r="A369">
        <v>2021</v>
      </c>
      <c r="B369" t="s">
        <v>358</v>
      </c>
      <c r="C369" t="s">
        <v>359</v>
      </c>
      <c r="D369" t="s">
        <v>643</v>
      </c>
      <c r="E369" t="s">
        <v>138</v>
      </c>
      <c r="F369">
        <v>37.177222</v>
      </c>
      <c r="G369">
        <v>-83.761388999999994</v>
      </c>
      <c r="I369" s="1">
        <v>110009938808</v>
      </c>
      <c r="J369">
        <v>4952</v>
      </c>
      <c r="K369" s="175" t="str">
        <f>INDEX('2022 SIC to NAICS'!B:B, MATCH('Processed Non-zero DMR Data'!$J369, '2022 SIC to NAICS'!$A:$A, 0))</f>
        <v>Sewerage Systems</v>
      </c>
      <c r="L369" s="175">
        <f>INDEX('2022 SIC to NAICS'!C:C, MATCH('Processed Non-zero DMR Data'!$J369, '2022 SIC to NAICS'!$A:$A, 0))</f>
        <v>221320</v>
      </c>
      <c r="M369" s="175" t="str">
        <f>INDEX('2022 SIC to NAICS'!D:D, MATCH('Processed Non-zero DMR Data'!$J369, '2022 SIC to NAICS'!$A:$A, 0))</f>
        <v xml:space="preserve">Sewage Treatment Facilities </v>
      </c>
      <c r="N369" s="90" t="str">
        <f>IFERROR(INDEX('NAICS Code to IS CDR Code'!B:B, MATCH('Processed Non-zero DMR Data'!L369,'NAICS Code to IS CDR Code'!A:A,0)), "NAICS/SIC Not Provided")</f>
        <v>IS4</v>
      </c>
      <c r="O369" s="91" t="str">
        <f>IFERROR(INDEX('NAICS Code to IS CDR Code'!C:C, MATCH('Processed Non-zero DMR Data'!L369,'NAICS Code to IS CDR Code'!A:A,0)), "NAICS/SIC Not Provided")</f>
        <v>Utilities</v>
      </c>
      <c r="P369" s="91" t="str">
        <f>INDEX('11DCA Mapping'!$K:$K, MATCH('Processed Non-zero DMR Data'!I375,'11DCA Mapping'!$J:$J,0))</f>
        <v>Unknown</v>
      </c>
      <c r="Q369" s="91" t="str">
        <f>INDEX('11DCA Mapping'!$L:$L, MATCH('Processed Non-zero DMR Data'!I375,'11DCA Mapping'!$J:$J,0))</f>
        <v>Unknown how 1,1-DCA is used in hotels and motels</v>
      </c>
      <c r="R369" s="250" t="str">
        <f>VLOOKUP(I369,'DMR POTW Flag'!$A$2:$B$960,2,FALSE)</f>
        <v>POTW</v>
      </c>
      <c r="S369" s="7" t="s">
        <v>67</v>
      </c>
      <c r="T369" s="249" t="s">
        <v>586</v>
      </c>
      <c r="U369" s="8">
        <f>COUNTIFS('Raw Non-zero DMR Data'!$A:$A, 'Processed Non-zero DMR Data'!A369, 'Raw Non-zero DMR Data'!$C:$C, X369, 'Raw Non-zero DMR Data'!$U:$U,'Processed Non-zero DMR Data'!Y369)</f>
        <v>1</v>
      </c>
      <c r="V369" s="8">
        <f>COUNTIFS('Raw Non-zero DMR Data'!$A:$A, 'Processed Non-zero DMR Data'!A369, 'Raw Non-zero DMR Data'!$C:$C, X369, 'Raw Non-zero DMR Data'!$U:$U,'Processed Non-zero DMR Data'!Y369,'Raw Non-zero DMR Data'!$Z:$Z,"Yes")</f>
        <v>1</v>
      </c>
      <c r="W369">
        <v>2.8563029375000002</v>
      </c>
      <c r="X369" t="s">
        <v>926</v>
      </c>
      <c r="Y369" t="s">
        <v>927</v>
      </c>
      <c r="Z369" s="257">
        <v>51002030303</v>
      </c>
    </row>
    <row r="370" spans="1:26" ht="15" customHeight="1" x14ac:dyDescent="0.25">
      <c r="A370">
        <v>2022</v>
      </c>
      <c r="B370" t="s">
        <v>513</v>
      </c>
      <c r="C370" t="s">
        <v>514</v>
      </c>
      <c r="D370" t="s">
        <v>928</v>
      </c>
      <c r="E370" t="s">
        <v>146</v>
      </c>
      <c r="F370">
        <v>37.795589999999997</v>
      </c>
      <c r="G370">
        <v>-121.26000999999999</v>
      </c>
      <c r="I370" s="1">
        <v>110039801462</v>
      </c>
      <c r="J370">
        <v>4952</v>
      </c>
      <c r="K370" s="175" t="str">
        <f>INDEX('2022 SIC to NAICS'!B:B, MATCH('Processed Non-zero DMR Data'!$J370, '2022 SIC to NAICS'!$A:$A, 0))</f>
        <v>Sewerage Systems</v>
      </c>
      <c r="L370" s="175">
        <f>INDEX('2022 SIC to NAICS'!C:C, MATCH('Processed Non-zero DMR Data'!$J370, '2022 SIC to NAICS'!$A:$A, 0))</f>
        <v>221320</v>
      </c>
      <c r="M370" s="175" t="str">
        <f>INDEX('2022 SIC to NAICS'!D:D, MATCH('Processed Non-zero DMR Data'!$J370, '2022 SIC to NAICS'!$A:$A, 0))</f>
        <v xml:space="preserve">Sewage Treatment Facilities </v>
      </c>
      <c r="N370" s="90" t="str">
        <f>IFERROR(INDEX('NAICS Code to IS CDR Code'!B:B, MATCH('Processed Non-zero DMR Data'!L370,'NAICS Code to IS CDR Code'!A:A,0)), "NAICS/SIC Not Provided")</f>
        <v>IS4</v>
      </c>
      <c r="O370" s="91" t="str">
        <f>IFERROR(INDEX('NAICS Code to IS CDR Code'!C:C, MATCH('Processed Non-zero DMR Data'!L370,'NAICS Code to IS CDR Code'!A:A,0)), "NAICS/SIC Not Provided")</f>
        <v>Utilities</v>
      </c>
      <c r="P370" s="91" t="str">
        <f>INDEX('11DCA Mapping'!$K:$K, MATCH('Processed Non-zero DMR Data'!I376,'11DCA Mapping'!$J:$J,0))</f>
        <v>Unknown</v>
      </c>
      <c r="Q370" s="91" t="str">
        <f>INDEX('11DCA Mapping'!$L:$L, MATCH('Processed Non-zero DMR Data'!I376,'11DCA Mapping'!$J:$J,0))</f>
        <v>Unknown how 1,1-DCA is used in hotels and motels</v>
      </c>
      <c r="R370" s="250" t="str">
        <f>VLOOKUP(I370,'DMR POTW Flag'!$A$2:$B$960,2,FALSE)</f>
        <v>POTW</v>
      </c>
      <c r="S370" s="7" t="s">
        <v>67</v>
      </c>
      <c r="T370" s="249" t="s">
        <v>586</v>
      </c>
      <c r="U370" s="8">
        <f>COUNTIFS('Raw Non-zero DMR Data'!$A:$A, 'Processed Non-zero DMR Data'!A370, 'Raw Non-zero DMR Data'!$C:$C, X370, 'Raw Non-zero DMR Data'!$U:$U,'Processed Non-zero DMR Data'!Y370)</f>
        <v>1</v>
      </c>
      <c r="V370" s="8">
        <f>COUNTIFS('Raw Non-zero DMR Data'!$A:$A, 'Processed Non-zero DMR Data'!A370, 'Raw Non-zero DMR Data'!$C:$C, X370, 'Raw Non-zero DMR Data'!$U:$U,'Processed Non-zero DMR Data'!Y370,'Raw Non-zero DMR Data'!$Z:$Z,"Yes")</f>
        <v>1</v>
      </c>
      <c r="W370">
        <v>0.27096562666666602</v>
      </c>
      <c r="X370" t="s">
        <v>929</v>
      </c>
      <c r="Y370" t="s">
        <v>930</v>
      </c>
      <c r="Z370" s="257">
        <v>180400030204</v>
      </c>
    </row>
    <row r="371" spans="1:26" ht="15" customHeight="1" x14ac:dyDescent="0.25">
      <c r="A371">
        <v>2021</v>
      </c>
      <c r="B371" t="s">
        <v>431</v>
      </c>
      <c r="C371" t="s">
        <v>157</v>
      </c>
      <c r="D371" t="s">
        <v>575</v>
      </c>
      <c r="E371" t="s">
        <v>158</v>
      </c>
      <c r="F371">
        <v>36.19997</v>
      </c>
      <c r="G371">
        <v>-115.19658</v>
      </c>
      <c r="I371" s="1">
        <v>110064418553</v>
      </c>
      <c r="J371">
        <v>5541</v>
      </c>
      <c r="K371" s="175" t="str">
        <f>INDEX('2022 SIC to NAICS'!B:B, MATCH('Processed Non-zero DMR Data'!$J371, '2022 SIC to NAICS'!$A:$A, 0))</f>
        <v>Gasoline Service Stations</v>
      </c>
      <c r="L371" s="175">
        <f>INDEX('2022 SIC to NAICS'!C:C, MATCH('Processed Non-zero DMR Data'!$J371, '2022 SIC to NAICS'!$A:$A, 0))</f>
        <v>457110</v>
      </c>
      <c r="M371" s="175" t="str">
        <f>INDEX('2022 SIC to NAICS'!D:D, MATCH('Processed Non-zero DMR Data'!$J371, '2022 SIC to NAICS'!$A:$A, 0))</f>
        <v xml:space="preserve">Gasoline Stations with Convenience Stores </v>
      </c>
      <c r="N371" s="90" t="str">
        <f>IFERROR(INDEX('NAICS Code to IS CDR Code'!B:B, MATCH('Processed Non-zero DMR Data'!L371,'NAICS Code to IS CDR Code'!A:A,0)), "NAICS/SIC Not Provided")</f>
        <v>NAICS/SIC Not Provided</v>
      </c>
      <c r="O371" s="91" t="str">
        <f>IFERROR(INDEX('NAICS Code to IS CDR Code'!C:C, MATCH('Processed Non-zero DMR Data'!L371,'NAICS Code to IS CDR Code'!A:A,0)), "NAICS/SIC Not Provided")</f>
        <v>NAICS/SIC Not Provided</v>
      </c>
      <c r="P371" s="91" t="str">
        <f>INDEX('11DCA Mapping'!$K:$K, MATCH('Processed Non-zero DMR Data'!I636,'11DCA Mapping'!$J:$J,0))</f>
        <v>POTW</v>
      </c>
      <c r="Q371" s="91" t="str">
        <f>INDEX('11DCA Mapping'!$L:$L, MATCH('Processed Non-zero DMR Data'!I636,'11DCA Mapping'!$J:$J,0))</f>
        <v>Assigned POTW per "Facility Type Indicator"</v>
      </c>
      <c r="R371" s="91" t="str">
        <f>VLOOKUP(I371,'DMR POTW Flag'!$A$2:$B$960,2,FALSE)</f>
        <v>NON-POTW</v>
      </c>
      <c r="S371" s="7" t="s">
        <v>72</v>
      </c>
      <c r="T371" s="244" t="s">
        <v>748</v>
      </c>
      <c r="U371" s="8">
        <f>COUNTIFS('Raw Non-zero DMR Data'!$A:$A, 'Processed Non-zero DMR Data'!A371, 'Raw Non-zero DMR Data'!$C:$C, X371, 'Raw Non-zero DMR Data'!$U:$U,'Processed Non-zero DMR Data'!Y371)</f>
        <v>1</v>
      </c>
      <c r="V371" s="8">
        <f>COUNTIFS('Raw Non-zero DMR Data'!$A:$A, 'Processed Non-zero DMR Data'!A371, 'Raw Non-zero DMR Data'!$C:$C, X371, 'Raw Non-zero DMR Data'!$U:$U,'Processed Non-zero DMR Data'!Y371,'Raw Non-zero DMR Data'!$Z:$Z,"Yes")</f>
        <v>1</v>
      </c>
      <c r="W371">
        <v>4.9734899999999997E-3</v>
      </c>
      <c r="X371" t="s">
        <v>749</v>
      </c>
      <c r="Y371" t="s">
        <v>578</v>
      </c>
      <c r="Z371" s="257">
        <v>150100150604</v>
      </c>
    </row>
    <row r="372" spans="1:26" ht="15" customHeight="1" x14ac:dyDescent="0.25">
      <c r="A372">
        <v>2022</v>
      </c>
      <c r="B372" t="s">
        <v>457</v>
      </c>
      <c r="C372" t="s">
        <v>157</v>
      </c>
      <c r="D372" t="s">
        <v>575</v>
      </c>
      <c r="E372" t="s">
        <v>158</v>
      </c>
      <c r="F372">
        <v>36.090899999999998</v>
      </c>
      <c r="G372">
        <v>-115.1833</v>
      </c>
      <c r="I372" s="1">
        <v>110070948151</v>
      </c>
      <c r="J372">
        <v>7941</v>
      </c>
      <c r="K372" s="175" t="str">
        <f>INDEX('2022 SIC to NAICS'!B:B, MATCH('Processed Non-zero DMR Data'!$J372, '2022 SIC to NAICS'!$A:$A, 0))</f>
        <v>Sports Clubs, Managers, and Promoters</v>
      </c>
      <c r="L372" s="175">
        <f>INDEX('2022 SIC to NAICS'!C:C, MATCH('Processed Non-zero DMR Data'!$J372, '2022 SIC to NAICS'!$A:$A, 0))</f>
        <v>711211</v>
      </c>
      <c r="M372" s="175" t="str">
        <f>INDEX('2022 SIC to NAICS'!D:D, MATCH('Processed Non-zero DMR Data'!$J372, '2022 SIC to NAICS'!$A:$A, 0))</f>
        <v xml:space="preserve">Sports Teams and Clubs </v>
      </c>
      <c r="N372" s="90" t="str">
        <f>IFERROR(INDEX('NAICS Code to IS CDR Code'!B:B, MATCH('Processed Non-zero DMR Data'!L372,'NAICS Code to IS CDR Code'!A:A,0)), "NAICS/SIC Not Provided")</f>
        <v>IS47</v>
      </c>
      <c r="O372" s="91" t="str">
        <f>IFERROR(INDEX('NAICS Code to IS CDR Code'!C:C, MATCH('Processed Non-zero DMR Data'!L372,'NAICS Code to IS CDR Code'!A:A,0)), "NAICS/SIC Not Provided")</f>
        <v>Services</v>
      </c>
      <c r="P372" s="91" t="str">
        <f>INDEX('11DCA Mapping'!$K:$K, MATCH('Processed Non-zero DMR Data'!I6,'11DCA Mapping'!$J:$J,0))</f>
        <v>Natural Gas Engines</v>
      </c>
      <c r="Q372" s="91" t="str">
        <f>INDEX('11DCA Mapping'!$L:$L, MATCH('Processed Non-zero DMR Data'!I6,'11DCA Mapping'!$J:$J,0))</f>
        <v>Suggested OES, “Natural gas engines.” Based on https://www.powereng.com/library/el-centro-unit-3-combined-cycle-repower-oe &amp; https://www.energy.ca.gov/powerplant/simple-cycle/el-centro-generating-station-unit-3</v>
      </c>
      <c r="R372" s="91" t="str">
        <f>VLOOKUP(I372,'DMR POTW Flag'!$A$2:$B$960,2,FALSE)</f>
        <v>NON-POTW</v>
      </c>
      <c r="S372" s="7" t="s">
        <v>72</v>
      </c>
      <c r="T372" s="244" t="s">
        <v>750</v>
      </c>
      <c r="U372" s="8">
        <f>COUNTIFS('Raw Non-zero DMR Data'!$A:$A, 'Processed Non-zero DMR Data'!A372, 'Raw Non-zero DMR Data'!$C:$C, X372, 'Raw Non-zero DMR Data'!$U:$U,'Processed Non-zero DMR Data'!Y372)</f>
        <v>1</v>
      </c>
      <c r="V372" s="8">
        <f>COUNTIFS('Raw Non-zero DMR Data'!$A:$A, 'Processed Non-zero DMR Data'!A372, 'Raw Non-zero DMR Data'!$C:$C, X372, 'Raw Non-zero DMR Data'!$U:$U,'Processed Non-zero DMR Data'!Y372,'Raw Non-zero DMR Data'!$Z:$Z,"Yes")</f>
        <v>1</v>
      </c>
      <c r="W372">
        <v>4.0109124562500001E-2</v>
      </c>
      <c r="X372" t="s">
        <v>751</v>
      </c>
      <c r="Y372" t="s">
        <v>557</v>
      </c>
      <c r="Z372" s="257">
        <v>150100150505</v>
      </c>
    </row>
    <row r="373" spans="1:26" ht="15" customHeight="1" x14ac:dyDescent="0.25">
      <c r="A373">
        <v>2022</v>
      </c>
      <c r="B373" t="s">
        <v>462</v>
      </c>
      <c r="C373" t="s">
        <v>463</v>
      </c>
      <c r="D373" t="s">
        <v>752</v>
      </c>
      <c r="E373" t="s">
        <v>186</v>
      </c>
      <c r="F373">
        <v>21.994944</v>
      </c>
      <c r="G373">
        <v>-159.75363899999999</v>
      </c>
      <c r="I373" s="1">
        <v>110006777247</v>
      </c>
      <c r="J373" s="186" t="s">
        <v>753</v>
      </c>
      <c r="K373" s="175" t="e">
        <f>INDEX('2022 SIC to NAICS'!B:B, MATCH('Processed Non-zero DMR Data'!$J373, '2022 SIC to NAICS'!$A:$A, 0))</f>
        <v>#N/A</v>
      </c>
      <c r="L373" s="175" t="e">
        <f>INDEX('2022 SIC to NAICS'!C:C, MATCH('Processed Non-zero DMR Data'!$J373, '2022 SIC to NAICS'!$A:$A, 0))</f>
        <v>#N/A</v>
      </c>
      <c r="M373" s="175" t="e">
        <f>INDEX('2022 SIC to NAICS'!D:D, MATCH('Processed Non-zero DMR Data'!$J373, '2022 SIC to NAICS'!$A:$A, 0))</f>
        <v>#N/A</v>
      </c>
      <c r="N373" s="90" t="str">
        <f>IFERROR(INDEX('NAICS Code to IS CDR Code'!B:B, MATCH('Processed Non-zero DMR Data'!L373,'NAICS Code to IS CDR Code'!A:A,0)), "NAICS/SIC Not Provided")</f>
        <v>NAICS/SIC Not Provided</v>
      </c>
      <c r="O373" s="91" t="str">
        <f>IFERROR(INDEX('NAICS Code to IS CDR Code'!C:C, MATCH('Processed Non-zero DMR Data'!L373,'NAICS Code to IS CDR Code'!A:A,0)), "NAICS/SIC Not Provided")</f>
        <v>NAICS/SIC Not Provided</v>
      </c>
      <c r="P373" s="91" t="str">
        <f>INDEX('11DCA Mapping'!$K:$K, MATCH('Processed Non-zero DMR Data'!I9,'11DCA Mapping'!$J:$J,0))</f>
        <v>Natural Gas Engines</v>
      </c>
      <c r="Q373" s="91" t="str">
        <f>INDEX('11DCA Mapping'!$L:$L, MATCH('Processed Non-zero DMR Data'!I9,'11DCA Mapping'!$J:$J,0))</f>
        <v>Suggested OES, “Natural Gas Engines.” Other airports and air traffic control sites were mapped to this OES.</v>
      </c>
      <c r="R373" s="91" t="str">
        <f>VLOOKUP(I373,'DMR POTW Flag'!$A$2:$B$960,2,FALSE)</f>
        <v>NON-POTW</v>
      </c>
      <c r="S373" s="7" t="s">
        <v>72</v>
      </c>
      <c r="T373" s="244" t="s">
        <v>754</v>
      </c>
      <c r="U373" s="8">
        <f>COUNTIFS('Raw Non-zero DMR Data'!$A:$A, 'Processed Non-zero DMR Data'!A373, 'Raw Non-zero DMR Data'!$C:$C, X373, 'Raw Non-zero DMR Data'!$U:$U,'Processed Non-zero DMR Data'!Y373)</f>
        <v>1</v>
      </c>
      <c r="V373" s="8">
        <f>COUNTIFS('Raw Non-zero DMR Data'!$A:$A, 'Processed Non-zero DMR Data'!A373, 'Raw Non-zero DMR Data'!$C:$C, X373, 'Raw Non-zero DMR Data'!$U:$U,'Processed Non-zero DMR Data'!Y373,'Raw Non-zero DMR Data'!$Z:$Z,"Yes")</f>
        <v>1</v>
      </c>
      <c r="W373">
        <v>3.4399972499999998</v>
      </c>
      <c r="X373" t="s">
        <v>755</v>
      </c>
      <c r="Y373" t="s">
        <v>756</v>
      </c>
      <c r="Z373" s="257">
        <v>200700000501</v>
      </c>
    </row>
    <row r="374" spans="1:26" ht="15" customHeight="1" x14ac:dyDescent="0.25">
      <c r="A374">
        <v>2019</v>
      </c>
      <c r="B374" t="s">
        <v>261</v>
      </c>
      <c r="C374" t="s">
        <v>262</v>
      </c>
      <c r="D374" t="s">
        <v>866</v>
      </c>
      <c r="E374" t="s">
        <v>138</v>
      </c>
      <c r="F374">
        <v>38.686529999999998</v>
      </c>
      <c r="G374">
        <v>-83.788679999999999</v>
      </c>
      <c r="I374" s="1">
        <v>110000761104</v>
      </c>
      <c r="J374">
        <v>4952</v>
      </c>
      <c r="K374" s="175" t="str">
        <f>INDEX('2022 SIC to NAICS'!B:B, MATCH('Processed Non-zero DMR Data'!$J374, '2022 SIC to NAICS'!$A:$A, 0))</f>
        <v>Sewerage Systems</v>
      </c>
      <c r="L374" s="175">
        <f>INDEX('2022 SIC to NAICS'!C:C, MATCH('Processed Non-zero DMR Data'!$J374, '2022 SIC to NAICS'!$A:$A, 0))</f>
        <v>221320</v>
      </c>
      <c r="M374" s="175" t="str">
        <f>INDEX('2022 SIC to NAICS'!D:D, MATCH('Processed Non-zero DMR Data'!$J374, '2022 SIC to NAICS'!$A:$A, 0))</f>
        <v xml:space="preserve">Sewage Treatment Facilities </v>
      </c>
      <c r="N374" s="90" t="str">
        <f>IFERROR(INDEX('NAICS Code to IS CDR Code'!B:B, MATCH('Processed Non-zero DMR Data'!L374,'NAICS Code to IS CDR Code'!A:A,0)), "NAICS/SIC Not Provided")</f>
        <v>IS4</v>
      </c>
      <c r="O374" s="91" t="str">
        <f>IFERROR(INDEX('NAICS Code to IS CDR Code'!C:C, MATCH('Processed Non-zero DMR Data'!L374,'NAICS Code to IS CDR Code'!A:A,0)), "NAICS/SIC Not Provided")</f>
        <v>Utilities</v>
      </c>
      <c r="P374" s="91" t="e">
        <f>INDEX('11DCA Mapping'!$K:$K, MATCH('Processed Non-zero DMR Data'!I380,'11DCA Mapping'!$J:$J,0))</f>
        <v>#N/A</v>
      </c>
      <c r="Q374" s="91" t="e">
        <f>INDEX('11DCA Mapping'!$L:$L, MATCH('Processed Non-zero DMR Data'!I380,'11DCA Mapping'!$J:$J,0))</f>
        <v>#N/A</v>
      </c>
      <c r="R374" s="250" t="str">
        <f>VLOOKUP(I374,'DMR POTW Flag'!$A$2:$B$960,2,FALSE)</f>
        <v>POTW</v>
      </c>
      <c r="S374" s="7" t="s">
        <v>67</v>
      </c>
      <c r="T374" s="249" t="s">
        <v>586</v>
      </c>
      <c r="U374" s="8">
        <f>COUNTIFS('Raw Non-zero DMR Data'!$A:$A, 'Processed Non-zero DMR Data'!A374, 'Raw Non-zero DMR Data'!$C:$C, X374, 'Raw Non-zero DMR Data'!$U:$U,'Processed Non-zero DMR Data'!Y374)</f>
        <v>1</v>
      </c>
      <c r="V374" s="8">
        <f>COUNTIFS('Raw Non-zero DMR Data'!$A:$A, 'Processed Non-zero DMR Data'!A374, 'Raw Non-zero DMR Data'!$C:$C, X374, 'Raw Non-zero DMR Data'!$U:$U,'Processed Non-zero DMR Data'!Y374,'Raw Non-zero DMR Data'!$Z:$Z,"Yes")</f>
        <v>1</v>
      </c>
      <c r="W374">
        <v>0.46971849999999998</v>
      </c>
      <c r="X374" t="s">
        <v>931</v>
      </c>
      <c r="Y374" t="s">
        <v>932</v>
      </c>
      <c r="Z374" s="257">
        <v>50902010605</v>
      </c>
    </row>
    <row r="375" spans="1:26" ht="15" customHeight="1" x14ac:dyDescent="0.25">
      <c r="A375">
        <v>2022</v>
      </c>
      <c r="B375" t="s">
        <v>167</v>
      </c>
      <c r="C375" t="s">
        <v>157</v>
      </c>
      <c r="D375" t="s">
        <v>554</v>
      </c>
      <c r="E375" t="s">
        <v>158</v>
      </c>
      <c r="F375">
        <v>36.116160999999998</v>
      </c>
      <c r="G375">
        <v>-115.172741</v>
      </c>
      <c r="I375" s="1">
        <v>110015972562</v>
      </c>
      <c r="J375">
        <v>7011</v>
      </c>
      <c r="K375" s="175" t="str">
        <f>INDEX('2022 SIC to NAICS'!B:B, MATCH('Processed Non-zero DMR Data'!$J375, '2022 SIC to NAICS'!$A:$A, 0))</f>
        <v>Hotels and Motels</v>
      </c>
      <c r="L375" s="175">
        <f>INDEX('2022 SIC to NAICS'!C:C, MATCH('Processed Non-zero DMR Data'!$J375, '2022 SIC to NAICS'!$A:$A, 0))</f>
        <v>721110</v>
      </c>
      <c r="M375" s="175" t="str">
        <f>INDEX('2022 SIC to NAICS'!D:D, MATCH('Processed Non-zero DMR Data'!$J375, '2022 SIC to NAICS'!$A:$A, 0))</f>
        <v xml:space="preserve">Hotels (except Casino Hotels) and Motels </v>
      </c>
      <c r="N375" s="90" t="str">
        <f>IFERROR(INDEX('NAICS Code to IS CDR Code'!B:B, MATCH('Processed Non-zero DMR Data'!L375,'NAICS Code to IS CDR Code'!A:A,0)), "NAICS/SIC Not Provided")</f>
        <v>IS47</v>
      </c>
      <c r="O375" s="91" t="str">
        <f>IFERROR(INDEX('NAICS Code to IS CDR Code'!C:C, MATCH('Processed Non-zero DMR Data'!L375,'NAICS Code to IS CDR Code'!A:A,0)), "NAICS/SIC Not Provided")</f>
        <v>Services</v>
      </c>
      <c r="P375" s="91" t="e">
        <f>INDEX('11DCA Mapping'!$K:$K, MATCH('Processed Non-zero DMR Data'!I79,'11DCA Mapping'!$J:$J,0))</f>
        <v>#N/A</v>
      </c>
      <c r="Q375" s="91" t="e">
        <f>INDEX('11DCA Mapping'!$L:$L, MATCH('Processed Non-zero DMR Data'!I79,'11DCA Mapping'!$J:$J,0))</f>
        <v>#N/A</v>
      </c>
      <c r="R375" s="91" t="str">
        <f>VLOOKUP(I375,'DMR POTW Flag'!$A$2:$B$960,2,FALSE)</f>
        <v>NON-POTW</v>
      </c>
      <c r="S375" s="7" t="s">
        <v>72</v>
      </c>
      <c r="T375" s="244" t="s">
        <v>555</v>
      </c>
      <c r="U375" s="8">
        <f>COUNTIFS('Raw Non-zero DMR Data'!$A:$A, 'Processed Non-zero DMR Data'!A375, 'Raw Non-zero DMR Data'!$C:$C, X375, 'Raw Non-zero DMR Data'!$U:$U,'Processed Non-zero DMR Data'!Y375)</f>
        <v>2</v>
      </c>
      <c r="V375" s="8">
        <f>COUNTIFS('Raw Non-zero DMR Data'!$A:$A, 'Processed Non-zero DMR Data'!A375, 'Raw Non-zero DMR Data'!$C:$C, X375, 'Raw Non-zero DMR Data'!$U:$U,'Processed Non-zero DMR Data'!Y375,'Raw Non-zero DMR Data'!$Z:$Z,"Yes")</f>
        <v>2</v>
      </c>
      <c r="W375">
        <v>4.0211281712499998E-2</v>
      </c>
      <c r="X375" t="s">
        <v>556</v>
      </c>
      <c r="Y375" t="s">
        <v>557</v>
      </c>
      <c r="Z375" s="257">
        <v>150100150505</v>
      </c>
    </row>
    <row r="376" spans="1:26" ht="15" customHeight="1" x14ac:dyDescent="0.25">
      <c r="A376">
        <v>2022</v>
      </c>
      <c r="B376" t="s">
        <v>167</v>
      </c>
      <c r="C376" t="s">
        <v>157</v>
      </c>
      <c r="D376" t="s">
        <v>554</v>
      </c>
      <c r="E376" t="s">
        <v>158</v>
      </c>
      <c r="F376">
        <v>36.116160999999998</v>
      </c>
      <c r="G376">
        <v>-115.172741</v>
      </c>
      <c r="I376" s="1">
        <v>110015972562</v>
      </c>
      <c r="J376">
        <v>7011</v>
      </c>
      <c r="K376" s="175" t="str">
        <f>INDEX('2022 SIC to NAICS'!B:B, MATCH('Processed Non-zero DMR Data'!$J376, '2022 SIC to NAICS'!$A:$A, 0))</f>
        <v>Hotels and Motels</v>
      </c>
      <c r="L376" s="175">
        <f>INDEX('2022 SIC to NAICS'!C:C, MATCH('Processed Non-zero DMR Data'!$J376, '2022 SIC to NAICS'!$A:$A, 0))</f>
        <v>721110</v>
      </c>
      <c r="M376" s="175" t="str">
        <f>INDEX('2022 SIC to NAICS'!D:D, MATCH('Processed Non-zero DMR Data'!$J376, '2022 SIC to NAICS'!$A:$A, 0))</f>
        <v xml:space="preserve">Hotels (except Casino Hotels) and Motels </v>
      </c>
      <c r="N376" s="90" t="str">
        <f>IFERROR(INDEX('NAICS Code to IS CDR Code'!B:B, MATCH('Processed Non-zero DMR Data'!L376,'NAICS Code to IS CDR Code'!A:A,0)), "NAICS/SIC Not Provided")</f>
        <v>IS47</v>
      </c>
      <c r="O376" s="91" t="str">
        <f>IFERROR(INDEX('NAICS Code to IS CDR Code'!C:C, MATCH('Processed Non-zero DMR Data'!L376,'NAICS Code to IS CDR Code'!A:A,0)), "NAICS/SIC Not Provided")</f>
        <v>Services</v>
      </c>
      <c r="P376" s="91" t="str">
        <f>INDEX('11DCA Mapping'!$K:$K, MATCH('Processed Non-zero DMR Data'!I80,'11DCA Mapping'!$J:$J,0))</f>
        <v>Natural Gas Engines</v>
      </c>
      <c r="Q376" s="91" t="str">
        <f>INDEX('11DCA Mapping'!$L:$L, MATCH('Processed Non-zero DMR Data'!I80,'11DCA Mapping'!$J:$J,0))</f>
        <v>Suggested OES, “Natural gas engines.” Based on https://www.powereng.com/library/el-centro-unit-3-combined-cycle-repower-oe &amp; https://www.energy.ca.gov/powerplant/simple-cycle/el-centro-generating-station-unit-3</v>
      </c>
      <c r="R376" s="91" t="str">
        <f>VLOOKUP(I376,'DMR POTW Flag'!$A$2:$B$960,2,FALSE)</f>
        <v>NON-POTW</v>
      </c>
      <c r="S376" s="7" t="s">
        <v>72</v>
      </c>
      <c r="T376" s="244" t="s">
        <v>555</v>
      </c>
      <c r="U376" s="8">
        <f>COUNTIFS('Raw Non-zero DMR Data'!$A:$A, 'Processed Non-zero DMR Data'!A376, 'Raw Non-zero DMR Data'!$C:$C, X376, 'Raw Non-zero DMR Data'!$U:$U,'Processed Non-zero DMR Data'!Y376)</f>
        <v>2</v>
      </c>
      <c r="V376" s="8">
        <f>COUNTIFS('Raw Non-zero DMR Data'!$A:$A, 'Processed Non-zero DMR Data'!A376, 'Raw Non-zero DMR Data'!$C:$C, X376, 'Raw Non-zero DMR Data'!$U:$U,'Processed Non-zero DMR Data'!Y376,'Raw Non-zero DMR Data'!$Z:$Z,"Yes")</f>
        <v>2</v>
      </c>
      <c r="W376">
        <v>0.2241765700875</v>
      </c>
      <c r="X376" t="s">
        <v>556</v>
      </c>
      <c r="Y376" t="s">
        <v>557</v>
      </c>
      <c r="Z376" s="257">
        <v>150100150505</v>
      </c>
    </row>
    <row r="377" spans="1:26" ht="15" customHeight="1" x14ac:dyDescent="0.25">
      <c r="A377">
        <v>2022</v>
      </c>
      <c r="B377" t="s">
        <v>497</v>
      </c>
      <c r="C377" t="s">
        <v>498</v>
      </c>
      <c r="D377" t="s">
        <v>498</v>
      </c>
      <c r="E377" t="s">
        <v>218</v>
      </c>
      <c r="F377">
        <v>39.754530000000003</v>
      </c>
      <c r="G377">
        <v>-105.00681</v>
      </c>
      <c r="I377" s="1">
        <v>110056125376</v>
      </c>
      <c r="J377">
        <v>1799</v>
      </c>
      <c r="K377" s="175" t="str">
        <f>INDEX('2022 SIC to NAICS'!B:B, MATCH('Processed Non-zero DMR Data'!$J377, '2022 SIC to NAICS'!$A:$A, 0))</f>
        <v>Special Trade Contractors, Nec</v>
      </c>
      <c r="L377" s="175">
        <f>INDEX('2022 SIC to NAICS'!C:C, MATCH('Processed Non-zero DMR Data'!$J377, '2022 SIC to NAICS'!$A:$A, 0))</f>
        <v>236220</v>
      </c>
      <c r="M377" s="175" t="str">
        <f>INDEX('2022 SIC to NAICS'!D:D, MATCH('Processed Non-zero DMR Data'!$J377, '2022 SIC to NAICS'!$A:$A, 0))</f>
        <v xml:space="preserve">Commercial and Institutional Building Construction </v>
      </c>
      <c r="N377" s="90" t="str">
        <f>IFERROR(INDEX('NAICS Code to IS CDR Code'!B:B, MATCH('Processed Non-zero DMR Data'!L377,'NAICS Code to IS CDR Code'!A:A,0)), "NAICS/SIC Not Provided")</f>
        <v>IS5</v>
      </c>
      <c r="O377" s="91" t="str">
        <f>IFERROR(INDEX('NAICS Code to IS CDR Code'!C:C, MATCH('Processed Non-zero DMR Data'!L377,'NAICS Code to IS CDR Code'!A:A,0)), "NAICS/SIC Not Provided")</f>
        <v>Construction</v>
      </c>
      <c r="P377" s="91" t="str">
        <f>INDEX('11DCA Mapping'!$K:$K, MATCH('Processed Non-zero DMR Data'!I134,'11DCA Mapping'!$J:$J,0))</f>
        <v>Unknown</v>
      </c>
      <c r="Q377" s="91" t="str">
        <f>INDEX('11DCA Mapping'!$L:$L, MATCH('Processed Non-zero DMR Data'!I134,'11DCA Mapping'!$J:$J,0))</f>
        <v>Unknown how 1,1-DCA is used in elementary and secondary schools</v>
      </c>
      <c r="R377" s="91" t="str">
        <f>VLOOKUP(I377,'DMR POTW Flag'!$A$2:$B$960,2,FALSE)</f>
        <v>NON-POTW</v>
      </c>
      <c r="S377" s="7" t="s">
        <v>72</v>
      </c>
      <c r="T377" s="244" t="s">
        <v>576</v>
      </c>
      <c r="U377" s="8">
        <f>COUNTIFS('Raw Non-zero DMR Data'!$A:$A, 'Processed Non-zero DMR Data'!A377, 'Raw Non-zero DMR Data'!$C:$C, X377, 'Raw Non-zero DMR Data'!$U:$U,'Processed Non-zero DMR Data'!Y377)</f>
        <v>1</v>
      </c>
      <c r="V377" s="8">
        <f>COUNTIFS('Raw Non-zero DMR Data'!$A:$A, 'Processed Non-zero DMR Data'!A377, 'Raw Non-zero DMR Data'!$C:$C, X377, 'Raw Non-zero DMR Data'!$U:$U,'Processed Non-zero DMR Data'!Y377,'Raw Non-zero DMR Data'!$Z:$Z,"Yes")</f>
        <v>1</v>
      </c>
      <c r="W377">
        <v>4.0686857500000003E-3</v>
      </c>
      <c r="X377" t="s">
        <v>933</v>
      </c>
      <c r="Y377" t="s">
        <v>934</v>
      </c>
      <c r="Z377" s="257">
        <v>101900030304</v>
      </c>
    </row>
    <row r="378" spans="1:26" ht="15" customHeight="1" x14ac:dyDescent="0.25">
      <c r="A378">
        <v>2022</v>
      </c>
      <c r="B378" t="s">
        <v>189</v>
      </c>
      <c r="C378" t="s">
        <v>190</v>
      </c>
      <c r="D378" t="s">
        <v>566</v>
      </c>
      <c r="E378" t="s">
        <v>146</v>
      </c>
      <c r="F378">
        <v>32.803809999999999</v>
      </c>
      <c r="G378">
        <v>-115.53973999999999</v>
      </c>
      <c r="I378" s="1">
        <v>110002672484</v>
      </c>
      <c r="J378" s="186" t="s">
        <v>567</v>
      </c>
      <c r="K378" s="175" t="str">
        <f>INDEX('2022 SIC to NAICS'!B:B, MATCH('Processed Non-zero DMR Data'!$J378, '2022 SIC to NAICS'!$A:$A, 0))</f>
        <v>Fish Hatcheries and Preserves</v>
      </c>
      <c r="L378" s="175">
        <f>INDEX('2022 SIC to NAICS'!C:C, MATCH('Processed Non-zero DMR Data'!$J378, '2022 SIC to NAICS'!$A:$A, 0))</f>
        <v>112511</v>
      </c>
      <c r="M378" s="175" t="str">
        <f>INDEX('2022 SIC to NAICS'!D:D, MATCH('Processed Non-zero DMR Data'!$J378, '2022 SIC to NAICS'!$A:$A, 0))</f>
        <v xml:space="preserve">Finfish Farming and Fish Hatcheries </v>
      </c>
      <c r="N378" s="90" t="str">
        <f>IFERROR(INDEX('NAICS Code to IS CDR Code'!B:B, MATCH('Processed Non-zero DMR Data'!L378,'NAICS Code to IS CDR Code'!A:A,0)), "NAICS/SIC Not Provided")</f>
        <v>IS1</v>
      </c>
      <c r="O378" s="91" t="str">
        <f>IFERROR(INDEX('NAICS Code to IS CDR Code'!C:C, MATCH('Processed Non-zero DMR Data'!L378,'NAICS Code to IS CDR Code'!A:A,0)), "NAICS/SIC Not Provided")</f>
        <v>Agriculture, Forestry, Fishing and Hunting</v>
      </c>
      <c r="P378" s="91" t="e">
        <f>INDEX('11DCA Mapping'!$K:$K, MATCH('Processed Non-zero DMR Data'!I183,'11DCA Mapping'!$J:$J,0))</f>
        <v>#N/A</v>
      </c>
      <c r="Q378" s="91" t="e">
        <f>INDEX('11DCA Mapping'!$L:$L, MATCH('Processed Non-zero DMR Data'!I183,'11DCA Mapping'!$J:$J,0))</f>
        <v>#N/A</v>
      </c>
      <c r="R378" s="91" t="str">
        <f>VLOOKUP(I378,'DMR POTW Flag'!$A$2:$B$960,2,FALSE)</f>
        <v>NON-POTW</v>
      </c>
      <c r="S378" s="7" t="s">
        <v>72</v>
      </c>
      <c r="T378" s="244" t="s">
        <v>568</v>
      </c>
      <c r="U378" s="8">
        <f>COUNTIFS('Raw Non-zero DMR Data'!$A:$A, 'Processed Non-zero DMR Data'!A378, 'Raw Non-zero DMR Data'!$C:$C, X378, 'Raw Non-zero DMR Data'!$U:$U,'Processed Non-zero DMR Data'!Y378)</f>
        <v>2</v>
      </c>
      <c r="V378" s="8">
        <f>COUNTIFS('Raw Non-zero DMR Data'!$A:$A, 'Processed Non-zero DMR Data'!A378, 'Raw Non-zero DMR Data'!$C:$C, X378, 'Raw Non-zero DMR Data'!$U:$U,'Processed Non-zero DMR Data'!Y378,'Raw Non-zero DMR Data'!$Z:$Z,"Yes")</f>
        <v>0</v>
      </c>
      <c r="W378">
        <v>3.0393549999999998E-2</v>
      </c>
      <c r="X378" t="s">
        <v>569</v>
      </c>
      <c r="Y378" t="s">
        <v>570</v>
      </c>
      <c r="Z378" s="257">
        <v>181002040701</v>
      </c>
    </row>
    <row r="379" spans="1:26" ht="15" customHeight="1" x14ac:dyDescent="0.25">
      <c r="A379">
        <v>2022</v>
      </c>
      <c r="B379" t="s">
        <v>189</v>
      </c>
      <c r="C379" t="s">
        <v>190</v>
      </c>
      <c r="D379" t="s">
        <v>566</v>
      </c>
      <c r="E379" t="s">
        <v>146</v>
      </c>
      <c r="F379">
        <v>32.803809999999999</v>
      </c>
      <c r="G379">
        <v>-115.53973999999999</v>
      </c>
      <c r="I379" s="1">
        <v>110002672484</v>
      </c>
      <c r="J379" s="186" t="s">
        <v>567</v>
      </c>
      <c r="K379" s="175" t="str">
        <f>INDEX('2022 SIC to NAICS'!B:B, MATCH('Processed Non-zero DMR Data'!$J379, '2022 SIC to NAICS'!$A:$A, 0))</f>
        <v>Fish Hatcheries and Preserves</v>
      </c>
      <c r="L379" s="175">
        <f>INDEX('2022 SIC to NAICS'!C:C, MATCH('Processed Non-zero DMR Data'!$J379, '2022 SIC to NAICS'!$A:$A, 0))</f>
        <v>112511</v>
      </c>
      <c r="M379" s="175" t="str">
        <f>INDEX('2022 SIC to NAICS'!D:D, MATCH('Processed Non-zero DMR Data'!$J379, '2022 SIC to NAICS'!$A:$A, 0))</f>
        <v xml:space="preserve">Finfish Farming and Fish Hatcheries </v>
      </c>
      <c r="N379" s="90" t="str">
        <f>IFERROR(INDEX('NAICS Code to IS CDR Code'!B:B, MATCH('Processed Non-zero DMR Data'!L379,'NAICS Code to IS CDR Code'!A:A,0)), "NAICS/SIC Not Provided")</f>
        <v>IS1</v>
      </c>
      <c r="O379" s="91" t="str">
        <f>IFERROR(INDEX('NAICS Code to IS CDR Code'!C:C, MATCH('Processed Non-zero DMR Data'!L379,'NAICS Code to IS CDR Code'!A:A,0)), "NAICS/SIC Not Provided")</f>
        <v>Agriculture, Forestry, Fishing and Hunting</v>
      </c>
      <c r="P379" s="91" t="e">
        <f>INDEX('11DCA Mapping'!$K:$K, MATCH('Processed Non-zero DMR Data'!I184,'11DCA Mapping'!$J:$J,0))</f>
        <v>#N/A</v>
      </c>
      <c r="Q379" s="91" t="e">
        <f>INDEX('11DCA Mapping'!$L:$L, MATCH('Processed Non-zero DMR Data'!I184,'11DCA Mapping'!$J:$J,0))</f>
        <v>#N/A</v>
      </c>
      <c r="R379" s="91" t="str">
        <f>VLOOKUP(I379,'DMR POTW Flag'!$A$2:$B$960,2,FALSE)</f>
        <v>NON-POTW</v>
      </c>
      <c r="S379" s="7" t="s">
        <v>72</v>
      </c>
      <c r="T379" s="244" t="s">
        <v>568</v>
      </c>
      <c r="U379" s="8">
        <f>COUNTIFS('Raw Non-zero DMR Data'!$A:$A, 'Processed Non-zero DMR Data'!A379, 'Raw Non-zero DMR Data'!$C:$C, X379, 'Raw Non-zero DMR Data'!$U:$U,'Processed Non-zero DMR Data'!Y379)</f>
        <v>2</v>
      </c>
      <c r="V379" s="8">
        <f>COUNTIFS('Raw Non-zero DMR Data'!$A:$A, 'Processed Non-zero DMR Data'!A379, 'Raw Non-zero DMR Data'!$C:$C, X379, 'Raw Non-zero DMR Data'!$U:$U,'Processed Non-zero DMR Data'!Y379,'Raw Non-zero DMR Data'!$Z:$Z,"Yes")</f>
        <v>0</v>
      </c>
      <c r="W379">
        <v>1.0361437500000001E-2</v>
      </c>
      <c r="X379" t="s">
        <v>569</v>
      </c>
      <c r="Y379" t="s">
        <v>570</v>
      </c>
      <c r="Z379" s="257">
        <v>181002040701</v>
      </c>
    </row>
    <row r="380" spans="1:26" ht="15" customHeight="1" x14ac:dyDescent="0.25">
      <c r="A380">
        <v>2022</v>
      </c>
      <c r="B380" t="s">
        <v>216</v>
      </c>
      <c r="C380" t="s">
        <v>217</v>
      </c>
      <c r="D380" t="s">
        <v>571</v>
      </c>
      <c r="E380" t="s">
        <v>218</v>
      </c>
      <c r="F380">
        <v>40.393799999999999</v>
      </c>
      <c r="G380">
        <v>-105.074</v>
      </c>
      <c r="I380" s="1">
        <v>110070053140</v>
      </c>
      <c r="J380">
        <v>7521</v>
      </c>
      <c r="K380" s="175" t="str">
        <f>INDEX('2022 SIC to NAICS'!B:B, MATCH('Processed Non-zero DMR Data'!$J380, '2022 SIC to NAICS'!$A:$A, 0))</f>
        <v>Automobile Parking</v>
      </c>
      <c r="L380" s="175">
        <f>INDEX('2022 SIC to NAICS'!C:C, MATCH('Processed Non-zero DMR Data'!$J380, '2022 SIC to NAICS'!$A:$A, 0))</f>
        <v>812930</v>
      </c>
      <c r="M380" s="175" t="str">
        <f>INDEX('2022 SIC to NAICS'!D:D, MATCH('Processed Non-zero DMR Data'!$J380, '2022 SIC to NAICS'!$A:$A, 0))</f>
        <v xml:space="preserve">Parking Lots and Garages </v>
      </c>
      <c r="N380" s="90" t="str">
        <f>IFERROR(INDEX('NAICS Code to IS CDR Code'!B:B, MATCH('Processed Non-zero DMR Data'!L380,'NAICS Code to IS CDR Code'!A:A,0)), "NAICS/SIC Not Provided")</f>
        <v>IS47</v>
      </c>
      <c r="O380" s="91" t="str">
        <f>IFERROR(INDEX('NAICS Code to IS CDR Code'!C:C, MATCH('Processed Non-zero DMR Data'!L380,'NAICS Code to IS CDR Code'!A:A,0)), "NAICS/SIC Not Provided")</f>
        <v>Services</v>
      </c>
      <c r="P380" s="91" t="str">
        <f>INDEX('11DCA Mapping'!$K:$K, MATCH('Processed Non-zero DMR Data'!I238,'11DCA Mapping'!$J:$J,0))</f>
        <v>Waste Handling, Disposal, Treatment, and Recycling</v>
      </c>
      <c r="Q380" s="91" t="str">
        <f>INDEX('11DCA Mapping'!$L:$L, MATCH('Processed Non-zero DMR Data'!I238,'11DCA Mapping'!$J:$J,0))</f>
        <v>Site name is a produced water reclamation facility - assumed produced waste water from hydraulic fracturing</v>
      </c>
      <c r="R380" s="91" t="str">
        <f>VLOOKUP(I380,'DMR POTW Flag'!$A$2:$B$960,2,FALSE)</f>
        <v>NON-POTW</v>
      </c>
      <c r="S380" s="7" t="s">
        <v>72</v>
      </c>
      <c r="T380" s="244" t="s">
        <v>572</v>
      </c>
      <c r="U380" s="8">
        <f>COUNTIFS('Raw Non-zero DMR Data'!$A:$A, 'Processed Non-zero DMR Data'!A380, 'Raw Non-zero DMR Data'!$C:$C, X380, 'Raw Non-zero DMR Data'!$U:$U,'Processed Non-zero DMR Data'!Y380)</f>
        <v>1</v>
      </c>
      <c r="V380" s="8">
        <f>COUNTIFS('Raw Non-zero DMR Data'!$A:$A, 'Processed Non-zero DMR Data'!A380, 'Raw Non-zero DMR Data'!$C:$C, X380, 'Raw Non-zero DMR Data'!$U:$U,'Processed Non-zero DMR Data'!Y380,'Raw Non-zero DMR Data'!$Z:$Z,"Yes")</f>
        <v>1</v>
      </c>
      <c r="W380">
        <v>1.9553310000000001E-2</v>
      </c>
      <c r="X380" t="s">
        <v>573</v>
      </c>
      <c r="Y380" t="s">
        <v>574</v>
      </c>
      <c r="Z380" s="257">
        <v>101900060605</v>
      </c>
    </row>
    <row r="381" spans="1:26" ht="15" customHeight="1" x14ac:dyDescent="0.25">
      <c r="A381">
        <v>2022</v>
      </c>
      <c r="B381" t="s">
        <v>445</v>
      </c>
      <c r="C381" t="s">
        <v>446</v>
      </c>
      <c r="D381" t="s">
        <v>446</v>
      </c>
      <c r="E381" t="s">
        <v>146</v>
      </c>
      <c r="F381">
        <v>33.990146000000003</v>
      </c>
      <c r="G381">
        <v>-118.36358</v>
      </c>
      <c r="I381" s="1">
        <v>110064624018</v>
      </c>
      <c r="J381">
        <v>2911</v>
      </c>
      <c r="K381" s="175" t="str">
        <f>INDEX('2022 SIC to NAICS'!B:B, MATCH('Processed Non-zero DMR Data'!$J381, '2022 SIC to NAICS'!$A:$A, 0))</f>
        <v>Petroleum Refining</v>
      </c>
      <c r="L381" s="175">
        <f>INDEX('2022 SIC to NAICS'!C:C, MATCH('Processed Non-zero DMR Data'!$J381, '2022 SIC to NAICS'!$A:$A, 0))</f>
        <v>324110</v>
      </c>
      <c r="M381" s="175" t="str">
        <f>INDEX('2022 SIC to NAICS'!D:D, MATCH('Processed Non-zero DMR Data'!$J381, '2022 SIC to NAICS'!$A:$A, 0))</f>
        <v>Petroleum Refineries</v>
      </c>
      <c r="N381" s="90" t="str">
        <f>IFERROR(INDEX('NAICS Code to IS CDR Code'!B:B, MATCH('Processed Non-zero DMR Data'!L381,'NAICS Code to IS CDR Code'!A:A,0)), "NAICS/SIC Not Provided")</f>
        <v>IS11</v>
      </c>
      <c r="O381" s="91" t="str">
        <f>IFERROR(INDEX('NAICS Code to IS CDR Code'!C:C, MATCH('Processed Non-zero DMR Data'!L381,'NAICS Code to IS CDR Code'!A:A,0)), "NAICS/SIC Not Provided")</f>
        <v>Petroleum Refineries</v>
      </c>
      <c r="P381" s="91" t="str">
        <f>INDEX('11DCA Mapping'!$K:$K, MATCH('Processed Non-zero DMR Data'!I329,'11DCA Mapping'!$J:$J,0))</f>
        <v>POTW</v>
      </c>
      <c r="Q381" s="91" t="str">
        <f>INDEX('11DCA Mapping'!$L:$L, MATCH('Processed Non-zero DMR Data'!I329,'11DCA Mapping'!$J:$J,0))</f>
        <v>Assigned POTW per "Facility Type Indicator"</v>
      </c>
      <c r="R381" s="91" t="str">
        <f>VLOOKUP(I381,'DMR POTW Flag'!$A$2:$B$960,2,FALSE)</f>
        <v>NON-POTW</v>
      </c>
      <c r="S381" s="7" t="s">
        <v>72</v>
      </c>
      <c r="T381" s="244" t="s">
        <v>820</v>
      </c>
      <c r="U381" s="8">
        <f>COUNTIFS('Raw Non-zero DMR Data'!$A:$A, 'Processed Non-zero DMR Data'!A381, 'Raw Non-zero DMR Data'!$C:$C, X381, 'Raw Non-zero DMR Data'!$U:$U,'Processed Non-zero DMR Data'!Y381)</f>
        <v>2</v>
      </c>
      <c r="V381" s="8">
        <f>COUNTIFS('Raw Non-zero DMR Data'!$A:$A, 'Processed Non-zero DMR Data'!A381, 'Raw Non-zero DMR Data'!$C:$C, X381, 'Raw Non-zero DMR Data'!$U:$U,'Processed Non-zero DMR Data'!Y381,'Raw Non-zero DMR Data'!$Z:$Z,"Yes")</f>
        <v>2</v>
      </c>
      <c r="W381">
        <v>0.69490707500000004</v>
      </c>
      <c r="X381" t="s">
        <v>821</v>
      </c>
      <c r="Y381" t="s">
        <v>822</v>
      </c>
      <c r="Z381" s="257">
        <v>180701040300</v>
      </c>
    </row>
    <row r="382" spans="1:26" ht="15" customHeight="1" x14ac:dyDescent="0.25">
      <c r="A382">
        <v>2022</v>
      </c>
      <c r="B382" t="s">
        <v>445</v>
      </c>
      <c r="C382" t="s">
        <v>446</v>
      </c>
      <c r="D382" t="s">
        <v>446</v>
      </c>
      <c r="E382" t="s">
        <v>146</v>
      </c>
      <c r="F382">
        <v>33.990146000000003</v>
      </c>
      <c r="G382">
        <v>-118.36358</v>
      </c>
      <c r="I382" s="1">
        <v>110064624018</v>
      </c>
      <c r="J382">
        <v>2911</v>
      </c>
      <c r="K382" s="175" t="str">
        <f>INDEX('2022 SIC to NAICS'!B:B, MATCH('Processed Non-zero DMR Data'!$J382, '2022 SIC to NAICS'!$A:$A, 0))</f>
        <v>Petroleum Refining</v>
      </c>
      <c r="L382" s="175">
        <f>INDEX('2022 SIC to NAICS'!C:C, MATCH('Processed Non-zero DMR Data'!$J382, '2022 SIC to NAICS'!$A:$A, 0))</f>
        <v>324110</v>
      </c>
      <c r="M382" s="175" t="str">
        <f>INDEX('2022 SIC to NAICS'!D:D, MATCH('Processed Non-zero DMR Data'!$J382, '2022 SIC to NAICS'!$A:$A, 0))</f>
        <v>Petroleum Refineries</v>
      </c>
      <c r="N382" s="90" t="str">
        <f>IFERROR(INDEX('NAICS Code to IS CDR Code'!B:B, MATCH('Processed Non-zero DMR Data'!L382,'NAICS Code to IS CDR Code'!A:A,0)), "NAICS/SIC Not Provided")</f>
        <v>IS11</v>
      </c>
      <c r="O382" s="91" t="str">
        <f>IFERROR(INDEX('NAICS Code to IS CDR Code'!C:C, MATCH('Processed Non-zero DMR Data'!L382,'NAICS Code to IS CDR Code'!A:A,0)), "NAICS/SIC Not Provided")</f>
        <v>Petroleum Refineries</v>
      </c>
      <c r="P382" s="91" t="str">
        <f>INDEX('11DCA Mapping'!$K:$K, MATCH('Processed Non-zero DMR Data'!I330,'11DCA Mapping'!$J:$J,0))</f>
        <v>Processing as a Reactant</v>
      </c>
      <c r="Q382" s="91" t="str">
        <f>INDEX('11DCA Mapping'!$L:$L, MATCH('Processed Non-zero DMR Data'!I330,'11DCA Mapping'!$J:$J,0))</f>
        <v>Used mapping of other site with similar SIC description (Industrial Organic Chemicals)</v>
      </c>
      <c r="R382" s="91" t="str">
        <f>VLOOKUP(I382,'DMR POTW Flag'!$A$2:$B$960,2,FALSE)</f>
        <v>NON-POTW</v>
      </c>
      <c r="S382" s="7" t="s">
        <v>72</v>
      </c>
      <c r="T382" s="244" t="s">
        <v>820</v>
      </c>
      <c r="U382" s="8">
        <f>COUNTIFS('Raw Non-zero DMR Data'!$A:$A, 'Processed Non-zero DMR Data'!A382, 'Raw Non-zero DMR Data'!$C:$C, X382, 'Raw Non-zero DMR Data'!$U:$U,'Processed Non-zero DMR Data'!Y382)</f>
        <v>2</v>
      </c>
      <c r="V382" s="8">
        <f>COUNTIFS('Raw Non-zero DMR Data'!$A:$A, 'Processed Non-zero DMR Data'!A382, 'Raw Non-zero DMR Data'!$C:$C, X382, 'Raw Non-zero DMR Data'!$U:$U,'Processed Non-zero DMR Data'!Y382,'Raw Non-zero DMR Data'!$Z:$Z,"Yes")</f>
        <v>2</v>
      </c>
      <c r="W382">
        <v>0.41169444999999999</v>
      </c>
      <c r="X382" t="s">
        <v>821</v>
      </c>
      <c r="Y382" t="s">
        <v>822</v>
      </c>
      <c r="Z382" s="257">
        <v>180701040300</v>
      </c>
    </row>
    <row r="383" spans="1:26" ht="15" customHeight="1" x14ac:dyDescent="0.25">
      <c r="A383">
        <v>2022</v>
      </c>
      <c r="B383" t="s">
        <v>505</v>
      </c>
      <c r="C383" t="s">
        <v>498</v>
      </c>
      <c r="D383" t="s">
        <v>498</v>
      </c>
      <c r="E383" t="s">
        <v>218</v>
      </c>
      <c r="F383">
        <v>39.781474000000003</v>
      </c>
      <c r="G383">
        <v>-104.97438</v>
      </c>
      <c r="I383" s="1">
        <v>110070162955</v>
      </c>
      <c r="J383">
        <v>1629</v>
      </c>
      <c r="K383" s="175" t="str">
        <f>INDEX('2022 SIC to NAICS'!B:B, MATCH('Processed Non-zero DMR Data'!$J383, '2022 SIC to NAICS'!$A:$A, 0))</f>
        <v>Heavy Construction, Nec</v>
      </c>
      <c r="L383" s="175">
        <f>INDEX('2022 SIC to NAICS'!C:C, MATCH('Processed Non-zero DMR Data'!$J383, '2022 SIC to NAICS'!$A:$A, 0))</f>
        <v>236210</v>
      </c>
      <c r="M383" s="175" t="str">
        <f>INDEX('2022 SIC to NAICS'!D:D, MATCH('Processed Non-zero DMR Data'!$J383, '2022 SIC to NAICS'!$A:$A, 0))</f>
        <v xml:space="preserve">Industrial Building Construction </v>
      </c>
      <c r="N383" s="90" t="str">
        <f>IFERROR(INDEX('NAICS Code to IS CDR Code'!B:B, MATCH('Processed Non-zero DMR Data'!L383,'NAICS Code to IS CDR Code'!A:A,0)), "NAICS/SIC Not Provided")</f>
        <v>IS5</v>
      </c>
      <c r="O383" s="91" t="str">
        <f>IFERROR(INDEX('NAICS Code to IS CDR Code'!C:C, MATCH('Processed Non-zero DMR Data'!L383,'NAICS Code to IS CDR Code'!A:A,0)), "NAICS/SIC Not Provided")</f>
        <v>Construction</v>
      </c>
      <c r="P383" s="91" t="str">
        <f>INDEX('11DCA Mapping'!$K:$K, MATCH('Processed Non-zero DMR Data'!I389,'11DCA Mapping'!$J:$J,0))</f>
        <v>Processing as a Reactant</v>
      </c>
      <c r="Q383" s="91" t="str">
        <f>INDEX('11DCA Mapping'!$L:$L, MATCH('Processed Non-zero DMR Data'!I389,'11DCA Mapping'!$J:$J,0))</f>
        <v>Based on SIC code</v>
      </c>
      <c r="R383" s="250" t="str">
        <f>VLOOKUP(I383,'DMR POTW Flag'!$A$2:$B$960,2,FALSE)</f>
        <v>NON-POTW</v>
      </c>
      <c r="S383" s="7" t="s">
        <v>68</v>
      </c>
      <c r="T383" s="249" t="s">
        <v>935</v>
      </c>
      <c r="U383" s="8">
        <f>COUNTIFS('Raw Non-zero DMR Data'!$A:$A, 'Processed Non-zero DMR Data'!A383, 'Raw Non-zero DMR Data'!$C:$C, X383, 'Raw Non-zero DMR Data'!$U:$U,'Processed Non-zero DMR Data'!Y383)</f>
        <v>1</v>
      </c>
      <c r="V383" s="8">
        <f>COUNTIFS('Raw Non-zero DMR Data'!$A:$A, 'Processed Non-zero DMR Data'!A383, 'Raw Non-zero DMR Data'!$C:$C, X383, 'Raw Non-zero DMR Data'!$U:$U,'Processed Non-zero DMR Data'!Y383,'Raw Non-zero DMR Data'!$Z:$Z,"Yes")</f>
        <v>1</v>
      </c>
      <c r="W383">
        <v>7.8992950000000006E-3</v>
      </c>
      <c r="X383" t="s">
        <v>936</v>
      </c>
      <c r="Y383" t="s">
        <v>934</v>
      </c>
      <c r="Z383" s="257">
        <v>101900030304</v>
      </c>
    </row>
    <row r="384" spans="1:26" ht="15" customHeight="1" x14ac:dyDescent="0.25">
      <c r="A384">
        <v>2023</v>
      </c>
      <c r="B384" t="s">
        <v>505</v>
      </c>
      <c r="C384" t="s">
        <v>498</v>
      </c>
      <c r="D384" t="s">
        <v>498</v>
      </c>
      <c r="E384" t="s">
        <v>218</v>
      </c>
      <c r="F384">
        <v>39.781474000000003</v>
      </c>
      <c r="G384">
        <v>-104.97438</v>
      </c>
      <c r="I384" s="1">
        <v>110070162955</v>
      </c>
      <c r="J384">
        <v>1629</v>
      </c>
      <c r="K384" s="175" t="str">
        <f>INDEX('2022 SIC to NAICS'!B:B, MATCH('Processed Non-zero DMR Data'!$J384, '2022 SIC to NAICS'!$A:$A, 0))</f>
        <v>Heavy Construction, Nec</v>
      </c>
      <c r="L384" s="175">
        <f>INDEX('2022 SIC to NAICS'!C:C, MATCH('Processed Non-zero DMR Data'!$J384, '2022 SIC to NAICS'!$A:$A, 0))</f>
        <v>236210</v>
      </c>
      <c r="M384" s="175" t="str">
        <f>INDEX('2022 SIC to NAICS'!D:D, MATCH('Processed Non-zero DMR Data'!$J384, '2022 SIC to NAICS'!$A:$A, 0))</f>
        <v xml:space="preserve">Industrial Building Construction </v>
      </c>
      <c r="N384" s="90" t="str">
        <f>IFERROR(INDEX('NAICS Code to IS CDR Code'!B:B, MATCH('Processed Non-zero DMR Data'!L384,'NAICS Code to IS CDR Code'!A:A,0)), "NAICS/SIC Not Provided")</f>
        <v>IS5</v>
      </c>
      <c r="O384" s="91" t="str">
        <f>IFERROR(INDEX('NAICS Code to IS CDR Code'!C:C, MATCH('Processed Non-zero DMR Data'!L384,'NAICS Code to IS CDR Code'!A:A,0)), "NAICS/SIC Not Provided")</f>
        <v>Construction</v>
      </c>
      <c r="P384" s="91" t="str">
        <f>INDEX('11DCA Mapping'!$K:$K, MATCH('Processed Non-zero DMR Data'!I390,'11DCA Mapping'!$J:$J,0))</f>
        <v>Processing as a Reactant</v>
      </c>
      <c r="Q384" s="91" t="str">
        <f>INDEX('11DCA Mapping'!$L:$L, MATCH('Processed Non-zero DMR Data'!I390,'11DCA Mapping'!$J:$J,0))</f>
        <v>Based on SIC code</v>
      </c>
      <c r="R384" s="250" t="str">
        <f>VLOOKUP(I384,'DMR POTW Flag'!$A$2:$B$960,2,FALSE)</f>
        <v>NON-POTW</v>
      </c>
      <c r="S384" s="7" t="s">
        <v>68</v>
      </c>
      <c r="T384" s="249" t="s">
        <v>935</v>
      </c>
      <c r="U384" s="8">
        <f>COUNTIFS('Raw Non-zero DMR Data'!$A:$A, 'Processed Non-zero DMR Data'!A384, 'Raw Non-zero DMR Data'!$C:$C, X384, 'Raw Non-zero DMR Data'!$U:$U,'Processed Non-zero DMR Data'!Y384)</f>
        <v>1</v>
      </c>
      <c r="V384" s="8">
        <f>COUNTIFS('Raw Non-zero DMR Data'!$A:$A, 'Processed Non-zero DMR Data'!A384, 'Raw Non-zero DMR Data'!$C:$C, X384, 'Raw Non-zero DMR Data'!$U:$U,'Processed Non-zero DMR Data'!Y384,'Raw Non-zero DMR Data'!$Z:$Z,"Yes")</f>
        <v>1</v>
      </c>
      <c r="W384">
        <v>2.5072994424999999E-3</v>
      </c>
      <c r="X384" t="s">
        <v>936</v>
      </c>
      <c r="Y384" t="s">
        <v>934</v>
      </c>
      <c r="Z384" s="257">
        <v>101900030304</v>
      </c>
    </row>
    <row r="385" spans="1:26" ht="15" customHeight="1" x14ac:dyDescent="0.25">
      <c r="A385">
        <v>2022</v>
      </c>
      <c r="B385" t="s">
        <v>502</v>
      </c>
      <c r="C385" t="s">
        <v>372</v>
      </c>
      <c r="D385" t="s">
        <v>638</v>
      </c>
      <c r="E385" t="s">
        <v>114</v>
      </c>
      <c r="F385">
        <v>29.726065999999999</v>
      </c>
      <c r="G385">
        <v>-95.079583999999997</v>
      </c>
      <c r="I385" s="1">
        <v>110000463677</v>
      </c>
      <c r="J385">
        <v>2821</v>
      </c>
      <c r="K385" s="175" t="str">
        <f>INDEX('2022 SIC to NAICS'!B:B, MATCH('Processed Non-zero DMR Data'!$J385, '2022 SIC to NAICS'!$A:$A, 0))</f>
        <v>Plastics Materials and Resins</v>
      </c>
      <c r="L385" s="175">
        <f>INDEX('2022 SIC to NAICS'!C:C, MATCH('Processed Non-zero DMR Data'!$J385, '2022 SIC to NAICS'!$A:$A, 0))</f>
        <v>325211</v>
      </c>
      <c r="M385" s="175" t="str">
        <f>INDEX('2022 SIC to NAICS'!D:D, MATCH('Processed Non-zero DMR Data'!$J385, '2022 SIC to NAICS'!$A:$A, 0))</f>
        <v xml:space="preserve">Plastics Material and Resin Manufacturing </v>
      </c>
      <c r="N385" s="90" t="str">
        <f>IFERROR(INDEX('NAICS Code to IS CDR Code'!B:B, MATCH('Processed Non-zero DMR Data'!L385,'NAICS Code to IS CDR Code'!A:A,0)), "NAICS/SIC Not Provided")</f>
        <v>IS22</v>
      </c>
      <c r="O385" s="91" t="str">
        <f>IFERROR(INDEX('NAICS Code to IS CDR Code'!C:C, MATCH('Processed Non-zero DMR Data'!L385,'NAICS Code to IS CDR Code'!A:A,0)), "NAICS/SIC Not Provided")</f>
        <v>Plastic Material and Resin Manufacturing</v>
      </c>
      <c r="P385" s="91" t="str">
        <f>INDEX('11DCA Mapping'!$K:$K, MATCH('Processed Non-zero DMR Data'!I391,'11DCA Mapping'!$J:$J,0))</f>
        <v>Processing as a Reactant</v>
      </c>
      <c r="Q385" s="91" t="str">
        <f>INDEX('11DCA Mapping'!$L:$L, MATCH('Processed Non-zero DMR Data'!I391,'11DCA Mapping'!$J:$J,0))</f>
        <v>Based on SIC code</v>
      </c>
      <c r="R385" s="250" t="str">
        <f>VLOOKUP(I385,'DMR POTW Flag'!$A$2:$B$960,2,FALSE)</f>
        <v>NON-POTW</v>
      </c>
      <c r="S385" s="7" t="s">
        <v>63</v>
      </c>
      <c r="T385" s="7" t="s">
        <v>5470</v>
      </c>
      <c r="U385" s="8">
        <f>COUNTIFS('Raw Non-zero DMR Data'!$A:$A, 'Processed Non-zero DMR Data'!A385, 'Raw Non-zero DMR Data'!$C:$C, X385, 'Raw Non-zero DMR Data'!$U:$U,'Processed Non-zero DMR Data'!Y385)</f>
        <v>1</v>
      </c>
      <c r="V385" s="8">
        <f>COUNTIFS('Raw Non-zero DMR Data'!$A:$A, 'Processed Non-zero DMR Data'!A385, 'Raw Non-zero DMR Data'!$C:$C, X385, 'Raw Non-zero DMR Data'!$U:$U,'Processed Non-zero DMR Data'!Y385,'Raw Non-zero DMR Data'!$Z:$Z,"Yes")</f>
        <v>0</v>
      </c>
      <c r="W385">
        <v>3.9936110000000002E-3</v>
      </c>
      <c r="X385" t="s">
        <v>937</v>
      </c>
      <c r="Y385" t="s">
        <v>640</v>
      </c>
      <c r="Z385" s="257">
        <v>120401040706</v>
      </c>
    </row>
    <row r="386" spans="1:26" ht="15" customHeight="1" x14ac:dyDescent="0.25">
      <c r="A386">
        <v>2023</v>
      </c>
      <c r="B386" t="s">
        <v>502</v>
      </c>
      <c r="C386" t="s">
        <v>372</v>
      </c>
      <c r="D386" t="s">
        <v>638</v>
      </c>
      <c r="E386" t="s">
        <v>114</v>
      </c>
      <c r="F386">
        <v>29.726065999999999</v>
      </c>
      <c r="G386">
        <v>-95.079583999999997</v>
      </c>
      <c r="I386" s="1">
        <v>110000463677</v>
      </c>
      <c r="J386">
        <v>2821</v>
      </c>
      <c r="K386" s="175" t="str">
        <f>INDEX('2022 SIC to NAICS'!B:B, MATCH('Processed Non-zero DMR Data'!$J386, '2022 SIC to NAICS'!$A:$A, 0))</f>
        <v>Plastics Materials and Resins</v>
      </c>
      <c r="L386" s="175">
        <f>INDEX('2022 SIC to NAICS'!C:C, MATCH('Processed Non-zero DMR Data'!$J386, '2022 SIC to NAICS'!$A:$A, 0))</f>
        <v>325211</v>
      </c>
      <c r="M386" s="175" t="str">
        <f>INDEX('2022 SIC to NAICS'!D:D, MATCH('Processed Non-zero DMR Data'!$J386, '2022 SIC to NAICS'!$A:$A, 0))</f>
        <v xml:space="preserve">Plastics Material and Resin Manufacturing </v>
      </c>
      <c r="N386" s="90" t="str">
        <f>IFERROR(INDEX('NAICS Code to IS CDR Code'!B:B, MATCH('Processed Non-zero DMR Data'!L386,'NAICS Code to IS CDR Code'!A:A,0)), "NAICS/SIC Not Provided")</f>
        <v>IS22</v>
      </c>
      <c r="O386" s="91" t="str">
        <f>IFERROR(INDEX('NAICS Code to IS CDR Code'!C:C, MATCH('Processed Non-zero DMR Data'!L386,'NAICS Code to IS CDR Code'!A:A,0)), "NAICS/SIC Not Provided")</f>
        <v>Plastic Material and Resin Manufacturing</v>
      </c>
      <c r="P386" s="91" t="e">
        <f>INDEX('11DCA Mapping'!$K:$K, MATCH('Processed Non-zero DMR Data'!I392,'11DCA Mapping'!$J:$J,0))</f>
        <v>#N/A</v>
      </c>
      <c r="Q386" s="91" t="e">
        <f>INDEX('11DCA Mapping'!$L:$L, MATCH('Processed Non-zero DMR Data'!I392,'11DCA Mapping'!$J:$J,0))</f>
        <v>#N/A</v>
      </c>
      <c r="R386" s="250" t="str">
        <f>VLOOKUP(I386,'DMR POTW Flag'!$A$2:$B$960,2,FALSE)</f>
        <v>NON-POTW</v>
      </c>
      <c r="S386" s="7" t="s">
        <v>63</v>
      </c>
      <c r="T386" s="7" t="s">
        <v>5470</v>
      </c>
      <c r="U386" s="8">
        <f>COUNTIFS('Raw Non-zero DMR Data'!$A:$A, 'Processed Non-zero DMR Data'!A386, 'Raw Non-zero DMR Data'!$C:$C, X386, 'Raw Non-zero DMR Data'!$U:$U,'Processed Non-zero DMR Data'!Y386)</f>
        <v>1</v>
      </c>
      <c r="V386" s="8">
        <f>COUNTIFS('Raw Non-zero DMR Data'!$A:$A, 'Processed Non-zero DMR Data'!A386, 'Raw Non-zero DMR Data'!$C:$C, X386, 'Raw Non-zero DMR Data'!$U:$U,'Processed Non-zero DMR Data'!Y386,'Raw Non-zero DMR Data'!$Z:$Z,"Yes")</f>
        <v>0</v>
      </c>
      <c r="W386">
        <v>3.5461939999999999E-3</v>
      </c>
      <c r="X386" t="s">
        <v>937</v>
      </c>
      <c r="Y386" t="s">
        <v>640</v>
      </c>
      <c r="Z386" s="257">
        <v>120401040706</v>
      </c>
    </row>
    <row r="387" spans="1:26" ht="15" customHeight="1" x14ac:dyDescent="0.25">
      <c r="A387">
        <v>2022</v>
      </c>
      <c r="B387" t="s">
        <v>503</v>
      </c>
      <c r="C387" t="s">
        <v>504</v>
      </c>
      <c r="D387" t="s">
        <v>938</v>
      </c>
      <c r="E387" t="s">
        <v>452</v>
      </c>
      <c r="F387">
        <v>35.118552999999999</v>
      </c>
      <c r="G387">
        <v>-81.559533000000002</v>
      </c>
      <c r="I387" s="1">
        <v>110000915984</v>
      </c>
      <c r="J387">
        <v>2261</v>
      </c>
      <c r="K387" s="175" t="str">
        <f>INDEX('2022 SIC to NAICS'!B:B, MATCH('Processed Non-zero DMR Data'!$J387, '2022 SIC to NAICS'!$A:$A, 0))</f>
        <v>Finishing Plants, Cotton</v>
      </c>
      <c r="L387" s="175">
        <f>INDEX('2022 SIC to NAICS'!C:C, MATCH('Processed Non-zero DMR Data'!$J387, '2022 SIC to NAICS'!$A:$A, 0))</f>
        <v>313310</v>
      </c>
      <c r="M387" s="175" t="str">
        <f>INDEX('2022 SIC to NAICS'!D:D, MATCH('Processed Non-zero DMR Data'!$J387, '2022 SIC to NAICS'!$A:$A, 0))</f>
        <v xml:space="preserve">Textile and Fabric Finishing Mills </v>
      </c>
      <c r="N387" s="90" t="str">
        <f>IFERROR(INDEX('NAICS Code to IS CDR Code'!B:B, MATCH('Processed Non-zero DMR Data'!L387,'NAICS Code to IS CDR Code'!A:A,0)), "NAICS/SIC Not Provided")</f>
        <v>IS7</v>
      </c>
      <c r="O387" s="91" t="str">
        <f>IFERROR(INDEX('NAICS Code to IS CDR Code'!C:C, MATCH('Processed Non-zero DMR Data'!L387,'NAICS Code to IS CDR Code'!A:A,0)), "NAICS/SIC Not Provided")</f>
        <v>Textiles, apparel, and leather manufacturing</v>
      </c>
      <c r="P387" s="91" t="e">
        <f>INDEX('11DCA Mapping'!$K:$K, MATCH('Processed Non-zero DMR Data'!I393,'11DCA Mapping'!$J:$J,0))</f>
        <v>#N/A</v>
      </c>
      <c r="Q387" s="91" t="e">
        <f>INDEX('11DCA Mapping'!$L:$L, MATCH('Processed Non-zero DMR Data'!I393,'11DCA Mapping'!$J:$J,0))</f>
        <v>#N/A</v>
      </c>
      <c r="R387" s="250" t="str">
        <f>VLOOKUP(I387,'DMR POTW Flag'!$A$2:$B$960,2,FALSE)</f>
        <v>NON-POTW</v>
      </c>
      <c r="S387" s="7" t="s">
        <v>62</v>
      </c>
      <c r="T387" s="7" t="s">
        <v>939</v>
      </c>
      <c r="U387" s="8">
        <f>COUNTIFS('Raw Non-zero DMR Data'!$A:$A, 'Processed Non-zero DMR Data'!A387, 'Raw Non-zero DMR Data'!$C:$C, X387, 'Raw Non-zero DMR Data'!$U:$U,'Processed Non-zero DMR Data'!Y387)</f>
        <v>1</v>
      </c>
      <c r="V387" s="8">
        <f>COUNTIFS('Raw Non-zero DMR Data'!$A:$A, 'Processed Non-zero DMR Data'!A387, 'Raw Non-zero DMR Data'!$C:$C, X387, 'Raw Non-zero DMR Data'!$U:$U,'Processed Non-zero DMR Data'!Y387,'Raw Non-zero DMR Data'!$Z:$Z,"Yes")</f>
        <v>1</v>
      </c>
      <c r="W387">
        <v>9.7768899999999999</v>
      </c>
      <c r="X387" t="s">
        <v>940</v>
      </c>
      <c r="Y387" t="s">
        <v>941</v>
      </c>
      <c r="Z387" s="257">
        <v>30501050805</v>
      </c>
    </row>
    <row r="388" spans="1:26" ht="15" customHeight="1" x14ac:dyDescent="0.25">
      <c r="A388">
        <v>2020</v>
      </c>
      <c r="B388" t="s">
        <v>418</v>
      </c>
      <c r="C388" t="s">
        <v>313</v>
      </c>
      <c r="D388" t="s">
        <v>904</v>
      </c>
      <c r="E388" t="s">
        <v>114</v>
      </c>
      <c r="F388">
        <v>29.75487</v>
      </c>
      <c r="G388">
        <v>-95.103269999999995</v>
      </c>
      <c r="I388" s="1">
        <v>110000460983</v>
      </c>
      <c r="J388">
        <v>2869</v>
      </c>
      <c r="K388" s="175" t="str">
        <f>INDEX('2022 SIC to NAICS'!B:B, MATCH('Processed Non-zero DMR Data'!$J388, '2022 SIC to NAICS'!$A:$A, 0))</f>
        <v>Industrial Organic Chemicals, Nec</v>
      </c>
      <c r="L388" s="175">
        <f>INDEX('2022 SIC to NAICS'!C:C, MATCH('Processed Non-zero DMR Data'!$J388, '2022 SIC to NAICS'!$A:$A, 0))</f>
        <v>325110</v>
      </c>
      <c r="M388" s="175" t="str">
        <f>INDEX('2022 SIC to NAICS'!D:D, MATCH('Processed Non-zero DMR Data'!$J388, '2022 SIC to NAICS'!$A:$A, 0))</f>
        <v>Petrochemical Manufacturing</v>
      </c>
      <c r="N388" s="90" t="str">
        <f>IFERROR(INDEX('NAICS Code to IS CDR Code'!B:B, MATCH('Processed Non-zero DMR Data'!L388,'NAICS Code to IS CDR Code'!A:A,0)), "NAICS/SIC Not Provided")</f>
        <v>IS15</v>
      </c>
      <c r="O388" s="91" t="str">
        <f>IFERROR(INDEX('NAICS Code to IS CDR Code'!C:C, MATCH('Processed Non-zero DMR Data'!L388,'NAICS Code to IS CDR Code'!A:A,0)), "NAICS/SIC Not Provided")</f>
        <v>Petrochemical Manufacturing</v>
      </c>
      <c r="P388" s="91" t="e">
        <f>INDEX('11DCA Mapping'!$K:$K, MATCH('Processed Non-zero DMR Data'!I394,'11DCA Mapping'!$J:$J,0))</f>
        <v>#N/A</v>
      </c>
      <c r="Q388" s="91" t="e">
        <f>INDEX('11DCA Mapping'!$L:$L, MATCH('Processed Non-zero DMR Data'!I394,'11DCA Mapping'!$J:$J,0))</f>
        <v>#N/A</v>
      </c>
      <c r="R388" s="250" t="str">
        <f>VLOOKUP(I388,'DMR POTW Flag'!$A$2:$B$960,2,FALSE)</f>
        <v>NON-POTW</v>
      </c>
      <c r="S388" s="7" t="s">
        <v>62</v>
      </c>
      <c r="T388" s="7" t="s">
        <v>601</v>
      </c>
      <c r="U388" s="8">
        <f>COUNTIFS('Raw Non-zero DMR Data'!$A:$A, 'Processed Non-zero DMR Data'!A388, 'Raw Non-zero DMR Data'!$C:$C, X388, 'Raw Non-zero DMR Data'!$U:$U,'Processed Non-zero DMR Data'!Y388)</f>
        <v>1</v>
      </c>
      <c r="V388" s="8">
        <f>COUNTIFS('Raw Non-zero DMR Data'!$A:$A, 'Processed Non-zero DMR Data'!A388, 'Raw Non-zero DMR Data'!$C:$C, X388, 'Raw Non-zero DMR Data'!$U:$U,'Processed Non-zero DMR Data'!Y388,'Raw Non-zero DMR Data'!$Z:$Z,"Yes")</f>
        <v>0</v>
      </c>
      <c r="W388">
        <v>0.10605439999999999</v>
      </c>
      <c r="X388" t="s">
        <v>942</v>
      </c>
      <c r="Y388" t="s">
        <v>943</v>
      </c>
      <c r="Z388" s="257">
        <v>120401040702</v>
      </c>
    </row>
    <row r="389" spans="1:26" ht="15" customHeight="1" x14ac:dyDescent="0.25">
      <c r="A389">
        <v>2021</v>
      </c>
      <c r="B389" t="s">
        <v>418</v>
      </c>
      <c r="C389" t="s">
        <v>313</v>
      </c>
      <c r="D389" t="s">
        <v>904</v>
      </c>
      <c r="E389" t="s">
        <v>114</v>
      </c>
      <c r="F389">
        <v>29.75487</v>
      </c>
      <c r="G389">
        <v>-95.103269999999995</v>
      </c>
      <c r="I389" s="1">
        <v>110000460983</v>
      </c>
      <c r="J389">
        <v>2869</v>
      </c>
      <c r="K389" s="175" t="str">
        <f>INDEX('2022 SIC to NAICS'!B:B, MATCH('Processed Non-zero DMR Data'!$J389, '2022 SIC to NAICS'!$A:$A, 0))</f>
        <v>Industrial Organic Chemicals, Nec</v>
      </c>
      <c r="L389" s="175">
        <f>INDEX('2022 SIC to NAICS'!C:C, MATCH('Processed Non-zero DMR Data'!$J389, '2022 SIC to NAICS'!$A:$A, 0))</f>
        <v>325110</v>
      </c>
      <c r="M389" s="175" t="str">
        <f>INDEX('2022 SIC to NAICS'!D:D, MATCH('Processed Non-zero DMR Data'!$J389, '2022 SIC to NAICS'!$A:$A, 0))</f>
        <v>Petrochemical Manufacturing</v>
      </c>
      <c r="N389" s="90" t="str">
        <f>IFERROR(INDEX('NAICS Code to IS CDR Code'!B:B, MATCH('Processed Non-zero DMR Data'!L389,'NAICS Code to IS CDR Code'!A:A,0)), "NAICS/SIC Not Provided")</f>
        <v>IS15</v>
      </c>
      <c r="O389" s="91" t="str">
        <f>IFERROR(INDEX('NAICS Code to IS CDR Code'!C:C, MATCH('Processed Non-zero DMR Data'!L389,'NAICS Code to IS CDR Code'!A:A,0)), "NAICS/SIC Not Provided")</f>
        <v>Petrochemical Manufacturing</v>
      </c>
      <c r="P389" s="91" t="str">
        <f>INDEX('11DCA Mapping'!$K:$K, MATCH('Processed Non-zero DMR Data'!I395,'11DCA Mapping'!$J:$J,0))</f>
        <v>POTW</v>
      </c>
      <c r="Q389" s="91" t="str">
        <f>INDEX('11DCA Mapping'!$L:$L, MATCH('Processed Non-zero DMR Data'!I395,'11DCA Mapping'!$J:$J,0))</f>
        <v>Assigned POTW per "Facility Type Indicator"</v>
      </c>
      <c r="R389" s="250" t="str">
        <f>VLOOKUP(I389,'DMR POTW Flag'!$A$2:$B$960,2,FALSE)</f>
        <v>NON-POTW</v>
      </c>
      <c r="S389" s="7" t="s">
        <v>62</v>
      </c>
      <c r="T389" s="7" t="s">
        <v>601</v>
      </c>
      <c r="U389" s="8">
        <f>COUNTIFS('Raw Non-zero DMR Data'!$A:$A, 'Processed Non-zero DMR Data'!A389, 'Raw Non-zero DMR Data'!$C:$C, X389, 'Raw Non-zero DMR Data'!$U:$U,'Processed Non-zero DMR Data'!Y389)</f>
        <v>1</v>
      </c>
      <c r="V389" s="8">
        <f>COUNTIFS('Raw Non-zero DMR Data'!$A:$A, 'Processed Non-zero DMR Data'!A389, 'Raw Non-zero DMR Data'!$C:$C, X389, 'Raw Non-zero DMR Data'!$U:$U,'Processed Non-zero DMR Data'!Y389,'Raw Non-zero DMR Data'!$Z:$Z,"Yes")</f>
        <v>1</v>
      </c>
      <c r="W389">
        <v>0.37450460000000002</v>
      </c>
      <c r="X389" t="s">
        <v>942</v>
      </c>
      <c r="Y389" t="s">
        <v>943</v>
      </c>
      <c r="Z389" s="257">
        <v>120401040702</v>
      </c>
    </row>
    <row r="390" spans="1:26" ht="15" customHeight="1" x14ac:dyDescent="0.25">
      <c r="A390">
        <v>2022</v>
      </c>
      <c r="B390" t="s">
        <v>418</v>
      </c>
      <c r="C390" t="s">
        <v>313</v>
      </c>
      <c r="D390" t="s">
        <v>904</v>
      </c>
      <c r="E390" t="s">
        <v>114</v>
      </c>
      <c r="F390">
        <v>29.75487</v>
      </c>
      <c r="G390">
        <v>-95.103269999999995</v>
      </c>
      <c r="I390" s="1">
        <v>110000460983</v>
      </c>
      <c r="J390">
        <v>2869</v>
      </c>
      <c r="K390" s="175" t="str">
        <f>INDEX('2022 SIC to NAICS'!B:B, MATCH('Processed Non-zero DMR Data'!$J390, '2022 SIC to NAICS'!$A:$A, 0))</f>
        <v>Industrial Organic Chemicals, Nec</v>
      </c>
      <c r="L390" s="175">
        <f>INDEX('2022 SIC to NAICS'!C:C, MATCH('Processed Non-zero DMR Data'!$J390, '2022 SIC to NAICS'!$A:$A, 0))</f>
        <v>325110</v>
      </c>
      <c r="M390" s="175" t="str">
        <f>INDEX('2022 SIC to NAICS'!D:D, MATCH('Processed Non-zero DMR Data'!$J390, '2022 SIC to NAICS'!$A:$A, 0))</f>
        <v>Petrochemical Manufacturing</v>
      </c>
      <c r="N390" s="90" t="str">
        <f>IFERROR(INDEX('NAICS Code to IS CDR Code'!B:B, MATCH('Processed Non-zero DMR Data'!L390,'NAICS Code to IS CDR Code'!A:A,0)), "NAICS/SIC Not Provided")</f>
        <v>IS15</v>
      </c>
      <c r="O390" s="91" t="str">
        <f>IFERROR(INDEX('NAICS Code to IS CDR Code'!C:C, MATCH('Processed Non-zero DMR Data'!L390,'NAICS Code to IS CDR Code'!A:A,0)), "NAICS/SIC Not Provided")</f>
        <v>Petrochemical Manufacturing</v>
      </c>
      <c r="P390" s="91" t="str">
        <f>INDEX('11DCA Mapping'!$K:$K, MATCH('Processed Non-zero DMR Data'!I396,'11DCA Mapping'!$J:$J,0))</f>
        <v>POTW</v>
      </c>
      <c r="Q390" s="91" t="str">
        <f>INDEX('11DCA Mapping'!$L:$L, MATCH('Processed Non-zero DMR Data'!I396,'11DCA Mapping'!$J:$J,0))</f>
        <v>Assigned POTW per "Facility Type Indicator"</v>
      </c>
      <c r="R390" s="250" t="str">
        <f>VLOOKUP(I390,'DMR POTW Flag'!$A$2:$B$960,2,FALSE)</f>
        <v>NON-POTW</v>
      </c>
      <c r="S390" s="7" t="s">
        <v>62</v>
      </c>
      <c r="T390" s="7" t="s">
        <v>601</v>
      </c>
      <c r="U390" s="8">
        <f>COUNTIFS('Raw Non-zero DMR Data'!$A:$A, 'Processed Non-zero DMR Data'!A390, 'Raw Non-zero DMR Data'!$C:$C, X390, 'Raw Non-zero DMR Data'!$U:$U,'Processed Non-zero DMR Data'!Y390)</f>
        <v>1</v>
      </c>
      <c r="V390" s="8">
        <f>COUNTIFS('Raw Non-zero DMR Data'!$A:$A, 'Processed Non-zero DMR Data'!A390, 'Raw Non-zero DMR Data'!$C:$C, X390, 'Raw Non-zero DMR Data'!$U:$U,'Processed Non-zero DMR Data'!Y390,'Raw Non-zero DMR Data'!$Z:$Z,"Yes")</f>
        <v>1</v>
      </c>
      <c r="W390">
        <v>0.16571</v>
      </c>
      <c r="X390" t="s">
        <v>942</v>
      </c>
      <c r="Y390" t="s">
        <v>943</v>
      </c>
      <c r="Z390" s="257">
        <v>120401040702</v>
      </c>
    </row>
    <row r="391" spans="1:26" ht="15" customHeight="1" x14ac:dyDescent="0.25">
      <c r="A391">
        <v>2023</v>
      </c>
      <c r="B391" t="s">
        <v>418</v>
      </c>
      <c r="C391" t="s">
        <v>313</v>
      </c>
      <c r="D391" t="s">
        <v>904</v>
      </c>
      <c r="E391" t="s">
        <v>114</v>
      </c>
      <c r="F391">
        <v>29.75487</v>
      </c>
      <c r="G391">
        <v>-95.103269999999995</v>
      </c>
      <c r="I391" s="1">
        <v>110000460983</v>
      </c>
      <c r="J391">
        <v>2869</v>
      </c>
      <c r="K391" s="175" t="str">
        <f>INDEX('2022 SIC to NAICS'!B:B, MATCH('Processed Non-zero DMR Data'!$J391, '2022 SIC to NAICS'!$A:$A, 0))</f>
        <v>Industrial Organic Chemicals, Nec</v>
      </c>
      <c r="L391" s="175">
        <f>INDEX('2022 SIC to NAICS'!C:C, MATCH('Processed Non-zero DMR Data'!$J391, '2022 SIC to NAICS'!$A:$A, 0))</f>
        <v>325110</v>
      </c>
      <c r="M391" s="175" t="str">
        <f>INDEX('2022 SIC to NAICS'!D:D, MATCH('Processed Non-zero DMR Data'!$J391, '2022 SIC to NAICS'!$A:$A, 0))</f>
        <v>Petrochemical Manufacturing</v>
      </c>
      <c r="N391" s="90" t="str">
        <f>IFERROR(INDEX('NAICS Code to IS CDR Code'!B:B, MATCH('Processed Non-zero DMR Data'!L391,'NAICS Code to IS CDR Code'!A:A,0)), "NAICS/SIC Not Provided")</f>
        <v>IS15</v>
      </c>
      <c r="O391" s="91" t="str">
        <f>IFERROR(INDEX('NAICS Code to IS CDR Code'!C:C, MATCH('Processed Non-zero DMR Data'!L391,'NAICS Code to IS CDR Code'!A:A,0)), "NAICS/SIC Not Provided")</f>
        <v>Petrochemical Manufacturing</v>
      </c>
      <c r="P391" s="91" t="str">
        <f>INDEX('11DCA Mapping'!$K:$K, MATCH('Processed Non-zero DMR Data'!I397,'11DCA Mapping'!$J:$J,0))</f>
        <v>POTW</v>
      </c>
      <c r="Q391" s="91" t="str">
        <f>INDEX('11DCA Mapping'!$L:$L, MATCH('Processed Non-zero DMR Data'!I397,'11DCA Mapping'!$J:$J,0))</f>
        <v>Assigned POTW per "Facility Type Indicator"</v>
      </c>
      <c r="R391" s="250" t="str">
        <f>VLOOKUP(I391,'DMR POTW Flag'!$A$2:$B$960,2,FALSE)</f>
        <v>NON-POTW</v>
      </c>
      <c r="S391" s="7" t="s">
        <v>62</v>
      </c>
      <c r="T391" s="7" t="s">
        <v>601</v>
      </c>
      <c r="U391" s="8">
        <f>COUNTIFS('Raw Non-zero DMR Data'!$A:$A, 'Processed Non-zero DMR Data'!A391, 'Raw Non-zero DMR Data'!$C:$C, X391, 'Raw Non-zero DMR Data'!$U:$U,'Processed Non-zero DMR Data'!Y391)</f>
        <v>1</v>
      </c>
      <c r="V391" s="8">
        <f>COUNTIFS('Raw Non-zero DMR Data'!$A:$A, 'Processed Non-zero DMR Data'!A391, 'Raw Non-zero DMR Data'!$C:$C, X391, 'Raw Non-zero DMR Data'!$U:$U,'Processed Non-zero DMR Data'!Y391,'Raw Non-zero DMR Data'!$Z:$Z,"Yes")</f>
        <v>0</v>
      </c>
      <c r="W391">
        <v>0.198852</v>
      </c>
      <c r="X391" t="s">
        <v>942</v>
      </c>
      <c r="Y391" t="s">
        <v>943</v>
      </c>
      <c r="Z391" s="257">
        <v>120401040702</v>
      </c>
    </row>
    <row r="392" spans="1:26" ht="15" customHeight="1" x14ac:dyDescent="0.25">
      <c r="A392">
        <v>2019</v>
      </c>
      <c r="B392" t="s">
        <v>278</v>
      </c>
      <c r="C392" t="s">
        <v>279</v>
      </c>
      <c r="D392" t="s">
        <v>944</v>
      </c>
      <c r="E392" t="s">
        <v>138</v>
      </c>
      <c r="F392">
        <v>38.002597000000002</v>
      </c>
      <c r="G392">
        <v>-86.117904999999993</v>
      </c>
      <c r="I392" s="1">
        <v>110000377976</v>
      </c>
      <c r="J392">
        <v>2869</v>
      </c>
      <c r="K392" s="175" t="str">
        <f>INDEX('2022 SIC to NAICS'!B:B, MATCH('Processed Non-zero DMR Data'!$J392, '2022 SIC to NAICS'!$A:$A, 0))</f>
        <v>Industrial Organic Chemicals, Nec</v>
      </c>
      <c r="L392" s="175">
        <f>INDEX('2022 SIC to NAICS'!C:C, MATCH('Processed Non-zero DMR Data'!$J392, '2022 SIC to NAICS'!$A:$A, 0))</f>
        <v>325110</v>
      </c>
      <c r="M392" s="175" t="str">
        <f>INDEX('2022 SIC to NAICS'!D:D, MATCH('Processed Non-zero DMR Data'!$J392, '2022 SIC to NAICS'!$A:$A, 0))</f>
        <v>Petrochemical Manufacturing</v>
      </c>
      <c r="N392" s="90" t="str">
        <f>IFERROR(INDEX('NAICS Code to IS CDR Code'!B:B, MATCH('Processed Non-zero DMR Data'!L392,'NAICS Code to IS CDR Code'!A:A,0)), "NAICS/SIC Not Provided")</f>
        <v>IS15</v>
      </c>
      <c r="O392" s="91" t="str">
        <f>IFERROR(INDEX('NAICS Code to IS CDR Code'!C:C, MATCH('Processed Non-zero DMR Data'!L392,'NAICS Code to IS CDR Code'!A:A,0)), "NAICS/SIC Not Provided")</f>
        <v>Petrochemical Manufacturing</v>
      </c>
      <c r="P392" s="91" t="str">
        <f>INDEX('11DCA Mapping'!$K:$K, MATCH('Processed Non-zero DMR Data'!I398,'11DCA Mapping'!$J:$J,0))</f>
        <v>POTW</v>
      </c>
      <c r="Q392" s="91" t="str">
        <f>INDEX('11DCA Mapping'!$L:$L, MATCH('Processed Non-zero DMR Data'!I398,'11DCA Mapping'!$J:$J,0))</f>
        <v>Assigned POTW per "Facility Type Indicator"</v>
      </c>
      <c r="R392" s="250" t="str">
        <f>VLOOKUP(I392,'DMR POTW Flag'!$A$2:$B$960,2,FALSE)</f>
        <v>NON-POTW</v>
      </c>
      <c r="S392" s="7" t="s">
        <v>62</v>
      </c>
      <c r="T392" s="7" t="s">
        <v>876</v>
      </c>
      <c r="U392" s="8">
        <f>COUNTIFS('Raw Non-zero DMR Data'!$A:$A, 'Processed Non-zero DMR Data'!A392, 'Raw Non-zero DMR Data'!$C:$C, X392, 'Raw Non-zero DMR Data'!$U:$U,'Processed Non-zero DMR Data'!Y392)</f>
        <v>1</v>
      </c>
      <c r="V392" s="8">
        <f>COUNTIFS('Raw Non-zero DMR Data'!$A:$A, 'Processed Non-zero DMR Data'!A392, 'Raw Non-zero DMR Data'!$C:$C, X392, 'Raw Non-zero DMR Data'!$U:$U,'Processed Non-zero DMR Data'!Y392,'Raw Non-zero DMR Data'!$Z:$Z,"Yes")</f>
        <v>0</v>
      </c>
      <c r="W392">
        <v>9.0073600000000004E-2</v>
      </c>
      <c r="X392" t="s">
        <v>945</v>
      </c>
      <c r="Y392" t="s">
        <v>946</v>
      </c>
      <c r="Z392" s="257">
        <v>51401040106</v>
      </c>
    </row>
    <row r="393" spans="1:26" ht="15" customHeight="1" x14ac:dyDescent="0.25">
      <c r="A393">
        <v>2021</v>
      </c>
      <c r="B393" t="s">
        <v>278</v>
      </c>
      <c r="C393" t="s">
        <v>279</v>
      </c>
      <c r="D393" t="s">
        <v>944</v>
      </c>
      <c r="E393" t="s">
        <v>138</v>
      </c>
      <c r="F393">
        <v>38.002597000000002</v>
      </c>
      <c r="G393">
        <v>-86.117904999999993</v>
      </c>
      <c r="I393" s="1">
        <v>110000377976</v>
      </c>
      <c r="J393">
        <v>2869</v>
      </c>
      <c r="K393" s="175" t="str">
        <f>INDEX('2022 SIC to NAICS'!B:B, MATCH('Processed Non-zero DMR Data'!$J393, '2022 SIC to NAICS'!$A:$A, 0))</f>
        <v>Industrial Organic Chemicals, Nec</v>
      </c>
      <c r="L393" s="175">
        <f>INDEX('2022 SIC to NAICS'!C:C, MATCH('Processed Non-zero DMR Data'!$J393, '2022 SIC to NAICS'!$A:$A, 0))</f>
        <v>325110</v>
      </c>
      <c r="M393" s="175" t="str">
        <f>INDEX('2022 SIC to NAICS'!D:D, MATCH('Processed Non-zero DMR Data'!$J393, '2022 SIC to NAICS'!$A:$A, 0))</f>
        <v>Petrochemical Manufacturing</v>
      </c>
      <c r="N393" s="90" t="str">
        <f>IFERROR(INDEX('NAICS Code to IS CDR Code'!B:B, MATCH('Processed Non-zero DMR Data'!L393,'NAICS Code to IS CDR Code'!A:A,0)), "NAICS/SIC Not Provided")</f>
        <v>IS15</v>
      </c>
      <c r="O393" s="91" t="str">
        <f>IFERROR(INDEX('NAICS Code to IS CDR Code'!C:C, MATCH('Processed Non-zero DMR Data'!L393,'NAICS Code to IS CDR Code'!A:A,0)), "NAICS/SIC Not Provided")</f>
        <v>Petrochemical Manufacturing</v>
      </c>
      <c r="P393" s="91" t="str">
        <f>INDEX('11DCA Mapping'!$K:$K, MATCH('Processed Non-zero DMR Data'!I399,'11DCA Mapping'!$J:$J,0))</f>
        <v>POTW</v>
      </c>
      <c r="Q393" s="91" t="str">
        <f>INDEX('11DCA Mapping'!$L:$L, MATCH('Processed Non-zero DMR Data'!I399,'11DCA Mapping'!$J:$J,0))</f>
        <v>Assigned POTW per "Facility Type Indicator"</v>
      </c>
      <c r="R393" s="250" t="str">
        <f>VLOOKUP(I393,'DMR POTW Flag'!$A$2:$B$960,2,FALSE)</f>
        <v>NON-POTW</v>
      </c>
      <c r="S393" s="7" t="s">
        <v>62</v>
      </c>
      <c r="T393" s="7" t="s">
        <v>876</v>
      </c>
      <c r="U393" s="8">
        <f>COUNTIFS('Raw Non-zero DMR Data'!$A:$A, 'Processed Non-zero DMR Data'!A393, 'Raw Non-zero DMR Data'!$C:$C, X393, 'Raw Non-zero DMR Data'!$U:$U,'Processed Non-zero DMR Data'!Y393)</f>
        <v>1</v>
      </c>
      <c r="V393" s="8">
        <f>COUNTIFS('Raw Non-zero DMR Data'!$A:$A, 'Processed Non-zero DMR Data'!A393, 'Raw Non-zero DMR Data'!$C:$C, X393, 'Raw Non-zero DMR Data'!$U:$U,'Processed Non-zero DMR Data'!Y393,'Raw Non-zero DMR Data'!$Z:$Z,"Yes")</f>
        <v>0</v>
      </c>
      <c r="W393">
        <v>0.78337699999999999</v>
      </c>
      <c r="X393" t="s">
        <v>945</v>
      </c>
      <c r="Y393" t="s">
        <v>946</v>
      </c>
      <c r="Z393" s="257">
        <v>51401040106</v>
      </c>
    </row>
    <row r="394" spans="1:26" ht="15" customHeight="1" x14ac:dyDescent="0.25">
      <c r="A394">
        <v>2022</v>
      </c>
      <c r="B394" t="s">
        <v>278</v>
      </c>
      <c r="C394" t="s">
        <v>279</v>
      </c>
      <c r="D394" t="s">
        <v>944</v>
      </c>
      <c r="E394" t="s">
        <v>138</v>
      </c>
      <c r="F394">
        <v>38.002597000000002</v>
      </c>
      <c r="G394">
        <v>-86.117904999999993</v>
      </c>
      <c r="I394" s="1">
        <v>110000377976</v>
      </c>
      <c r="J394">
        <v>2869</v>
      </c>
      <c r="K394" s="175" t="str">
        <f>INDEX('2022 SIC to NAICS'!B:B, MATCH('Processed Non-zero DMR Data'!$J394, '2022 SIC to NAICS'!$A:$A, 0))</f>
        <v>Industrial Organic Chemicals, Nec</v>
      </c>
      <c r="L394" s="175">
        <f>INDEX('2022 SIC to NAICS'!C:C, MATCH('Processed Non-zero DMR Data'!$J394, '2022 SIC to NAICS'!$A:$A, 0))</f>
        <v>325110</v>
      </c>
      <c r="M394" s="175" t="str">
        <f>INDEX('2022 SIC to NAICS'!D:D, MATCH('Processed Non-zero DMR Data'!$J394, '2022 SIC to NAICS'!$A:$A, 0))</f>
        <v>Petrochemical Manufacturing</v>
      </c>
      <c r="N394" s="90" t="str">
        <f>IFERROR(INDEX('NAICS Code to IS CDR Code'!B:B, MATCH('Processed Non-zero DMR Data'!L394,'NAICS Code to IS CDR Code'!A:A,0)), "NAICS/SIC Not Provided")</f>
        <v>IS15</v>
      </c>
      <c r="O394" s="91" t="str">
        <f>IFERROR(INDEX('NAICS Code to IS CDR Code'!C:C, MATCH('Processed Non-zero DMR Data'!L394,'NAICS Code to IS CDR Code'!A:A,0)), "NAICS/SIC Not Provided")</f>
        <v>Petrochemical Manufacturing</v>
      </c>
      <c r="P394" s="91" t="str">
        <f>INDEX('11DCA Mapping'!$K:$K, MATCH('Processed Non-zero DMR Data'!I400,'11DCA Mapping'!$J:$J,0))</f>
        <v>POTW</v>
      </c>
      <c r="Q394" s="91" t="str">
        <f>INDEX('11DCA Mapping'!$L:$L, MATCH('Processed Non-zero DMR Data'!I400,'11DCA Mapping'!$J:$J,0))</f>
        <v>Assigned POTW per "Facility Type Indicator"</v>
      </c>
      <c r="R394" s="250" t="str">
        <f>VLOOKUP(I394,'DMR POTW Flag'!$A$2:$B$960,2,FALSE)</f>
        <v>NON-POTW</v>
      </c>
      <c r="S394" s="7" t="s">
        <v>62</v>
      </c>
      <c r="T394" s="7" t="s">
        <v>876</v>
      </c>
      <c r="U394" s="8">
        <f>COUNTIFS('Raw Non-zero DMR Data'!$A:$A, 'Processed Non-zero DMR Data'!A394, 'Raw Non-zero DMR Data'!$C:$C, X394, 'Raw Non-zero DMR Data'!$U:$U,'Processed Non-zero DMR Data'!Y394)</f>
        <v>1</v>
      </c>
      <c r="V394" s="8">
        <f>COUNTIFS('Raw Non-zero DMR Data'!$A:$A, 'Processed Non-zero DMR Data'!A394, 'Raw Non-zero DMR Data'!$C:$C, X394, 'Raw Non-zero DMR Data'!$U:$U,'Processed Non-zero DMR Data'!Y394,'Raw Non-zero DMR Data'!$Z:$Z,"Yes")</f>
        <v>0</v>
      </c>
      <c r="W394">
        <v>9.5703200000000002E-2</v>
      </c>
      <c r="X394" t="s">
        <v>945</v>
      </c>
      <c r="Y394" t="s">
        <v>946</v>
      </c>
      <c r="Z394" s="257">
        <v>51401040106</v>
      </c>
    </row>
    <row r="395" spans="1:26" ht="15" customHeight="1" x14ac:dyDescent="0.25">
      <c r="A395">
        <v>2019</v>
      </c>
      <c r="B395" t="s">
        <v>293</v>
      </c>
      <c r="C395" t="s">
        <v>294</v>
      </c>
      <c r="D395" t="s">
        <v>947</v>
      </c>
      <c r="E395" t="s">
        <v>138</v>
      </c>
      <c r="F395">
        <v>38.151904999999999</v>
      </c>
      <c r="G395">
        <v>-83.513848999999993</v>
      </c>
      <c r="I395" s="1">
        <v>110045085457</v>
      </c>
      <c r="J395">
        <v>4952</v>
      </c>
      <c r="K395" s="175" t="str">
        <f>INDEX('2022 SIC to NAICS'!B:B, MATCH('Processed Non-zero DMR Data'!$J395, '2022 SIC to NAICS'!$A:$A, 0))</f>
        <v>Sewerage Systems</v>
      </c>
      <c r="L395" s="175">
        <f>INDEX('2022 SIC to NAICS'!C:C, MATCH('Processed Non-zero DMR Data'!$J395, '2022 SIC to NAICS'!$A:$A, 0))</f>
        <v>221320</v>
      </c>
      <c r="M395" s="175" t="str">
        <f>INDEX('2022 SIC to NAICS'!D:D, MATCH('Processed Non-zero DMR Data'!$J395, '2022 SIC to NAICS'!$A:$A, 0))</f>
        <v xml:space="preserve">Sewage Treatment Facilities </v>
      </c>
      <c r="N395" s="90" t="str">
        <f>IFERROR(INDEX('NAICS Code to IS CDR Code'!B:B, MATCH('Processed Non-zero DMR Data'!L395,'NAICS Code to IS CDR Code'!A:A,0)), "NAICS/SIC Not Provided")</f>
        <v>IS4</v>
      </c>
      <c r="O395" s="91" t="str">
        <f>IFERROR(INDEX('NAICS Code to IS CDR Code'!C:C, MATCH('Processed Non-zero DMR Data'!L395,'NAICS Code to IS CDR Code'!A:A,0)), "NAICS/SIC Not Provided")</f>
        <v>Utilities</v>
      </c>
      <c r="P395" s="91" t="str">
        <f>INDEX('11DCA Mapping'!$K:$K, MATCH('Processed Non-zero DMR Data'!I401,'11DCA Mapping'!$J:$J,0))</f>
        <v>POTW</v>
      </c>
      <c r="Q395" s="91" t="str">
        <f>INDEX('11DCA Mapping'!$L:$L, MATCH('Processed Non-zero DMR Data'!I401,'11DCA Mapping'!$J:$J,0))</f>
        <v>Assigned POTW per "Facility Type Indicator"</v>
      </c>
      <c r="R395" s="250" t="str">
        <f>VLOOKUP(I395,'DMR POTW Flag'!$A$2:$B$960,2,FALSE)</f>
        <v>POTW</v>
      </c>
      <c r="S395" s="7" t="s">
        <v>67</v>
      </c>
      <c r="T395" s="249" t="s">
        <v>586</v>
      </c>
      <c r="U395" s="8">
        <f>COUNTIFS('Raw Non-zero DMR Data'!$A:$A, 'Processed Non-zero DMR Data'!A395, 'Raw Non-zero DMR Data'!$C:$C, X395, 'Raw Non-zero DMR Data'!$U:$U,'Processed Non-zero DMR Data'!Y395)</f>
        <v>1</v>
      </c>
      <c r="V395" s="8">
        <f>COUNTIFS('Raw Non-zero DMR Data'!$A:$A, 'Processed Non-zero DMR Data'!A395, 'Raw Non-zero DMR Data'!$C:$C, X395, 'Raw Non-zero DMR Data'!$U:$U,'Processed Non-zero DMR Data'!Y395,'Raw Non-zero DMR Data'!$Z:$Z,"Yes")</f>
        <v>1</v>
      </c>
      <c r="W395">
        <v>2.3914197750000001</v>
      </c>
      <c r="X395" t="s">
        <v>948</v>
      </c>
      <c r="Y395" t="s">
        <v>949</v>
      </c>
      <c r="Z395" s="257">
        <v>51001010603</v>
      </c>
    </row>
    <row r="396" spans="1:26" ht="15" customHeight="1" x14ac:dyDescent="0.25">
      <c r="A396">
        <v>2020</v>
      </c>
      <c r="B396" t="s">
        <v>293</v>
      </c>
      <c r="C396" t="s">
        <v>294</v>
      </c>
      <c r="D396" t="s">
        <v>947</v>
      </c>
      <c r="E396" t="s">
        <v>138</v>
      </c>
      <c r="F396">
        <v>38.151904999999999</v>
      </c>
      <c r="G396">
        <v>-83.513848999999993</v>
      </c>
      <c r="I396" s="1">
        <v>110045085457</v>
      </c>
      <c r="J396">
        <v>4952</v>
      </c>
      <c r="K396" s="175" t="str">
        <f>INDEX('2022 SIC to NAICS'!B:B, MATCH('Processed Non-zero DMR Data'!$J396, '2022 SIC to NAICS'!$A:$A, 0))</f>
        <v>Sewerage Systems</v>
      </c>
      <c r="L396" s="175">
        <f>INDEX('2022 SIC to NAICS'!C:C, MATCH('Processed Non-zero DMR Data'!$J396, '2022 SIC to NAICS'!$A:$A, 0))</f>
        <v>221320</v>
      </c>
      <c r="M396" s="175" t="str">
        <f>INDEX('2022 SIC to NAICS'!D:D, MATCH('Processed Non-zero DMR Data'!$J396, '2022 SIC to NAICS'!$A:$A, 0))</f>
        <v xml:space="preserve">Sewage Treatment Facilities </v>
      </c>
      <c r="N396" s="90" t="str">
        <f>IFERROR(INDEX('NAICS Code to IS CDR Code'!B:B, MATCH('Processed Non-zero DMR Data'!L396,'NAICS Code to IS CDR Code'!A:A,0)), "NAICS/SIC Not Provided")</f>
        <v>IS4</v>
      </c>
      <c r="O396" s="91" t="str">
        <f>IFERROR(INDEX('NAICS Code to IS CDR Code'!C:C, MATCH('Processed Non-zero DMR Data'!L396,'NAICS Code to IS CDR Code'!A:A,0)), "NAICS/SIC Not Provided")</f>
        <v>Utilities</v>
      </c>
      <c r="P396" s="91" t="str">
        <f>INDEX('11DCA Mapping'!$K:$K, MATCH('Processed Non-zero DMR Data'!I402,'11DCA Mapping'!$J:$J,0))</f>
        <v>POTW</v>
      </c>
      <c r="Q396" s="91" t="str">
        <f>INDEX('11DCA Mapping'!$L:$L, MATCH('Processed Non-zero DMR Data'!I402,'11DCA Mapping'!$J:$J,0))</f>
        <v>Assigned POTW per "Facility Type Indicator"</v>
      </c>
      <c r="R396" s="250" t="str">
        <f>VLOOKUP(I396,'DMR POTW Flag'!$A$2:$B$960,2,FALSE)</f>
        <v>POTW</v>
      </c>
      <c r="S396" s="7" t="s">
        <v>67</v>
      </c>
      <c r="T396" s="249" t="s">
        <v>586</v>
      </c>
      <c r="U396" s="8">
        <f>COUNTIFS('Raw Non-zero DMR Data'!$A:$A, 'Processed Non-zero DMR Data'!A396, 'Raw Non-zero DMR Data'!$C:$C, X396, 'Raw Non-zero DMR Data'!$U:$U,'Processed Non-zero DMR Data'!Y396)</f>
        <v>1</v>
      </c>
      <c r="V396" s="8">
        <f>COUNTIFS('Raw Non-zero DMR Data'!$A:$A, 'Processed Non-zero DMR Data'!A396, 'Raw Non-zero DMR Data'!$C:$C, X396, 'Raw Non-zero DMR Data'!$U:$U,'Processed Non-zero DMR Data'!Y396,'Raw Non-zero DMR Data'!$Z:$Z,"Yes")</f>
        <v>1</v>
      </c>
      <c r="W396">
        <v>2.6352589375000002</v>
      </c>
      <c r="X396" t="s">
        <v>948</v>
      </c>
      <c r="Y396" t="s">
        <v>949</v>
      </c>
      <c r="Z396" s="257">
        <v>51001010603</v>
      </c>
    </row>
    <row r="397" spans="1:26" ht="15" customHeight="1" x14ac:dyDescent="0.25">
      <c r="A397">
        <v>2020</v>
      </c>
      <c r="B397" t="s">
        <v>399</v>
      </c>
      <c r="C397" t="s">
        <v>400</v>
      </c>
      <c r="D397" t="s">
        <v>950</v>
      </c>
      <c r="E397" t="s">
        <v>138</v>
      </c>
      <c r="F397">
        <v>37.671391</v>
      </c>
      <c r="G397">
        <v>-87.828888000000006</v>
      </c>
      <c r="I397" s="1">
        <v>110064612557</v>
      </c>
      <c r="J397">
        <v>4952</v>
      </c>
      <c r="K397" s="175" t="str">
        <f>INDEX('2022 SIC to NAICS'!B:B, MATCH('Processed Non-zero DMR Data'!$J397, '2022 SIC to NAICS'!$A:$A, 0))</f>
        <v>Sewerage Systems</v>
      </c>
      <c r="L397" s="175">
        <f>INDEX('2022 SIC to NAICS'!C:C, MATCH('Processed Non-zero DMR Data'!$J397, '2022 SIC to NAICS'!$A:$A, 0))</f>
        <v>221320</v>
      </c>
      <c r="M397" s="175" t="str">
        <f>INDEX('2022 SIC to NAICS'!D:D, MATCH('Processed Non-zero DMR Data'!$J397, '2022 SIC to NAICS'!$A:$A, 0))</f>
        <v xml:space="preserve">Sewage Treatment Facilities </v>
      </c>
      <c r="N397" s="90" t="str">
        <f>IFERROR(INDEX('NAICS Code to IS CDR Code'!B:B, MATCH('Processed Non-zero DMR Data'!L397,'NAICS Code to IS CDR Code'!A:A,0)), "NAICS/SIC Not Provided")</f>
        <v>IS4</v>
      </c>
      <c r="O397" s="91" t="str">
        <f>IFERROR(INDEX('NAICS Code to IS CDR Code'!C:C, MATCH('Processed Non-zero DMR Data'!L397,'NAICS Code to IS CDR Code'!A:A,0)), "NAICS/SIC Not Provided")</f>
        <v>Utilities</v>
      </c>
      <c r="P397" s="91" t="str">
        <f>INDEX('11DCA Mapping'!$K:$K, MATCH('Processed Non-zero DMR Data'!I403,'11DCA Mapping'!$J:$J,0))</f>
        <v>Processing as a Reactant</v>
      </c>
      <c r="Q397" s="91" t="str">
        <f>INDEX('11DCA Mapping'!$L:$L, MATCH('Processed Non-zero DMR Data'!I403,'11DCA Mapping'!$J:$J,0))</f>
        <v>Based on SIC code</v>
      </c>
      <c r="R397" s="250" t="str">
        <f>VLOOKUP(I397,'DMR POTW Flag'!$A$2:$B$960,2,FALSE)</f>
        <v>POTW</v>
      </c>
      <c r="S397" s="7" t="s">
        <v>67</v>
      </c>
      <c r="T397" s="249" t="s">
        <v>586</v>
      </c>
      <c r="U397" s="8">
        <f>COUNTIFS('Raw Non-zero DMR Data'!$A:$A, 'Processed Non-zero DMR Data'!A397, 'Raw Non-zero DMR Data'!$C:$C, X397, 'Raw Non-zero DMR Data'!$U:$U,'Processed Non-zero DMR Data'!Y397)</f>
        <v>1</v>
      </c>
      <c r="V397" s="8">
        <f>COUNTIFS('Raw Non-zero DMR Data'!$A:$A, 'Processed Non-zero DMR Data'!A397, 'Raw Non-zero DMR Data'!$C:$C, X397, 'Raw Non-zero DMR Data'!$U:$U,'Processed Non-zero DMR Data'!Y397,'Raw Non-zero DMR Data'!$Z:$Z,"Yes")</f>
        <v>1</v>
      </c>
      <c r="W397">
        <v>5.2463411874999997</v>
      </c>
      <c r="X397" t="s">
        <v>951</v>
      </c>
      <c r="Y397" t="s">
        <v>952</v>
      </c>
      <c r="Z397" s="257">
        <v>51402020504</v>
      </c>
    </row>
    <row r="398" spans="1:26" ht="15" customHeight="1" x14ac:dyDescent="0.25">
      <c r="A398">
        <v>2021</v>
      </c>
      <c r="B398" t="s">
        <v>399</v>
      </c>
      <c r="C398" t="s">
        <v>400</v>
      </c>
      <c r="D398" t="s">
        <v>950</v>
      </c>
      <c r="E398" t="s">
        <v>138</v>
      </c>
      <c r="F398">
        <v>37.671391</v>
      </c>
      <c r="G398">
        <v>-87.828888000000006</v>
      </c>
      <c r="I398" s="1">
        <v>110064612557</v>
      </c>
      <c r="J398">
        <v>4952</v>
      </c>
      <c r="K398" s="175" t="str">
        <f>INDEX('2022 SIC to NAICS'!B:B, MATCH('Processed Non-zero DMR Data'!$J398, '2022 SIC to NAICS'!$A:$A, 0))</f>
        <v>Sewerage Systems</v>
      </c>
      <c r="L398" s="175">
        <f>INDEX('2022 SIC to NAICS'!C:C, MATCH('Processed Non-zero DMR Data'!$J398, '2022 SIC to NAICS'!$A:$A, 0))</f>
        <v>221320</v>
      </c>
      <c r="M398" s="175" t="str">
        <f>INDEX('2022 SIC to NAICS'!D:D, MATCH('Processed Non-zero DMR Data'!$J398, '2022 SIC to NAICS'!$A:$A, 0))</f>
        <v xml:space="preserve">Sewage Treatment Facilities </v>
      </c>
      <c r="N398" s="90" t="str">
        <f>IFERROR(INDEX('NAICS Code to IS CDR Code'!B:B, MATCH('Processed Non-zero DMR Data'!L398,'NAICS Code to IS CDR Code'!A:A,0)), "NAICS/SIC Not Provided")</f>
        <v>IS4</v>
      </c>
      <c r="O398" s="91" t="str">
        <f>IFERROR(INDEX('NAICS Code to IS CDR Code'!C:C, MATCH('Processed Non-zero DMR Data'!L398,'NAICS Code to IS CDR Code'!A:A,0)), "NAICS/SIC Not Provided")</f>
        <v>Utilities</v>
      </c>
      <c r="P398" s="91" t="str">
        <f>INDEX('11DCA Mapping'!$K:$K, MATCH('Processed Non-zero DMR Data'!I404,'11DCA Mapping'!$J:$J,0))</f>
        <v>Processing as a Reactant</v>
      </c>
      <c r="Q398" s="91" t="str">
        <f>INDEX('11DCA Mapping'!$L:$L, MATCH('Processed Non-zero DMR Data'!I404,'11DCA Mapping'!$J:$J,0))</f>
        <v>Based on SIC code</v>
      </c>
      <c r="R398" s="250" t="str">
        <f>VLOOKUP(I398,'DMR POTW Flag'!$A$2:$B$960,2,FALSE)</f>
        <v>POTW</v>
      </c>
      <c r="S398" s="7" t="s">
        <v>67</v>
      </c>
      <c r="T398" s="249" t="s">
        <v>586</v>
      </c>
      <c r="U398" s="8">
        <f>COUNTIFS('Raw Non-zero DMR Data'!$A:$A, 'Processed Non-zero DMR Data'!A398, 'Raw Non-zero DMR Data'!$C:$C, X398, 'Raw Non-zero DMR Data'!$U:$U,'Processed Non-zero DMR Data'!Y398)</f>
        <v>1</v>
      </c>
      <c r="V398" s="8">
        <f>COUNTIFS('Raw Non-zero DMR Data'!$A:$A, 'Processed Non-zero DMR Data'!A398, 'Raw Non-zero DMR Data'!$C:$C, X398, 'Raw Non-zero DMR Data'!$U:$U,'Processed Non-zero DMR Data'!Y398,'Raw Non-zero DMR Data'!$Z:$Z,"Yes")</f>
        <v>1</v>
      </c>
      <c r="W398">
        <v>5.9543727500000001</v>
      </c>
      <c r="X398" t="s">
        <v>951</v>
      </c>
      <c r="Y398" t="s">
        <v>952</v>
      </c>
      <c r="Z398" s="257">
        <v>51402020504</v>
      </c>
    </row>
    <row r="399" spans="1:26" ht="15" customHeight="1" x14ac:dyDescent="0.25">
      <c r="A399">
        <v>2022</v>
      </c>
      <c r="B399" t="s">
        <v>399</v>
      </c>
      <c r="C399" t="s">
        <v>400</v>
      </c>
      <c r="D399" t="s">
        <v>950</v>
      </c>
      <c r="E399" t="s">
        <v>138</v>
      </c>
      <c r="F399">
        <v>37.671391</v>
      </c>
      <c r="G399">
        <v>-87.828888000000006</v>
      </c>
      <c r="I399" s="1">
        <v>110064612557</v>
      </c>
      <c r="J399">
        <v>4952</v>
      </c>
      <c r="K399" s="175" t="str">
        <f>INDEX('2022 SIC to NAICS'!B:B, MATCH('Processed Non-zero DMR Data'!$J399, '2022 SIC to NAICS'!$A:$A, 0))</f>
        <v>Sewerage Systems</v>
      </c>
      <c r="L399" s="175">
        <f>INDEX('2022 SIC to NAICS'!C:C, MATCH('Processed Non-zero DMR Data'!$J399, '2022 SIC to NAICS'!$A:$A, 0))</f>
        <v>221320</v>
      </c>
      <c r="M399" s="175" t="str">
        <f>INDEX('2022 SIC to NAICS'!D:D, MATCH('Processed Non-zero DMR Data'!$J399, '2022 SIC to NAICS'!$A:$A, 0))</f>
        <v xml:space="preserve">Sewage Treatment Facilities </v>
      </c>
      <c r="N399" s="90" t="str">
        <f>IFERROR(INDEX('NAICS Code to IS CDR Code'!B:B, MATCH('Processed Non-zero DMR Data'!L399,'NAICS Code to IS CDR Code'!A:A,0)), "NAICS/SIC Not Provided")</f>
        <v>IS4</v>
      </c>
      <c r="O399" s="91" t="str">
        <f>IFERROR(INDEX('NAICS Code to IS CDR Code'!C:C, MATCH('Processed Non-zero DMR Data'!L399,'NAICS Code to IS CDR Code'!A:A,0)), "NAICS/SIC Not Provided")</f>
        <v>Utilities</v>
      </c>
      <c r="P399" s="91" t="str">
        <f>INDEX('11DCA Mapping'!$K:$K, MATCH('Processed Non-zero DMR Data'!I405,'11DCA Mapping'!$J:$J,0))</f>
        <v>Processing as a Reactant</v>
      </c>
      <c r="Q399" s="91" t="str">
        <f>INDEX('11DCA Mapping'!$L:$L, MATCH('Processed Non-zero DMR Data'!I405,'11DCA Mapping'!$J:$J,0))</f>
        <v>Based on SIC code</v>
      </c>
      <c r="R399" s="250" t="str">
        <f>VLOOKUP(I399,'DMR POTW Flag'!$A$2:$B$960,2,FALSE)</f>
        <v>POTW</v>
      </c>
      <c r="S399" s="7" t="s">
        <v>67</v>
      </c>
      <c r="T399" s="249" t="s">
        <v>586</v>
      </c>
      <c r="U399" s="8">
        <f>COUNTIFS('Raw Non-zero DMR Data'!$A:$A, 'Processed Non-zero DMR Data'!A399, 'Raw Non-zero DMR Data'!$C:$C, X399, 'Raw Non-zero DMR Data'!$U:$U,'Processed Non-zero DMR Data'!Y399)</f>
        <v>1</v>
      </c>
      <c r="V399" s="8">
        <f>COUNTIFS('Raw Non-zero DMR Data'!$A:$A, 'Processed Non-zero DMR Data'!A399, 'Raw Non-zero DMR Data'!$C:$C, X399, 'Raw Non-zero DMR Data'!$U:$U,'Processed Non-zero DMR Data'!Y399,'Raw Non-zero DMR Data'!$Z:$Z,"Yes")</f>
        <v>1</v>
      </c>
      <c r="W399">
        <v>3.5712421249999999</v>
      </c>
      <c r="X399" t="s">
        <v>951</v>
      </c>
      <c r="Y399" t="s">
        <v>952</v>
      </c>
      <c r="Z399" s="257">
        <v>51402020504</v>
      </c>
    </row>
    <row r="400" spans="1:26" ht="15" customHeight="1" x14ac:dyDescent="0.25">
      <c r="A400">
        <v>2019</v>
      </c>
      <c r="B400" t="s">
        <v>178</v>
      </c>
      <c r="C400" t="s">
        <v>179</v>
      </c>
      <c r="D400" t="s">
        <v>712</v>
      </c>
      <c r="E400" t="s">
        <v>138</v>
      </c>
      <c r="F400">
        <v>38.101582000000001</v>
      </c>
      <c r="G400">
        <v>-83.919770999999997</v>
      </c>
      <c r="I400" s="1">
        <v>110039705361</v>
      </c>
      <c r="J400">
        <v>4952</v>
      </c>
      <c r="K400" s="175" t="str">
        <f>INDEX('2022 SIC to NAICS'!B:B, MATCH('Processed Non-zero DMR Data'!$J400, '2022 SIC to NAICS'!$A:$A, 0))</f>
        <v>Sewerage Systems</v>
      </c>
      <c r="L400" s="175">
        <f>INDEX('2022 SIC to NAICS'!C:C, MATCH('Processed Non-zero DMR Data'!$J400, '2022 SIC to NAICS'!$A:$A, 0))</f>
        <v>221320</v>
      </c>
      <c r="M400" s="175" t="str">
        <f>INDEX('2022 SIC to NAICS'!D:D, MATCH('Processed Non-zero DMR Data'!$J400, '2022 SIC to NAICS'!$A:$A, 0))</f>
        <v xml:space="preserve">Sewage Treatment Facilities </v>
      </c>
      <c r="N400" s="90" t="str">
        <f>IFERROR(INDEX('NAICS Code to IS CDR Code'!B:B, MATCH('Processed Non-zero DMR Data'!L400,'NAICS Code to IS CDR Code'!A:A,0)), "NAICS/SIC Not Provided")</f>
        <v>IS4</v>
      </c>
      <c r="O400" s="91" t="str">
        <f>IFERROR(INDEX('NAICS Code to IS CDR Code'!C:C, MATCH('Processed Non-zero DMR Data'!L400,'NAICS Code to IS CDR Code'!A:A,0)), "NAICS/SIC Not Provided")</f>
        <v>Utilities</v>
      </c>
      <c r="P400" s="91" t="str">
        <f>INDEX('11DCA Mapping'!$K:$K, MATCH('Processed Non-zero DMR Data'!I406,'11DCA Mapping'!$J:$J,0))</f>
        <v>Processing as a Reactant</v>
      </c>
      <c r="Q400" s="91" t="str">
        <f>INDEX('11DCA Mapping'!$L:$L, MATCH('Processed Non-zero DMR Data'!I406,'11DCA Mapping'!$J:$J,0))</f>
        <v>Based on SIC code</v>
      </c>
      <c r="R400" s="250" t="str">
        <f>VLOOKUP(I400,'DMR POTW Flag'!$A$2:$B$960,2,FALSE)</f>
        <v>POTW</v>
      </c>
      <c r="S400" s="7" t="s">
        <v>67</v>
      </c>
      <c r="T400" s="249" t="s">
        <v>586</v>
      </c>
      <c r="U400" s="8">
        <f>COUNTIFS('Raw Non-zero DMR Data'!$A:$A, 'Processed Non-zero DMR Data'!A400, 'Raw Non-zero DMR Data'!$C:$C, X400, 'Raw Non-zero DMR Data'!$U:$U,'Processed Non-zero DMR Data'!Y400)</f>
        <v>1</v>
      </c>
      <c r="V400" s="8">
        <f>COUNTIFS('Raw Non-zero DMR Data'!$A:$A, 'Processed Non-zero DMR Data'!A400, 'Raw Non-zero DMR Data'!$C:$C, X400, 'Raw Non-zero DMR Data'!$U:$U,'Processed Non-zero DMR Data'!Y400,'Raw Non-zero DMR Data'!$Z:$Z,"Yes")</f>
        <v>1</v>
      </c>
      <c r="W400">
        <v>11.086738125</v>
      </c>
      <c r="X400" t="s">
        <v>953</v>
      </c>
      <c r="Y400" t="s">
        <v>954</v>
      </c>
      <c r="Z400" s="257">
        <v>51001020302</v>
      </c>
    </row>
    <row r="401" spans="1:26" ht="15" customHeight="1" x14ac:dyDescent="0.25">
      <c r="A401">
        <v>2020</v>
      </c>
      <c r="B401" t="s">
        <v>178</v>
      </c>
      <c r="C401" t="s">
        <v>179</v>
      </c>
      <c r="D401" t="s">
        <v>712</v>
      </c>
      <c r="E401" t="s">
        <v>138</v>
      </c>
      <c r="F401">
        <v>38.101582000000001</v>
      </c>
      <c r="G401">
        <v>-83.919770999999997</v>
      </c>
      <c r="I401" s="1">
        <v>110039705361</v>
      </c>
      <c r="J401">
        <v>4952</v>
      </c>
      <c r="K401" s="175" t="str">
        <f>INDEX('2022 SIC to NAICS'!B:B, MATCH('Processed Non-zero DMR Data'!$J401, '2022 SIC to NAICS'!$A:$A, 0))</f>
        <v>Sewerage Systems</v>
      </c>
      <c r="L401" s="175">
        <f>INDEX('2022 SIC to NAICS'!C:C, MATCH('Processed Non-zero DMR Data'!$J401, '2022 SIC to NAICS'!$A:$A, 0))</f>
        <v>221320</v>
      </c>
      <c r="M401" s="175" t="str">
        <f>INDEX('2022 SIC to NAICS'!D:D, MATCH('Processed Non-zero DMR Data'!$J401, '2022 SIC to NAICS'!$A:$A, 0))</f>
        <v xml:space="preserve">Sewage Treatment Facilities </v>
      </c>
      <c r="N401" s="90" t="str">
        <f>IFERROR(INDEX('NAICS Code to IS CDR Code'!B:B, MATCH('Processed Non-zero DMR Data'!L401,'NAICS Code to IS CDR Code'!A:A,0)), "NAICS/SIC Not Provided")</f>
        <v>IS4</v>
      </c>
      <c r="O401" s="91" t="str">
        <f>IFERROR(INDEX('NAICS Code to IS CDR Code'!C:C, MATCH('Processed Non-zero DMR Data'!L401,'NAICS Code to IS CDR Code'!A:A,0)), "NAICS/SIC Not Provided")</f>
        <v>Utilities</v>
      </c>
      <c r="P401" s="91" t="str">
        <f>INDEX('11DCA Mapping'!$K:$K, MATCH('Processed Non-zero DMR Data'!I407,'11DCA Mapping'!$J:$J,0))</f>
        <v>Processing as a Reactant</v>
      </c>
      <c r="Q401" s="91" t="str">
        <f>INDEX('11DCA Mapping'!$L:$L, MATCH('Processed Non-zero DMR Data'!I407,'11DCA Mapping'!$J:$J,0))</f>
        <v>Based on SIC code</v>
      </c>
      <c r="R401" s="250" t="str">
        <f>VLOOKUP(I401,'DMR POTW Flag'!$A$2:$B$960,2,FALSE)</f>
        <v>POTW</v>
      </c>
      <c r="S401" s="7" t="s">
        <v>67</v>
      </c>
      <c r="T401" s="249" t="s">
        <v>586</v>
      </c>
      <c r="U401" s="8">
        <f>COUNTIFS('Raw Non-zero DMR Data'!$A:$A, 'Processed Non-zero DMR Data'!A401, 'Raw Non-zero DMR Data'!$C:$C, X401, 'Raw Non-zero DMR Data'!$U:$U,'Processed Non-zero DMR Data'!Y401)</f>
        <v>1</v>
      </c>
      <c r="V401" s="8">
        <f>COUNTIFS('Raw Non-zero DMR Data'!$A:$A, 'Processed Non-zero DMR Data'!A401, 'Raw Non-zero DMR Data'!$C:$C, X401, 'Raw Non-zero DMR Data'!$U:$U,'Processed Non-zero DMR Data'!Y401,'Raw Non-zero DMR Data'!$Z:$Z,"Yes")</f>
        <v>1</v>
      </c>
      <c r="W401">
        <v>6.7349343749999999</v>
      </c>
      <c r="X401" t="s">
        <v>953</v>
      </c>
      <c r="Y401" t="s">
        <v>954</v>
      </c>
      <c r="Z401" s="257">
        <v>51001020302</v>
      </c>
    </row>
    <row r="402" spans="1:26" ht="15" customHeight="1" x14ac:dyDescent="0.25">
      <c r="A402">
        <v>2021</v>
      </c>
      <c r="B402" t="s">
        <v>178</v>
      </c>
      <c r="C402" t="s">
        <v>179</v>
      </c>
      <c r="D402" t="s">
        <v>712</v>
      </c>
      <c r="E402" t="s">
        <v>138</v>
      </c>
      <c r="F402">
        <v>38.101582000000001</v>
      </c>
      <c r="G402">
        <v>-83.919770999999997</v>
      </c>
      <c r="I402" s="1">
        <v>110039705361</v>
      </c>
      <c r="J402">
        <v>4952</v>
      </c>
      <c r="K402" s="175" t="str">
        <f>INDEX('2022 SIC to NAICS'!B:B, MATCH('Processed Non-zero DMR Data'!$J402, '2022 SIC to NAICS'!$A:$A, 0))</f>
        <v>Sewerage Systems</v>
      </c>
      <c r="L402" s="175">
        <f>INDEX('2022 SIC to NAICS'!C:C, MATCH('Processed Non-zero DMR Data'!$J402, '2022 SIC to NAICS'!$A:$A, 0))</f>
        <v>221320</v>
      </c>
      <c r="M402" s="175" t="str">
        <f>INDEX('2022 SIC to NAICS'!D:D, MATCH('Processed Non-zero DMR Data'!$J402, '2022 SIC to NAICS'!$A:$A, 0))</f>
        <v xml:space="preserve">Sewage Treatment Facilities </v>
      </c>
      <c r="N402" s="90" t="str">
        <f>IFERROR(INDEX('NAICS Code to IS CDR Code'!B:B, MATCH('Processed Non-zero DMR Data'!L402,'NAICS Code to IS CDR Code'!A:A,0)), "NAICS/SIC Not Provided")</f>
        <v>IS4</v>
      </c>
      <c r="O402" s="91" t="str">
        <f>IFERROR(INDEX('NAICS Code to IS CDR Code'!C:C, MATCH('Processed Non-zero DMR Data'!L402,'NAICS Code to IS CDR Code'!A:A,0)), "NAICS/SIC Not Provided")</f>
        <v>Utilities</v>
      </c>
      <c r="P402" s="91" t="str">
        <f>INDEX('11DCA Mapping'!$K:$K, MATCH('Processed Non-zero DMR Data'!I408,'11DCA Mapping'!$J:$J,0))</f>
        <v>POTW</v>
      </c>
      <c r="Q402" s="91" t="str">
        <f>INDEX('11DCA Mapping'!$L:$L, MATCH('Processed Non-zero DMR Data'!I408,'11DCA Mapping'!$J:$J,0))</f>
        <v>SIC description indicates POTW</v>
      </c>
      <c r="R402" s="250" t="str">
        <f>VLOOKUP(I402,'DMR POTW Flag'!$A$2:$B$960,2,FALSE)</f>
        <v>POTW</v>
      </c>
      <c r="S402" s="7" t="s">
        <v>67</v>
      </c>
      <c r="T402" s="249" t="s">
        <v>586</v>
      </c>
      <c r="U402" s="8">
        <f>COUNTIFS('Raw Non-zero DMR Data'!$A:$A, 'Processed Non-zero DMR Data'!A402, 'Raw Non-zero DMR Data'!$C:$C, X402, 'Raw Non-zero DMR Data'!$U:$U,'Processed Non-zero DMR Data'!Y402)</f>
        <v>1</v>
      </c>
      <c r="V402" s="8">
        <f>COUNTIFS('Raw Non-zero DMR Data'!$A:$A, 'Processed Non-zero DMR Data'!A402, 'Raw Non-zero DMR Data'!$C:$C, X402, 'Raw Non-zero DMR Data'!$U:$U,'Processed Non-zero DMR Data'!Y402,'Raw Non-zero DMR Data'!$Z:$Z,"Yes")</f>
        <v>1</v>
      </c>
      <c r="W402">
        <v>7.4256968749999999</v>
      </c>
      <c r="X402" t="s">
        <v>953</v>
      </c>
      <c r="Y402" t="s">
        <v>954</v>
      </c>
      <c r="Z402" s="257">
        <v>51001020302</v>
      </c>
    </row>
    <row r="403" spans="1:26" ht="15" customHeight="1" x14ac:dyDescent="0.25">
      <c r="A403">
        <v>2019</v>
      </c>
      <c r="B403" t="s">
        <v>351</v>
      </c>
      <c r="C403" t="s">
        <v>352</v>
      </c>
      <c r="D403" t="s">
        <v>955</v>
      </c>
      <c r="E403" t="s">
        <v>106</v>
      </c>
      <c r="F403">
        <v>30.048590999999998</v>
      </c>
      <c r="G403">
        <v>-90.630941000000007</v>
      </c>
      <c r="I403" s="1">
        <v>110007015871</v>
      </c>
      <c r="J403">
        <v>2869</v>
      </c>
      <c r="K403" s="175" t="str">
        <f>INDEX('2022 SIC to NAICS'!B:B, MATCH('Processed Non-zero DMR Data'!$J403, '2022 SIC to NAICS'!$A:$A, 0))</f>
        <v>Industrial Organic Chemicals, Nec</v>
      </c>
      <c r="L403" s="175">
        <f>INDEX('2022 SIC to NAICS'!C:C, MATCH('Processed Non-zero DMR Data'!$J403, '2022 SIC to NAICS'!$A:$A, 0))</f>
        <v>325110</v>
      </c>
      <c r="M403" s="175" t="str">
        <f>INDEX('2022 SIC to NAICS'!D:D, MATCH('Processed Non-zero DMR Data'!$J403, '2022 SIC to NAICS'!$A:$A, 0))</f>
        <v>Petrochemical Manufacturing</v>
      </c>
      <c r="N403" s="90" t="str">
        <f>IFERROR(INDEX('NAICS Code to IS CDR Code'!B:B, MATCH('Processed Non-zero DMR Data'!L403,'NAICS Code to IS CDR Code'!A:A,0)), "NAICS/SIC Not Provided")</f>
        <v>IS15</v>
      </c>
      <c r="O403" s="91" t="str">
        <f>IFERROR(INDEX('NAICS Code to IS CDR Code'!C:C, MATCH('Processed Non-zero DMR Data'!L403,'NAICS Code to IS CDR Code'!A:A,0)), "NAICS/SIC Not Provided")</f>
        <v>Petrochemical Manufacturing</v>
      </c>
      <c r="P403" s="91" t="str">
        <f>INDEX('11DCA Mapping'!$K:$K, MATCH('Processed Non-zero DMR Data'!I409,'11DCA Mapping'!$J:$J,0))</f>
        <v>POTW</v>
      </c>
      <c r="Q403" s="91" t="str">
        <f>INDEX('11DCA Mapping'!$L:$L, MATCH('Processed Non-zero DMR Data'!I409,'11DCA Mapping'!$J:$J,0))</f>
        <v>Assigned POTW per "Facility Type Indicator"</v>
      </c>
      <c r="R403" s="250" t="str">
        <f>VLOOKUP(I403,'DMR POTW Flag'!$A$2:$B$960,2,FALSE)</f>
        <v>NON-POTW</v>
      </c>
      <c r="S403" s="7" t="s">
        <v>62</v>
      </c>
      <c r="T403" s="7" t="s">
        <v>601</v>
      </c>
      <c r="U403" s="8">
        <f>COUNTIFS('Raw Non-zero DMR Data'!$A:$A, 'Processed Non-zero DMR Data'!A403, 'Raw Non-zero DMR Data'!$C:$C, X403, 'Raw Non-zero DMR Data'!$U:$U,'Processed Non-zero DMR Data'!Y403)</f>
        <v>1</v>
      </c>
      <c r="V403" s="8">
        <f>COUNTIFS('Raw Non-zero DMR Data'!$A:$A, 'Processed Non-zero DMR Data'!A403, 'Raw Non-zero DMR Data'!$C:$C, X403, 'Raw Non-zero DMR Data'!$U:$U,'Processed Non-zero DMR Data'!Y403,'Raw Non-zero DMR Data'!$Z:$Z,"Yes")</f>
        <v>1</v>
      </c>
      <c r="W403">
        <v>8.2854999999999998E-2</v>
      </c>
      <c r="X403" t="s">
        <v>956</v>
      </c>
      <c r="Y403" t="s">
        <v>957</v>
      </c>
      <c r="Z403" s="257">
        <v>80702040302</v>
      </c>
    </row>
    <row r="404" spans="1:26" ht="15" customHeight="1" x14ac:dyDescent="0.25">
      <c r="A404">
        <v>2020</v>
      </c>
      <c r="B404" t="s">
        <v>351</v>
      </c>
      <c r="C404" t="s">
        <v>352</v>
      </c>
      <c r="D404" t="s">
        <v>955</v>
      </c>
      <c r="E404" t="s">
        <v>106</v>
      </c>
      <c r="F404">
        <v>30.048590999999998</v>
      </c>
      <c r="G404">
        <v>-90.630941000000007</v>
      </c>
      <c r="I404" s="1">
        <v>110007015871</v>
      </c>
      <c r="J404">
        <v>2869</v>
      </c>
      <c r="K404" s="175" t="str">
        <f>INDEX('2022 SIC to NAICS'!B:B, MATCH('Processed Non-zero DMR Data'!$J404, '2022 SIC to NAICS'!$A:$A, 0))</f>
        <v>Industrial Organic Chemicals, Nec</v>
      </c>
      <c r="L404" s="175">
        <f>INDEX('2022 SIC to NAICS'!C:C, MATCH('Processed Non-zero DMR Data'!$J404, '2022 SIC to NAICS'!$A:$A, 0))</f>
        <v>325110</v>
      </c>
      <c r="M404" s="175" t="str">
        <f>INDEX('2022 SIC to NAICS'!D:D, MATCH('Processed Non-zero DMR Data'!$J404, '2022 SIC to NAICS'!$A:$A, 0))</f>
        <v>Petrochemical Manufacturing</v>
      </c>
      <c r="N404" s="90" t="str">
        <f>IFERROR(INDEX('NAICS Code to IS CDR Code'!B:B, MATCH('Processed Non-zero DMR Data'!L404,'NAICS Code to IS CDR Code'!A:A,0)), "NAICS/SIC Not Provided")</f>
        <v>IS15</v>
      </c>
      <c r="O404" s="91" t="str">
        <f>IFERROR(INDEX('NAICS Code to IS CDR Code'!C:C, MATCH('Processed Non-zero DMR Data'!L404,'NAICS Code to IS CDR Code'!A:A,0)), "NAICS/SIC Not Provided")</f>
        <v>Petrochemical Manufacturing</v>
      </c>
      <c r="P404" s="91" t="str">
        <f>INDEX('11DCA Mapping'!$K:$K, MATCH('Processed Non-zero DMR Data'!I410,'11DCA Mapping'!$J:$J,0))</f>
        <v>POTW</v>
      </c>
      <c r="Q404" s="91" t="str">
        <f>INDEX('11DCA Mapping'!$L:$L, MATCH('Processed Non-zero DMR Data'!I410,'11DCA Mapping'!$J:$J,0))</f>
        <v>Assigned POTW per "Facility Type Indicator"</v>
      </c>
      <c r="R404" s="250" t="str">
        <f>VLOOKUP(I404,'DMR POTW Flag'!$A$2:$B$960,2,FALSE)</f>
        <v>NON-POTW</v>
      </c>
      <c r="S404" s="7" t="s">
        <v>62</v>
      </c>
      <c r="T404" s="7" t="s">
        <v>601</v>
      </c>
      <c r="U404" s="8">
        <f>COUNTIFS('Raw Non-zero DMR Data'!$A:$A, 'Processed Non-zero DMR Data'!A404, 'Raw Non-zero DMR Data'!$C:$C, X404, 'Raw Non-zero DMR Data'!$U:$U,'Processed Non-zero DMR Data'!Y404)</f>
        <v>1</v>
      </c>
      <c r="V404" s="8">
        <f>COUNTIFS('Raw Non-zero DMR Data'!$A:$A, 'Processed Non-zero DMR Data'!A404, 'Raw Non-zero DMR Data'!$C:$C, X404, 'Raw Non-zero DMR Data'!$U:$U,'Processed Non-zero DMR Data'!Y404,'Raw Non-zero DMR Data'!$Z:$Z,"Yes")</f>
        <v>1</v>
      </c>
      <c r="W404">
        <v>8.2854999999999998E-2</v>
      </c>
      <c r="X404" t="s">
        <v>956</v>
      </c>
      <c r="Y404" t="s">
        <v>957</v>
      </c>
      <c r="Z404" s="257">
        <v>80702040302</v>
      </c>
    </row>
    <row r="405" spans="1:26" ht="15" customHeight="1" x14ac:dyDescent="0.25">
      <c r="A405">
        <v>2021</v>
      </c>
      <c r="B405" t="s">
        <v>351</v>
      </c>
      <c r="C405" t="s">
        <v>352</v>
      </c>
      <c r="D405" t="s">
        <v>955</v>
      </c>
      <c r="E405" t="s">
        <v>106</v>
      </c>
      <c r="F405">
        <v>30.048590999999998</v>
      </c>
      <c r="G405">
        <v>-90.630941000000007</v>
      </c>
      <c r="I405" s="1">
        <v>110007015871</v>
      </c>
      <c r="J405">
        <v>2869</v>
      </c>
      <c r="K405" s="175" t="str">
        <f>INDEX('2022 SIC to NAICS'!B:B, MATCH('Processed Non-zero DMR Data'!$J405, '2022 SIC to NAICS'!$A:$A, 0))</f>
        <v>Industrial Organic Chemicals, Nec</v>
      </c>
      <c r="L405" s="175">
        <f>INDEX('2022 SIC to NAICS'!C:C, MATCH('Processed Non-zero DMR Data'!$J405, '2022 SIC to NAICS'!$A:$A, 0))</f>
        <v>325110</v>
      </c>
      <c r="M405" s="175" t="str">
        <f>INDEX('2022 SIC to NAICS'!D:D, MATCH('Processed Non-zero DMR Data'!$J405, '2022 SIC to NAICS'!$A:$A, 0))</f>
        <v>Petrochemical Manufacturing</v>
      </c>
      <c r="N405" s="90" t="str">
        <f>IFERROR(INDEX('NAICS Code to IS CDR Code'!B:B, MATCH('Processed Non-zero DMR Data'!L405,'NAICS Code to IS CDR Code'!A:A,0)), "NAICS/SIC Not Provided")</f>
        <v>IS15</v>
      </c>
      <c r="O405" s="91" t="str">
        <f>IFERROR(INDEX('NAICS Code to IS CDR Code'!C:C, MATCH('Processed Non-zero DMR Data'!L405,'NAICS Code to IS CDR Code'!A:A,0)), "NAICS/SIC Not Provided")</f>
        <v>Petrochemical Manufacturing</v>
      </c>
      <c r="P405" s="91" t="str">
        <f>INDEX('11DCA Mapping'!$K:$K, MATCH('Processed Non-zero DMR Data'!I411,'11DCA Mapping'!$J:$J,0))</f>
        <v>POTW</v>
      </c>
      <c r="Q405" s="91" t="str">
        <f>INDEX('11DCA Mapping'!$L:$L, MATCH('Processed Non-zero DMR Data'!I411,'11DCA Mapping'!$J:$J,0))</f>
        <v>Assigned POTW per "Facility Type Indicator"</v>
      </c>
      <c r="R405" s="250" t="str">
        <f>VLOOKUP(I405,'DMR POTW Flag'!$A$2:$B$960,2,FALSE)</f>
        <v>NON-POTW</v>
      </c>
      <c r="S405" s="7" t="s">
        <v>62</v>
      </c>
      <c r="T405" s="7" t="s">
        <v>601</v>
      </c>
      <c r="U405" s="8">
        <f>COUNTIFS('Raw Non-zero DMR Data'!$A:$A, 'Processed Non-zero DMR Data'!A405, 'Raw Non-zero DMR Data'!$C:$C, X405, 'Raw Non-zero DMR Data'!$U:$U,'Processed Non-zero DMR Data'!Y405)</f>
        <v>1</v>
      </c>
      <c r="V405" s="8">
        <f>COUNTIFS('Raw Non-zero DMR Data'!$A:$A, 'Processed Non-zero DMR Data'!A405, 'Raw Non-zero DMR Data'!$C:$C, X405, 'Raw Non-zero DMR Data'!$U:$U,'Processed Non-zero DMR Data'!Y405,'Raw Non-zero DMR Data'!$Z:$Z,"Yes")</f>
        <v>1</v>
      </c>
      <c r="W405">
        <v>0.16571</v>
      </c>
      <c r="X405" t="s">
        <v>956</v>
      </c>
      <c r="Y405" t="s">
        <v>957</v>
      </c>
      <c r="Z405" s="257">
        <v>80702040302</v>
      </c>
    </row>
    <row r="406" spans="1:26" ht="15" customHeight="1" x14ac:dyDescent="0.25">
      <c r="A406">
        <v>2022</v>
      </c>
      <c r="B406" t="s">
        <v>351</v>
      </c>
      <c r="C406" t="s">
        <v>352</v>
      </c>
      <c r="D406" t="s">
        <v>955</v>
      </c>
      <c r="E406" t="s">
        <v>106</v>
      </c>
      <c r="F406">
        <v>30.048590999999998</v>
      </c>
      <c r="G406">
        <v>-90.630941000000007</v>
      </c>
      <c r="I406" s="1">
        <v>110007015871</v>
      </c>
      <c r="J406">
        <v>2869</v>
      </c>
      <c r="K406" s="175" t="str">
        <f>INDEX('2022 SIC to NAICS'!B:B, MATCH('Processed Non-zero DMR Data'!$J406, '2022 SIC to NAICS'!$A:$A, 0))</f>
        <v>Industrial Organic Chemicals, Nec</v>
      </c>
      <c r="L406" s="175">
        <f>INDEX('2022 SIC to NAICS'!C:C, MATCH('Processed Non-zero DMR Data'!$J406, '2022 SIC to NAICS'!$A:$A, 0))</f>
        <v>325110</v>
      </c>
      <c r="M406" s="175" t="str">
        <f>INDEX('2022 SIC to NAICS'!D:D, MATCH('Processed Non-zero DMR Data'!$J406, '2022 SIC to NAICS'!$A:$A, 0))</f>
        <v>Petrochemical Manufacturing</v>
      </c>
      <c r="N406" s="90" t="str">
        <f>IFERROR(INDEX('NAICS Code to IS CDR Code'!B:B, MATCH('Processed Non-zero DMR Data'!L406,'NAICS Code to IS CDR Code'!A:A,0)), "NAICS/SIC Not Provided")</f>
        <v>IS15</v>
      </c>
      <c r="O406" s="91" t="str">
        <f>IFERROR(INDEX('NAICS Code to IS CDR Code'!C:C, MATCH('Processed Non-zero DMR Data'!L406,'NAICS Code to IS CDR Code'!A:A,0)), "NAICS/SIC Not Provided")</f>
        <v>Petrochemical Manufacturing</v>
      </c>
      <c r="P406" s="91" t="e">
        <f>INDEX('11DCA Mapping'!$K:$K, MATCH('Processed Non-zero DMR Data'!I412,'11DCA Mapping'!$J:$J,0))</f>
        <v>#N/A</v>
      </c>
      <c r="Q406" s="91" t="e">
        <f>INDEX('11DCA Mapping'!$L:$L, MATCH('Processed Non-zero DMR Data'!I412,'11DCA Mapping'!$J:$J,0))</f>
        <v>#N/A</v>
      </c>
      <c r="R406" s="250" t="str">
        <f>VLOOKUP(I406,'DMR POTW Flag'!$A$2:$B$960,2,FALSE)</f>
        <v>NON-POTW</v>
      </c>
      <c r="S406" s="7" t="s">
        <v>62</v>
      </c>
      <c r="T406" s="7" t="s">
        <v>601</v>
      </c>
      <c r="U406" s="8">
        <f>COUNTIFS('Raw Non-zero DMR Data'!$A:$A, 'Processed Non-zero DMR Data'!A406, 'Raw Non-zero DMR Data'!$C:$C, X406, 'Raw Non-zero DMR Data'!$U:$U,'Processed Non-zero DMR Data'!Y406)</f>
        <v>1</v>
      </c>
      <c r="V406" s="8">
        <f>COUNTIFS('Raw Non-zero DMR Data'!$A:$A, 'Processed Non-zero DMR Data'!A406, 'Raw Non-zero DMR Data'!$C:$C, X406, 'Raw Non-zero DMR Data'!$U:$U,'Processed Non-zero DMR Data'!Y406,'Raw Non-zero DMR Data'!$Z:$Z,"Yes")</f>
        <v>1</v>
      </c>
      <c r="W406">
        <v>8.2854999999999998E-2</v>
      </c>
      <c r="X406" t="s">
        <v>956</v>
      </c>
      <c r="Y406" t="s">
        <v>957</v>
      </c>
      <c r="Z406" s="257">
        <v>80702040302</v>
      </c>
    </row>
    <row r="407" spans="1:26" ht="15" customHeight="1" x14ac:dyDescent="0.25">
      <c r="A407">
        <v>2023</v>
      </c>
      <c r="B407" t="s">
        <v>351</v>
      </c>
      <c r="C407" t="s">
        <v>352</v>
      </c>
      <c r="D407" t="s">
        <v>955</v>
      </c>
      <c r="E407" t="s">
        <v>106</v>
      </c>
      <c r="F407">
        <v>30.048590999999998</v>
      </c>
      <c r="G407">
        <v>-90.630941000000007</v>
      </c>
      <c r="I407" s="1">
        <v>110007015871</v>
      </c>
      <c r="J407">
        <v>2869</v>
      </c>
      <c r="K407" s="175" t="str">
        <f>INDEX('2022 SIC to NAICS'!B:B, MATCH('Processed Non-zero DMR Data'!$J407, '2022 SIC to NAICS'!$A:$A, 0))</f>
        <v>Industrial Organic Chemicals, Nec</v>
      </c>
      <c r="L407" s="175">
        <f>INDEX('2022 SIC to NAICS'!C:C, MATCH('Processed Non-zero DMR Data'!$J407, '2022 SIC to NAICS'!$A:$A, 0))</f>
        <v>325110</v>
      </c>
      <c r="M407" s="175" t="str">
        <f>INDEX('2022 SIC to NAICS'!D:D, MATCH('Processed Non-zero DMR Data'!$J407, '2022 SIC to NAICS'!$A:$A, 0))</f>
        <v>Petrochemical Manufacturing</v>
      </c>
      <c r="N407" s="90" t="str">
        <f>IFERROR(INDEX('NAICS Code to IS CDR Code'!B:B, MATCH('Processed Non-zero DMR Data'!L407,'NAICS Code to IS CDR Code'!A:A,0)), "NAICS/SIC Not Provided")</f>
        <v>IS15</v>
      </c>
      <c r="O407" s="91" t="str">
        <f>IFERROR(INDEX('NAICS Code to IS CDR Code'!C:C, MATCH('Processed Non-zero DMR Data'!L407,'NAICS Code to IS CDR Code'!A:A,0)), "NAICS/SIC Not Provided")</f>
        <v>Petrochemical Manufacturing</v>
      </c>
      <c r="P407" s="91" t="str">
        <f>INDEX('11DCA Mapping'!$K:$K, MATCH('Processed Non-zero DMR Data'!I413,'11DCA Mapping'!$J:$J,0))</f>
        <v>Natural Gas Engines</v>
      </c>
      <c r="Q407" s="91" t="str">
        <f>INDEX('11DCA Mapping'!$L:$L, MATCH('Processed Non-zero DMR Data'!I413,'11DCA Mapping'!$J:$J,0))</f>
        <v>Suggested OES, “Natural Gas Engines.” Other airports and air traffic control sites were mapped to this OES.</v>
      </c>
      <c r="R407" s="250" t="str">
        <f>VLOOKUP(I407,'DMR POTW Flag'!$A$2:$B$960,2,FALSE)</f>
        <v>NON-POTW</v>
      </c>
      <c r="S407" s="7" t="s">
        <v>62</v>
      </c>
      <c r="T407" s="7" t="s">
        <v>601</v>
      </c>
      <c r="U407" s="8">
        <f>COUNTIFS('Raw Non-zero DMR Data'!$A:$A, 'Processed Non-zero DMR Data'!A407, 'Raw Non-zero DMR Data'!$C:$C, X407, 'Raw Non-zero DMR Data'!$U:$U,'Processed Non-zero DMR Data'!Y407)</f>
        <v>1</v>
      </c>
      <c r="V407" s="8">
        <f>COUNTIFS('Raw Non-zero DMR Data'!$A:$A, 'Processed Non-zero DMR Data'!A407, 'Raw Non-zero DMR Data'!$C:$C, X407, 'Raw Non-zero DMR Data'!$U:$U,'Processed Non-zero DMR Data'!Y407,'Raw Non-zero DMR Data'!$Z:$Z,"Yes")</f>
        <v>1</v>
      </c>
      <c r="W407">
        <v>8.2854999999999998E-2</v>
      </c>
      <c r="X407" t="s">
        <v>956</v>
      </c>
      <c r="Y407" t="s">
        <v>957</v>
      </c>
      <c r="Z407" s="257">
        <v>80702040302</v>
      </c>
    </row>
    <row r="408" spans="1:26" ht="15" customHeight="1" x14ac:dyDescent="0.25">
      <c r="A408">
        <v>2020</v>
      </c>
      <c r="B408" t="s">
        <v>411</v>
      </c>
      <c r="C408" t="s">
        <v>412</v>
      </c>
      <c r="D408" t="s">
        <v>185</v>
      </c>
      <c r="E408" t="s">
        <v>186</v>
      </c>
      <c r="F408">
        <v>21.348493999999999</v>
      </c>
      <c r="G408">
        <v>-157.94398899999999</v>
      </c>
      <c r="I408" s="1">
        <v>110022302417</v>
      </c>
      <c r="J408">
        <v>4952</v>
      </c>
      <c r="K408" s="175" t="str">
        <f>INDEX('2022 SIC to NAICS'!B:B, MATCH('Processed Non-zero DMR Data'!$J408, '2022 SIC to NAICS'!$A:$A, 0))</f>
        <v>Sewerage Systems</v>
      </c>
      <c r="L408" s="175">
        <f>INDEX('2022 SIC to NAICS'!C:C, MATCH('Processed Non-zero DMR Data'!$J408, '2022 SIC to NAICS'!$A:$A, 0))</f>
        <v>221320</v>
      </c>
      <c r="M408" s="175" t="str">
        <f>INDEX('2022 SIC to NAICS'!D:D, MATCH('Processed Non-zero DMR Data'!$J408, '2022 SIC to NAICS'!$A:$A, 0))</f>
        <v xml:space="preserve">Sewage Treatment Facilities </v>
      </c>
      <c r="N408" s="90" t="str">
        <f>IFERROR(INDEX('NAICS Code to IS CDR Code'!B:B, MATCH('Processed Non-zero DMR Data'!L408,'NAICS Code to IS CDR Code'!A:A,0)), "NAICS/SIC Not Provided")</f>
        <v>IS4</v>
      </c>
      <c r="O408" s="91" t="str">
        <f>IFERROR(INDEX('NAICS Code to IS CDR Code'!C:C, MATCH('Processed Non-zero DMR Data'!L408,'NAICS Code to IS CDR Code'!A:A,0)), "NAICS/SIC Not Provided")</f>
        <v>Utilities</v>
      </c>
      <c r="P408" s="91" t="str">
        <f>INDEX('11DCA Mapping'!$K:$K, MATCH('Processed Non-zero DMR Data'!I414,'11DCA Mapping'!$J:$J,0))</f>
        <v>POTW</v>
      </c>
      <c r="Q408" s="91" t="str">
        <f>INDEX('11DCA Mapping'!$L:$L, MATCH('Processed Non-zero DMR Data'!I414,'11DCA Mapping'!$J:$J,0))</f>
        <v>Assigned POTW per "Facility Type Indicator"</v>
      </c>
      <c r="R408" s="250" t="str">
        <f>VLOOKUP(I408,'DMR POTW Flag'!$A$2:$B$960,2,FALSE)</f>
        <v>FEDERAL</v>
      </c>
      <c r="S408" s="7" t="s">
        <v>68</v>
      </c>
      <c r="T408" s="7" t="s">
        <v>958</v>
      </c>
      <c r="U408" s="8">
        <f>COUNTIFS('Raw Non-zero DMR Data'!$A:$A, 'Processed Non-zero DMR Data'!A408, 'Raw Non-zero DMR Data'!$C:$C, X408, 'Raw Non-zero DMR Data'!$U:$U,'Processed Non-zero DMR Data'!Y408)</f>
        <v>1</v>
      </c>
      <c r="V408" s="8">
        <f>COUNTIFS('Raw Non-zero DMR Data'!$A:$A, 'Processed Non-zero DMR Data'!A408, 'Raw Non-zero DMR Data'!$C:$C, X408, 'Raw Non-zero DMR Data'!$U:$U,'Processed Non-zero DMR Data'!Y408,'Raw Non-zero DMR Data'!$Z:$Z,"Yes")</f>
        <v>1</v>
      </c>
      <c r="W408">
        <v>3.8682699999999999</v>
      </c>
      <c r="X408" t="s">
        <v>959</v>
      </c>
      <c r="Y408" t="s">
        <v>658</v>
      </c>
      <c r="Z408" s="257">
        <v>200600000401</v>
      </c>
    </row>
    <row r="409" spans="1:26" ht="15" customHeight="1" x14ac:dyDescent="0.25">
      <c r="A409">
        <v>2020</v>
      </c>
      <c r="B409" t="s">
        <v>385</v>
      </c>
      <c r="C409" t="s">
        <v>386</v>
      </c>
      <c r="D409" t="s">
        <v>960</v>
      </c>
      <c r="E409" t="s">
        <v>146</v>
      </c>
      <c r="F409">
        <v>39.259749999999997</v>
      </c>
      <c r="G409">
        <v>-121.03075</v>
      </c>
      <c r="I409" s="1">
        <v>110000519920</v>
      </c>
      <c r="J409">
        <v>4952</v>
      </c>
      <c r="K409" s="175" t="str">
        <f>INDEX('2022 SIC to NAICS'!B:B, MATCH('Processed Non-zero DMR Data'!$J409, '2022 SIC to NAICS'!$A:$A, 0))</f>
        <v>Sewerage Systems</v>
      </c>
      <c r="L409" s="175">
        <f>INDEX('2022 SIC to NAICS'!C:C, MATCH('Processed Non-zero DMR Data'!$J409, '2022 SIC to NAICS'!$A:$A, 0))</f>
        <v>221320</v>
      </c>
      <c r="M409" s="175" t="str">
        <f>INDEX('2022 SIC to NAICS'!D:D, MATCH('Processed Non-zero DMR Data'!$J409, '2022 SIC to NAICS'!$A:$A, 0))</f>
        <v xml:space="preserve">Sewage Treatment Facilities </v>
      </c>
      <c r="N409" s="90" t="str">
        <f>IFERROR(INDEX('NAICS Code to IS CDR Code'!B:B, MATCH('Processed Non-zero DMR Data'!L409,'NAICS Code to IS CDR Code'!A:A,0)), "NAICS/SIC Not Provided")</f>
        <v>IS4</v>
      </c>
      <c r="O409" s="91" t="str">
        <f>IFERROR(INDEX('NAICS Code to IS CDR Code'!C:C, MATCH('Processed Non-zero DMR Data'!L409,'NAICS Code to IS CDR Code'!A:A,0)), "NAICS/SIC Not Provided")</f>
        <v>Utilities</v>
      </c>
      <c r="P409" s="91" t="str">
        <f>INDEX('11DCA Mapping'!$K:$K, MATCH('Processed Non-zero DMR Data'!I415,'11DCA Mapping'!$J:$J,0))</f>
        <v>POTW</v>
      </c>
      <c r="Q409" s="91" t="str">
        <f>INDEX('11DCA Mapping'!$L:$L, MATCH('Processed Non-zero DMR Data'!I415,'11DCA Mapping'!$J:$J,0))</f>
        <v>Assigned POTW per "Facility Type Indicator"</v>
      </c>
      <c r="R409" s="250" t="str">
        <f>VLOOKUP(I409,'DMR POTW Flag'!$A$2:$B$960,2,FALSE)</f>
        <v>POTW</v>
      </c>
      <c r="S409" s="7" t="s">
        <v>67</v>
      </c>
      <c r="T409" s="249" t="s">
        <v>586</v>
      </c>
      <c r="U409" s="8">
        <f>COUNTIFS('Raw Non-zero DMR Data'!$A:$A, 'Processed Non-zero DMR Data'!A409, 'Raw Non-zero DMR Data'!$C:$C, X409, 'Raw Non-zero DMR Data'!$U:$U,'Processed Non-zero DMR Data'!Y409)</f>
        <v>1</v>
      </c>
      <c r="V409" s="8">
        <f>COUNTIFS('Raw Non-zero DMR Data'!$A:$A, 'Processed Non-zero DMR Data'!A409, 'Raw Non-zero DMR Data'!$C:$C, X409, 'Raw Non-zero DMR Data'!$U:$U,'Processed Non-zero DMR Data'!Y409,'Raw Non-zero DMR Data'!$Z:$Z,"Yes")</f>
        <v>1</v>
      </c>
      <c r="W409">
        <v>7.2972983200000003E-3</v>
      </c>
      <c r="X409" t="s">
        <v>961</v>
      </c>
      <c r="Y409" t="s">
        <v>962</v>
      </c>
      <c r="Z409" s="257">
        <v>180201250802</v>
      </c>
    </row>
    <row r="410" spans="1:26" ht="15" customHeight="1" x14ac:dyDescent="0.25">
      <c r="A410">
        <v>2023</v>
      </c>
      <c r="B410" t="s">
        <v>385</v>
      </c>
      <c r="C410" t="s">
        <v>386</v>
      </c>
      <c r="D410" t="s">
        <v>960</v>
      </c>
      <c r="E410" t="s">
        <v>146</v>
      </c>
      <c r="F410">
        <v>39.259749999999997</v>
      </c>
      <c r="G410">
        <v>-121.03075</v>
      </c>
      <c r="I410" s="1">
        <v>110000519920</v>
      </c>
      <c r="J410">
        <v>4952</v>
      </c>
      <c r="K410" s="175" t="str">
        <f>INDEX('2022 SIC to NAICS'!B:B, MATCH('Processed Non-zero DMR Data'!$J410, '2022 SIC to NAICS'!$A:$A, 0))</f>
        <v>Sewerage Systems</v>
      </c>
      <c r="L410" s="175">
        <f>INDEX('2022 SIC to NAICS'!C:C, MATCH('Processed Non-zero DMR Data'!$J410, '2022 SIC to NAICS'!$A:$A, 0))</f>
        <v>221320</v>
      </c>
      <c r="M410" s="175" t="str">
        <f>INDEX('2022 SIC to NAICS'!D:D, MATCH('Processed Non-zero DMR Data'!$J410, '2022 SIC to NAICS'!$A:$A, 0))</f>
        <v xml:space="preserve">Sewage Treatment Facilities </v>
      </c>
      <c r="N410" s="90" t="str">
        <f>IFERROR(INDEX('NAICS Code to IS CDR Code'!B:B, MATCH('Processed Non-zero DMR Data'!L410,'NAICS Code to IS CDR Code'!A:A,0)), "NAICS/SIC Not Provided")</f>
        <v>IS4</v>
      </c>
      <c r="O410" s="91" t="str">
        <f>IFERROR(INDEX('NAICS Code to IS CDR Code'!C:C, MATCH('Processed Non-zero DMR Data'!L410,'NAICS Code to IS CDR Code'!A:A,0)), "NAICS/SIC Not Provided")</f>
        <v>Utilities</v>
      </c>
      <c r="P410" s="91" t="str">
        <f>INDEX('11DCA Mapping'!$K:$K, MATCH('Processed Non-zero DMR Data'!I416,'11DCA Mapping'!$J:$J,0))</f>
        <v>POTW</v>
      </c>
      <c r="Q410" s="91" t="str">
        <f>INDEX('11DCA Mapping'!$L:$L, MATCH('Processed Non-zero DMR Data'!I416,'11DCA Mapping'!$J:$J,0))</f>
        <v>Assigned POTW per "Facility Type Indicator"</v>
      </c>
      <c r="R410" s="250" t="str">
        <f>VLOOKUP(I410,'DMR POTW Flag'!$A$2:$B$960,2,FALSE)</f>
        <v>POTW</v>
      </c>
      <c r="S410" s="7" t="s">
        <v>67</v>
      </c>
      <c r="T410" s="249" t="s">
        <v>586</v>
      </c>
      <c r="U410" s="8">
        <f>COUNTIFS('Raw Non-zero DMR Data'!$A:$A, 'Processed Non-zero DMR Data'!A410, 'Raw Non-zero DMR Data'!$C:$C, X410, 'Raw Non-zero DMR Data'!$U:$U,'Processed Non-zero DMR Data'!Y410)</f>
        <v>1</v>
      </c>
      <c r="V410" s="8">
        <f>COUNTIFS('Raw Non-zero DMR Data'!$A:$A, 'Processed Non-zero DMR Data'!A410, 'Raw Non-zero DMR Data'!$C:$C, X410, 'Raw Non-zero DMR Data'!$U:$U,'Processed Non-zero DMR Data'!Y410,'Raw Non-zero DMR Data'!$Z:$Z,"Yes")</f>
        <v>1</v>
      </c>
      <c r="W410">
        <v>2.7037890120000001E-2</v>
      </c>
      <c r="X410" t="s">
        <v>961</v>
      </c>
      <c r="Y410" t="s">
        <v>962</v>
      </c>
      <c r="Z410" s="257">
        <v>180201250802</v>
      </c>
    </row>
    <row r="411" spans="1:26" ht="15" customHeight="1" x14ac:dyDescent="0.25">
      <c r="A411">
        <v>2019</v>
      </c>
      <c r="B411" t="s">
        <v>238</v>
      </c>
      <c r="C411" t="s">
        <v>239</v>
      </c>
      <c r="D411" t="s">
        <v>566</v>
      </c>
      <c r="E411" t="s">
        <v>146</v>
      </c>
      <c r="F411">
        <v>33.227348999999997</v>
      </c>
      <c r="G411">
        <v>-115.528569</v>
      </c>
      <c r="I411" s="1">
        <v>110001177958</v>
      </c>
      <c r="J411">
        <v>4952</v>
      </c>
      <c r="K411" s="175" t="str">
        <f>INDEX('2022 SIC to NAICS'!B:B, MATCH('Processed Non-zero DMR Data'!$J411, '2022 SIC to NAICS'!$A:$A, 0))</f>
        <v>Sewerage Systems</v>
      </c>
      <c r="L411" s="175">
        <f>INDEX('2022 SIC to NAICS'!C:C, MATCH('Processed Non-zero DMR Data'!$J411, '2022 SIC to NAICS'!$A:$A, 0))</f>
        <v>221320</v>
      </c>
      <c r="M411" s="175" t="str">
        <f>INDEX('2022 SIC to NAICS'!D:D, MATCH('Processed Non-zero DMR Data'!$J411, '2022 SIC to NAICS'!$A:$A, 0))</f>
        <v xml:space="preserve">Sewage Treatment Facilities </v>
      </c>
      <c r="N411" s="90" t="str">
        <f>IFERROR(INDEX('NAICS Code to IS CDR Code'!B:B, MATCH('Processed Non-zero DMR Data'!L411,'NAICS Code to IS CDR Code'!A:A,0)), "NAICS/SIC Not Provided")</f>
        <v>IS4</v>
      </c>
      <c r="O411" s="91" t="str">
        <f>IFERROR(INDEX('NAICS Code to IS CDR Code'!C:C, MATCH('Processed Non-zero DMR Data'!L411,'NAICS Code to IS CDR Code'!A:A,0)), "NAICS/SIC Not Provided")</f>
        <v>Utilities</v>
      </c>
      <c r="P411" s="91" t="str">
        <f>INDEX('11DCA Mapping'!$K:$K, MATCH('Processed Non-zero DMR Data'!I417,'11DCA Mapping'!$J:$J,0))</f>
        <v>POTW</v>
      </c>
      <c r="Q411" s="91" t="str">
        <f>INDEX('11DCA Mapping'!$L:$L, MATCH('Processed Non-zero DMR Data'!I417,'11DCA Mapping'!$J:$J,0))</f>
        <v>Assigned POTW per "Facility Type Indicator"</v>
      </c>
      <c r="R411" s="250" t="str">
        <f>VLOOKUP(I411,'DMR POTW Flag'!$A$2:$B$960,2,FALSE)</f>
        <v>POTW</v>
      </c>
      <c r="S411" s="7" t="s">
        <v>67</v>
      </c>
      <c r="T411" s="249" t="s">
        <v>586</v>
      </c>
      <c r="U411" s="8">
        <f>COUNTIFS('Raw Non-zero DMR Data'!$A:$A, 'Processed Non-zero DMR Data'!A411, 'Raw Non-zero DMR Data'!$C:$C, X411, 'Raw Non-zero DMR Data'!$U:$U,'Processed Non-zero DMR Data'!Y411)</f>
        <v>1</v>
      </c>
      <c r="V411" s="8">
        <f>COUNTIFS('Raw Non-zero DMR Data'!$A:$A, 'Processed Non-zero DMR Data'!A411, 'Raw Non-zero DMR Data'!$C:$C, X411, 'Raw Non-zero DMR Data'!$U:$U,'Processed Non-zero DMR Data'!Y411,'Raw Non-zero DMR Data'!$Z:$Z,"Yes")</f>
        <v>1</v>
      </c>
      <c r="W411">
        <v>3.5919649999999997E-2</v>
      </c>
      <c r="X411" t="s">
        <v>963</v>
      </c>
      <c r="Y411" t="s">
        <v>964</v>
      </c>
      <c r="Z411" s="257">
        <v>181002041109</v>
      </c>
    </row>
    <row r="412" spans="1:26" ht="15" customHeight="1" x14ac:dyDescent="0.25">
      <c r="A412">
        <v>2022</v>
      </c>
      <c r="B412" t="s">
        <v>506</v>
      </c>
      <c r="C412" t="s">
        <v>507</v>
      </c>
      <c r="D412" t="s">
        <v>965</v>
      </c>
      <c r="E412" t="s">
        <v>114</v>
      </c>
      <c r="F412">
        <v>29.857654</v>
      </c>
      <c r="G412">
        <v>-94.910674</v>
      </c>
      <c r="I412" s="1">
        <v>110056961480</v>
      </c>
      <c r="J412">
        <v>2869</v>
      </c>
      <c r="K412" s="175" t="str">
        <f>INDEX('2022 SIC to NAICS'!B:B, MATCH('Processed Non-zero DMR Data'!$J412, '2022 SIC to NAICS'!$A:$A, 0))</f>
        <v>Industrial Organic Chemicals, Nec</v>
      </c>
      <c r="L412" s="175">
        <f>INDEX('2022 SIC to NAICS'!C:C, MATCH('Processed Non-zero DMR Data'!$J412, '2022 SIC to NAICS'!$A:$A, 0))</f>
        <v>325110</v>
      </c>
      <c r="M412" s="175" t="str">
        <f>INDEX('2022 SIC to NAICS'!D:D, MATCH('Processed Non-zero DMR Data'!$J412, '2022 SIC to NAICS'!$A:$A, 0))</f>
        <v>Petrochemical Manufacturing</v>
      </c>
      <c r="N412" s="90" t="str">
        <f>IFERROR(INDEX('NAICS Code to IS CDR Code'!B:B, MATCH('Processed Non-zero DMR Data'!L412,'NAICS Code to IS CDR Code'!A:A,0)), "NAICS/SIC Not Provided")</f>
        <v>IS15</v>
      </c>
      <c r="O412" s="91" t="str">
        <f>IFERROR(INDEX('NAICS Code to IS CDR Code'!C:C, MATCH('Processed Non-zero DMR Data'!L412,'NAICS Code to IS CDR Code'!A:A,0)), "NAICS/SIC Not Provided")</f>
        <v>Petrochemical Manufacturing</v>
      </c>
      <c r="P412" s="91" t="str">
        <f>INDEX('11DCA Mapping'!$K:$K, MATCH('Processed Non-zero DMR Data'!I418,'11DCA Mapping'!$J:$J,0))</f>
        <v>POTW</v>
      </c>
      <c r="Q412" s="91" t="str">
        <f>INDEX('11DCA Mapping'!$L:$L, MATCH('Processed Non-zero DMR Data'!I418,'11DCA Mapping'!$J:$J,0))</f>
        <v>Assigned POTW per "Facility Type Indicator"</v>
      </c>
      <c r="R412" s="250" t="str">
        <f>VLOOKUP(I412,'DMR POTW Flag'!$A$2:$B$960,2,FALSE)</f>
        <v>NON-POTW</v>
      </c>
      <c r="S412" s="7" t="s">
        <v>62</v>
      </c>
      <c r="T412" s="7" t="s">
        <v>876</v>
      </c>
      <c r="U412" s="8">
        <f>COUNTIFS('Raw Non-zero DMR Data'!$A:$A, 'Processed Non-zero DMR Data'!A412, 'Raw Non-zero DMR Data'!$C:$C, X412, 'Raw Non-zero DMR Data'!$U:$U,'Processed Non-zero DMR Data'!Y412)</f>
        <v>1</v>
      </c>
      <c r="V412" s="8">
        <f>COUNTIFS('Raw Non-zero DMR Data'!$A:$A, 'Processed Non-zero DMR Data'!A412, 'Raw Non-zero DMR Data'!$C:$C, X412, 'Raw Non-zero DMR Data'!$U:$U,'Processed Non-zero DMR Data'!Y412,'Raw Non-zero DMR Data'!$Z:$Z,"Yes")</f>
        <v>0</v>
      </c>
      <c r="W412">
        <v>0.16571</v>
      </c>
      <c r="X412" t="s">
        <v>966</v>
      </c>
      <c r="Y412" t="s">
        <v>967</v>
      </c>
      <c r="Z412" s="257">
        <v>120402030105</v>
      </c>
    </row>
    <row r="413" spans="1:26" ht="15" customHeight="1" x14ac:dyDescent="0.25">
      <c r="A413">
        <v>2022</v>
      </c>
      <c r="B413" t="s">
        <v>233</v>
      </c>
      <c r="C413" t="s">
        <v>157</v>
      </c>
      <c r="D413" t="s">
        <v>554</v>
      </c>
      <c r="E413" t="s">
        <v>158</v>
      </c>
      <c r="F413">
        <v>36.075400000000002</v>
      </c>
      <c r="G413">
        <v>-115.1669</v>
      </c>
      <c r="I413" s="1">
        <v>110064134459</v>
      </c>
      <c r="J413">
        <v>4581</v>
      </c>
      <c r="K413" s="175" t="str">
        <f>INDEX('2022 SIC to NAICS'!B:B, MATCH('Processed Non-zero DMR Data'!$J413, '2022 SIC to NAICS'!$A:$A, 0))</f>
        <v>Airports, Flying Fields, and Services</v>
      </c>
      <c r="L413" s="175">
        <f>INDEX('2022 SIC to NAICS'!C:C, MATCH('Processed Non-zero DMR Data'!$J413, '2022 SIC to NAICS'!$A:$A, 0))</f>
        <v>488111</v>
      </c>
      <c r="M413" s="175" t="str">
        <f>INDEX('2022 SIC to NAICS'!D:D, MATCH('Processed Non-zero DMR Data'!$J413, '2022 SIC to NAICS'!$A:$A, 0))</f>
        <v>Air Traffic Control</v>
      </c>
      <c r="N413" s="90" t="str">
        <f>IFERROR(INDEX('NAICS Code to IS CDR Code'!B:B, MATCH('Processed Non-zero DMR Data'!L413,'NAICS Code to IS CDR Code'!A:A,0)), "NAICS/SIC Not Provided")</f>
        <v>IS46</v>
      </c>
      <c r="O413" s="91" t="str">
        <f>IFERROR(INDEX('NAICS Code to IS CDR Code'!C:C, MATCH('Processed Non-zero DMR Data'!L413,'NAICS Code to IS CDR Code'!A:A,0)), "NAICS/SIC Not Provided")</f>
        <v>Wholesale and Retail Trade</v>
      </c>
      <c r="P413" s="91" t="str">
        <f>INDEX('11DCA Mapping'!$K:$K, MATCH('Processed Non-zero DMR Data'!I386,'11DCA Mapping'!$J:$J,0))</f>
        <v>Processing as a Reactant</v>
      </c>
      <c r="Q413" s="91" t="str">
        <f>INDEX('11DCA Mapping'!$L:$L, MATCH('Processed Non-zero DMR Data'!I386,'11DCA Mapping'!$J:$J,0))</f>
        <v>Assumed processing as a reactant based on SIC description</v>
      </c>
      <c r="R413" s="91" t="str">
        <f>VLOOKUP(I413,'DMR POTW Flag'!$A$2:$B$960,2,FALSE)</f>
        <v>NON-POTW</v>
      </c>
      <c r="S413" s="7" t="s">
        <v>72</v>
      </c>
      <c r="T413" s="244" t="s">
        <v>579</v>
      </c>
      <c r="U413" s="8">
        <f>COUNTIFS('Raw Non-zero DMR Data'!$A:$A, 'Processed Non-zero DMR Data'!A413, 'Raw Non-zero DMR Data'!$C:$C, X413, 'Raw Non-zero DMR Data'!$U:$U,'Processed Non-zero DMR Data'!Y413)</f>
        <v>2</v>
      </c>
      <c r="V413" s="8">
        <f>COUNTIFS('Raw Non-zero DMR Data'!$A:$A, 'Processed Non-zero DMR Data'!A413, 'Raw Non-zero DMR Data'!$C:$C, X413, 'Raw Non-zero DMR Data'!$U:$U,'Processed Non-zero DMR Data'!Y413,'Raw Non-zero DMR Data'!$Z:$Z,"Yes")</f>
        <v>2</v>
      </c>
      <c r="W413">
        <v>3.6058748750000002E-3</v>
      </c>
      <c r="X413" t="s">
        <v>580</v>
      </c>
      <c r="Y413" t="s">
        <v>581</v>
      </c>
      <c r="Z413" s="257">
        <v>150100150704</v>
      </c>
    </row>
    <row r="414" spans="1:26" ht="15" customHeight="1" x14ac:dyDescent="0.25">
      <c r="A414">
        <v>2020</v>
      </c>
      <c r="B414" t="s">
        <v>383</v>
      </c>
      <c r="C414" t="s">
        <v>384</v>
      </c>
      <c r="D414" t="s">
        <v>968</v>
      </c>
      <c r="E414" t="s">
        <v>138</v>
      </c>
      <c r="F414">
        <v>39.058610999999999</v>
      </c>
      <c r="G414">
        <v>-84.618055999999996</v>
      </c>
      <c r="I414" s="1">
        <v>110039639736</v>
      </c>
      <c r="J414">
        <v>4952</v>
      </c>
      <c r="K414" s="175" t="str">
        <f>INDEX('2022 SIC to NAICS'!B:B, MATCH('Processed Non-zero DMR Data'!$J414, '2022 SIC to NAICS'!$A:$A, 0))</f>
        <v>Sewerage Systems</v>
      </c>
      <c r="L414" s="175">
        <f>INDEX('2022 SIC to NAICS'!C:C, MATCH('Processed Non-zero DMR Data'!$J414, '2022 SIC to NAICS'!$A:$A, 0))</f>
        <v>221320</v>
      </c>
      <c r="M414" s="175" t="str">
        <f>INDEX('2022 SIC to NAICS'!D:D, MATCH('Processed Non-zero DMR Data'!$J414, '2022 SIC to NAICS'!$A:$A, 0))</f>
        <v xml:space="preserve">Sewage Treatment Facilities </v>
      </c>
      <c r="N414" s="90" t="str">
        <f>IFERROR(INDEX('NAICS Code to IS CDR Code'!B:B, MATCH('Processed Non-zero DMR Data'!L414,'NAICS Code to IS CDR Code'!A:A,0)), "NAICS/SIC Not Provided")</f>
        <v>IS4</v>
      </c>
      <c r="O414" s="91" t="str">
        <f>IFERROR(INDEX('NAICS Code to IS CDR Code'!C:C, MATCH('Processed Non-zero DMR Data'!L414,'NAICS Code to IS CDR Code'!A:A,0)), "NAICS/SIC Not Provided")</f>
        <v>Utilities</v>
      </c>
      <c r="P414" s="91" t="str">
        <f>INDEX('11DCA Mapping'!$K:$K, MATCH('Processed Non-zero DMR Data'!I420,'11DCA Mapping'!$J:$J,0))</f>
        <v>Processing as a Reactant</v>
      </c>
      <c r="Q414" s="91" t="str">
        <f>INDEX('11DCA Mapping'!$L:$L, MATCH('Processed Non-zero DMR Data'!I420,'11DCA Mapping'!$J:$J,0))</f>
        <v>Assumed processing as an intermediate based on SIC code</v>
      </c>
      <c r="R414" s="250" t="str">
        <f>VLOOKUP(I414,'DMR POTW Flag'!$A$2:$B$960,2,FALSE)</f>
        <v>POTW</v>
      </c>
      <c r="S414" s="7" t="s">
        <v>67</v>
      </c>
      <c r="T414" s="249" t="s">
        <v>586</v>
      </c>
      <c r="U414" s="8">
        <f>COUNTIFS('Raw Non-zero DMR Data'!$A:$A, 'Processed Non-zero DMR Data'!A414, 'Raw Non-zero DMR Data'!$C:$C, X414, 'Raw Non-zero DMR Data'!$U:$U,'Processed Non-zero DMR Data'!Y414)</f>
        <v>1</v>
      </c>
      <c r="V414" s="8">
        <f>COUNTIFS('Raw Non-zero DMR Data'!$A:$A, 'Processed Non-zero DMR Data'!A414, 'Raw Non-zero DMR Data'!$C:$C, X414, 'Raw Non-zero DMR Data'!$U:$U,'Processed Non-zero DMR Data'!Y414,'Raw Non-zero DMR Data'!$Z:$Z,"Yes")</f>
        <v>1</v>
      </c>
      <c r="W414">
        <v>1.6944404125E-2</v>
      </c>
      <c r="X414" t="s">
        <v>969</v>
      </c>
      <c r="Y414" t="s">
        <v>970</v>
      </c>
      <c r="Z414" s="257">
        <v>50902030202</v>
      </c>
    </row>
    <row r="415" spans="1:26" ht="15" customHeight="1" x14ac:dyDescent="0.25">
      <c r="A415">
        <v>2021</v>
      </c>
      <c r="B415" t="s">
        <v>383</v>
      </c>
      <c r="C415" t="s">
        <v>384</v>
      </c>
      <c r="D415" t="s">
        <v>968</v>
      </c>
      <c r="E415" t="s">
        <v>138</v>
      </c>
      <c r="F415">
        <v>39.058610999999999</v>
      </c>
      <c r="G415">
        <v>-84.618055999999996</v>
      </c>
      <c r="I415" s="1">
        <v>110039639736</v>
      </c>
      <c r="J415">
        <v>4952</v>
      </c>
      <c r="K415" s="175" t="str">
        <f>INDEX('2022 SIC to NAICS'!B:B, MATCH('Processed Non-zero DMR Data'!$J415, '2022 SIC to NAICS'!$A:$A, 0))</f>
        <v>Sewerage Systems</v>
      </c>
      <c r="L415" s="175">
        <f>INDEX('2022 SIC to NAICS'!C:C, MATCH('Processed Non-zero DMR Data'!$J415, '2022 SIC to NAICS'!$A:$A, 0))</f>
        <v>221320</v>
      </c>
      <c r="M415" s="175" t="str">
        <f>INDEX('2022 SIC to NAICS'!D:D, MATCH('Processed Non-zero DMR Data'!$J415, '2022 SIC to NAICS'!$A:$A, 0))</f>
        <v xml:space="preserve">Sewage Treatment Facilities </v>
      </c>
      <c r="N415" s="90" t="str">
        <f>IFERROR(INDEX('NAICS Code to IS CDR Code'!B:B, MATCH('Processed Non-zero DMR Data'!L415,'NAICS Code to IS CDR Code'!A:A,0)), "NAICS/SIC Not Provided")</f>
        <v>IS4</v>
      </c>
      <c r="O415" s="91" t="str">
        <f>IFERROR(INDEX('NAICS Code to IS CDR Code'!C:C, MATCH('Processed Non-zero DMR Data'!L415,'NAICS Code to IS CDR Code'!A:A,0)), "NAICS/SIC Not Provided")</f>
        <v>Utilities</v>
      </c>
      <c r="P415" s="91" t="str">
        <f>INDEX('11DCA Mapping'!$K:$K, MATCH('Processed Non-zero DMR Data'!I421,'11DCA Mapping'!$J:$J,0))</f>
        <v>Processing as a Reactant</v>
      </c>
      <c r="Q415" s="91" t="str">
        <f>INDEX('11DCA Mapping'!$L:$L, MATCH('Processed Non-zero DMR Data'!I421,'11DCA Mapping'!$J:$J,0))</f>
        <v>Assumed processing as an intermediate based on SIC code</v>
      </c>
      <c r="R415" s="250" t="str">
        <f>VLOOKUP(I415,'DMR POTW Flag'!$A$2:$B$960,2,FALSE)</f>
        <v>POTW</v>
      </c>
      <c r="S415" s="7" t="s">
        <v>67</v>
      </c>
      <c r="T415" s="249" t="s">
        <v>586</v>
      </c>
      <c r="U415" s="8">
        <f>COUNTIFS('Raw Non-zero DMR Data'!$A:$A, 'Processed Non-zero DMR Data'!A415, 'Raw Non-zero DMR Data'!$C:$C, X415, 'Raw Non-zero DMR Data'!$U:$U,'Processed Non-zero DMR Data'!Y415)</f>
        <v>1</v>
      </c>
      <c r="V415" s="8">
        <f>COUNTIFS('Raw Non-zero DMR Data'!$A:$A, 'Processed Non-zero DMR Data'!A415, 'Raw Non-zero DMR Data'!$C:$C, X415, 'Raw Non-zero DMR Data'!$U:$U,'Processed Non-zero DMR Data'!Y415,'Raw Non-zero DMR Data'!$Z:$Z,"Yes")</f>
        <v>1</v>
      </c>
      <c r="W415">
        <v>22.366889749999999</v>
      </c>
      <c r="X415" t="s">
        <v>969</v>
      </c>
      <c r="Y415" t="s">
        <v>970</v>
      </c>
      <c r="Z415" s="257">
        <v>50902030202</v>
      </c>
    </row>
    <row r="416" spans="1:26" ht="15" customHeight="1" x14ac:dyDescent="0.25">
      <c r="A416">
        <v>2019</v>
      </c>
      <c r="B416" t="s">
        <v>182</v>
      </c>
      <c r="C416" t="s">
        <v>183</v>
      </c>
      <c r="D416" t="s">
        <v>627</v>
      </c>
      <c r="E416" t="s">
        <v>138</v>
      </c>
      <c r="F416">
        <v>37.852220000000003</v>
      </c>
      <c r="G416">
        <v>-84.363079999999997</v>
      </c>
      <c r="I416" s="1">
        <v>110016759444</v>
      </c>
      <c r="J416">
        <v>4952</v>
      </c>
      <c r="K416" s="175" t="str">
        <f>INDEX('2022 SIC to NAICS'!B:B, MATCH('Processed Non-zero DMR Data'!$J416, '2022 SIC to NAICS'!$A:$A, 0))</f>
        <v>Sewerage Systems</v>
      </c>
      <c r="L416" s="175">
        <f>INDEX('2022 SIC to NAICS'!C:C, MATCH('Processed Non-zero DMR Data'!$J416, '2022 SIC to NAICS'!$A:$A, 0))</f>
        <v>221320</v>
      </c>
      <c r="M416" s="175" t="str">
        <f>INDEX('2022 SIC to NAICS'!D:D, MATCH('Processed Non-zero DMR Data'!$J416, '2022 SIC to NAICS'!$A:$A, 0))</f>
        <v xml:space="preserve">Sewage Treatment Facilities </v>
      </c>
      <c r="N416" s="90" t="str">
        <f>IFERROR(INDEX('NAICS Code to IS CDR Code'!B:B, MATCH('Processed Non-zero DMR Data'!L416,'NAICS Code to IS CDR Code'!A:A,0)), "NAICS/SIC Not Provided")</f>
        <v>IS4</v>
      </c>
      <c r="O416" s="91" t="str">
        <f>IFERROR(INDEX('NAICS Code to IS CDR Code'!C:C, MATCH('Processed Non-zero DMR Data'!L416,'NAICS Code to IS CDR Code'!A:A,0)), "NAICS/SIC Not Provided")</f>
        <v>Utilities</v>
      </c>
      <c r="P416" s="91" t="str">
        <f>INDEX('11DCA Mapping'!$K:$K, MATCH('Processed Non-zero DMR Data'!I422,'11DCA Mapping'!$J:$J,0))</f>
        <v>Processing as a Reactant</v>
      </c>
      <c r="Q416" s="91" t="str">
        <f>INDEX('11DCA Mapping'!$L:$L, MATCH('Processed Non-zero DMR Data'!I422,'11DCA Mapping'!$J:$J,0))</f>
        <v>Assumed processing as an intermediate based on SIC code</v>
      </c>
      <c r="R416" s="250" t="str">
        <f>VLOOKUP(I416,'DMR POTW Flag'!$A$2:$B$960,2,FALSE)</f>
        <v>POTW</v>
      </c>
      <c r="S416" s="7" t="s">
        <v>67</v>
      </c>
      <c r="T416" s="249" t="s">
        <v>586</v>
      </c>
      <c r="U416" s="8">
        <f>COUNTIFS('Raw Non-zero DMR Data'!$A:$A, 'Processed Non-zero DMR Data'!A416, 'Raw Non-zero DMR Data'!$C:$C, X416, 'Raw Non-zero DMR Data'!$U:$U,'Processed Non-zero DMR Data'!Y416)</f>
        <v>1</v>
      </c>
      <c r="V416" s="8">
        <f>COUNTIFS('Raw Non-zero DMR Data'!$A:$A, 'Processed Non-zero DMR Data'!A416, 'Raw Non-zero DMR Data'!$C:$C, X416, 'Raw Non-zero DMR Data'!$U:$U,'Processed Non-zero DMR Data'!Y416,'Raw Non-zero DMR Data'!$Z:$Z,"Yes")</f>
        <v>1</v>
      </c>
      <c r="W416">
        <v>0.97397512500000005</v>
      </c>
      <c r="X416" t="s">
        <v>971</v>
      </c>
      <c r="Y416" t="s">
        <v>972</v>
      </c>
      <c r="Z416" s="257">
        <v>51002050308</v>
      </c>
    </row>
    <row r="417" spans="1:26" ht="15" customHeight="1" x14ac:dyDescent="0.25">
      <c r="A417">
        <v>2020</v>
      </c>
      <c r="B417" t="s">
        <v>182</v>
      </c>
      <c r="C417" t="s">
        <v>183</v>
      </c>
      <c r="D417" t="s">
        <v>627</v>
      </c>
      <c r="E417" t="s">
        <v>138</v>
      </c>
      <c r="F417">
        <v>37.852220000000003</v>
      </c>
      <c r="G417">
        <v>-84.363079999999997</v>
      </c>
      <c r="I417" s="1">
        <v>110016759444</v>
      </c>
      <c r="J417">
        <v>4952</v>
      </c>
      <c r="K417" s="175" t="str">
        <f>INDEX('2022 SIC to NAICS'!B:B, MATCH('Processed Non-zero DMR Data'!$J417, '2022 SIC to NAICS'!$A:$A, 0))</f>
        <v>Sewerage Systems</v>
      </c>
      <c r="L417" s="175">
        <f>INDEX('2022 SIC to NAICS'!C:C, MATCH('Processed Non-zero DMR Data'!$J417, '2022 SIC to NAICS'!$A:$A, 0))</f>
        <v>221320</v>
      </c>
      <c r="M417" s="175" t="str">
        <f>INDEX('2022 SIC to NAICS'!D:D, MATCH('Processed Non-zero DMR Data'!$J417, '2022 SIC to NAICS'!$A:$A, 0))</f>
        <v xml:space="preserve">Sewage Treatment Facilities </v>
      </c>
      <c r="N417" s="90" t="str">
        <f>IFERROR(INDEX('NAICS Code to IS CDR Code'!B:B, MATCH('Processed Non-zero DMR Data'!L417,'NAICS Code to IS CDR Code'!A:A,0)), "NAICS/SIC Not Provided")</f>
        <v>IS4</v>
      </c>
      <c r="O417" s="91" t="str">
        <f>IFERROR(INDEX('NAICS Code to IS CDR Code'!C:C, MATCH('Processed Non-zero DMR Data'!L417,'NAICS Code to IS CDR Code'!A:A,0)), "NAICS/SIC Not Provided")</f>
        <v>Utilities</v>
      </c>
      <c r="P417" s="91" t="str">
        <f>INDEX('11DCA Mapping'!$K:$K, MATCH('Processed Non-zero DMR Data'!I423,'11DCA Mapping'!$J:$J,0))</f>
        <v>Processing as a Reactant</v>
      </c>
      <c r="Q417" s="91" t="str">
        <f>INDEX('11DCA Mapping'!$L:$L, MATCH('Processed Non-zero DMR Data'!I423,'11DCA Mapping'!$J:$J,0))</f>
        <v>Assumed processing as an intermediate based on SIC code</v>
      </c>
      <c r="R417" s="250" t="str">
        <f>VLOOKUP(I417,'DMR POTW Flag'!$A$2:$B$960,2,FALSE)</f>
        <v>POTW</v>
      </c>
      <c r="S417" s="7" t="s">
        <v>67</v>
      </c>
      <c r="T417" s="249" t="s">
        <v>586</v>
      </c>
      <c r="U417" s="8">
        <f>COUNTIFS('Raw Non-zero DMR Data'!$A:$A, 'Processed Non-zero DMR Data'!A417, 'Raw Non-zero DMR Data'!$C:$C, X417, 'Raw Non-zero DMR Data'!$U:$U,'Processed Non-zero DMR Data'!Y417)</f>
        <v>1</v>
      </c>
      <c r="V417" s="8">
        <f>COUNTIFS('Raw Non-zero DMR Data'!$A:$A, 'Processed Non-zero DMR Data'!A417, 'Raw Non-zero DMR Data'!$C:$C, X417, 'Raw Non-zero DMR Data'!$U:$U,'Processed Non-zero DMR Data'!Y417,'Raw Non-zero DMR Data'!$Z:$Z,"Yes")</f>
        <v>1</v>
      </c>
      <c r="W417">
        <v>0.28597567499999998</v>
      </c>
      <c r="X417" t="s">
        <v>971</v>
      </c>
      <c r="Y417" t="s">
        <v>972</v>
      </c>
      <c r="Z417" s="257">
        <v>51002050308</v>
      </c>
    </row>
    <row r="418" spans="1:26" ht="15" customHeight="1" x14ac:dyDescent="0.25">
      <c r="A418">
        <v>2021</v>
      </c>
      <c r="B418" t="s">
        <v>182</v>
      </c>
      <c r="C418" t="s">
        <v>183</v>
      </c>
      <c r="D418" t="s">
        <v>627</v>
      </c>
      <c r="E418" t="s">
        <v>138</v>
      </c>
      <c r="F418">
        <v>37.852220000000003</v>
      </c>
      <c r="G418">
        <v>-84.363079999999997</v>
      </c>
      <c r="I418" s="1">
        <v>110016759444</v>
      </c>
      <c r="J418">
        <v>4952</v>
      </c>
      <c r="K418" s="175" t="str">
        <f>INDEX('2022 SIC to NAICS'!B:B, MATCH('Processed Non-zero DMR Data'!$J418, '2022 SIC to NAICS'!$A:$A, 0))</f>
        <v>Sewerage Systems</v>
      </c>
      <c r="L418" s="175">
        <f>INDEX('2022 SIC to NAICS'!C:C, MATCH('Processed Non-zero DMR Data'!$J418, '2022 SIC to NAICS'!$A:$A, 0))</f>
        <v>221320</v>
      </c>
      <c r="M418" s="175" t="str">
        <f>INDEX('2022 SIC to NAICS'!D:D, MATCH('Processed Non-zero DMR Data'!$J418, '2022 SIC to NAICS'!$A:$A, 0))</f>
        <v xml:space="preserve">Sewage Treatment Facilities </v>
      </c>
      <c r="N418" s="90" t="str">
        <f>IFERROR(INDEX('NAICS Code to IS CDR Code'!B:B, MATCH('Processed Non-zero DMR Data'!L418,'NAICS Code to IS CDR Code'!A:A,0)), "NAICS/SIC Not Provided")</f>
        <v>IS4</v>
      </c>
      <c r="O418" s="91" t="str">
        <f>IFERROR(INDEX('NAICS Code to IS CDR Code'!C:C, MATCH('Processed Non-zero DMR Data'!L418,'NAICS Code to IS CDR Code'!A:A,0)), "NAICS/SIC Not Provided")</f>
        <v>Utilities</v>
      </c>
      <c r="P418" s="91" t="e">
        <f>INDEX('11DCA Mapping'!$K:$K, MATCH('Processed Non-zero DMR Data'!I424,'11DCA Mapping'!$J:$J,0))</f>
        <v>#N/A</v>
      </c>
      <c r="Q418" s="91" t="e">
        <f>INDEX('11DCA Mapping'!$L:$L, MATCH('Processed Non-zero DMR Data'!I424,'11DCA Mapping'!$J:$J,0))</f>
        <v>#N/A</v>
      </c>
      <c r="R418" s="250" t="str">
        <f>VLOOKUP(I418,'DMR POTW Flag'!$A$2:$B$960,2,FALSE)</f>
        <v>POTW</v>
      </c>
      <c r="S418" s="7" t="s">
        <v>67</v>
      </c>
      <c r="T418" s="249" t="s">
        <v>586</v>
      </c>
      <c r="U418" s="8">
        <f>COUNTIFS('Raw Non-zero DMR Data'!$A:$A, 'Processed Non-zero DMR Data'!A418, 'Raw Non-zero DMR Data'!$C:$C, X418, 'Raw Non-zero DMR Data'!$U:$U,'Processed Non-zero DMR Data'!Y418)</f>
        <v>1</v>
      </c>
      <c r="V418" s="8">
        <f>COUNTIFS('Raw Non-zero DMR Data'!$A:$A, 'Processed Non-zero DMR Data'!A418, 'Raw Non-zero DMR Data'!$C:$C, X418, 'Raw Non-zero DMR Data'!$U:$U,'Processed Non-zero DMR Data'!Y418,'Raw Non-zero DMR Data'!$Z:$Z,"Yes")</f>
        <v>0</v>
      </c>
      <c r="W418">
        <v>0.69352555000000005</v>
      </c>
      <c r="X418" t="s">
        <v>971</v>
      </c>
      <c r="Y418" t="s">
        <v>972</v>
      </c>
      <c r="Z418" s="257">
        <v>51002050308</v>
      </c>
    </row>
    <row r="419" spans="1:26" ht="15" customHeight="1" x14ac:dyDescent="0.25">
      <c r="A419">
        <v>2019</v>
      </c>
      <c r="B419" t="s">
        <v>329</v>
      </c>
      <c r="C419" t="s">
        <v>224</v>
      </c>
      <c r="D419" t="s">
        <v>973</v>
      </c>
      <c r="E419" t="s">
        <v>141</v>
      </c>
      <c r="F419">
        <v>41.405655000000003</v>
      </c>
      <c r="G419">
        <v>-88.335212999999996</v>
      </c>
      <c r="I419" s="1">
        <v>110000547196</v>
      </c>
      <c r="J419">
        <v>2869</v>
      </c>
      <c r="K419" s="175" t="str">
        <f>INDEX('2022 SIC to NAICS'!B:B, MATCH('Processed Non-zero DMR Data'!$J419, '2022 SIC to NAICS'!$A:$A, 0))</f>
        <v>Industrial Organic Chemicals, Nec</v>
      </c>
      <c r="L419" s="175">
        <f>INDEX('2022 SIC to NAICS'!C:C, MATCH('Processed Non-zero DMR Data'!$J419, '2022 SIC to NAICS'!$A:$A, 0))</f>
        <v>325110</v>
      </c>
      <c r="M419" s="175" t="str">
        <f>INDEX('2022 SIC to NAICS'!D:D, MATCH('Processed Non-zero DMR Data'!$J419, '2022 SIC to NAICS'!$A:$A, 0))</f>
        <v>Petrochemical Manufacturing</v>
      </c>
      <c r="N419" s="90" t="str">
        <f>IFERROR(INDEX('NAICS Code to IS CDR Code'!B:B, MATCH('Processed Non-zero DMR Data'!L419,'NAICS Code to IS CDR Code'!A:A,0)), "NAICS/SIC Not Provided")</f>
        <v>IS15</v>
      </c>
      <c r="O419" s="91" t="str">
        <f>IFERROR(INDEX('NAICS Code to IS CDR Code'!C:C, MATCH('Processed Non-zero DMR Data'!L419,'NAICS Code to IS CDR Code'!A:A,0)), "NAICS/SIC Not Provided")</f>
        <v>Petrochemical Manufacturing</v>
      </c>
      <c r="P419" s="91" t="e">
        <f>INDEX('11DCA Mapping'!$K:$K, MATCH('Processed Non-zero DMR Data'!I425,'11DCA Mapping'!$J:$J,0))</f>
        <v>#N/A</v>
      </c>
      <c r="Q419" s="91" t="e">
        <f>INDEX('11DCA Mapping'!$L:$L, MATCH('Processed Non-zero DMR Data'!I425,'11DCA Mapping'!$J:$J,0))</f>
        <v>#N/A</v>
      </c>
      <c r="R419" s="250" t="str">
        <f>VLOOKUP(I419,'DMR POTW Flag'!$A$2:$B$960,2,FALSE)</f>
        <v>NON-POTW</v>
      </c>
      <c r="S419" s="7" t="s">
        <v>62</v>
      </c>
      <c r="T419" s="7" t="s">
        <v>601</v>
      </c>
      <c r="U419" s="8">
        <f>COUNTIFS('Raw Non-zero DMR Data'!$A:$A, 'Processed Non-zero DMR Data'!A419, 'Raw Non-zero DMR Data'!$C:$C, X419, 'Raw Non-zero DMR Data'!$U:$U,'Processed Non-zero DMR Data'!Y419)</f>
        <v>1</v>
      </c>
      <c r="V419" s="8">
        <f>COUNTIFS('Raw Non-zero DMR Data'!$A:$A, 'Processed Non-zero DMR Data'!A419, 'Raw Non-zero DMR Data'!$C:$C, X419, 'Raw Non-zero DMR Data'!$U:$U,'Processed Non-zero DMR Data'!Y419,'Raw Non-zero DMR Data'!$Z:$Z,"Yes")</f>
        <v>1</v>
      </c>
      <c r="W419">
        <v>2.8472609999999999E-2</v>
      </c>
      <c r="X419" t="s">
        <v>974</v>
      </c>
      <c r="Y419" t="s">
        <v>773</v>
      </c>
      <c r="Z419" s="257">
        <v>71200050106</v>
      </c>
    </row>
    <row r="420" spans="1:26" ht="15" customHeight="1" x14ac:dyDescent="0.25">
      <c r="A420">
        <v>2020</v>
      </c>
      <c r="B420" t="s">
        <v>329</v>
      </c>
      <c r="C420" t="s">
        <v>224</v>
      </c>
      <c r="D420" t="s">
        <v>973</v>
      </c>
      <c r="E420" t="s">
        <v>141</v>
      </c>
      <c r="F420">
        <v>41.405655000000003</v>
      </c>
      <c r="G420">
        <v>-88.335212999999996</v>
      </c>
      <c r="I420" s="1">
        <v>110000547196</v>
      </c>
      <c r="J420">
        <v>2869</v>
      </c>
      <c r="K420" s="175" t="str">
        <f>INDEX('2022 SIC to NAICS'!B:B, MATCH('Processed Non-zero DMR Data'!$J420, '2022 SIC to NAICS'!$A:$A, 0))</f>
        <v>Industrial Organic Chemicals, Nec</v>
      </c>
      <c r="L420" s="175">
        <f>INDEX('2022 SIC to NAICS'!C:C, MATCH('Processed Non-zero DMR Data'!$J420, '2022 SIC to NAICS'!$A:$A, 0))</f>
        <v>325110</v>
      </c>
      <c r="M420" s="175" t="str">
        <f>INDEX('2022 SIC to NAICS'!D:D, MATCH('Processed Non-zero DMR Data'!$J420, '2022 SIC to NAICS'!$A:$A, 0))</f>
        <v>Petrochemical Manufacturing</v>
      </c>
      <c r="N420" s="90" t="str">
        <f>IFERROR(INDEX('NAICS Code to IS CDR Code'!B:B, MATCH('Processed Non-zero DMR Data'!L420,'NAICS Code to IS CDR Code'!A:A,0)), "NAICS/SIC Not Provided")</f>
        <v>IS15</v>
      </c>
      <c r="O420" s="91" t="str">
        <f>IFERROR(INDEX('NAICS Code to IS CDR Code'!C:C, MATCH('Processed Non-zero DMR Data'!L420,'NAICS Code to IS CDR Code'!A:A,0)), "NAICS/SIC Not Provided")</f>
        <v>Petrochemical Manufacturing</v>
      </c>
      <c r="P420" s="91" t="e">
        <f>INDEX('11DCA Mapping'!$K:$K, MATCH('Processed Non-zero DMR Data'!I426,'11DCA Mapping'!$J:$J,0))</f>
        <v>#N/A</v>
      </c>
      <c r="Q420" s="91" t="e">
        <f>INDEX('11DCA Mapping'!$L:$L, MATCH('Processed Non-zero DMR Data'!I426,'11DCA Mapping'!$J:$J,0))</f>
        <v>#N/A</v>
      </c>
      <c r="R420" s="250" t="str">
        <f>VLOOKUP(I420,'DMR POTW Flag'!$A$2:$B$960,2,FALSE)</f>
        <v>NON-POTW</v>
      </c>
      <c r="S420" s="7" t="s">
        <v>62</v>
      </c>
      <c r="T420" s="7" t="s">
        <v>601</v>
      </c>
      <c r="U420" s="8">
        <f>COUNTIFS('Raw Non-zero DMR Data'!$A:$A, 'Processed Non-zero DMR Data'!A420, 'Raw Non-zero DMR Data'!$C:$C, X420, 'Raw Non-zero DMR Data'!$U:$U,'Processed Non-zero DMR Data'!Y420)</f>
        <v>1</v>
      </c>
      <c r="V420" s="8">
        <f>COUNTIFS('Raw Non-zero DMR Data'!$A:$A, 'Processed Non-zero DMR Data'!A420, 'Raw Non-zero DMR Data'!$C:$C, X420, 'Raw Non-zero DMR Data'!$U:$U,'Processed Non-zero DMR Data'!Y420,'Raw Non-zero DMR Data'!$Z:$Z,"Yes")</f>
        <v>1</v>
      </c>
      <c r="W420">
        <v>6.1278649999999997E-2</v>
      </c>
      <c r="X420" t="s">
        <v>974</v>
      </c>
      <c r="Y420" t="s">
        <v>773</v>
      </c>
      <c r="Z420" s="257">
        <v>71200050106</v>
      </c>
    </row>
    <row r="421" spans="1:26" ht="15" customHeight="1" x14ac:dyDescent="0.25">
      <c r="A421">
        <v>2021</v>
      </c>
      <c r="B421" t="s">
        <v>329</v>
      </c>
      <c r="C421" t="s">
        <v>224</v>
      </c>
      <c r="D421" t="s">
        <v>973</v>
      </c>
      <c r="E421" t="s">
        <v>141</v>
      </c>
      <c r="F421">
        <v>41.405655000000003</v>
      </c>
      <c r="G421">
        <v>-88.335212999999996</v>
      </c>
      <c r="I421" s="1">
        <v>110000547196</v>
      </c>
      <c r="J421">
        <v>2869</v>
      </c>
      <c r="K421" s="175" t="str">
        <f>INDEX('2022 SIC to NAICS'!B:B, MATCH('Processed Non-zero DMR Data'!$J421, '2022 SIC to NAICS'!$A:$A, 0))</f>
        <v>Industrial Organic Chemicals, Nec</v>
      </c>
      <c r="L421" s="175">
        <f>INDEX('2022 SIC to NAICS'!C:C, MATCH('Processed Non-zero DMR Data'!$J421, '2022 SIC to NAICS'!$A:$A, 0))</f>
        <v>325110</v>
      </c>
      <c r="M421" s="175" t="str">
        <f>INDEX('2022 SIC to NAICS'!D:D, MATCH('Processed Non-zero DMR Data'!$J421, '2022 SIC to NAICS'!$A:$A, 0))</f>
        <v>Petrochemical Manufacturing</v>
      </c>
      <c r="N421" s="90" t="str">
        <f>IFERROR(INDEX('NAICS Code to IS CDR Code'!B:B, MATCH('Processed Non-zero DMR Data'!L421,'NAICS Code to IS CDR Code'!A:A,0)), "NAICS/SIC Not Provided")</f>
        <v>IS15</v>
      </c>
      <c r="O421" s="91" t="str">
        <f>IFERROR(INDEX('NAICS Code to IS CDR Code'!C:C, MATCH('Processed Non-zero DMR Data'!L421,'NAICS Code to IS CDR Code'!A:A,0)), "NAICS/SIC Not Provided")</f>
        <v>Petrochemical Manufacturing</v>
      </c>
      <c r="P421" s="91" t="e">
        <f>INDEX('11DCA Mapping'!$K:$K, MATCH('Processed Non-zero DMR Data'!I427,'11DCA Mapping'!$J:$J,0))</f>
        <v>#N/A</v>
      </c>
      <c r="Q421" s="91" t="e">
        <f>INDEX('11DCA Mapping'!$L:$L, MATCH('Processed Non-zero DMR Data'!I427,'11DCA Mapping'!$J:$J,0))</f>
        <v>#N/A</v>
      </c>
      <c r="R421" s="250" t="str">
        <f>VLOOKUP(I421,'DMR POTW Flag'!$A$2:$B$960,2,FALSE)</f>
        <v>NON-POTW</v>
      </c>
      <c r="S421" s="7" t="s">
        <v>62</v>
      </c>
      <c r="T421" s="7" t="s">
        <v>601</v>
      </c>
      <c r="U421" s="8">
        <f>COUNTIFS('Raw Non-zero DMR Data'!$A:$A, 'Processed Non-zero DMR Data'!A421, 'Raw Non-zero DMR Data'!$C:$C, X421, 'Raw Non-zero DMR Data'!$U:$U,'Processed Non-zero DMR Data'!Y421)</f>
        <v>1</v>
      </c>
      <c r="V421" s="8">
        <f>COUNTIFS('Raw Non-zero DMR Data'!$A:$A, 'Processed Non-zero DMR Data'!A421, 'Raw Non-zero DMR Data'!$C:$C, X421, 'Raw Non-zero DMR Data'!$U:$U,'Processed Non-zero DMR Data'!Y421,'Raw Non-zero DMR Data'!$Z:$Z,"Yes")</f>
        <v>1</v>
      </c>
      <c r="W421">
        <v>9.4559119999999997E-2</v>
      </c>
      <c r="X421" t="s">
        <v>974</v>
      </c>
      <c r="Y421" t="s">
        <v>773</v>
      </c>
      <c r="Z421" s="257">
        <v>71200050106</v>
      </c>
    </row>
    <row r="422" spans="1:26" ht="15" customHeight="1" x14ac:dyDescent="0.25">
      <c r="A422">
        <v>2022</v>
      </c>
      <c r="B422" t="s">
        <v>329</v>
      </c>
      <c r="C422" t="s">
        <v>224</v>
      </c>
      <c r="D422" t="s">
        <v>973</v>
      </c>
      <c r="E422" t="s">
        <v>141</v>
      </c>
      <c r="F422">
        <v>41.405655000000003</v>
      </c>
      <c r="G422">
        <v>-88.335212999999996</v>
      </c>
      <c r="I422" s="1">
        <v>110000547196</v>
      </c>
      <c r="J422">
        <v>2869</v>
      </c>
      <c r="K422" s="175" t="str">
        <f>INDEX('2022 SIC to NAICS'!B:B, MATCH('Processed Non-zero DMR Data'!$J422, '2022 SIC to NAICS'!$A:$A, 0))</f>
        <v>Industrial Organic Chemicals, Nec</v>
      </c>
      <c r="L422" s="175">
        <f>INDEX('2022 SIC to NAICS'!C:C, MATCH('Processed Non-zero DMR Data'!$J422, '2022 SIC to NAICS'!$A:$A, 0))</f>
        <v>325110</v>
      </c>
      <c r="M422" s="175" t="str">
        <f>INDEX('2022 SIC to NAICS'!D:D, MATCH('Processed Non-zero DMR Data'!$J422, '2022 SIC to NAICS'!$A:$A, 0))</f>
        <v>Petrochemical Manufacturing</v>
      </c>
      <c r="N422" s="90" t="str">
        <f>IFERROR(INDEX('NAICS Code to IS CDR Code'!B:B, MATCH('Processed Non-zero DMR Data'!L422,'NAICS Code to IS CDR Code'!A:A,0)), "NAICS/SIC Not Provided")</f>
        <v>IS15</v>
      </c>
      <c r="O422" s="91" t="str">
        <f>IFERROR(INDEX('NAICS Code to IS CDR Code'!C:C, MATCH('Processed Non-zero DMR Data'!L422,'NAICS Code to IS CDR Code'!A:A,0)), "NAICS/SIC Not Provided")</f>
        <v>Petrochemical Manufacturing</v>
      </c>
      <c r="P422" s="91" t="e">
        <f>INDEX('11DCA Mapping'!$K:$K, MATCH('Processed Non-zero DMR Data'!I428,'11DCA Mapping'!$J:$J,0))</f>
        <v>#N/A</v>
      </c>
      <c r="Q422" s="91" t="e">
        <f>INDEX('11DCA Mapping'!$L:$L, MATCH('Processed Non-zero DMR Data'!I428,'11DCA Mapping'!$J:$J,0))</f>
        <v>#N/A</v>
      </c>
      <c r="R422" s="250" t="str">
        <f>VLOOKUP(I422,'DMR POTW Flag'!$A$2:$B$960,2,FALSE)</f>
        <v>NON-POTW</v>
      </c>
      <c r="S422" s="7" t="s">
        <v>62</v>
      </c>
      <c r="T422" s="7" t="s">
        <v>601</v>
      </c>
      <c r="U422" s="8">
        <f>COUNTIFS('Raw Non-zero DMR Data'!$A:$A, 'Processed Non-zero DMR Data'!A422, 'Raw Non-zero DMR Data'!$C:$C, X422, 'Raw Non-zero DMR Data'!$U:$U,'Processed Non-zero DMR Data'!Y422)</f>
        <v>1</v>
      </c>
      <c r="V422" s="8">
        <f>COUNTIFS('Raw Non-zero DMR Data'!$A:$A, 'Processed Non-zero DMR Data'!A422, 'Raw Non-zero DMR Data'!$C:$C, X422, 'Raw Non-zero DMR Data'!$U:$U,'Processed Non-zero DMR Data'!Y422,'Raw Non-zero DMR Data'!$Z:$Z,"Yes")</f>
        <v>1</v>
      </c>
      <c r="W422">
        <v>6.5575759999999997E-2</v>
      </c>
      <c r="X422" t="s">
        <v>974</v>
      </c>
      <c r="Y422" t="s">
        <v>773</v>
      </c>
      <c r="Z422" s="257">
        <v>71200050106</v>
      </c>
    </row>
    <row r="423" spans="1:26" ht="15" customHeight="1" x14ac:dyDescent="0.25">
      <c r="A423">
        <v>2023</v>
      </c>
      <c r="B423" t="s">
        <v>329</v>
      </c>
      <c r="C423" t="s">
        <v>224</v>
      </c>
      <c r="D423" t="s">
        <v>973</v>
      </c>
      <c r="E423" t="s">
        <v>141</v>
      </c>
      <c r="F423">
        <v>41.405655000000003</v>
      </c>
      <c r="G423">
        <v>-88.335212999999996</v>
      </c>
      <c r="I423" s="1">
        <v>110000547196</v>
      </c>
      <c r="J423">
        <v>2869</v>
      </c>
      <c r="K423" s="175" t="str">
        <f>INDEX('2022 SIC to NAICS'!B:B, MATCH('Processed Non-zero DMR Data'!$J423, '2022 SIC to NAICS'!$A:$A, 0))</f>
        <v>Industrial Organic Chemicals, Nec</v>
      </c>
      <c r="L423" s="175">
        <f>INDEX('2022 SIC to NAICS'!C:C, MATCH('Processed Non-zero DMR Data'!$J423, '2022 SIC to NAICS'!$A:$A, 0))</f>
        <v>325110</v>
      </c>
      <c r="M423" s="175" t="str">
        <f>INDEX('2022 SIC to NAICS'!D:D, MATCH('Processed Non-zero DMR Data'!$J423, '2022 SIC to NAICS'!$A:$A, 0))</f>
        <v>Petrochemical Manufacturing</v>
      </c>
      <c r="N423" s="90" t="str">
        <f>IFERROR(INDEX('NAICS Code to IS CDR Code'!B:B, MATCH('Processed Non-zero DMR Data'!L423,'NAICS Code to IS CDR Code'!A:A,0)), "NAICS/SIC Not Provided")</f>
        <v>IS15</v>
      </c>
      <c r="O423" s="91" t="str">
        <f>IFERROR(INDEX('NAICS Code to IS CDR Code'!C:C, MATCH('Processed Non-zero DMR Data'!L423,'NAICS Code to IS CDR Code'!A:A,0)), "NAICS/SIC Not Provided")</f>
        <v>Petrochemical Manufacturing</v>
      </c>
      <c r="P423" s="91" t="str">
        <f>INDEX('11DCA Mapping'!$K:$K, MATCH('Processed Non-zero DMR Data'!I429,'11DCA Mapping'!$J:$J,0))</f>
        <v>Processing as a Reactant</v>
      </c>
      <c r="Q423" s="91" t="str">
        <f>INDEX('11DCA Mapping'!$L:$L, MATCH('Processed Non-zero DMR Data'!I429,'11DCA Mapping'!$J:$J,0))</f>
        <v>Based on SIC code</v>
      </c>
      <c r="R423" s="250" t="str">
        <f>VLOOKUP(I423,'DMR POTW Flag'!$A$2:$B$960,2,FALSE)</f>
        <v>NON-POTW</v>
      </c>
      <c r="S423" s="7" t="s">
        <v>62</v>
      </c>
      <c r="T423" s="7" t="s">
        <v>601</v>
      </c>
      <c r="U423" s="8">
        <f>COUNTIFS('Raw Non-zero DMR Data'!$A:$A, 'Processed Non-zero DMR Data'!A423, 'Raw Non-zero DMR Data'!$C:$C, X423, 'Raw Non-zero DMR Data'!$U:$U,'Processed Non-zero DMR Data'!Y423)</f>
        <v>1</v>
      </c>
      <c r="V423" s="8">
        <f>COUNTIFS('Raw Non-zero DMR Data'!$A:$A, 'Processed Non-zero DMR Data'!A423, 'Raw Non-zero DMR Data'!$C:$C, X423, 'Raw Non-zero DMR Data'!$U:$U,'Processed Non-zero DMR Data'!Y423,'Raw Non-zero DMR Data'!$Z:$Z,"Yes")</f>
        <v>1</v>
      </c>
      <c r="W423">
        <v>4.4099289999999999E-2</v>
      </c>
      <c r="X423" t="s">
        <v>974</v>
      </c>
      <c r="Y423" t="s">
        <v>773</v>
      </c>
      <c r="Z423" s="257">
        <v>71200050106</v>
      </c>
    </row>
    <row r="424" spans="1:26" ht="15" customHeight="1" x14ac:dyDescent="0.25">
      <c r="A424">
        <v>2021</v>
      </c>
      <c r="B424" t="s">
        <v>471</v>
      </c>
      <c r="C424" t="s">
        <v>472</v>
      </c>
      <c r="D424" t="s">
        <v>975</v>
      </c>
      <c r="E424" t="s">
        <v>106</v>
      </c>
      <c r="F424">
        <v>30.584540000000001</v>
      </c>
      <c r="G424">
        <v>-91.247479999999996</v>
      </c>
      <c r="I424" s="1">
        <v>110064644782</v>
      </c>
      <c r="J424">
        <v>4953</v>
      </c>
      <c r="K424" s="175" t="str">
        <f>INDEX('2022 SIC to NAICS'!B:B, MATCH('Processed Non-zero DMR Data'!$J424, '2022 SIC to NAICS'!$A:$A, 0))</f>
        <v>Refuse Systems</v>
      </c>
      <c r="L424" s="175">
        <f>INDEX('2022 SIC to NAICS'!C:C, MATCH('Processed Non-zero DMR Data'!$J424, '2022 SIC to NAICS'!$A:$A, 0))</f>
        <v>562211</v>
      </c>
      <c r="M424" s="175" t="str">
        <f>INDEX('2022 SIC to NAICS'!D:D, MATCH('Processed Non-zero DMR Data'!$J424, '2022 SIC to NAICS'!$A:$A, 0))</f>
        <v xml:space="preserve">Hazardous Waste Treatment and Disposal </v>
      </c>
      <c r="N424" s="90" t="str">
        <f>IFERROR(INDEX('NAICS Code to IS CDR Code'!B:B, MATCH('Processed Non-zero DMR Data'!L424,'NAICS Code to IS CDR Code'!A:A,0)), "NAICS/SIC Not Provided")</f>
        <v>IS47</v>
      </c>
      <c r="O424" s="91" t="str">
        <f>IFERROR(INDEX('NAICS Code to IS CDR Code'!C:C, MATCH('Processed Non-zero DMR Data'!L424,'NAICS Code to IS CDR Code'!A:A,0)), "NAICS/SIC Not Provided")</f>
        <v>Services</v>
      </c>
      <c r="P424" s="91" t="str">
        <f>INDEX('11DCA Mapping'!$K:$K, MATCH('Processed Non-zero DMR Data'!I430,'11DCA Mapping'!$J:$J,0))</f>
        <v>POTW</v>
      </c>
      <c r="Q424" s="91" t="str">
        <f>INDEX('11DCA Mapping'!$L:$L, MATCH('Processed Non-zero DMR Data'!I430,'11DCA Mapping'!$J:$J,0))</f>
        <v>Assigned POTW per "Facility Type Indicator"</v>
      </c>
      <c r="R424" s="250" t="str">
        <f>VLOOKUP(I424,'DMR POTW Flag'!$A$2:$B$960,2,FALSE)</f>
        <v>NON-POTW</v>
      </c>
      <c r="S424" s="249" t="s">
        <v>70</v>
      </c>
      <c r="T424" s="249" t="s">
        <v>976</v>
      </c>
      <c r="U424" s="8">
        <f>COUNTIFS('Raw Non-zero DMR Data'!$A:$A, 'Processed Non-zero DMR Data'!A424, 'Raw Non-zero DMR Data'!$C:$C, X424, 'Raw Non-zero DMR Data'!$U:$U,'Processed Non-zero DMR Data'!Y424)</f>
        <v>2</v>
      </c>
      <c r="V424" s="8">
        <f>COUNTIFS('Raw Non-zero DMR Data'!$A:$A, 'Processed Non-zero DMR Data'!A424, 'Raw Non-zero DMR Data'!$C:$C, X424, 'Raw Non-zero DMR Data'!$U:$U,'Processed Non-zero DMR Data'!Y424,'Raw Non-zero DMR Data'!$Z:$Z,"Yes")</f>
        <v>2</v>
      </c>
      <c r="W424">
        <v>5.014368E-3</v>
      </c>
      <c r="X424" t="s">
        <v>977</v>
      </c>
      <c r="Y424" t="s">
        <v>978</v>
      </c>
      <c r="Z424" s="257">
        <v>80702010401</v>
      </c>
    </row>
    <row r="425" spans="1:26" ht="15" customHeight="1" x14ac:dyDescent="0.25">
      <c r="A425">
        <v>2022</v>
      </c>
      <c r="B425" t="s">
        <v>471</v>
      </c>
      <c r="C425" t="s">
        <v>472</v>
      </c>
      <c r="D425" t="s">
        <v>975</v>
      </c>
      <c r="E425" t="s">
        <v>106</v>
      </c>
      <c r="F425">
        <v>30.584540000000001</v>
      </c>
      <c r="G425">
        <v>-91.247479999999996</v>
      </c>
      <c r="I425" s="1">
        <v>110064644782</v>
      </c>
      <c r="J425">
        <v>4953</v>
      </c>
      <c r="K425" s="175" t="str">
        <f>INDEX('2022 SIC to NAICS'!B:B, MATCH('Processed Non-zero DMR Data'!$J425, '2022 SIC to NAICS'!$A:$A, 0))</f>
        <v>Refuse Systems</v>
      </c>
      <c r="L425" s="175">
        <f>INDEX('2022 SIC to NAICS'!C:C, MATCH('Processed Non-zero DMR Data'!$J425, '2022 SIC to NAICS'!$A:$A, 0))</f>
        <v>562211</v>
      </c>
      <c r="M425" s="175" t="str">
        <f>INDEX('2022 SIC to NAICS'!D:D, MATCH('Processed Non-zero DMR Data'!$J425, '2022 SIC to NAICS'!$A:$A, 0))</f>
        <v xml:space="preserve">Hazardous Waste Treatment and Disposal </v>
      </c>
      <c r="N425" s="90" t="str">
        <f>IFERROR(INDEX('NAICS Code to IS CDR Code'!B:B, MATCH('Processed Non-zero DMR Data'!L425,'NAICS Code to IS CDR Code'!A:A,0)), "NAICS/SIC Not Provided")</f>
        <v>IS47</v>
      </c>
      <c r="O425" s="91" t="str">
        <f>IFERROR(INDEX('NAICS Code to IS CDR Code'!C:C, MATCH('Processed Non-zero DMR Data'!L425,'NAICS Code to IS CDR Code'!A:A,0)), "NAICS/SIC Not Provided")</f>
        <v>Services</v>
      </c>
      <c r="P425" s="91" t="str">
        <f>INDEX('11DCA Mapping'!$K:$K, MATCH('Processed Non-zero DMR Data'!I431,'11DCA Mapping'!$J:$J,0))</f>
        <v>POTW</v>
      </c>
      <c r="Q425" s="91" t="str">
        <f>INDEX('11DCA Mapping'!$L:$L, MATCH('Processed Non-zero DMR Data'!I431,'11DCA Mapping'!$J:$J,0))</f>
        <v>Assigned POTW per "Facility Type Indicator"</v>
      </c>
      <c r="R425" s="250" t="str">
        <f>VLOOKUP(I425,'DMR POTW Flag'!$A$2:$B$960,2,FALSE)</f>
        <v>NON-POTW</v>
      </c>
      <c r="S425" s="249" t="s">
        <v>70</v>
      </c>
      <c r="T425" s="249" t="s">
        <v>976</v>
      </c>
      <c r="U425" s="8">
        <f>COUNTIFS('Raw Non-zero DMR Data'!$A:$A, 'Processed Non-zero DMR Data'!A425, 'Raw Non-zero DMR Data'!$C:$C, X425, 'Raw Non-zero DMR Data'!$U:$U,'Processed Non-zero DMR Data'!Y425)</f>
        <v>2</v>
      </c>
      <c r="V425" s="8">
        <f>COUNTIFS('Raw Non-zero DMR Data'!$A:$A, 'Processed Non-zero DMR Data'!A425, 'Raw Non-zero DMR Data'!$C:$C, X425, 'Raw Non-zero DMR Data'!$U:$U,'Processed Non-zero DMR Data'!Y425,'Raw Non-zero DMR Data'!$Z:$Z,"Yes")</f>
        <v>2</v>
      </c>
      <c r="W425">
        <v>0.16559375000000001</v>
      </c>
      <c r="X425" t="s">
        <v>977</v>
      </c>
      <c r="Y425" t="s">
        <v>978</v>
      </c>
      <c r="Z425" s="257">
        <v>80702010401</v>
      </c>
    </row>
    <row r="426" spans="1:26" ht="15" customHeight="1" x14ac:dyDescent="0.25">
      <c r="A426">
        <v>2022</v>
      </c>
      <c r="B426" t="s">
        <v>471</v>
      </c>
      <c r="C426" t="s">
        <v>472</v>
      </c>
      <c r="D426" t="s">
        <v>975</v>
      </c>
      <c r="E426" t="s">
        <v>106</v>
      </c>
      <c r="F426">
        <v>30.584540000000001</v>
      </c>
      <c r="G426">
        <v>-91.247479999999996</v>
      </c>
      <c r="I426" s="1">
        <v>110064644782</v>
      </c>
      <c r="J426">
        <v>4953</v>
      </c>
      <c r="K426" s="175" t="str">
        <f>INDEX('2022 SIC to NAICS'!B:B, MATCH('Processed Non-zero DMR Data'!$J426, '2022 SIC to NAICS'!$A:$A, 0))</f>
        <v>Refuse Systems</v>
      </c>
      <c r="L426" s="175">
        <f>INDEX('2022 SIC to NAICS'!C:C, MATCH('Processed Non-zero DMR Data'!$J426, '2022 SIC to NAICS'!$A:$A, 0))</f>
        <v>562211</v>
      </c>
      <c r="M426" s="175" t="str">
        <f>INDEX('2022 SIC to NAICS'!D:D, MATCH('Processed Non-zero DMR Data'!$J426, '2022 SIC to NAICS'!$A:$A, 0))</f>
        <v xml:space="preserve">Hazardous Waste Treatment and Disposal </v>
      </c>
      <c r="N426" s="90" t="str">
        <f>IFERROR(INDEX('NAICS Code to IS CDR Code'!B:B, MATCH('Processed Non-zero DMR Data'!L426,'NAICS Code to IS CDR Code'!A:A,0)), "NAICS/SIC Not Provided")</f>
        <v>IS47</v>
      </c>
      <c r="O426" s="91" t="str">
        <f>IFERROR(INDEX('NAICS Code to IS CDR Code'!C:C, MATCH('Processed Non-zero DMR Data'!L426,'NAICS Code to IS CDR Code'!A:A,0)), "NAICS/SIC Not Provided")</f>
        <v>Services</v>
      </c>
      <c r="P426" s="91" t="str">
        <f>INDEX('11DCA Mapping'!$K:$K, MATCH('Processed Non-zero DMR Data'!I432,'11DCA Mapping'!$J:$J,0))</f>
        <v>POTW</v>
      </c>
      <c r="Q426" s="91" t="str">
        <f>INDEX('11DCA Mapping'!$L:$L, MATCH('Processed Non-zero DMR Data'!I432,'11DCA Mapping'!$J:$J,0))</f>
        <v>Assigned POTW per "Facility Type Indicator"</v>
      </c>
      <c r="R426" s="250" t="str">
        <f>VLOOKUP(I426,'DMR POTW Flag'!$A$2:$B$960,2,FALSE)</f>
        <v>NON-POTW</v>
      </c>
      <c r="S426" s="249" t="s">
        <v>70</v>
      </c>
      <c r="T426" s="249" t="s">
        <v>976</v>
      </c>
      <c r="U426" s="8">
        <f>COUNTIFS('Raw Non-zero DMR Data'!$A:$A, 'Processed Non-zero DMR Data'!A426, 'Raw Non-zero DMR Data'!$C:$C, X426, 'Raw Non-zero DMR Data'!$U:$U,'Processed Non-zero DMR Data'!Y426)</f>
        <v>2</v>
      </c>
      <c r="V426" s="8">
        <f>COUNTIFS('Raw Non-zero DMR Data'!$A:$A, 'Processed Non-zero DMR Data'!A426, 'Raw Non-zero DMR Data'!$C:$C, X426, 'Raw Non-zero DMR Data'!$U:$U,'Processed Non-zero DMR Data'!Y426,'Raw Non-zero DMR Data'!$Z:$Z,"Yes")</f>
        <v>2</v>
      </c>
      <c r="W426">
        <v>0.99645802500000002</v>
      </c>
      <c r="X426" t="s">
        <v>977</v>
      </c>
      <c r="Y426" t="s">
        <v>978</v>
      </c>
      <c r="Z426" s="257">
        <v>80702010401</v>
      </c>
    </row>
    <row r="427" spans="1:26" ht="15" customHeight="1" x14ac:dyDescent="0.25">
      <c r="A427">
        <v>2023</v>
      </c>
      <c r="B427" t="s">
        <v>471</v>
      </c>
      <c r="C427" t="s">
        <v>472</v>
      </c>
      <c r="D427" t="s">
        <v>975</v>
      </c>
      <c r="E427" t="s">
        <v>106</v>
      </c>
      <c r="F427">
        <v>30.584540000000001</v>
      </c>
      <c r="G427">
        <v>-91.247479999999996</v>
      </c>
      <c r="I427" s="1">
        <v>110064644782</v>
      </c>
      <c r="J427">
        <v>4953</v>
      </c>
      <c r="K427" s="175" t="str">
        <f>INDEX('2022 SIC to NAICS'!B:B, MATCH('Processed Non-zero DMR Data'!$J427, '2022 SIC to NAICS'!$A:$A, 0))</f>
        <v>Refuse Systems</v>
      </c>
      <c r="L427" s="175">
        <f>INDEX('2022 SIC to NAICS'!C:C, MATCH('Processed Non-zero DMR Data'!$J427, '2022 SIC to NAICS'!$A:$A, 0))</f>
        <v>562211</v>
      </c>
      <c r="M427" s="175" t="str">
        <f>INDEX('2022 SIC to NAICS'!D:D, MATCH('Processed Non-zero DMR Data'!$J427, '2022 SIC to NAICS'!$A:$A, 0))</f>
        <v xml:space="preserve">Hazardous Waste Treatment and Disposal </v>
      </c>
      <c r="N427" s="90" t="str">
        <f>IFERROR(INDEX('NAICS Code to IS CDR Code'!B:B, MATCH('Processed Non-zero DMR Data'!L427,'NAICS Code to IS CDR Code'!A:A,0)), "NAICS/SIC Not Provided")</f>
        <v>IS47</v>
      </c>
      <c r="O427" s="91" t="str">
        <f>IFERROR(INDEX('NAICS Code to IS CDR Code'!C:C, MATCH('Processed Non-zero DMR Data'!L427,'NAICS Code to IS CDR Code'!A:A,0)), "NAICS/SIC Not Provided")</f>
        <v>Services</v>
      </c>
      <c r="P427" s="91" t="e">
        <f>INDEX('11DCA Mapping'!$K:$K, MATCH('Processed Non-zero DMR Data'!I433,'11DCA Mapping'!$J:$J,0))</f>
        <v>#N/A</v>
      </c>
      <c r="Q427" s="91" t="e">
        <f>INDEX('11DCA Mapping'!$L:$L, MATCH('Processed Non-zero DMR Data'!I433,'11DCA Mapping'!$J:$J,0))</f>
        <v>#N/A</v>
      </c>
      <c r="R427" s="250" t="str">
        <f>VLOOKUP(I427,'DMR POTW Flag'!$A$2:$B$960,2,FALSE)</f>
        <v>NON-POTW</v>
      </c>
      <c r="S427" s="249" t="s">
        <v>70</v>
      </c>
      <c r="T427" s="249" t="s">
        <v>976</v>
      </c>
      <c r="U427" s="8">
        <f>COUNTIFS('Raw Non-zero DMR Data'!$A:$A, 'Processed Non-zero DMR Data'!A427, 'Raw Non-zero DMR Data'!$C:$C, X427, 'Raw Non-zero DMR Data'!$U:$U,'Processed Non-zero DMR Data'!Y427)</f>
        <v>2</v>
      </c>
      <c r="V427" s="8">
        <f>COUNTIFS('Raw Non-zero DMR Data'!$A:$A, 'Processed Non-zero DMR Data'!A427, 'Raw Non-zero DMR Data'!$C:$C, X427, 'Raw Non-zero DMR Data'!$U:$U,'Processed Non-zero DMR Data'!Y427,'Raw Non-zero DMR Data'!$Z:$Z,"Yes")</f>
        <v>2</v>
      </c>
      <c r="W427">
        <v>1.9980504024999998E-3</v>
      </c>
      <c r="X427" t="s">
        <v>977</v>
      </c>
      <c r="Y427" t="s">
        <v>978</v>
      </c>
      <c r="Z427" s="257">
        <v>80702010401</v>
      </c>
    </row>
    <row r="428" spans="1:26" ht="15" customHeight="1" x14ac:dyDescent="0.25">
      <c r="A428">
        <v>2023</v>
      </c>
      <c r="B428" t="s">
        <v>471</v>
      </c>
      <c r="C428" t="s">
        <v>472</v>
      </c>
      <c r="D428" t="s">
        <v>975</v>
      </c>
      <c r="E428" t="s">
        <v>106</v>
      </c>
      <c r="F428">
        <v>30.584540000000001</v>
      </c>
      <c r="G428">
        <v>-91.247479999999996</v>
      </c>
      <c r="I428" s="1">
        <v>110064644782</v>
      </c>
      <c r="J428">
        <v>4953</v>
      </c>
      <c r="K428" s="175" t="str">
        <f>INDEX('2022 SIC to NAICS'!B:B, MATCH('Processed Non-zero DMR Data'!$J428, '2022 SIC to NAICS'!$A:$A, 0))</f>
        <v>Refuse Systems</v>
      </c>
      <c r="L428" s="175">
        <f>INDEX('2022 SIC to NAICS'!C:C, MATCH('Processed Non-zero DMR Data'!$J428, '2022 SIC to NAICS'!$A:$A, 0))</f>
        <v>562211</v>
      </c>
      <c r="M428" s="175" t="str">
        <f>INDEX('2022 SIC to NAICS'!D:D, MATCH('Processed Non-zero DMR Data'!$J428, '2022 SIC to NAICS'!$A:$A, 0))</f>
        <v xml:space="preserve">Hazardous Waste Treatment and Disposal </v>
      </c>
      <c r="N428" s="90" t="str">
        <f>IFERROR(INDEX('NAICS Code to IS CDR Code'!B:B, MATCH('Processed Non-zero DMR Data'!L428,'NAICS Code to IS CDR Code'!A:A,0)), "NAICS/SIC Not Provided")</f>
        <v>IS47</v>
      </c>
      <c r="O428" s="91" t="str">
        <f>IFERROR(INDEX('NAICS Code to IS CDR Code'!C:C, MATCH('Processed Non-zero DMR Data'!L428,'NAICS Code to IS CDR Code'!A:A,0)), "NAICS/SIC Not Provided")</f>
        <v>Services</v>
      </c>
      <c r="P428" s="91" t="e">
        <f>INDEX('11DCA Mapping'!$K:$K, MATCH('Processed Non-zero DMR Data'!I434,'11DCA Mapping'!$J:$J,0))</f>
        <v>#N/A</v>
      </c>
      <c r="Q428" s="91" t="e">
        <f>INDEX('11DCA Mapping'!$L:$L, MATCH('Processed Non-zero DMR Data'!I434,'11DCA Mapping'!$J:$J,0))</f>
        <v>#N/A</v>
      </c>
      <c r="R428" s="250" t="str">
        <f>VLOOKUP(I428,'DMR POTW Flag'!$A$2:$B$960,2,FALSE)</f>
        <v>NON-POTW</v>
      </c>
      <c r="S428" s="249" t="s">
        <v>70</v>
      </c>
      <c r="T428" s="249" t="s">
        <v>976</v>
      </c>
      <c r="U428" s="8">
        <f>COUNTIFS('Raw Non-zero DMR Data'!$A:$A, 'Processed Non-zero DMR Data'!A428, 'Raw Non-zero DMR Data'!$C:$C, X428, 'Raw Non-zero DMR Data'!$U:$U,'Processed Non-zero DMR Data'!Y428)</f>
        <v>2</v>
      </c>
      <c r="V428" s="8">
        <f>COUNTIFS('Raw Non-zero DMR Data'!$A:$A, 'Processed Non-zero DMR Data'!A428, 'Raw Non-zero DMR Data'!$C:$C, X428, 'Raw Non-zero DMR Data'!$U:$U,'Processed Non-zero DMR Data'!Y428,'Raw Non-zero DMR Data'!$Z:$Z,"Yes")</f>
        <v>2</v>
      </c>
      <c r="W428">
        <v>1.9485872655E-2</v>
      </c>
      <c r="X428" t="s">
        <v>977</v>
      </c>
      <c r="Y428" t="s">
        <v>978</v>
      </c>
      <c r="Z428" s="257">
        <v>80702010401</v>
      </c>
    </row>
    <row r="429" spans="1:26" ht="15" customHeight="1" x14ac:dyDescent="0.25">
      <c r="A429">
        <v>2020</v>
      </c>
      <c r="B429" t="s">
        <v>403</v>
      </c>
      <c r="C429" t="s">
        <v>404</v>
      </c>
      <c r="D429" t="s">
        <v>979</v>
      </c>
      <c r="E429" t="s">
        <v>106</v>
      </c>
      <c r="F429">
        <v>29.808250000000001</v>
      </c>
      <c r="G429">
        <v>-90.01</v>
      </c>
      <c r="I429" s="1">
        <v>110000575244</v>
      </c>
      <c r="J429">
        <v>2869</v>
      </c>
      <c r="K429" s="175" t="str">
        <f>INDEX('2022 SIC to NAICS'!B:B, MATCH('Processed Non-zero DMR Data'!$J429, '2022 SIC to NAICS'!$A:$A, 0))</f>
        <v>Industrial Organic Chemicals, Nec</v>
      </c>
      <c r="L429" s="175">
        <f>INDEX('2022 SIC to NAICS'!C:C, MATCH('Processed Non-zero DMR Data'!$J429, '2022 SIC to NAICS'!$A:$A, 0))</f>
        <v>325110</v>
      </c>
      <c r="M429" s="175" t="str">
        <f>INDEX('2022 SIC to NAICS'!D:D, MATCH('Processed Non-zero DMR Data'!$J429, '2022 SIC to NAICS'!$A:$A, 0))</f>
        <v>Petrochemical Manufacturing</v>
      </c>
      <c r="N429" s="90" t="str">
        <f>IFERROR(INDEX('NAICS Code to IS CDR Code'!B:B, MATCH('Processed Non-zero DMR Data'!L429,'NAICS Code to IS CDR Code'!A:A,0)), "NAICS/SIC Not Provided")</f>
        <v>IS15</v>
      </c>
      <c r="O429" s="91" t="str">
        <f>IFERROR(INDEX('NAICS Code to IS CDR Code'!C:C, MATCH('Processed Non-zero DMR Data'!L429,'NAICS Code to IS CDR Code'!A:A,0)), "NAICS/SIC Not Provided")</f>
        <v>Petrochemical Manufacturing</v>
      </c>
      <c r="P429" s="91" t="e">
        <f>INDEX('11DCA Mapping'!$K:$K, MATCH('Processed Non-zero DMR Data'!I435,'11DCA Mapping'!$J:$J,0))</f>
        <v>#N/A</v>
      </c>
      <c r="Q429" s="91" t="e">
        <f>INDEX('11DCA Mapping'!$L:$L, MATCH('Processed Non-zero DMR Data'!I435,'11DCA Mapping'!$J:$J,0))</f>
        <v>#N/A</v>
      </c>
      <c r="R429" s="250" t="str">
        <f>VLOOKUP(I429,'DMR POTW Flag'!$A$2:$B$960,2,FALSE)</f>
        <v>NON-POTW</v>
      </c>
      <c r="S429" s="7" t="s">
        <v>62</v>
      </c>
      <c r="T429" s="7" t="s">
        <v>601</v>
      </c>
      <c r="U429" s="8">
        <f>COUNTIFS('Raw Non-zero DMR Data'!$A:$A, 'Processed Non-zero DMR Data'!A429, 'Raw Non-zero DMR Data'!$C:$C, X429, 'Raw Non-zero DMR Data'!$U:$U,'Processed Non-zero DMR Data'!Y429)</f>
        <v>1</v>
      </c>
      <c r="V429" s="8">
        <f>COUNTIFS('Raw Non-zero DMR Data'!$A:$A, 'Processed Non-zero DMR Data'!A429, 'Raw Non-zero DMR Data'!$C:$C, X429, 'Raw Non-zero DMR Data'!$U:$U,'Processed Non-zero DMR Data'!Y429,'Raw Non-zero DMR Data'!$Z:$Z,"Yes")</f>
        <v>0</v>
      </c>
      <c r="W429">
        <v>3.1064280387500001E-2</v>
      </c>
      <c r="X429" t="s">
        <v>980</v>
      </c>
      <c r="Y429" t="s">
        <v>981</v>
      </c>
      <c r="Z429" s="257">
        <v>80903010404</v>
      </c>
    </row>
    <row r="430" spans="1:26" ht="15" customHeight="1" x14ac:dyDescent="0.25">
      <c r="A430">
        <v>2020</v>
      </c>
      <c r="B430" t="s">
        <v>408</v>
      </c>
      <c r="C430" t="s">
        <v>409</v>
      </c>
      <c r="D430" t="s">
        <v>901</v>
      </c>
      <c r="E430" t="s">
        <v>138</v>
      </c>
      <c r="F430">
        <v>38.417499999999997</v>
      </c>
      <c r="G430">
        <v>-85.611109999999996</v>
      </c>
      <c r="I430" s="1">
        <v>110022905588</v>
      </c>
      <c r="J430">
        <v>4952</v>
      </c>
      <c r="K430" s="175" t="str">
        <f>INDEX('2022 SIC to NAICS'!B:B, MATCH('Processed Non-zero DMR Data'!$J430, '2022 SIC to NAICS'!$A:$A, 0))</f>
        <v>Sewerage Systems</v>
      </c>
      <c r="L430" s="175">
        <f>INDEX('2022 SIC to NAICS'!C:C, MATCH('Processed Non-zero DMR Data'!$J430, '2022 SIC to NAICS'!$A:$A, 0))</f>
        <v>221320</v>
      </c>
      <c r="M430" s="175" t="str">
        <f>INDEX('2022 SIC to NAICS'!D:D, MATCH('Processed Non-zero DMR Data'!$J430, '2022 SIC to NAICS'!$A:$A, 0))</f>
        <v xml:space="preserve">Sewage Treatment Facilities </v>
      </c>
      <c r="N430" s="90" t="str">
        <f>IFERROR(INDEX('NAICS Code to IS CDR Code'!B:B, MATCH('Processed Non-zero DMR Data'!L430,'NAICS Code to IS CDR Code'!A:A,0)), "NAICS/SIC Not Provided")</f>
        <v>IS4</v>
      </c>
      <c r="O430" s="91" t="str">
        <f>IFERROR(INDEX('NAICS Code to IS CDR Code'!C:C, MATCH('Processed Non-zero DMR Data'!L430,'NAICS Code to IS CDR Code'!A:A,0)), "NAICS/SIC Not Provided")</f>
        <v>Utilities</v>
      </c>
      <c r="P430" s="91" t="str">
        <f>INDEX('11DCA Mapping'!$K:$K, MATCH('Processed Non-zero DMR Data'!I436,'11DCA Mapping'!$J:$J,0))</f>
        <v>POTW</v>
      </c>
      <c r="Q430" s="91" t="str">
        <f>INDEX('11DCA Mapping'!$L:$L, MATCH('Processed Non-zero DMR Data'!I436,'11DCA Mapping'!$J:$J,0))</f>
        <v>Assigned POTW per "Facility Type Indicator"</v>
      </c>
      <c r="R430" s="250" t="str">
        <f>VLOOKUP(I430,'DMR POTW Flag'!$A$2:$B$960,2,FALSE)</f>
        <v>POTW</v>
      </c>
      <c r="S430" s="7" t="s">
        <v>67</v>
      </c>
      <c r="T430" s="249" t="s">
        <v>586</v>
      </c>
      <c r="U430" s="8">
        <f>COUNTIFS('Raw Non-zero DMR Data'!$A:$A, 'Processed Non-zero DMR Data'!A430, 'Raw Non-zero DMR Data'!$C:$C, X430, 'Raw Non-zero DMR Data'!$U:$U,'Processed Non-zero DMR Data'!Y430)</f>
        <v>1</v>
      </c>
      <c r="V430" s="8">
        <f>COUNTIFS('Raw Non-zero DMR Data'!$A:$A, 'Processed Non-zero DMR Data'!A430, 'Raw Non-zero DMR Data'!$C:$C, X430, 'Raw Non-zero DMR Data'!$U:$U,'Processed Non-zero DMR Data'!Y430,'Raw Non-zero DMR Data'!$Z:$Z,"Yes")</f>
        <v>1</v>
      </c>
      <c r="W430">
        <v>2.1310023125000002</v>
      </c>
      <c r="X430" t="s">
        <v>982</v>
      </c>
      <c r="Y430" t="s">
        <v>983</v>
      </c>
      <c r="Z430" s="257">
        <v>51401010604</v>
      </c>
    </row>
    <row r="431" spans="1:26" ht="15" customHeight="1" x14ac:dyDescent="0.25">
      <c r="A431">
        <v>2021</v>
      </c>
      <c r="B431" t="s">
        <v>408</v>
      </c>
      <c r="C431" t="s">
        <v>409</v>
      </c>
      <c r="D431" t="s">
        <v>901</v>
      </c>
      <c r="E431" t="s">
        <v>138</v>
      </c>
      <c r="F431">
        <v>38.417499999999997</v>
      </c>
      <c r="G431">
        <v>-85.611109999999996</v>
      </c>
      <c r="I431" s="1">
        <v>110022905588</v>
      </c>
      <c r="J431">
        <v>4952</v>
      </c>
      <c r="K431" s="175" t="str">
        <f>INDEX('2022 SIC to NAICS'!B:B, MATCH('Processed Non-zero DMR Data'!$J431, '2022 SIC to NAICS'!$A:$A, 0))</f>
        <v>Sewerage Systems</v>
      </c>
      <c r="L431" s="175">
        <f>INDEX('2022 SIC to NAICS'!C:C, MATCH('Processed Non-zero DMR Data'!$J431, '2022 SIC to NAICS'!$A:$A, 0))</f>
        <v>221320</v>
      </c>
      <c r="M431" s="175" t="str">
        <f>INDEX('2022 SIC to NAICS'!D:D, MATCH('Processed Non-zero DMR Data'!$J431, '2022 SIC to NAICS'!$A:$A, 0))</f>
        <v xml:space="preserve">Sewage Treatment Facilities </v>
      </c>
      <c r="N431" s="90" t="str">
        <f>IFERROR(INDEX('NAICS Code to IS CDR Code'!B:B, MATCH('Processed Non-zero DMR Data'!L431,'NAICS Code to IS CDR Code'!A:A,0)), "NAICS/SIC Not Provided")</f>
        <v>IS4</v>
      </c>
      <c r="O431" s="91" t="str">
        <f>IFERROR(INDEX('NAICS Code to IS CDR Code'!C:C, MATCH('Processed Non-zero DMR Data'!L431,'NAICS Code to IS CDR Code'!A:A,0)), "NAICS/SIC Not Provided")</f>
        <v>Utilities</v>
      </c>
      <c r="P431" s="91" t="str">
        <f>INDEX('11DCA Mapping'!$K:$K, MATCH('Processed Non-zero DMR Data'!I437,'11DCA Mapping'!$J:$J,0))</f>
        <v>POTW</v>
      </c>
      <c r="Q431" s="91" t="str">
        <f>INDEX('11DCA Mapping'!$L:$L, MATCH('Processed Non-zero DMR Data'!I437,'11DCA Mapping'!$J:$J,0))</f>
        <v>Assigned POTW per "Facility Type Indicator"</v>
      </c>
      <c r="R431" s="250" t="str">
        <f>VLOOKUP(I431,'DMR POTW Flag'!$A$2:$B$960,2,FALSE)</f>
        <v>POTW</v>
      </c>
      <c r="S431" s="7" t="s">
        <v>67</v>
      </c>
      <c r="T431" s="249" t="s">
        <v>586</v>
      </c>
      <c r="U431" s="8">
        <f>COUNTIFS('Raw Non-zero DMR Data'!$A:$A, 'Processed Non-zero DMR Data'!A431, 'Raw Non-zero DMR Data'!$C:$C, X431, 'Raw Non-zero DMR Data'!$U:$U,'Processed Non-zero DMR Data'!Y431)</f>
        <v>1</v>
      </c>
      <c r="V431" s="8">
        <f>COUNTIFS('Raw Non-zero DMR Data'!$A:$A, 'Processed Non-zero DMR Data'!A431, 'Raw Non-zero DMR Data'!$C:$C, X431, 'Raw Non-zero DMR Data'!$U:$U,'Processed Non-zero DMR Data'!Y431,'Raw Non-zero DMR Data'!$Z:$Z,"Yes")</f>
        <v>1</v>
      </c>
      <c r="W431">
        <v>1.982488375</v>
      </c>
      <c r="X431" t="s">
        <v>982</v>
      </c>
      <c r="Y431" t="s">
        <v>983</v>
      </c>
      <c r="Z431" s="257">
        <v>51401010604</v>
      </c>
    </row>
    <row r="432" spans="1:26" ht="15" customHeight="1" x14ac:dyDescent="0.25">
      <c r="A432">
        <v>2022</v>
      </c>
      <c r="B432" t="s">
        <v>408</v>
      </c>
      <c r="C432" t="s">
        <v>409</v>
      </c>
      <c r="D432" t="s">
        <v>901</v>
      </c>
      <c r="E432" t="s">
        <v>138</v>
      </c>
      <c r="F432">
        <v>38.417499999999997</v>
      </c>
      <c r="G432">
        <v>-85.611109999999996</v>
      </c>
      <c r="I432" s="1">
        <v>110022905588</v>
      </c>
      <c r="J432">
        <v>4952</v>
      </c>
      <c r="K432" s="175" t="str">
        <f>INDEX('2022 SIC to NAICS'!B:B, MATCH('Processed Non-zero DMR Data'!$J432, '2022 SIC to NAICS'!$A:$A, 0))</f>
        <v>Sewerage Systems</v>
      </c>
      <c r="L432" s="175">
        <f>INDEX('2022 SIC to NAICS'!C:C, MATCH('Processed Non-zero DMR Data'!$J432, '2022 SIC to NAICS'!$A:$A, 0))</f>
        <v>221320</v>
      </c>
      <c r="M432" s="175" t="str">
        <f>INDEX('2022 SIC to NAICS'!D:D, MATCH('Processed Non-zero DMR Data'!$J432, '2022 SIC to NAICS'!$A:$A, 0))</f>
        <v xml:space="preserve">Sewage Treatment Facilities </v>
      </c>
      <c r="N432" s="90" t="str">
        <f>IFERROR(INDEX('NAICS Code to IS CDR Code'!B:B, MATCH('Processed Non-zero DMR Data'!L432,'NAICS Code to IS CDR Code'!A:A,0)), "NAICS/SIC Not Provided")</f>
        <v>IS4</v>
      </c>
      <c r="O432" s="91" t="str">
        <f>IFERROR(INDEX('NAICS Code to IS CDR Code'!C:C, MATCH('Processed Non-zero DMR Data'!L432,'NAICS Code to IS CDR Code'!A:A,0)), "NAICS/SIC Not Provided")</f>
        <v>Utilities</v>
      </c>
      <c r="P432" s="91" t="str">
        <f>INDEX('11DCA Mapping'!$K:$K, MATCH('Processed Non-zero DMR Data'!I438,'11DCA Mapping'!$J:$J,0))</f>
        <v>POTW</v>
      </c>
      <c r="Q432" s="91" t="str">
        <f>INDEX('11DCA Mapping'!$L:$L, MATCH('Processed Non-zero DMR Data'!I438,'11DCA Mapping'!$J:$J,0))</f>
        <v>Assigned POTW per "Facility Type Indicator"</v>
      </c>
      <c r="R432" s="250" t="str">
        <f>VLOOKUP(I432,'DMR POTW Flag'!$A$2:$B$960,2,FALSE)</f>
        <v>POTW</v>
      </c>
      <c r="S432" s="7" t="s">
        <v>67</v>
      </c>
      <c r="T432" s="249" t="s">
        <v>586</v>
      </c>
      <c r="U432" s="8">
        <f>COUNTIFS('Raw Non-zero DMR Data'!$A:$A, 'Processed Non-zero DMR Data'!A432, 'Raw Non-zero DMR Data'!$C:$C, X432, 'Raw Non-zero DMR Data'!$U:$U,'Processed Non-zero DMR Data'!Y432)</f>
        <v>1</v>
      </c>
      <c r="V432" s="8">
        <f>COUNTIFS('Raw Non-zero DMR Data'!$A:$A, 'Processed Non-zero DMR Data'!A432, 'Raw Non-zero DMR Data'!$C:$C, X432, 'Raw Non-zero DMR Data'!$U:$U,'Processed Non-zero DMR Data'!Y432,'Raw Non-zero DMR Data'!$Z:$Z,"Yes")</f>
        <v>1</v>
      </c>
      <c r="W432">
        <v>2.756142375</v>
      </c>
      <c r="X432" t="s">
        <v>982</v>
      </c>
      <c r="Y432" t="s">
        <v>983</v>
      </c>
      <c r="Z432" s="257">
        <v>51401010604</v>
      </c>
    </row>
    <row r="433" spans="1:26" ht="15" customHeight="1" x14ac:dyDescent="0.25">
      <c r="A433">
        <v>2021</v>
      </c>
      <c r="B433" t="s">
        <v>443</v>
      </c>
      <c r="C433" t="s">
        <v>444</v>
      </c>
      <c r="D433" t="s">
        <v>901</v>
      </c>
      <c r="E433" t="s">
        <v>138</v>
      </c>
      <c r="F433">
        <v>38.32978</v>
      </c>
      <c r="G433">
        <v>-85.540719999999993</v>
      </c>
      <c r="I433" s="1">
        <v>110064615590</v>
      </c>
      <c r="J433">
        <v>4952</v>
      </c>
      <c r="K433" s="175" t="str">
        <f>INDEX('2022 SIC to NAICS'!B:B, MATCH('Processed Non-zero DMR Data'!$J433, '2022 SIC to NAICS'!$A:$A, 0))</f>
        <v>Sewerage Systems</v>
      </c>
      <c r="L433" s="175">
        <f>INDEX('2022 SIC to NAICS'!C:C, MATCH('Processed Non-zero DMR Data'!$J433, '2022 SIC to NAICS'!$A:$A, 0))</f>
        <v>221320</v>
      </c>
      <c r="M433" s="175" t="str">
        <f>INDEX('2022 SIC to NAICS'!D:D, MATCH('Processed Non-zero DMR Data'!$J433, '2022 SIC to NAICS'!$A:$A, 0))</f>
        <v xml:space="preserve">Sewage Treatment Facilities </v>
      </c>
      <c r="N433" s="90" t="str">
        <f>IFERROR(INDEX('NAICS Code to IS CDR Code'!B:B, MATCH('Processed Non-zero DMR Data'!L433,'NAICS Code to IS CDR Code'!A:A,0)), "NAICS/SIC Not Provided")</f>
        <v>IS4</v>
      </c>
      <c r="O433" s="91" t="str">
        <f>IFERROR(INDEX('NAICS Code to IS CDR Code'!C:C, MATCH('Processed Non-zero DMR Data'!L433,'NAICS Code to IS CDR Code'!A:A,0)), "NAICS/SIC Not Provided")</f>
        <v>Utilities</v>
      </c>
      <c r="P433" s="91" t="str">
        <f>INDEX('11DCA Mapping'!$K:$K, MATCH('Processed Non-zero DMR Data'!I439,'11DCA Mapping'!$J:$J,0))</f>
        <v>POTW</v>
      </c>
      <c r="Q433" s="91" t="str">
        <f>INDEX('11DCA Mapping'!$L:$L, MATCH('Processed Non-zero DMR Data'!I439,'11DCA Mapping'!$J:$J,0))</f>
        <v>Assigned POTW per "Facility Type Indicator"</v>
      </c>
      <c r="R433" s="250" t="str">
        <f>VLOOKUP(I433,'DMR POTW Flag'!$A$2:$B$960,2,FALSE)</f>
        <v>POTW</v>
      </c>
      <c r="S433" s="7" t="s">
        <v>67</v>
      </c>
      <c r="T433" s="249" t="s">
        <v>586</v>
      </c>
      <c r="U433" s="8">
        <f>COUNTIFS('Raw Non-zero DMR Data'!$A:$A, 'Processed Non-zero DMR Data'!A433, 'Raw Non-zero DMR Data'!$C:$C, X433, 'Raw Non-zero DMR Data'!$U:$U,'Processed Non-zero DMR Data'!Y433)</f>
        <v>1</v>
      </c>
      <c r="V433" s="8">
        <f>COUNTIFS('Raw Non-zero DMR Data'!$A:$A, 'Processed Non-zero DMR Data'!A433, 'Raw Non-zero DMR Data'!$C:$C, X433, 'Raw Non-zero DMR Data'!$U:$U,'Processed Non-zero DMR Data'!Y433,'Raw Non-zero DMR Data'!$Z:$Z,"Yes")</f>
        <v>1</v>
      </c>
      <c r="W433">
        <v>1.1846576874999999</v>
      </c>
      <c r="X433" t="s">
        <v>984</v>
      </c>
      <c r="Y433" t="s">
        <v>857</v>
      </c>
      <c r="Z433" s="257">
        <v>51401010504</v>
      </c>
    </row>
    <row r="434" spans="1:26" ht="15" customHeight="1" x14ac:dyDescent="0.25">
      <c r="A434">
        <v>2022</v>
      </c>
      <c r="B434" t="s">
        <v>443</v>
      </c>
      <c r="C434" t="s">
        <v>444</v>
      </c>
      <c r="D434" t="s">
        <v>901</v>
      </c>
      <c r="E434" t="s">
        <v>138</v>
      </c>
      <c r="F434">
        <v>38.32978</v>
      </c>
      <c r="G434">
        <v>-85.540719999999993</v>
      </c>
      <c r="I434" s="1">
        <v>110064615590</v>
      </c>
      <c r="J434">
        <v>4952</v>
      </c>
      <c r="K434" s="175" t="str">
        <f>INDEX('2022 SIC to NAICS'!B:B, MATCH('Processed Non-zero DMR Data'!$J434, '2022 SIC to NAICS'!$A:$A, 0))</f>
        <v>Sewerage Systems</v>
      </c>
      <c r="L434" s="175">
        <f>INDEX('2022 SIC to NAICS'!C:C, MATCH('Processed Non-zero DMR Data'!$J434, '2022 SIC to NAICS'!$A:$A, 0))</f>
        <v>221320</v>
      </c>
      <c r="M434" s="175" t="str">
        <f>INDEX('2022 SIC to NAICS'!D:D, MATCH('Processed Non-zero DMR Data'!$J434, '2022 SIC to NAICS'!$A:$A, 0))</f>
        <v xml:space="preserve">Sewage Treatment Facilities </v>
      </c>
      <c r="N434" s="90" t="str">
        <f>IFERROR(INDEX('NAICS Code to IS CDR Code'!B:B, MATCH('Processed Non-zero DMR Data'!L434,'NAICS Code to IS CDR Code'!A:A,0)), "NAICS/SIC Not Provided")</f>
        <v>IS4</v>
      </c>
      <c r="O434" s="91" t="str">
        <f>IFERROR(INDEX('NAICS Code to IS CDR Code'!C:C, MATCH('Processed Non-zero DMR Data'!L434,'NAICS Code to IS CDR Code'!A:A,0)), "NAICS/SIC Not Provided")</f>
        <v>Utilities</v>
      </c>
      <c r="P434" s="91" t="str">
        <f>INDEX('11DCA Mapping'!$K:$K, MATCH('Processed Non-zero DMR Data'!I440,'11DCA Mapping'!$J:$J,0))</f>
        <v>POTW</v>
      </c>
      <c r="Q434" s="91" t="str">
        <f>INDEX('11DCA Mapping'!$L:$L, MATCH('Processed Non-zero DMR Data'!I440,'11DCA Mapping'!$J:$J,0))</f>
        <v>Assigned POTW per "Facility Type Indicator"</v>
      </c>
      <c r="R434" s="250" t="str">
        <f>VLOOKUP(I434,'DMR POTW Flag'!$A$2:$B$960,2,FALSE)</f>
        <v>POTW</v>
      </c>
      <c r="S434" s="7" t="s">
        <v>67</v>
      </c>
      <c r="T434" s="249" t="s">
        <v>586</v>
      </c>
      <c r="U434" s="8">
        <f>COUNTIFS('Raw Non-zero DMR Data'!$A:$A, 'Processed Non-zero DMR Data'!A434, 'Raw Non-zero DMR Data'!$C:$C, X434, 'Raw Non-zero DMR Data'!$U:$U,'Processed Non-zero DMR Data'!Y434)</f>
        <v>1</v>
      </c>
      <c r="V434" s="8">
        <f>COUNTIFS('Raw Non-zero DMR Data'!$A:$A, 'Processed Non-zero DMR Data'!A434, 'Raw Non-zero DMR Data'!$C:$C, X434, 'Raw Non-zero DMR Data'!$U:$U,'Processed Non-zero DMR Data'!Y434,'Raw Non-zero DMR Data'!$Z:$Z,"Yes")</f>
        <v>1</v>
      </c>
      <c r="W434">
        <v>0.97397512500000005</v>
      </c>
      <c r="X434" t="s">
        <v>984</v>
      </c>
      <c r="Y434" t="s">
        <v>857</v>
      </c>
      <c r="Z434" s="257">
        <v>51401010504</v>
      </c>
    </row>
    <row r="435" spans="1:26" ht="15" customHeight="1" x14ac:dyDescent="0.25">
      <c r="A435">
        <v>2023</v>
      </c>
      <c r="B435" t="s">
        <v>443</v>
      </c>
      <c r="C435" t="s">
        <v>444</v>
      </c>
      <c r="D435" t="s">
        <v>901</v>
      </c>
      <c r="E435" t="s">
        <v>138</v>
      </c>
      <c r="F435">
        <v>38.32978</v>
      </c>
      <c r="G435">
        <v>-85.540719999999993</v>
      </c>
      <c r="I435" s="1">
        <v>110064615590</v>
      </c>
      <c r="J435">
        <v>4952</v>
      </c>
      <c r="K435" s="175" t="str">
        <f>INDEX('2022 SIC to NAICS'!B:B, MATCH('Processed Non-zero DMR Data'!$J435, '2022 SIC to NAICS'!$A:$A, 0))</f>
        <v>Sewerage Systems</v>
      </c>
      <c r="L435" s="175">
        <f>INDEX('2022 SIC to NAICS'!C:C, MATCH('Processed Non-zero DMR Data'!$J435, '2022 SIC to NAICS'!$A:$A, 0))</f>
        <v>221320</v>
      </c>
      <c r="M435" s="175" t="str">
        <f>INDEX('2022 SIC to NAICS'!D:D, MATCH('Processed Non-zero DMR Data'!$J435, '2022 SIC to NAICS'!$A:$A, 0))</f>
        <v xml:space="preserve">Sewage Treatment Facilities </v>
      </c>
      <c r="N435" s="90" t="str">
        <f>IFERROR(INDEX('NAICS Code to IS CDR Code'!B:B, MATCH('Processed Non-zero DMR Data'!L435,'NAICS Code to IS CDR Code'!A:A,0)), "NAICS/SIC Not Provided")</f>
        <v>IS4</v>
      </c>
      <c r="O435" s="91" t="str">
        <f>IFERROR(INDEX('NAICS Code to IS CDR Code'!C:C, MATCH('Processed Non-zero DMR Data'!L435,'NAICS Code to IS CDR Code'!A:A,0)), "NAICS/SIC Not Provided")</f>
        <v>Utilities</v>
      </c>
      <c r="P435" s="91" t="str">
        <f>INDEX('11DCA Mapping'!$K:$K, MATCH('Processed Non-zero DMR Data'!I441,'11DCA Mapping'!$J:$J,0))</f>
        <v>Processing as a Reactant</v>
      </c>
      <c r="Q435" s="91" t="str">
        <f>INDEX('11DCA Mapping'!$L:$L, MATCH('Processed Non-zero DMR Data'!I441,'11DCA Mapping'!$J:$J,0))</f>
        <v>Assuming processing as a reactant based on SIC description</v>
      </c>
      <c r="R435" s="250" t="str">
        <f>VLOOKUP(I435,'DMR POTW Flag'!$A$2:$B$960,2,FALSE)</f>
        <v>POTW</v>
      </c>
      <c r="S435" s="7" t="s">
        <v>67</v>
      </c>
      <c r="T435" s="249" t="s">
        <v>586</v>
      </c>
      <c r="U435" s="8">
        <f>COUNTIFS('Raw Non-zero DMR Data'!$A:$A, 'Processed Non-zero DMR Data'!A435, 'Raw Non-zero DMR Data'!$C:$C, X435, 'Raw Non-zero DMR Data'!$U:$U,'Processed Non-zero DMR Data'!Y435)</f>
        <v>1</v>
      </c>
      <c r="V435" s="8">
        <f>COUNTIFS('Raw Non-zero DMR Data'!$A:$A, 'Processed Non-zero DMR Data'!A435, 'Raw Non-zero DMR Data'!$C:$C, X435, 'Raw Non-zero DMR Data'!$U:$U,'Processed Non-zero DMR Data'!Y435,'Raw Non-zero DMR Data'!$Z:$Z,"Yes")</f>
        <v>1</v>
      </c>
      <c r="W435">
        <v>0.74256968749999996</v>
      </c>
      <c r="X435" t="s">
        <v>984</v>
      </c>
      <c r="Y435" t="s">
        <v>857</v>
      </c>
      <c r="Z435" s="257">
        <v>51401010504</v>
      </c>
    </row>
    <row r="436" spans="1:26" ht="15" customHeight="1" x14ac:dyDescent="0.25">
      <c r="A436">
        <v>2019</v>
      </c>
      <c r="B436" t="s">
        <v>286</v>
      </c>
      <c r="C436" t="s">
        <v>150</v>
      </c>
      <c r="D436" t="s">
        <v>985</v>
      </c>
      <c r="E436" t="s">
        <v>138</v>
      </c>
      <c r="F436">
        <v>37.770769999999999</v>
      </c>
      <c r="G436">
        <v>-87.065669999999997</v>
      </c>
      <c r="I436" s="1">
        <v>110043734983</v>
      </c>
      <c r="J436">
        <v>4952</v>
      </c>
      <c r="K436" s="175" t="str">
        <f>INDEX('2022 SIC to NAICS'!B:B, MATCH('Processed Non-zero DMR Data'!$J436, '2022 SIC to NAICS'!$A:$A, 0))</f>
        <v>Sewerage Systems</v>
      </c>
      <c r="L436" s="175">
        <f>INDEX('2022 SIC to NAICS'!C:C, MATCH('Processed Non-zero DMR Data'!$J436, '2022 SIC to NAICS'!$A:$A, 0))</f>
        <v>221320</v>
      </c>
      <c r="M436" s="175" t="str">
        <f>INDEX('2022 SIC to NAICS'!D:D, MATCH('Processed Non-zero DMR Data'!$J436, '2022 SIC to NAICS'!$A:$A, 0))</f>
        <v xml:space="preserve">Sewage Treatment Facilities </v>
      </c>
      <c r="N436" s="90" t="str">
        <f>IFERROR(INDEX('NAICS Code to IS CDR Code'!B:B, MATCH('Processed Non-zero DMR Data'!L436,'NAICS Code to IS CDR Code'!A:A,0)), "NAICS/SIC Not Provided")</f>
        <v>IS4</v>
      </c>
      <c r="O436" s="91" t="str">
        <f>IFERROR(INDEX('NAICS Code to IS CDR Code'!C:C, MATCH('Processed Non-zero DMR Data'!L436,'NAICS Code to IS CDR Code'!A:A,0)), "NAICS/SIC Not Provided")</f>
        <v>Utilities</v>
      </c>
      <c r="P436" s="91" t="str">
        <f>INDEX('11DCA Mapping'!$K:$K, MATCH('Processed Non-zero DMR Data'!I442,'11DCA Mapping'!$J:$J,0))</f>
        <v>Processing as a Reactant</v>
      </c>
      <c r="Q436" s="91" t="str">
        <f>INDEX('11DCA Mapping'!$L:$L, MATCH('Processed Non-zero DMR Data'!I442,'11DCA Mapping'!$J:$J,0))</f>
        <v>Assuming processing as a reactant based on SIC description</v>
      </c>
      <c r="R436" s="250" t="str">
        <f>VLOOKUP(I436,'DMR POTW Flag'!$A$2:$B$960,2,FALSE)</f>
        <v>POTW</v>
      </c>
      <c r="S436" s="7" t="s">
        <v>67</v>
      </c>
      <c r="T436" s="249" t="s">
        <v>586</v>
      </c>
      <c r="U436" s="8">
        <f>COUNTIFS('Raw Non-zero DMR Data'!$A:$A, 'Processed Non-zero DMR Data'!A436, 'Raw Non-zero DMR Data'!$C:$C, X436, 'Raw Non-zero DMR Data'!$U:$U,'Processed Non-zero DMR Data'!Y436)</f>
        <v>1</v>
      </c>
      <c r="V436" s="8">
        <f>COUNTIFS('Raw Non-zero DMR Data'!$A:$A, 'Processed Non-zero DMR Data'!A436, 'Raw Non-zero DMR Data'!$C:$C, X436, 'Raw Non-zero DMR Data'!$U:$U,'Processed Non-zero DMR Data'!Y436,'Raw Non-zero DMR Data'!$Z:$Z,"Yes")</f>
        <v>1</v>
      </c>
      <c r="W436">
        <v>18.236129999999999</v>
      </c>
      <c r="X436" t="s">
        <v>986</v>
      </c>
      <c r="Y436" t="s">
        <v>987</v>
      </c>
      <c r="Z436" s="257">
        <v>51402011201</v>
      </c>
    </row>
    <row r="437" spans="1:26" ht="15" customHeight="1" x14ac:dyDescent="0.25">
      <c r="A437">
        <v>2020</v>
      </c>
      <c r="B437" t="s">
        <v>286</v>
      </c>
      <c r="C437" t="s">
        <v>150</v>
      </c>
      <c r="D437" t="s">
        <v>985</v>
      </c>
      <c r="E437" t="s">
        <v>138</v>
      </c>
      <c r="F437">
        <v>37.770769999999999</v>
      </c>
      <c r="G437">
        <v>-87.065669999999997</v>
      </c>
      <c r="I437" s="1">
        <v>110043734983</v>
      </c>
      <c r="J437">
        <v>4952</v>
      </c>
      <c r="K437" s="175" t="str">
        <f>INDEX('2022 SIC to NAICS'!B:B, MATCH('Processed Non-zero DMR Data'!$J437, '2022 SIC to NAICS'!$A:$A, 0))</f>
        <v>Sewerage Systems</v>
      </c>
      <c r="L437" s="175">
        <f>INDEX('2022 SIC to NAICS'!C:C, MATCH('Processed Non-zero DMR Data'!$J437, '2022 SIC to NAICS'!$A:$A, 0))</f>
        <v>221320</v>
      </c>
      <c r="M437" s="175" t="str">
        <f>INDEX('2022 SIC to NAICS'!D:D, MATCH('Processed Non-zero DMR Data'!$J437, '2022 SIC to NAICS'!$A:$A, 0))</f>
        <v xml:space="preserve">Sewage Treatment Facilities </v>
      </c>
      <c r="N437" s="90" t="str">
        <f>IFERROR(INDEX('NAICS Code to IS CDR Code'!B:B, MATCH('Processed Non-zero DMR Data'!L437,'NAICS Code to IS CDR Code'!A:A,0)), "NAICS/SIC Not Provided")</f>
        <v>IS4</v>
      </c>
      <c r="O437" s="91" t="str">
        <f>IFERROR(INDEX('NAICS Code to IS CDR Code'!C:C, MATCH('Processed Non-zero DMR Data'!L437,'NAICS Code to IS CDR Code'!A:A,0)), "NAICS/SIC Not Provided")</f>
        <v>Utilities</v>
      </c>
      <c r="P437" s="91" t="str">
        <f>INDEX('11DCA Mapping'!$K:$K, MATCH('Processed Non-zero DMR Data'!I443,'11DCA Mapping'!$J:$J,0))</f>
        <v>Processing as a Reactant</v>
      </c>
      <c r="Q437" s="91" t="str">
        <f>INDEX('11DCA Mapping'!$L:$L, MATCH('Processed Non-zero DMR Data'!I443,'11DCA Mapping'!$J:$J,0))</f>
        <v>Assuming processing as a reactant based on SIC description</v>
      </c>
      <c r="R437" s="250" t="str">
        <f>VLOOKUP(I437,'DMR POTW Flag'!$A$2:$B$960,2,FALSE)</f>
        <v>POTW</v>
      </c>
      <c r="S437" s="7" t="s">
        <v>67</v>
      </c>
      <c r="T437" s="249" t="s">
        <v>586</v>
      </c>
      <c r="U437" s="8">
        <f>COUNTIFS('Raw Non-zero DMR Data'!$A:$A, 'Processed Non-zero DMR Data'!A437, 'Raw Non-zero DMR Data'!$C:$C, X437, 'Raw Non-zero DMR Data'!$U:$U,'Processed Non-zero DMR Data'!Y437)</f>
        <v>1</v>
      </c>
      <c r="V437" s="8">
        <f>COUNTIFS('Raw Non-zero DMR Data'!$A:$A, 'Processed Non-zero DMR Data'!A437, 'Raw Non-zero DMR Data'!$C:$C, X437, 'Raw Non-zero DMR Data'!$U:$U,'Processed Non-zero DMR Data'!Y437,'Raw Non-zero DMR Data'!$Z:$Z,"Yes")</f>
        <v>1</v>
      </c>
      <c r="W437">
        <v>29.9790925</v>
      </c>
      <c r="X437" t="s">
        <v>986</v>
      </c>
      <c r="Y437" t="s">
        <v>987</v>
      </c>
      <c r="Z437" s="257">
        <v>51402011201</v>
      </c>
    </row>
    <row r="438" spans="1:26" ht="15" customHeight="1" x14ac:dyDescent="0.25">
      <c r="A438">
        <v>2021</v>
      </c>
      <c r="B438" t="s">
        <v>286</v>
      </c>
      <c r="C438" t="s">
        <v>150</v>
      </c>
      <c r="D438" t="s">
        <v>985</v>
      </c>
      <c r="E438" t="s">
        <v>138</v>
      </c>
      <c r="F438">
        <v>37.770769999999999</v>
      </c>
      <c r="G438">
        <v>-87.065669999999997</v>
      </c>
      <c r="I438" s="1">
        <v>110043734983</v>
      </c>
      <c r="J438">
        <v>4952</v>
      </c>
      <c r="K438" s="175" t="str">
        <f>INDEX('2022 SIC to NAICS'!B:B, MATCH('Processed Non-zero DMR Data'!$J438, '2022 SIC to NAICS'!$A:$A, 0))</f>
        <v>Sewerage Systems</v>
      </c>
      <c r="L438" s="175">
        <f>INDEX('2022 SIC to NAICS'!C:C, MATCH('Processed Non-zero DMR Data'!$J438, '2022 SIC to NAICS'!$A:$A, 0))</f>
        <v>221320</v>
      </c>
      <c r="M438" s="175" t="str">
        <f>INDEX('2022 SIC to NAICS'!D:D, MATCH('Processed Non-zero DMR Data'!$J438, '2022 SIC to NAICS'!$A:$A, 0))</f>
        <v xml:space="preserve">Sewage Treatment Facilities </v>
      </c>
      <c r="N438" s="90" t="str">
        <f>IFERROR(INDEX('NAICS Code to IS CDR Code'!B:B, MATCH('Processed Non-zero DMR Data'!L438,'NAICS Code to IS CDR Code'!A:A,0)), "NAICS/SIC Not Provided")</f>
        <v>IS4</v>
      </c>
      <c r="O438" s="91" t="str">
        <f>IFERROR(INDEX('NAICS Code to IS CDR Code'!C:C, MATCH('Processed Non-zero DMR Data'!L438,'NAICS Code to IS CDR Code'!A:A,0)), "NAICS/SIC Not Provided")</f>
        <v>Utilities</v>
      </c>
      <c r="P438" s="91" t="str">
        <f>INDEX('11DCA Mapping'!$K:$K, MATCH('Processed Non-zero DMR Data'!I444,'11DCA Mapping'!$J:$J,0))</f>
        <v>Processing as a Reactant</v>
      </c>
      <c r="Q438" s="91" t="str">
        <f>INDEX('11DCA Mapping'!$L:$L, MATCH('Processed Non-zero DMR Data'!I444,'11DCA Mapping'!$J:$J,0))</f>
        <v>Assuming processing as a reactant based on SIC description</v>
      </c>
      <c r="R438" s="250" t="str">
        <f>VLOOKUP(I438,'DMR POTW Flag'!$A$2:$B$960,2,FALSE)</f>
        <v>POTW</v>
      </c>
      <c r="S438" s="7" t="s">
        <v>67</v>
      </c>
      <c r="T438" s="249" t="s">
        <v>586</v>
      </c>
      <c r="U438" s="8">
        <f>COUNTIFS('Raw Non-zero DMR Data'!$A:$A, 'Processed Non-zero DMR Data'!A438, 'Raw Non-zero DMR Data'!$C:$C, X438, 'Raw Non-zero DMR Data'!$U:$U,'Processed Non-zero DMR Data'!Y438)</f>
        <v>1</v>
      </c>
      <c r="V438" s="8">
        <f>COUNTIFS('Raw Non-zero DMR Data'!$A:$A, 'Processed Non-zero DMR Data'!A438, 'Raw Non-zero DMR Data'!$C:$C, X438, 'Raw Non-zero DMR Data'!$U:$U,'Processed Non-zero DMR Data'!Y438,'Raw Non-zero DMR Data'!$Z:$Z,"Yes")</f>
        <v>1</v>
      </c>
      <c r="W438">
        <v>14.333321874999999</v>
      </c>
      <c r="X438" t="s">
        <v>986</v>
      </c>
      <c r="Y438" t="s">
        <v>987</v>
      </c>
      <c r="Z438" s="257">
        <v>51402011201</v>
      </c>
    </row>
    <row r="439" spans="1:26" ht="15" customHeight="1" x14ac:dyDescent="0.25">
      <c r="A439">
        <v>2022</v>
      </c>
      <c r="B439" t="s">
        <v>286</v>
      </c>
      <c r="C439" t="s">
        <v>150</v>
      </c>
      <c r="D439" t="s">
        <v>985</v>
      </c>
      <c r="E439" t="s">
        <v>138</v>
      </c>
      <c r="F439">
        <v>37.770769999999999</v>
      </c>
      <c r="G439">
        <v>-87.065669999999997</v>
      </c>
      <c r="I439" s="1">
        <v>110043734983</v>
      </c>
      <c r="J439">
        <v>4952</v>
      </c>
      <c r="K439" s="175" t="str">
        <f>INDEX('2022 SIC to NAICS'!B:B, MATCH('Processed Non-zero DMR Data'!$J439, '2022 SIC to NAICS'!$A:$A, 0))</f>
        <v>Sewerage Systems</v>
      </c>
      <c r="L439" s="175">
        <f>INDEX('2022 SIC to NAICS'!C:C, MATCH('Processed Non-zero DMR Data'!$J439, '2022 SIC to NAICS'!$A:$A, 0))</f>
        <v>221320</v>
      </c>
      <c r="M439" s="175" t="str">
        <f>INDEX('2022 SIC to NAICS'!D:D, MATCH('Processed Non-zero DMR Data'!$J439, '2022 SIC to NAICS'!$A:$A, 0))</f>
        <v xml:space="preserve">Sewage Treatment Facilities </v>
      </c>
      <c r="N439" s="90" t="str">
        <f>IFERROR(INDEX('NAICS Code to IS CDR Code'!B:B, MATCH('Processed Non-zero DMR Data'!L439,'NAICS Code to IS CDR Code'!A:A,0)), "NAICS/SIC Not Provided")</f>
        <v>IS4</v>
      </c>
      <c r="O439" s="91" t="str">
        <f>IFERROR(INDEX('NAICS Code to IS CDR Code'!C:C, MATCH('Processed Non-zero DMR Data'!L439,'NAICS Code to IS CDR Code'!A:A,0)), "NAICS/SIC Not Provided")</f>
        <v>Utilities</v>
      </c>
      <c r="P439" s="91" t="str">
        <f>INDEX('11DCA Mapping'!$K:$K, MATCH('Processed Non-zero DMR Data'!I445,'11DCA Mapping'!$J:$J,0))</f>
        <v>POTW</v>
      </c>
      <c r="Q439" s="91" t="str">
        <f>INDEX('11DCA Mapping'!$L:$L, MATCH('Processed Non-zero DMR Data'!I445,'11DCA Mapping'!$J:$J,0))</f>
        <v>Assigned POTW per "Facility Type Indicator"</v>
      </c>
      <c r="R439" s="250" t="str">
        <f>VLOOKUP(I439,'DMR POTW Flag'!$A$2:$B$960,2,FALSE)</f>
        <v>POTW</v>
      </c>
      <c r="S439" s="7" t="s">
        <v>67</v>
      </c>
      <c r="T439" s="249" t="s">
        <v>586</v>
      </c>
      <c r="U439" s="8">
        <f>COUNTIFS('Raw Non-zero DMR Data'!$A:$A, 'Processed Non-zero DMR Data'!A439, 'Raw Non-zero DMR Data'!$C:$C, X439, 'Raw Non-zero DMR Data'!$U:$U,'Processed Non-zero DMR Data'!Y439)</f>
        <v>1</v>
      </c>
      <c r="V439" s="8">
        <f>COUNTIFS('Raw Non-zero DMR Data'!$A:$A, 'Processed Non-zero DMR Data'!A439, 'Raw Non-zero DMR Data'!$C:$C, X439, 'Raw Non-zero DMR Data'!$U:$U,'Processed Non-zero DMR Data'!Y439,'Raw Non-zero DMR Data'!$Z:$Z,"Yes")</f>
        <v>1</v>
      </c>
      <c r="W439">
        <v>0.46723175500000003</v>
      </c>
      <c r="X439" t="s">
        <v>986</v>
      </c>
      <c r="Y439" t="s">
        <v>987</v>
      </c>
      <c r="Z439" s="257">
        <v>51402011201</v>
      </c>
    </row>
    <row r="440" spans="1:26" ht="15" customHeight="1" x14ac:dyDescent="0.25">
      <c r="A440">
        <v>2023</v>
      </c>
      <c r="B440" t="s">
        <v>286</v>
      </c>
      <c r="C440" t="s">
        <v>150</v>
      </c>
      <c r="D440" t="s">
        <v>985</v>
      </c>
      <c r="E440" t="s">
        <v>138</v>
      </c>
      <c r="F440">
        <v>37.770769999999999</v>
      </c>
      <c r="G440">
        <v>-87.065669999999997</v>
      </c>
      <c r="I440" s="1">
        <v>110043734983</v>
      </c>
      <c r="J440">
        <v>4952</v>
      </c>
      <c r="K440" s="175" t="str">
        <f>INDEX('2022 SIC to NAICS'!B:B, MATCH('Processed Non-zero DMR Data'!$J440, '2022 SIC to NAICS'!$A:$A, 0))</f>
        <v>Sewerage Systems</v>
      </c>
      <c r="L440" s="175">
        <f>INDEX('2022 SIC to NAICS'!C:C, MATCH('Processed Non-zero DMR Data'!$J440, '2022 SIC to NAICS'!$A:$A, 0))</f>
        <v>221320</v>
      </c>
      <c r="M440" s="175" t="str">
        <f>INDEX('2022 SIC to NAICS'!D:D, MATCH('Processed Non-zero DMR Data'!$J440, '2022 SIC to NAICS'!$A:$A, 0))</f>
        <v xml:space="preserve">Sewage Treatment Facilities </v>
      </c>
      <c r="N440" s="90" t="str">
        <f>IFERROR(INDEX('NAICS Code to IS CDR Code'!B:B, MATCH('Processed Non-zero DMR Data'!L440,'NAICS Code to IS CDR Code'!A:A,0)), "NAICS/SIC Not Provided")</f>
        <v>IS4</v>
      </c>
      <c r="O440" s="91" t="str">
        <f>IFERROR(INDEX('NAICS Code to IS CDR Code'!C:C, MATCH('Processed Non-zero DMR Data'!L440,'NAICS Code to IS CDR Code'!A:A,0)), "NAICS/SIC Not Provided")</f>
        <v>Utilities</v>
      </c>
      <c r="P440" s="91" t="str">
        <f>INDEX('11DCA Mapping'!$K:$K, MATCH('Processed Non-zero DMR Data'!I446,'11DCA Mapping'!$J:$J,0))</f>
        <v>POTW</v>
      </c>
      <c r="Q440" s="91" t="str">
        <f>INDEX('11DCA Mapping'!$L:$L, MATCH('Processed Non-zero DMR Data'!I446,'11DCA Mapping'!$J:$J,0))</f>
        <v>Assigned POTW per "Facility Type Indicator"</v>
      </c>
      <c r="R440" s="250" t="str">
        <f>VLOOKUP(I440,'DMR POTW Flag'!$A$2:$B$960,2,FALSE)</f>
        <v>POTW</v>
      </c>
      <c r="S440" s="7" t="s">
        <v>67</v>
      </c>
      <c r="T440" s="249" t="s">
        <v>586</v>
      </c>
      <c r="U440" s="8">
        <f>COUNTIFS('Raw Non-zero DMR Data'!$A:$A, 'Processed Non-zero DMR Data'!A440, 'Raw Non-zero DMR Data'!$C:$C, X440, 'Raw Non-zero DMR Data'!$U:$U,'Processed Non-zero DMR Data'!Y440)</f>
        <v>1</v>
      </c>
      <c r="V440" s="8">
        <f>COUNTIFS('Raw Non-zero DMR Data'!$A:$A, 'Processed Non-zero DMR Data'!A440, 'Raw Non-zero DMR Data'!$C:$C, X440, 'Raw Non-zero DMR Data'!$U:$U,'Processed Non-zero DMR Data'!Y440,'Raw Non-zero DMR Data'!$Z:$Z,"Yes")</f>
        <v>1</v>
      </c>
      <c r="W440">
        <v>4.7248155000000001</v>
      </c>
      <c r="X440" t="s">
        <v>986</v>
      </c>
      <c r="Y440" t="s">
        <v>987</v>
      </c>
      <c r="Z440" s="257">
        <v>51402011201</v>
      </c>
    </row>
    <row r="441" spans="1:26" ht="15" customHeight="1" x14ac:dyDescent="0.25">
      <c r="A441">
        <v>2019</v>
      </c>
      <c r="B441" t="s">
        <v>149</v>
      </c>
      <c r="C441" t="s">
        <v>150</v>
      </c>
      <c r="D441" t="s">
        <v>985</v>
      </c>
      <c r="E441" t="s">
        <v>138</v>
      </c>
      <c r="F441">
        <v>37.8125</v>
      </c>
      <c r="G441">
        <v>-87.05</v>
      </c>
      <c r="I441" s="1">
        <v>110000747835</v>
      </c>
      <c r="J441">
        <v>2821</v>
      </c>
      <c r="K441" s="175" t="str">
        <f>INDEX('2022 SIC to NAICS'!B:B, MATCH('Processed Non-zero DMR Data'!$J441, '2022 SIC to NAICS'!$A:$A, 0))</f>
        <v>Plastics Materials and Resins</v>
      </c>
      <c r="L441" s="175">
        <f>INDEX('2022 SIC to NAICS'!C:C, MATCH('Processed Non-zero DMR Data'!$J441, '2022 SIC to NAICS'!$A:$A, 0))</f>
        <v>325211</v>
      </c>
      <c r="M441" s="175" t="str">
        <f>INDEX('2022 SIC to NAICS'!D:D, MATCH('Processed Non-zero DMR Data'!$J441, '2022 SIC to NAICS'!$A:$A, 0))</f>
        <v xml:space="preserve">Plastics Material and Resin Manufacturing </v>
      </c>
      <c r="N441" s="90" t="str">
        <f>IFERROR(INDEX('NAICS Code to IS CDR Code'!B:B, MATCH('Processed Non-zero DMR Data'!L441,'NAICS Code to IS CDR Code'!A:A,0)), "NAICS/SIC Not Provided")</f>
        <v>IS22</v>
      </c>
      <c r="O441" s="91" t="str">
        <f>IFERROR(INDEX('NAICS Code to IS CDR Code'!C:C, MATCH('Processed Non-zero DMR Data'!L441,'NAICS Code to IS CDR Code'!A:A,0)), "NAICS/SIC Not Provided")</f>
        <v>Plastic Material and Resin Manufacturing</v>
      </c>
      <c r="P441" s="91" t="str">
        <f>INDEX('11DCA Mapping'!$K:$K, MATCH('Processed Non-zero DMR Data'!I447,'11DCA Mapping'!$J:$J,0))</f>
        <v>POTW</v>
      </c>
      <c r="Q441" s="91" t="str">
        <f>INDEX('11DCA Mapping'!$L:$L, MATCH('Processed Non-zero DMR Data'!I447,'11DCA Mapping'!$J:$J,0))</f>
        <v>Assigned POTW per "Facility Type Indicator"</v>
      </c>
      <c r="R441" s="250" t="str">
        <f>VLOOKUP(I441,'DMR POTW Flag'!$A$2:$B$960,2,FALSE)</f>
        <v>NON-POTW</v>
      </c>
      <c r="S441" s="7" t="s">
        <v>63</v>
      </c>
      <c r="T441" s="7" t="s">
        <v>5470</v>
      </c>
      <c r="U441" s="8">
        <f>COUNTIFS('Raw Non-zero DMR Data'!$A:$A, 'Processed Non-zero DMR Data'!A441, 'Raw Non-zero DMR Data'!$C:$C, X441, 'Raw Non-zero DMR Data'!$U:$U,'Processed Non-zero DMR Data'!Y441)</f>
        <v>1</v>
      </c>
      <c r="V441" s="8">
        <f>COUNTIFS('Raw Non-zero DMR Data'!$A:$A, 'Processed Non-zero DMR Data'!A441, 'Raw Non-zero DMR Data'!$C:$C, X441, 'Raw Non-zero DMR Data'!$U:$U,'Processed Non-zero DMR Data'!Y441,'Raw Non-zero DMR Data'!$Z:$Z,"Yes")</f>
        <v>1</v>
      </c>
      <c r="W441">
        <v>0.19305215000000001</v>
      </c>
      <c r="X441" t="s">
        <v>988</v>
      </c>
      <c r="Y441" t="s">
        <v>989</v>
      </c>
      <c r="Z441" s="257">
        <v>51402011202</v>
      </c>
    </row>
    <row r="442" spans="1:26" ht="15" customHeight="1" x14ac:dyDescent="0.25">
      <c r="A442">
        <v>2020</v>
      </c>
      <c r="B442" t="s">
        <v>149</v>
      </c>
      <c r="C442" t="s">
        <v>150</v>
      </c>
      <c r="D442" t="s">
        <v>985</v>
      </c>
      <c r="E442" t="s">
        <v>138</v>
      </c>
      <c r="F442">
        <v>37.8125</v>
      </c>
      <c r="G442">
        <v>-87.05</v>
      </c>
      <c r="I442" s="1">
        <v>110000747835</v>
      </c>
      <c r="J442">
        <v>2821</v>
      </c>
      <c r="K442" s="175" t="str">
        <f>INDEX('2022 SIC to NAICS'!B:B, MATCH('Processed Non-zero DMR Data'!$J442, '2022 SIC to NAICS'!$A:$A, 0))</f>
        <v>Plastics Materials and Resins</v>
      </c>
      <c r="L442" s="175">
        <f>INDEX('2022 SIC to NAICS'!C:C, MATCH('Processed Non-zero DMR Data'!$J442, '2022 SIC to NAICS'!$A:$A, 0))</f>
        <v>325211</v>
      </c>
      <c r="M442" s="175" t="str">
        <f>INDEX('2022 SIC to NAICS'!D:D, MATCH('Processed Non-zero DMR Data'!$J442, '2022 SIC to NAICS'!$A:$A, 0))</f>
        <v xml:space="preserve">Plastics Material and Resin Manufacturing </v>
      </c>
      <c r="N442" s="90" t="str">
        <f>IFERROR(INDEX('NAICS Code to IS CDR Code'!B:B, MATCH('Processed Non-zero DMR Data'!L442,'NAICS Code to IS CDR Code'!A:A,0)), "NAICS/SIC Not Provided")</f>
        <v>IS22</v>
      </c>
      <c r="O442" s="91" t="str">
        <f>IFERROR(INDEX('NAICS Code to IS CDR Code'!C:C, MATCH('Processed Non-zero DMR Data'!L442,'NAICS Code to IS CDR Code'!A:A,0)), "NAICS/SIC Not Provided")</f>
        <v>Plastic Material and Resin Manufacturing</v>
      </c>
      <c r="P442" s="91" t="str">
        <f>INDEX('11DCA Mapping'!$K:$K, MATCH('Processed Non-zero DMR Data'!I448,'11DCA Mapping'!$J:$J,0))</f>
        <v>POTW</v>
      </c>
      <c r="Q442" s="91" t="str">
        <f>INDEX('11DCA Mapping'!$L:$L, MATCH('Processed Non-zero DMR Data'!I448,'11DCA Mapping'!$J:$J,0))</f>
        <v>Assigned POTW per "Facility Type Indicator"</v>
      </c>
      <c r="R442" s="250" t="str">
        <f>VLOOKUP(I442,'DMR POTW Flag'!$A$2:$B$960,2,FALSE)</f>
        <v>NON-POTW</v>
      </c>
      <c r="S442" s="7" t="s">
        <v>63</v>
      </c>
      <c r="T442" s="7" t="s">
        <v>5470</v>
      </c>
      <c r="U442" s="8">
        <f>COUNTIFS('Raw Non-zero DMR Data'!$A:$A, 'Processed Non-zero DMR Data'!A442, 'Raw Non-zero DMR Data'!$C:$C, X442, 'Raw Non-zero DMR Data'!$U:$U,'Processed Non-zero DMR Data'!Y442)</f>
        <v>1</v>
      </c>
      <c r="V442" s="8">
        <f>COUNTIFS('Raw Non-zero DMR Data'!$A:$A, 'Processed Non-zero DMR Data'!A442, 'Raw Non-zero DMR Data'!$C:$C, X442, 'Raw Non-zero DMR Data'!$U:$U,'Processed Non-zero DMR Data'!Y442,'Raw Non-zero DMR Data'!$Z:$Z,"Yes")</f>
        <v>1</v>
      </c>
      <c r="W442">
        <v>0.67941099999999999</v>
      </c>
      <c r="X442" t="s">
        <v>988</v>
      </c>
      <c r="Y442" t="s">
        <v>989</v>
      </c>
      <c r="Z442" s="257">
        <v>51402011202</v>
      </c>
    </row>
    <row r="443" spans="1:26" ht="15" customHeight="1" x14ac:dyDescent="0.25">
      <c r="A443">
        <v>2021</v>
      </c>
      <c r="B443" t="s">
        <v>149</v>
      </c>
      <c r="C443" t="s">
        <v>150</v>
      </c>
      <c r="D443" t="s">
        <v>985</v>
      </c>
      <c r="E443" t="s">
        <v>138</v>
      </c>
      <c r="F443">
        <v>37.8125</v>
      </c>
      <c r="G443">
        <v>-87.05</v>
      </c>
      <c r="I443" s="1">
        <v>110000747835</v>
      </c>
      <c r="J443">
        <v>2821</v>
      </c>
      <c r="K443" s="175" t="str">
        <f>INDEX('2022 SIC to NAICS'!B:B, MATCH('Processed Non-zero DMR Data'!$J443, '2022 SIC to NAICS'!$A:$A, 0))</f>
        <v>Plastics Materials and Resins</v>
      </c>
      <c r="L443" s="175">
        <f>INDEX('2022 SIC to NAICS'!C:C, MATCH('Processed Non-zero DMR Data'!$J443, '2022 SIC to NAICS'!$A:$A, 0))</f>
        <v>325211</v>
      </c>
      <c r="M443" s="175" t="str">
        <f>INDEX('2022 SIC to NAICS'!D:D, MATCH('Processed Non-zero DMR Data'!$J443, '2022 SIC to NAICS'!$A:$A, 0))</f>
        <v xml:space="preserve">Plastics Material and Resin Manufacturing </v>
      </c>
      <c r="N443" s="90" t="str">
        <f>IFERROR(INDEX('NAICS Code to IS CDR Code'!B:B, MATCH('Processed Non-zero DMR Data'!L443,'NAICS Code to IS CDR Code'!A:A,0)), "NAICS/SIC Not Provided")</f>
        <v>IS22</v>
      </c>
      <c r="O443" s="91" t="str">
        <f>IFERROR(INDEX('NAICS Code to IS CDR Code'!C:C, MATCH('Processed Non-zero DMR Data'!L443,'NAICS Code to IS CDR Code'!A:A,0)), "NAICS/SIC Not Provided")</f>
        <v>Plastic Material and Resin Manufacturing</v>
      </c>
      <c r="P443" s="91" t="e">
        <f>INDEX('11DCA Mapping'!$K:$K, MATCH('Processed Non-zero DMR Data'!I449,'11DCA Mapping'!$J:$J,0))</f>
        <v>#N/A</v>
      </c>
      <c r="Q443" s="91" t="e">
        <f>INDEX('11DCA Mapping'!$L:$L, MATCH('Processed Non-zero DMR Data'!I449,'11DCA Mapping'!$J:$J,0))</f>
        <v>#N/A</v>
      </c>
      <c r="R443" s="250" t="str">
        <f>VLOOKUP(I443,'DMR POTW Flag'!$A$2:$B$960,2,FALSE)</f>
        <v>NON-POTW</v>
      </c>
      <c r="S443" s="7" t="s">
        <v>63</v>
      </c>
      <c r="T443" s="7" t="s">
        <v>5470</v>
      </c>
      <c r="U443" s="8">
        <f>COUNTIFS('Raw Non-zero DMR Data'!$A:$A, 'Processed Non-zero DMR Data'!A443, 'Raw Non-zero DMR Data'!$C:$C, X443, 'Raw Non-zero DMR Data'!$U:$U,'Processed Non-zero DMR Data'!Y443)</f>
        <v>1</v>
      </c>
      <c r="V443" s="8">
        <f>COUNTIFS('Raw Non-zero DMR Data'!$A:$A, 'Processed Non-zero DMR Data'!A443, 'Raw Non-zero DMR Data'!$C:$C, X443, 'Raw Non-zero DMR Data'!$U:$U,'Processed Non-zero DMR Data'!Y443,'Raw Non-zero DMR Data'!$Z:$Z,"Yes")</f>
        <v>1</v>
      </c>
      <c r="W443">
        <v>1.6570999999999999E-2</v>
      </c>
      <c r="X443" t="s">
        <v>988</v>
      </c>
      <c r="Y443" t="s">
        <v>989</v>
      </c>
      <c r="Z443" s="257">
        <v>51402011202</v>
      </c>
    </row>
    <row r="444" spans="1:26" ht="15" customHeight="1" x14ac:dyDescent="0.25">
      <c r="A444">
        <v>2022</v>
      </c>
      <c r="B444" t="s">
        <v>149</v>
      </c>
      <c r="C444" t="s">
        <v>150</v>
      </c>
      <c r="D444" t="s">
        <v>985</v>
      </c>
      <c r="E444" t="s">
        <v>138</v>
      </c>
      <c r="F444">
        <v>37.8125</v>
      </c>
      <c r="G444">
        <v>-87.05</v>
      </c>
      <c r="I444" s="1">
        <v>110000747835</v>
      </c>
      <c r="J444">
        <v>2821</v>
      </c>
      <c r="K444" s="175" t="str">
        <f>INDEX('2022 SIC to NAICS'!B:B, MATCH('Processed Non-zero DMR Data'!$J444, '2022 SIC to NAICS'!$A:$A, 0))</f>
        <v>Plastics Materials and Resins</v>
      </c>
      <c r="L444" s="175">
        <f>INDEX('2022 SIC to NAICS'!C:C, MATCH('Processed Non-zero DMR Data'!$J444, '2022 SIC to NAICS'!$A:$A, 0))</f>
        <v>325211</v>
      </c>
      <c r="M444" s="175" t="str">
        <f>INDEX('2022 SIC to NAICS'!D:D, MATCH('Processed Non-zero DMR Data'!$J444, '2022 SIC to NAICS'!$A:$A, 0))</f>
        <v xml:space="preserve">Plastics Material and Resin Manufacturing </v>
      </c>
      <c r="N444" s="90" t="str">
        <f>IFERROR(INDEX('NAICS Code to IS CDR Code'!B:B, MATCH('Processed Non-zero DMR Data'!L444,'NAICS Code to IS CDR Code'!A:A,0)), "NAICS/SIC Not Provided")</f>
        <v>IS22</v>
      </c>
      <c r="O444" s="91" t="str">
        <f>IFERROR(INDEX('NAICS Code to IS CDR Code'!C:C, MATCH('Processed Non-zero DMR Data'!L444,'NAICS Code to IS CDR Code'!A:A,0)), "NAICS/SIC Not Provided")</f>
        <v>Plastic Material and Resin Manufacturing</v>
      </c>
      <c r="P444" s="91" t="str">
        <f>INDEX('11DCA Mapping'!$K:$K, MATCH('Processed Non-zero DMR Data'!I450,'11DCA Mapping'!$J:$J,0))</f>
        <v>POTW</v>
      </c>
      <c r="Q444" s="91" t="str">
        <f>INDEX('11DCA Mapping'!$L:$L, MATCH('Processed Non-zero DMR Data'!I450,'11DCA Mapping'!$J:$J,0))</f>
        <v>Assigned POTW per "Facility Type Indicator"</v>
      </c>
      <c r="R444" s="250" t="str">
        <f>VLOOKUP(I444,'DMR POTW Flag'!$A$2:$B$960,2,FALSE)</f>
        <v>NON-POTW</v>
      </c>
      <c r="S444" s="7" t="s">
        <v>63</v>
      </c>
      <c r="T444" s="7" t="s">
        <v>5470</v>
      </c>
      <c r="U444" s="8">
        <f>COUNTIFS('Raw Non-zero DMR Data'!$A:$A, 'Processed Non-zero DMR Data'!A444, 'Raw Non-zero DMR Data'!$C:$C, X444, 'Raw Non-zero DMR Data'!$U:$U,'Processed Non-zero DMR Data'!Y444)</f>
        <v>1</v>
      </c>
      <c r="V444" s="8">
        <f>COUNTIFS('Raw Non-zero DMR Data'!$A:$A, 'Processed Non-zero DMR Data'!A444, 'Raw Non-zero DMR Data'!$C:$C, X444, 'Raw Non-zero DMR Data'!$U:$U,'Processed Non-zero DMR Data'!Y444,'Raw Non-zero DMR Data'!$Z:$Z,"Yes")</f>
        <v>1</v>
      </c>
      <c r="W444">
        <v>0.89140380299999999</v>
      </c>
      <c r="X444" t="s">
        <v>988</v>
      </c>
      <c r="Y444" t="s">
        <v>989</v>
      </c>
      <c r="Z444" s="257">
        <v>51402011202</v>
      </c>
    </row>
    <row r="445" spans="1:26" ht="15" customHeight="1" x14ac:dyDescent="0.25">
      <c r="A445">
        <v>2020</v>
      </c>
      <c r="B445" t="s">
        <v>387</v>
      </c>
      <c r="C445" t="s">
        <v>388</v>
      </c>
      <c r="D445" t="s">
        <v>990</v>
      </c>
      <c r="E445" t="s">
        <v>138</v>
      </c>
      <c r="F445">
        <v>37.021974</v>
      </c>
      <c r="G445">
        <v>-88.512833000000001</v>
      </c>
      <c r="I445" s="1">
        <v>110006367136</v>
      </c>
      <c r="J445">
        <v>4952</v>
      </c>
      <c r="K445" s="175" t="str">
        <f>INDEX('2022 SIC to NAICS'!B:B, MATCH('Processed Non-zero DMR Data'!$J445, '2022 SIC to NAICS'!$A:$A, 0))</f>
        <v>Sewerage Systems</v>
      </c>
      <c r="L445" s="175">
        <f>INDEX('2022 SIC to NAICS'!C:C, MATCH('Processed Non-zero DMR Data'!$J445, '2022 SIC to NAICS'!$A:$A, 0))</f>
        <v>221320</v>
      </c>
      <c r="M445" s="175" t="str">
        <f>INDEX('2022 SIC to NAICS'!D:D, MATCH('Processed Non-zero DMR Data'!$J445, '2022 SIC to NAICS'!$A:$A, 0))</f>
        <v xml:space="preserve">Sewage Treatment Facilities </v>
      </c>
      <c r="N445" s="90" t="str">
        <f>IFERROR(INDEX('NAICS Code to IS CDR Code'!B:B, MATCH('Processed Non-zero DMR Data'!L445,'NAICS Code to IS CDR Code'!A:A,0)), "NAICS/SIC Not Provided")</f>
        <v>IS4</v>
      </c>
      <c r="O445" s="91" t="str">
        <f>IFERROR(INDEX('NAICS Code to IS CDR Code'!C:C, MATCH('Processed Non-zero DMR Data'!L445,'NAICS Code to IS CDR Code'!A:A,0)), "NAICS/SIC Not Provided")</f>
        <v>Utilities</v>
      </c>
      <c r="P445" s="91" t="str">
        <f>INDEX('11DCA Mapping'!$K:$K, MATCH('Processed Non-zero DMR Data'!I451,'11DCA Mapping'!$J:$J,0))</f>
        <v>POTW</v>
      </c>
      <c r="Q445" s="91" t="str">
        <f>INDEX('11DCA Mapping'!$L:$L, MATCH('Processed Non-zero DMR Data'!I451,'11DCA Mapping'!$J:$J,0))</f>
        <v>Assigned POTW per "Facility Type Indicator"</v>
      </c>
      <c r="R445" s="250" t="str">
        <f>VLOOKUP(I445,'DMR POTW Flag'!$A$2:$B$960,2,FALSE)</f>
        <v>POTW</v>
      </c>
      <c r="S445" s="7" t="s">
        <v>67</v>
      </c>
      <c r="T445" s="249" t="s">
        <v>586</v>
      </c>
      <c r="U445" s="8">
        <f>COUNTIFS('Raw Non-zero DMR Data'!$A:$A, 'Processed Non-zero DMR Data'!A445, 'Raw Non-zero DMR Data'!$C:$C, X445, 'Raw Non-zero DMR Data'!$U:$U,'Processed Non-zero DMR Data'!Y445)</f>
        <v>1</v>
      </c>
      <c r="V445" s="8">
        <f>COUNTIFS('Raw Non-zero DMR Data'!$A:$A, 'Processed Non-zero DMR Data'!A445, 'Raw Non-zero DMR Data'!$C:$C, X445, 'Raw Non-zero DMR Data'!$U:$U,'Processed Non-zero DMR Data'!Y445,'Raw Non-zero DMR Data'!$Z:$Z,"Yes")</f>
        <v>1</v>
      </c>
      <c r="W445">
        <v>0.49734899999999999</v>
      </c>
      <c r="X445" t="s">
        <v>991</v>
      </c>
      <c r="Y445" t="s">
        <v>992</v>
      </c>
      <c r="Z445" s="257">
        <v>60400060505</v>
      </c>
    </row>
    <row r="446" spans="1:26" ht="15" customHeight="1" x14ac:dyDescent="0.25">
      <c r="A446">
        <v>2021</v>
      </c>
      <c r="B446" t="s">
        <v>387</v>
      </c>
      <c r="C446" t="s">
        <v>388</v>
      </c>
      <c r="D446" t="s">
        <v>990</v>
      </c>
      <c r="E446" t="s">
        <v>138</v>
      </c>
      <c r="F446">
        <v>37.021974</v>
      </c>
      <c r="G446">
        <v>-88.512833000000001</v>
      </c>
      <c r="I446" s="1">
        <v>110006367136</v>
      </c>
      <c r="J446">
        <v>4952</v>
      </c>
      <c r="K446" s="175" t="str">
        <f>INDEX('2022 SIC to NAICS'!B:B, MATCH('Processed Non-zero DMR Data'!$J446, '2022 SIC to NAICS'!$A:$A, 0))</f>
        <v>Sewerage Systems</v>
      </c>
      <c r="L446" s="175">
        <f>INDEX('2022 SIC to NAICS'!C:C, MATCH('Processed Non-zero DMR Data'!$J446, '2022 SIC to NAICS'!$A:$A, 0))</f>
        <v>221320</v>
      </c>
      <c r="M446" s="175" t="str">
        <f>INDEX('2022 SIC to NAICS'!D:D, MATCH('Processed Non-zero DMR Data'!$J446, '2022 SIC to NAICS'!$A:$A, 0))</f>
        <v xml:space="preserve">Sewage Treatment Facilities </v>
      </c>
      <c r="N446" s="90" t="str">
        <f>IFERROR(INDEX('NAICS Code to IS CDR Code'!B:B, MATCH('Processed Non-zero DMR Data'!L446,'NAICS Code to IS CDR Code'!A:A,0)), "NAICS/SIC Not Provided")</f>
        <v>IS4</v>
      </c>
      <c r="O446" s="91" t="str">
        <f>IFERROR(INDEX('NAICS Code to IS CDR Code'!C:C, MATCH('Processed Non-zero DMR Data'!L446,'NAICS Code to IS CDR Code'!A:A,0)), "NAICS/SIC Not Provided")</f>
        <v>Utilities</v>
      </c>
      <c r="P446" s="91" t="str">
        <f>INDEX('11DCA Mapping'!$K:$K, MATCH('Processed Non-zero DMR Data'!I452,'11DCA Mapping'!$J:$J,0))</f>
        <v>Unknown</v>
      </c>
      <c r="Q446" s="91" t="str">
        <f>INDEX('11DCA Mapping'!$L:$L, MATCH('Processed Non-zero DMR Data'!I452,'11DCA Mapping'!$J:$J,0))</f>
        <v>Unknown how ship building and repairing would fit into any of the OES's</v>
      </c>
      <c r="R446" s="250" t="str">
        <f>VLOOKUP(I446,'DMR POTW Flag'!$A$2:$B$960,2,FALSE)</f>
        <v>POTW</v>
      </c>
      <c r="S446" s="7" t="s">
        <v>67</v>
      </c>
      <c r="T446" s="249" t="s">
        <v>586</v>
      </c>
      <c r="U446" s="8">
        <f>COUNTIFS('Raw Non-zero DMR Data'!$A:$A, 'Processed Non-zero DMR Data'!A446, 'Raw Non-zero DMR Data'!$C:$C, X446, 'Raw Non-zero DMR Data'!$U:$U,'Processed Non-zero DMR Data'!Y446)</f>
        <v>1</v>
      </c>
      <c r="V446" s="8">
        <f>COUNTIFS('Raw Non-zero DMR Data'!$A:$A, 'Processed Non-zero DMR Data'!A446, 'Raw Non-zero DMR Data'!$C:$C, X446, 'Raw Non-zero DMR Data'!$U:$U,'Processed Non-zero DMR Data'!Y446,'Raw Non-zero DMR Data'!$Z:$Z,"Yes")</f>
        <v>1</v>
      </c>
      <c r="W446">
        <v>0.79437687499999998</v>
      </c>
      <c r="X446" t="s">
        <v>991</v>
      </c>
      <c r="Y446" t="s">
        <v>992</v>
      </c>
      <c r="Z446" s="257">
        <v>60400060505</v>
      </c>
    </row>
    <row r="447" spans="1:26" ht="15" customHeight="1" x14ac:dyDescent="0.25">
      <c r="A447">
        <v>2022</v>
      </c>
      <c r="B447" t="s">
        <v>387</v>
      </c>
      <c r="C447" t="s">
        <v>388</v>
      </c>
      <c r="D447" t="s">
        <v>990</v>
      </c>
      <c r="E447" t="s">
        <v>138</v>
      </c>
      <c r="F447">
        <v>37.021974</v>
      </c>
      <c r="G447">
        <v>-88.512833000000001</v>
      </c>
      <c r="I447" s="1">
        <v>110006367136</v>
      </c>
      <c r="J447">
        <v>4952</v>
      </c>
      <c r="K447" s="175" t="str">
        <f>INDEX('2022 SIC to NAICS'!B:B, MATCH('Processed Non-zero DMR Data'!$J447, '2022 SIC to NAICS'!$A:$A, 0))</f>
        <v>Sewerage Systems</v>
      </c>
      <c r="L447" s="175">
        <f>INDEX('2022 SIC to NAICS'!C:C, MATCH('Processed Non-zero DMR Data'!$J447, '2022 SIC to NAICS'!$A:$A, 0))</f>
        <v>221320</v>
      </c>
      <c r="M447" s="175" t="str">
        <f>INDEX('2022 SIC to NAICS'!D:D, MATCH('Processed Non-zero DMR Data'!$J447, '2022 SIC to NAICS'!$A:$A, 0))</f>
        <v xml:space="preserve">Sewage Treatment Facilities </v>
      </c>
      <c r="N447" s="90" t="str">
        <f>IFERROR(INDEX('NAICS Code to IS CDR Code'!B:B, MATCH('Processed Non-zero DMR Data'!L447,'NAICS Code to IS CDR Code'!A:A,0)), "NAICS/SIC Not Provided")</f>
        <v>IS4</v>
      </c>
      <c r="O447" s="91" t="str">
        <f>IFERROR(INDEX('NAICS Code to IS CDR Code'!C:C, MATCH('Processed Non-zero DMR Data'!L447,'NAICS Code to IS CDR Code'!A:A,0)), "NAICS/SIC Not Provided")</f>
        <v>Utilities</v>
      </c>
      <c r="P447" s="91" t="str">
        <f>INDEX('11DCA Mapping'!$K:$K, MATCH('Processed Non-zero DMR Data'!I453,'11DCA Mapping'!$J:$J,0))</f>
        <v>Unknown</v>
      </c>
      <c r="Q447" s="91" t="str">
        <f>INDEX('11DCA Mapping'!$L:$L, MATCH('Processed Non-zero DMR Data'!I453,'11DCA Mapping'!$J:$J,0))</f>
        <v>Unknown how 1,1-DCA is used in hotels and motels</v>
      </c>
      <c r="R447" s="250" t="str">
        <f>VLOOKUP(I447,'DMR POTW Flag'!$A$2:$B$960,2,FALSE)</f>
        <v>POTW</v>
      </c>
      <c r="S447" s="7" t="s">
        <v>67</v>
      </c>
      <c r="T447" s="249" t="s">
        <v>586</v>
      </c>
      <c r="U447" s="8">
        <f>COUNTIFS('Raw Non-zero DMR Data'!$A:$A, 'Processed Non-zero DMR Data'!A447, 'Raw Non-zero DMR Data'!$C:$C, X447, 'Raw Non-zero DMR Data'!$U:$U,'Processed Non-zero DMR Data'!Y447)</f>
        <v>1</v>
      </c>
      <c r="V447" s="8">
        <f>COUNTIFS('Raw Non-zero DMR Data'!$A:$A, 'Processed Non-zero DMR Data'!A447, 'Raw Non-zero DMR Data'!$C:$C, X447, 'Raw Non-zero DMR Data'!$U:$U,'Processed Non-zero DMR Data'!Y447,'Raw Non-zero DMR Data'!$Z:$Z,"Yes")</f>
        <v>1</v>
      </c>
      <c r="W447">
        <v>0.66589505000000004</v>
      </c>
      <c r="X447" t="s">
        <v>991</v>
      </c>
      <c r="Y447" t="s">
        <v>992</v>
      </c>
      <c r="Z447" s="257">
        <v>60400060505</v>
      </c>
    </row>
    <row r="448" spans="1:26" ht="15" customHeight="1" x14ac:dyDescent="0.25">
      <c r="A448">
        <v>2023</v>
      </c>
      <c r="B448" t="s">
        <v>387</v>
      </c>
      <c r="C448" t="s">
        <v>388</v>
      </c>
      <c r="D448" t="s">
        <v>990</v>
      </c>
      <c r="E448" t="s">
        <v>138</v>
      </c>
      <c r="F448">
        <v>37.021974</v>
      </c>
      <c r="G448">
        <v>-88.512833000000001</v>
      </c>
      <c r="I448" s="1">
        <v>110006367136</v>
      </c>
      <c r="J448">
        <v>4952</v>
      </c>
      <c r="K448" s="175" t="str">
        <f>INDEX('2022 SIC to NAICS'!B:B, MATCH('Processed Non-zero DMR Data'!$J448, '2022 SIC to NAICS'!$A:$A, 0))</f>
        <v>Sewerage Systems</v>
      </c>
      <c r="L448" s="175">
        <f>INDEX('2022 SIC to NAICS'!C:C, MATCH('Processed Non-zero DMR Data'!$J448, '2022 SIC to NAICS'!$A:$A, 0))</f>
        <v>221320</v>
      </c>
      <c r="M448" s="175" t="str">
        <f>INDEX('2022 SIC to NAICS'!D:D, MATCH('Processed Non-zero DMR Data'!$J448, '2022 SIC to NAICS'!$A:$A, 0))</f>
        <v xml:space="preserve">Sewage Treatment Facilities </v>
      </c>
      <c r="N448" s="90" t="str">
        <f>IFERROR(INDEX('NAICS Code to IS CDR Code'!B:B, MATCH('Processed Non-zero DMR Data'!L448,'NAICS Code to IS CDR Code'!A:A,0)), "NAICS/SIC Not Provided")</f>
        <v>IS4</v>
      </c>
      <c r="O448" s="91" t="str">
        <f>IFERROR(INDEX('NAICS Code to IS CDR Code'!C:C, MATCH('Processed Non-zero DMR Data'!L448,'NAICS Code to IS CDR Code'!A:A,0)), "NAICS/SIC Not Provided")</f>
        <v>Utilities</v>
      </c>
      <c r="P448" s="91" t="e">
        <f>INDEX('11DCA Mapping'!$K:$K, MATCH('Processed Non-zero DMR Data'!I454,'11DCA Mapping'!$J:$J,0))</f>
        <v>#N/A</v>
      </c>
      <c r="Q448" s="91" t="e">
        <f>INDEX('11DCA Mapping'!$L:$L, MATCH('Processed Non-zero DMR Data'!I454,'11DCA Mapping'!$J:$J,0))</f>
        <v>#N/A</v>
      </c>
      <c r="R448" s="250" t="str">
        <f>VLOOKUP(I448,'DMR POTW Flag'!$A$2:$B$960,2,FALSE)</f>
        <v>POTW</v>
      </c>
      <c r="S448" s="7" t="s">
        <v>67</v>
      </c>
      <c r="T448" s="249" t="s">
        <v>586</v>
      </c>
      <c r="U448" s="8">
        <f>COUNTIFS('Raw Non-zero DMR Data'!$A:$A, 'Processed Non-zero DMR Data'!A448, 'Raw Non-zero DMR Data'!$C:$C, X448, 'Raw Non-zero DMR Data'!$U:$U,'Processed Non-zero DMR Data'!Y448)</f>
        <v>1</v>
      </c>
      <c r="V448" s="8">
        <f>COUNTIFS('Raw Non-zero DMR Data'!$A:$A, 'Processed Non-zero DMR Data'!A448, 'Raw Non-zero DMR Data'!$C:$C, X448, 'Raw Non-zero DMR Data'!$U:$U,'Processed Non-zero DMR Data'!Y448,'Raw Non-zero DMR Data'!$Z:$Z,"Yes")</f>
        <v>0</v>
      </c>
      <c r="W448">
        <v>0.8178628</v>
      </c>
      <c r="X448" t="s">
        <v>991</v>
      </c>
      <c r="Y448" t="s">
        <v>992</v>
      </c>
      <c r="Z448" s="257">
        <v>60400060505</v>
      </c>
    </row>
    <row r="449" spans="1:26" ht="15" customHeight="1" x14ac:dyDescent="0.25">
      <c r="A449">
        <v>2021</v>
      </c>
      <c r="B449" t="s">
        <v>447</v>
      </c>
      <c r="C449" t="s">
        <v>448</v>
      </c>
      <c r="D449" t="s">
        <v>993</v>
      </c>
      <c r="E449" t="s">
        <v>146</v>
      </c>
      <c r="F449">
        <v>39.814332999999998</v>
      </c>
      <c r="G449">
        <v>-121.58030599999999</v>
      </c>
      <c r="I449" s="1">
        <v>110000520026</v>
      </c>
      <c r="J449">
        <v>4941</v>
      </c>
      <c r="K449" s="175" t="str">
        <f>INDEX('2022 SIC to NAICS'!B:B, MATCH('Processed Non-zero DMR Data'!$J449, '2022 SIC to NAICS'!$A:$A, 0))</f>
        <v>Water Supply</v>
      </c>
      <c r="L449" s="175">
        <f>INDEX('2022 SIC to NAICS'!C:C, MATCH('Processed Non-zero DMR Data'!$J449, '2022 SIC to NAICS'!$A:$A, 0))</f>
        <v>221310</v>
      </c>
      <c r="M449" s="175" t="str">
        <f>INDEX('2022 SIC to NAICS'!D:D, MATCH('Processed Non-zero DMR Data'!$J449, '2022 SIC to NAICS'!$A:$A, 0))</f>
        <v xml:space="preserve">Water Supply and Irrigation Systems </v>
      </c>
      <c r="N449" s="90" t="str">
        <f>IFERROR(INDEX('NAICS Code to IS CDR Code'!B:B, MATCH('Processed Non-zero DMR Data'!L449,'NAICS Code to IS CDR Code'!A:A,0)), "NAICS/SIC Not Provided")</f>
        <v>IS4</v>
      </c>
      <c r="O449" s="91" t="str">
        <f>IFERROR(INDEX('NAICS Code to IS CDR Code'!C:C, MATCH('Processed Non-zero DMR Data'!L449,'NAICS Code to IS CDR Code'!A:A,0)), "NAICS/SIC Not Provided")</f>
        <v>Utilities</v>
      </c>
      <c r="P449" s="91" t="e">
        <f>INDEX('11DCA Mapping'!$K:$K, MATCH('Processed Non-zero DMR Data'!I455,'11DCA Mapping'!$J:$J,0))</f>
        <v>#N/A</v>
      </c>
      <c r="Q449" s="91" t="e">
        <f>INDEX('11DCA Mapping'!$L:$L, MATCH('Processed Non-zero DMR Data'!I455,'11DCA Mapping'!$J:$J,0))</f>
        <v>#N/A</v>
      </c>
      <c r="R449" s="250" t="str">
        <f>VLOOKUP(I449,'DMR POTW Flag'!$A$2:$B$960,2,FALSE)</f>
        <v>NON-POTW</v>
      </c>
      <c r="S449" s="7" t="s">
        <v>68</v>
      </c>
      <c r="T449" s="7" t="s">
        <v>994</v>
      </c>
      <c r="U449" s="8">
        <f>COUNTIFS('Raw Non-zero DMR Data'!$A:$A, 'Processed Non-zero DMR Data'!A449, 'Raw Non-zero DMR Data'!$C:$C, X449, 'Raw Non-zero DMR Data'!$U:$U,'Processed Non-zero DMR Data'!Y449)</f>
        <v>1</v>
      </c>
      <c r="V449" s="8">
        <f>COUNTIFS('Raw Non-zero DMR Data'!$A:$A, 'Processed Non-zero DMR Data'!A449, 'Raw Non-zero DMR Data'!$C:$C, X449, 'Raw Non-zero DMR Data'!$U:$U,'Processed Non-zero DMR Data'!Y449,'Raw Non-zero DMR Data'!$Z:$Z,"Yes")</f>
        <v>1</v>
      </c>
      <c r="W449">
        <v>1.84323500775E-2</v>
      </c>
      <c r="X449" t="s">
        <v>995</v>
      </c>
      <c r="Y449" t="s">
        <v>996</v>
      </c>
      <c r="Z449" s="257">
        <v>180201580201</v>
      </c>
    </row>
    <row r="450" spans="1:26" ht="15" customHeight="1" x14ac:dyDescent="0.25">
      <c r="A450">
        <v>2019</v>
      </c>
      <c r="B450" t="s">
        <v>345</v>
      </c>
      <c r="C450" t="s">
        <v>346</v>
      </c>
      <c r="D450" t="s">
        <v>997</v>
      </c>
      <c r="E450" t="s">
        <v>138</v>
      </c>
      <c r="F450">
        <v>38.223610999999998</v>
      </c>
      <c r="G450">
        <v>-84.252778000000006</v>
      </c>
      <c r="I450" s="1">
        <v>110000551082</v>
      </c>
      <c r="J450">
        <v>4952</v>
      </c>
      <c r="K450" s="175" t="str">
        <f>INDEX('2022 SIC to NAICS'!B:B, MATCH('Processed Non-zero DMR Data'!$J450, '2022 SIC to NAICS'!$A:$A, 0))</f>
        <v>Sewerage Systems</v>
      </c>
      <c r="L450" s="175">
        <f>INDEX('2022 SIC to NAICS'!C:C, MATCH('Processed Non-zero DMR Data'!$J450, '2022 SIC to NAICS'!$A:$A, 0))</f>
        <v>221320</v>
      </c>
      <c r="M450" s="175" t="str">
        <f>INDEX('2022 SIC to NAICS'!D:D, MATCH('Processed Non-zero DMR Data'!$J450, '2022 SIC to NAICS'!$A:$A, 0))</f>
        <v xml:space="preserve">Sewage Treatment Facilities </v>
      </c>
      <c r="N450" s="90" t="str">
        <f>IFERROR(INDEX('NAICS Code to IS CDR Code'!B:B, MATCH('Processed Non-zero DMR Data'!L450,'NAICS Code to IS CDR Code'!A:A,0)), "NAICS/SIC Not Provided")</f>
        <v>IS4</v>
      </c>
      <c r="O450" s="91" t="str">
        <f>IFERROR(INDEX('NAICS Code to IS CDR Code'!C:C, MATCH('Processed Non-zero DMR Data'!L450,'NAICS Code to IS CDR Code'!A:A,0)), "NAICS/SIC Not Provided")</f>
        <v>Utilities</v>
      </c>
      <c r="P450" s="91" t="e">
        <f>INDEX('11DCA Mapping'!$K:$K, MATCH('Processed Non-zero DMR Data'!I456,'11DCA Mapping'!$J:$J,0))</f>
        <v>#N/A</v>
      </c>
      <c r="Q450" s="91" t="e">
        <f>INDEX('11DCA Mapping'!$L:$L, MATCH('Processed Non-zero DMR Data'!I456,'11DCA Mapping'!$J:$J,0))</f>
        <v>#N/A</v>
      </c>
      <c r="R450" s="250" t="str">
        <f>VLOOKUP(I450,'DMR POTW Flag'!$A$2:$B$960,2,FALSE)</f>
        <v>POTW</v>
      </c>
      <c r="S450" s="7" t="s">
        <v>67</v>
      </c>
      <c r="T450" s="249" t="s">
        <v>586</v>
      </c>
      <c r="U450" s="8">
        <f>COUNTIFS('Raw Non-zero DMR Data'!$A:$A, 'Processed Non-zero DMR Data'!A450, 'Raw Non-zero DMR Data'!$C:$C, X450, 'Raw Non-zero DMR Data'!$U:$U,'Processed Non-zero DMR Data'!Y450)</f>
        <v>1</v>
      </c>
      <c r="V450" s="8">
        <f>COUNTIFS('Raw Non-zero DMR Data'!$A:$A, 'Processed Non-zero DMR Data'!A450, 'Raw Non-zero DMR Data'!$C:$C, X450, 'Raw Non-zero DMR Data'!$U:$U,'Processed Non-zero DMR Data'!Y450,'Raw Non-zero DMR Data'!$Z:$Z,"Yes")</f>
        <v>1</v>
      </c>
      <c r="W450">
        <v>8.2787885625000008</v>
      </c>
      <c r="X450" t="s">
        <v>998</v>
      </c>
      <c r="Y450" t="s">
        <v>999</v>
      </c>
      <c r="Z450" s="257">
        <v>51001020205</v>
      </c>
    </row>
    <row r="451" spans="1:26" ht="15" customHeight="1" x14ac:dyDescent="0.25">
      <c r="A451">
        <v>2021</v>
      </c>
      <c r="B451" t="s">
        <v>345</v>
      </c>
      <c r="C451" t="s">
        <v>346</v>
      </c>
      <c r="D451" t="s">
        <v>997</v>
      </c>
      <c r="E451" t="s">
        <v>138</v>
      </c>
      <c r="F451">
        <v>38.223610999999998</v>
      </c>
      <c r="G451">
        <v>-84.252778000000006</v>
      </c>
      <c r="I451" s="1">
        <v>110000551082</v>
      </c>
      <c r="J451">
        <v>4952</v>
      </c>
      <c r="K451" s="175" t="str">
        <f>INDEX('2022 SIC to NAICS'!B:B, MATCH('Processed Non-zero DMR Data'!$J451, '2022 SIC to NAICS'!$A:$A, 0))</f>
        <v>Sewerage Systems</v>
      </c>
      <c r="L451" s="175">
        <f>INDEX('2022 SIC to NAICS'!C:C, MATCH('Processed Non-zero DMR Data'!$J451, '2022 SIC to NAICS'!$A:$A, 0))</f>
        <v>221320</v>
      </c>
      <c r="M451" s="175" t="str">
        <f>INDEX('2022 SIC to NAICS'!D:D, MATCH('Processed Non-zero DMR Data'!$J451, '2022 SIC to NAICS'!$A:$A, 0))</f>
        <v xml:space="preserve">Sewage Treatment Facilities </v>
      </c>
      <c r="N451" s="90" t="str">
        <f>IFERROR(INDEX('NAICS Code to IS CDR Code'!B:B, MATCH('Processed Non-zero DMR Data'!L451,'NAICS Code to IS CDR Code'!A:A,0)), "NAICS/SIC Not Provided")</f>
        <v>IS4</v>
      </c>
      <c r="O451" s="91" t="str">
        <f>IFERROR(INDEX('NAICS Code to IS CDR Code'!C:C, MATCH('Processed Non-zero DMR Data'!L451,'NAICS Code to IS CDR Code'!A:A,0)), "NAICS/SIC Not Provided")</f>
        <v>Utilities</v>
      </c>
      <c r="P451" s="91" t="str">
        <f>INDEX('11DCA Mapping'!$K:$K, MATCH('Processed Non-zero DMR Data'!I457,'11DCA Mapping'!$J:$J,0))</f>
        <v>Natural Gas Engines</v>
      </c>
      <c r="Q451" s="91" t="str">
        <f>INDEX('11DCA Mapping'!$L:$L, MATCH('Processed Non-zero DMR Data'!I457,'11DCA Mapping'!$J:$J,0))</f>
        <v xml:space="preserve">The facility is a petroleum processes/refinery. 1,1 DCA detection may be originating from natural gas (if used) combusted at the site. </v>
      </c>
      <c r="R451" s="250" t="str">
        <f>VLOOKUP(I451,'DMR POTW Flag'!$A$2:$B$960,2,FALSE)</f>
        <v>POTW</v>
      </c>
      <c r="S451" s="7" t="s">
        <v>67</v>
      </c>
      <c r="T451" s="249" t="s">
        <v>586</v>
      </c>
      <c r="U451" s="8">
        <f>COUNTIFS('Raw Non-zero DMR Data'!$A:$A, 'Processed Non-zero DMR Data'!A451, 'Raw Non-zero DMR Data'!$C:$C, X451, 'Raw Non-zero DMR Data'!$U:$U,'Processed Non-zero DMR Data'!Y451)</f>
        <v>1</v>
      </c>
      <c r="V451" s="8">
        <f>COUNTIFS('Raw Non-zero DMR Data'!$A:$A, 'Processed Non-zero DMR Data'!A451, 'Raw Non-zero DMR Data'!$C:$C, X451, 'Raw Non-zero DMR Data'!$U:$U,'Processed Non-zero DMR Data'!Y451,'Raw Non-zero DMR Data'!$Z:$Z,"Yes")</f>
        <v>1</v>
      </c>
      <c r="W451">
        <v>6.2824849374999996</v>
      </c>
      <c r="X451" t="s">
        <v>998</v>
      </c>
      <c r="Y451" t="s">
        <v>999</v>
      </c>
      <c r="Z451" s="257">
        <v>51001020205</v>
      </c>
    </row>
    <row r="452" spans="1:26" ht="15" customHeight="1" x14ac:dyDescent="0.25">
      <c r="A452">
        <v>2022</v>
      </c>
      <c r="B452" t="s">
        <v>184</v>
      </c>
      <c r="C452" t="s">
        <v>185</v>
      </c>
      <c r="D452" t="s">
        <v>185</v>
      </c>
      <c r="E452" t="s">
        <v>186</v>
      </c>
      <c r="F452">
        <v>21.352499999999999</v>
      </c>
      <c r="G452">
        <v>-157.95813899999999</v>
      </c>
      <c r="I452" s="1">
        <v>110046184516</v>
      </c>
      <c r="J452">
        <v>3731</v>
      </c>
      <c r="K452" s="175" t="str">
        <f>INDEX('2022 SIC to NAICS'!B:B, MATCH('Processed Non-zero DMR Data'!$J452, '2022 SIC to NAICS'!$A:$A, 0))</f>
        <v>Shipbuilding and Repairing</v>
      </c>
      <c r="L452" s="175">
        <f>INDEX('2022 SIC to NAICS'!C:C, MATCH('Processed Non-zero DMR Data'!$J452, '2022 SIC to NAICS'!$A:$A, 0))</f>
        <v>336611</v>
      </c>
      <c r="M452" s="175" t="str">
        <f>INDEX('2022 SIC to NAICS'!D:D, MATCH('Processed Non-zero DMR Data'!$J452, '2022 SIC to NAICS'!$A:$A, 0))</f>
        <v xml:space="preserve">Ship Building and Repairing </v>
      </c>
      <c r="N452" s="90" t="str">
        <f>IFERROR(INDEX('NAICS Code to IS CDR Code'!B:B, MATCH('Processed Non-zero DMR Data'!L452,'NAICS Code to IS CDR Code'!A:A,0)), "NAICS/SIC Not Provided")</f>
        <v>IS43</v>
      </c>
      <c r="O452" s="91" t="str">
        <f>IFERROR(INDEX('NAICS Code to IS CDR Code'!C:C, MATCH('Processed Non-zero DMR Data'!L452,'NAICS Code to IS CDR Code'!A:A,0)), "NAICS/SIC Not Provided")</f>
        <v>Transportation Equipment Manufacturing</v>
      </c>
      <c r="P452" s="91" t="str">
        <f>INDEX('11DCA Mapping'!$K:$K, MATCH('Processed Non-zero DMR Data'!I461,'11DCA Mapping'!$J:$J,0))</f>
        <v>Natural Gas Engines</v>
      </c>
      <c r="Q452" s="91" t="str">
        <f>INDEX('11DCA Mapping'!$L:$L, MATCH('Processed Non-zero DMR Data'!I461,'11DCA Mapping'!$J:$J,0))</f>
        <v xml:space="preserve">The facility is a petroleum processes/refinery. 1,1 DCA detection may be originating from natural gas (if used) combusted at the site. </v>
      </c>
      <c r="R452" s="91" t="str">
        <f>VLOOKUP(I452,'DMR POTW Flag'!$A$2:$B$960,2,FALSE)</f>
        <v>FEDERAL</v>
      </c>
      <c r="S452" s="7" t="s">
        <v>72</v>
      </c>
      <c r="T452" s="244" t="s">
        <v>656</v>
      </c>
      <c r="U452" s="8">
        <f>COUNTIFS('Raw Non-zero DMR Data'!$A:$A, 'Processed Non-zero DMR Data'!A452, 'Raw Non-zero DMR Data'!$C:$C, X452, 'Raw Non-zero DMR Data'!$U:$U,'Processed Non-zero DMR Data'!Y452)</f>
        <v>1</v>
      </c>
      <c r="V452" s="8">
        <f>COUNTIFS('Raw Non-zero DMR Data'!$A:$A, 'Processed Non-zero DMR Data'!A452, 'Raw Non-zero DMR Data'!$C:$C, X452, 'Raw Non-zero DMR Data'!$U:$U,'Processed Non-zero DMR Data'!Y452,'Raw Non-zero DMR Data'!$Z:$Z,"Yes")</f>
        <v>1</v>
      </c>
      <c r="W452">
        <v>0.27630500000000002</v>
      </c>
      <c r="X452" t="s">
        <v>657</v>
      </c>
      <c r="Y452" t="s">
        <v>658</v>
      </c>
      <c r="Z452" s="257">
        <v>200600000401</v>
      </c>
    </row>
    <row r="453" spans="1:26" ht="15" customHeight="1" x14ac:dyDescent="0.25">
      <c r="A453">
        <v>2022</v>
      </c>
      <c r="B453" t="s">
        <v>171</v>
      </c>
      <c r="C453" t="s">
        <v>157</v>
      </c>
      <c r="D453" t="s">
        <v>554</v>
      </c>
      <c r="E453" t="s">
        <v>158</v>
      </c>
      <c r="F453">
        <v>36.132570000000001</v>
      </c>
      <c r="G453">
        <v>-115.16477</v>
      </c>
      <c r="I453" s="1">
        <v>110041253256</v>
      </c>
      <c r="J453">
        <v>7011</v>
      </c>
      <c r="K453" s="175" t="str">
        <f>INDEX('2022 SIC to NAICS'!B:B, MATCH('Processed Non-zero DMR Data'!$J453, '2022 SIC to NAICS'!$A:$A, 0))</f>
        <v>Hotels and Motels</v>
      </c>
      <c r="L453" s="175">
        <f>INDEX('2022 SIC to NAICS'!C:C, MATCH('Processed Non-zero DMR Data'!$J453, '2022 SIC to NAICS'!$A:$A, 0))</f>
        <v>721110</v>
      </c>
      <c r="M453" s="175" t="str">
        <f>INDEX('2022 SIC to NAICS'!D:D, MATCH('Processed Non-zero DMR Data'!$J453, '2022 SIC to NAICS'!$A:$A, 0))</f>
        <v xml:space="preserve">Hotels (except Casino Hotels) and Motels </v>
      </c>
      <c r="N453" s="90" t="str">
        <f>IFERROR(INDEX('NAICS Code to IS CDR Code'!B:B, MATCH('Processed Non-zero DMR Data'!L453,'NAICS Code to IS CDR Code'!A:A,0)), "NAICS/SIC Not Provided")</f>
        <v>IS47</v>
      </c>
      <c r="O453" s="91" t="str">
        <f>IFERROR(INDEX('NAICS Code to IS CDR Code'!C:C, MATCH('Processed Non-zero DMR Data'!L453,'NAICS Code to IS CDR Code'!A:A,0)), "NAICS/SIC Not Provided")</f>
        <v>Services</v>
      </c>
      <c r="P453" s="91" t="str">
        <f>INDEX('11DCA Mapping'!$K:$K, MATCH('Processed Non-zero DMR Data'!I486,'11DCA Mapping'!$J:$J,0))</f>
        <v>POTW</v>
      </c>
      <c r="Q453" s="91" t="str">
        <f>INDEX('11DCA Mapping'!$L:$L, MATCH('Processed Non-zero DMR Data'!I486,'11DCA Mapping'!$J:$J,0))</f>
        <v>Based on DMR "Facility Type Indicator"</v>
      </c>
      <c r="R453" s="91" t="str">
        <f>VLOOKUP(I453,'DMR POTW Flag'!$A$2:$B$960,2,FALSE)</f>
        <v>NON-POTW</v>
      </c>
      <c r="S453" s="7" t="s">
        <v>72</v>
      </c>
      <c r="T453" s="244" t="s">
        <v>667</v>
      </c>
      <c r="U453" s="8">
        <f>COUNTIFS('Raw Non-zero DMR Data'!$A:$A, 'Processed Non-zero DMR Data'!A453, 'Raw Non-zero DMR Data'!$C:$C, X453, 'Raw Non-zero DMR Data'!$U:$U,'Processed Non-zero DMR Data'!Y453)</f>
        <v>1</v>
      </c>
      <c r="V453" s="8">
        <f>COUNTIFS('Raw Non-zero DMR Data'!$A:$A, 'Processed Non-zero DMR Data'!A453, 'Raw Non-zero DMR Data'!$C:$C, X453, 'Raw Non-zero DMR Data'!$U:$U,'Processed Non-zero DMR Data'!Y453,'Raw Non-zero DMR Data'!$Z:$Z,"Yes")</f>
        <v>1</v>
      </c>
      <c r="W453">
        <v>9.6706749999999994E-2</v>
      </c>
      <c r="X453" t="s">
        <v>668</v>
      </c>
      <c r="Y453" t="s">
        <v>578</v>
      </c>
      <c r="Z453" s="257">
        <v>150100150604</v>
      </c>
    </row>
    <row r="454" spans="1:26" ht="15" customHeight="1" x14ac:dyDescent="0.25">
      <c r="A454">
        <v>2022</v>
      </c>
      <c r="B454" t="s">
        <v>240</v>
      </c>
      <c r="C454" t="s">
        <v>241</v>
      </c>
      <c r="D454" t="s">
        <v>669</v>
      </c>
      <c r="E454" t="s">
        <v>114</v>
      </c>
      <c r="F454">
        <v>29.378699999999998</v>
      </c>
      <c r="G454">
        <v>-98.551670000000001</v>
      </c>
      <c r="I454" s="1">
        <v>110042004915</v>
      </c>
      <c r="J454">
        <v>9711</v>
      </c>
      <c r="K454" s="175" t="str">
        <f>INDEX('2022 SIC to NAICS'!B:B, MATCH('Processed Non-zero DMR Data'!$J454, '2022 SIC to NAICS'!$A:$A, 0))</f>
        <v>National Security</v>
      </c>
      <c r="L454" s="175">
        <f>INDEX('2022 SIC to NAICS'!C:C, MATCH('Processed Non-zero DMR Data'!$J454, '2022 SIC to NAICS'!$A:$A, 0))</f>
        <v>928110</v>
      </c>
      <c r="M454" s="175" t="str">
        <f>INDEX('2022 SIC to NAICS'!D:D, MATCH('Processed Non-zero DMR Data'!$J454, '2022 SIC to NAICS'!$A:$A, 0))</f>
        <v xml:space="preserve">National Security </v>
      </c>
      <c r="N454" s="90" t="str">
        <f>IFERROR(INDEX('NAICS Code to IS CDR Code'!B:B, MATCH('Processed Non-zero DMR Data'!L454,'NAICS Code to IS CDR Code'!A:A,0)), "NAICS/SIC Not Provided")</f>
        <v>IS47</v>
      </c>
      <c r="O454" s="91" t="str">
        <f>IFERROR(INDEX('NAICS Code to IS CDR Code'!C:C, MATCH('Processed Non-zero DMR Data'!L454,'NAICS Code to IS CDR Code'!A:A,0)), "NAICS/SIC Not Provided")</f>
        <v>Services</v>
      </c>
      <c r="P454" s="91" t="str">
        <f>INDEX('11DCA Mapping'!$K:$K, MATCH('Processed Non-zero DMR Data'!I597,'11DCA Mapping'!$J:$J,0))</f>
        <v>POTW</v>
      </c>
      <c r="Q454" s="91" t="str">
        <f>INDEX('11DCA Mapping'!$L:$L, MATCH('Processed Non-zero DMR Data'!I597,'11DCA Mapping'!$J:$J,0))</f>
        <v>Assigned POTW per "Facility Type Indicator"</v>
      </c>
      <c r="R454" s="91" t="str">
        <f>VLOOKUP(I454,'DMR POTW Flag'!$A$2:$B$960,2,FALSE)</f>
        <v>FEDERAL</v>
      </c>
      <c r="S454" s="7" t="s">
        <v>72</v>
      </c>
      <c r="T454" s="7" t="s">
        <v>670</v>
      </c>
      <c r="U454" s="8">
        <f>COUNTIFS('Raw Non-zero DMR Data'!$A:$A, 'Processed Non-zero DMR Data'!A454, 'Raw Non-zero DMR Data'!$C:$C, X454, 'Raw Non-zero DMR Data'!$U:$U,'Processed Non-zero DMR Data'!Y454)</f>
        <v>1</v>
      </c>
      <c r="V454" s="8">
        <f>COUNTIFS('Raw Non-zero DMR Data'!$A:$A, 'Processed Non-zero DMR Data'!A454, 'Raw Non-zero DMR Data'!$C:$C, X454, 'Raw Non-zero DMR Data'!$U:$U,'Processed Non-zero DMR Data'!Y454,'Raw Non-zero DMR Data'!$Z:$Z,"Yes")</f>
        <v>1</v>
      </c>
      <c r="W454">
        <v>3.5329732201249998E-2</v>
      </c>
      <c r="X454" t="s">
        <v>671</v>
      </c>
      <c r="Y454" t="s">
        <v>672</v>
      </c>
      <c r="Z454" s="257">
        <v>121003010203</v>
      </c>
    </row>
    <row r="455" spans="1:26" ht="15" customHeight="1" x14ac:dyDescent="0.25">
      <c r="A455">
        <v>2023</v>
      </c>
      <c r="B455" t="s">
        <v>532</v>
      </c>
      <c r="C455" t="s">
        <v>533</v>
      </c>
      <c r="D455" t="s">
        <v>1000</v>
      </c>
      <c r="E455" t="s">
        <v>520</v>
      </c>
      <c r="F455">
        <v>42.313240999999998</v>
      </c>
      <c r="G455">
        <v>-71.046143999999998</v>
      </c>
      <c r="I455" s="1">
        <v>110071445083</v>
      </c>
      <c r="J455">
        <v>4959</v>
      </c>
      <c r="K455" s="175" t="str">
        <f>INDEX('2022 SIC to NAICS'!B:B, MATCH('Processed Non-zero DMR Data'!$J455, '2022 SIC to NAICS'!$A:$A, 0))</f>
        <v>Sanitary Services, Nec</v>
      </c>
      <c r="L455" s="175">
        <f>INDEX('2022 SIC to NAICS'!C:C, MATCH('Processed Non-zero DMR Data'!$J455, '2022 SIC to NAICS'!$A:$A, 0))</f>
        <v>488119</v>
      </c>
      <c r="M455" s="175" t="str">
        <f>INDEX('2022 SIC to NAICS'!D:D, MATCH('Processed Non-zero DMR Data'!$J455, '2022 SIC to NAICS'!$A:$A, 0))</f>
        <v xml:space="preserve">Other Airport Operations </v>
      </c>
      <c r="N455" s="90" t="str">
        <f>IFERROR(INDEX('NAICS Code to IS CDR Code'!B:B, MATCH('Processed Non-zero DMR Data'!L455,'NAICS Code to IS CDR Code'!A:A,0)), "NAICS/SIC Not Provided")</f>
        <v>IS46</v>
      </c>
      <c r="O455" s="91" t="str">
        <f>IFERROR(INDEX('NAICS Code to IS CDR Code'!C:C, MATCH('Processed Non-zero DMR Data'!L455,'NAICS Code to IS CDR Code'!A:A,0)), "NAICS/SIC Not Provided")</f>
        <v>Wholesale and Retail Trade</v>
      </c>
      <c r="P455" s="91" t="str">
        <f>INDEX('11DCA Mapping'!$K:$K, MATCH('Processed Non-zero DMR Data'!I2,'11DCA Mapping'!$J:$J,0))</f>
        <v>Unknown</v>
      </c>
      <c r="Q455" s="91" t="str">
        <f>INDEX('11DCA Mapping'!$L:$L, MATCH('Processed Non-zero DMR Data'!I2,'11DCA Mapping'!$J:$J,0))</f>
        <v>Unknown how 1,1-DCA is used in hotels and motels</v>
      </c>
      <c r="R455" s="91" t="str">
        <f>VLOOKUP(I455,'DMR POTW Flag'!$A$2:$B$960,2,FALSE)</f>
        <v>NON-POTW</v>
      </c>
      <c r="S455" s="7" t="s">
        <v>72</v>
      </c>
      <c r="T455" s="244" t="s">
        <v>1001</v>
      </c>
      <c r="U455" s="8">
        <f>COUNTIFS('Raw Non-zero DMR Data'!$A:$A, 'Processed Non-zero DMR Data'!A455, 'Raw Non-zero DMR Data'!$C:$C, X455, 'Raw Non-zero DMR Data'!$U:$U,'Processed Non-zero DMR Data'!Y455)</f>
        <v>1</v>
      </c>
      <c r="V455" s="8">
        <f>COUNTIFS('Raw Non-zero DMR Data'!$A:$A, 'Processed Non-zero DMR Data'!A455, 'Raw Non-zero DMR Data'!$C:$C, X455, 'Raw Non-zero DMR Data'!$U:$U,'Processed Non-zero DMR Data'!Y455,'Raw Non-zero DMR Data'!$Z:$Z,"Yes")</f>
        <v>1</v>
      </c>
      <c r="W455">
        <v>4.6591457500000004E-3</v>
      </c>
      <c r="X455" t="s">
        <v>1002</v>
      </c>
      <c r="Y455" t="s">
        <v>1003</v>
      </c>
      <c r="Z455" s="257">
        <v>10900010704</v>
      </c>
    </row>
    <row r="456" spans="1:26" ht="15" customHeight="1" x14ac:dyDescent="0.25">
      <c r="A456">
        <v>2023</v>
      </c>
      <c r="B456" t="s">
        <v>518</v>
      </c>
      <c r="C456" t="s">
        <v>519</v>
      </c>
      <c r="D456" t="s">
        <v>1004</v>
      </c>
      <c r="E456" t="s">
        <v>520</v>
      </c>
      <c r="F456">
        <v>42.362200000000001</v>
      </c>
      <c r="G456">
        <v>-71.084089000000006</v>
      </c>
      <c r="I456" s="1">
        <v>110071158765</v>
      </c>
      <c r="J456">
        <v>4959</v>
      </c>
      <c r="K456" s="175" t="str">
        <f>INDEX('2022 SIC to NAICS'!B:B, MATCH('Processed Non-zero DMR Data'!$J456, '2022 SIC to NAICS'!$A:$A, 0))</f>
        <v>Sanitary Services, Nec</v>
      </c>
      <c r="L456" s="175">
        <f>INDEX('2022 SIC to NAICS'!C:C, MATCH('Processed Non-zero DMR Data'!$J456, '2022 SIC to NAICS'!$A:$A, 0))</f>
        <v>488119</v>
      </c>
      <c r="M456" s="175" t="str">
        <f>INDEX('2022 SIC to NAICS'!D:D, MATCH('Processed Non-zero DMR Data'!$J456, '2022 SIC to NAICS'!$A:$A, 0))</f>
        <v xml:space="preserve">Other Airport Operations </v>
      </c>
      <c r="N456" s="90" t="str">
        <f>IFERROR(INDEX('NAICS Code to IS CDR Code'!B:B, MATCH('Processed Non-zero DMR Data'!L456,'NAICS Code to IS CDR Code'!A:A,0)), "NAICS/SIC Not Provided")</f>
        <v>IS46</v>
      </c>
      <c r="O456" s="91" t="str">
        <f>IFERROR(INDEX('NAICS Code to IS CDR Code'!C:C, MATCH('Processed Non-zero DMR Data'!L456,'NAICS Code to IS CDR Code'!A:A,0)), "NAICS/SIC Not Provided")</f>
        <v>Wholesale and Retail Trade</v>
      </c>
      <c r="P456" s="91" t="str">
        <f>INDEX('11DCA Mapping'!$K:$K, MATCH('Processed Non-zero DMR Data'!I3,'11DCA Mapping'!$J:$J,0))</f>
        <v>Unknown</v>
      </c>
      <c r="Q456" s="91" t="str">
        <f>INDEX('11DCA Mapping'!$L:$L, MATCH('Processed Non-zero DMR Data'!I3,'11DCA Mapping'!$J:$J,0))</f>
        <v>Unknown how 1,1-DCA is used in hotels and motels</v>
      </c>
      <c r="R456" s="91" t="str">
        <f>VLOOKUP(I456,'DMR POTW Flag'!$A$2:$B$960,2,FALSE)</f>
        <v>NON-POTW</v>
      </c>
      <c r="S456" s="7" t="s">
        <v>72</v>
      </c>
      <c r="T456" s="244" t="s">
        <v>1005</v>
      </c>
      <c r="U456" s="8">
        <f>COUNTIFS('Raw Non-zero DMR Data'!$A:$A, 'Processed Non-zero DMR Data'!A456, 'Raw Non-zero DMR Data'!$C:$C, X456, 'Raw Non-zero DMR Data'!$U:$U,'Processed Non-zero DMR Data'!Y456)</f>
        <v>2</v>
      </c>
      <c r="V456" s="8">
        <f>COUNTIFS('Raw Non-zero DMR Data'!$A:$A, 'Processed Non-zero DMR Data'!A456, 'Raw Non-zero DMR Data'!$C:$C, X456, 'Raw Non-zero DMR Data'!$U:$U,'Processed Non-zero DMR Data'!Y456,'Raw Non-zero DMR Data'!$Z:$Z,"Yes")</f>
        <v>2</v>
      </c>
      <c r="W456">
        <v>5.5009581375000003E-3</v>
      </c>
      <c r="X456" t="s">
        <v>1006</v>
      </c>
      <c r="Y456" t="s">
        <v>1003</v>
      </c>
      <c r="Z456" s="257">
        <v>10900010704</v>
      </c>
    </row>
    <row r="457" spans="1:26" ht="15" customHeight="1" x14ac:dyDescent="0.25">
      <c r="A457">
        <v>2019</v>
      </c>
      <c r="B457" t="s">
        <v>310</v>
      </c>
      <c r="C457" t="s">
        <v>311</v>
      </c>
      <c r="D457" t="s">
        <v>950</v>
      </c>
      <c r="E457" t="s">
        <v>153</v>
      </c>
      <c r="F457">
        <v>40.640135000000001</v>
      </c>
      <c r="G457">
        <v>-74.218879999999999</v>
      </c>
      <c r="I457" s="1">
        <v>110041133163</v>
      </c>
      <c r="J457">
        <v>2911</v>
      </c>
      <c r="K457" s="175" t="str">
        <f>INDEX('2022 SIC to NAICS'!B:B, MATCH('Processed Non-zero DMR Data'!$J457, '2022 SIC to NAICS'!$A:$A, 0))</f>
        <v>Petroleum Refining</v>
      </c>
      <c r="L457" s="175">
        <f>INDEX('2022 SIC to NAICS'!C:C, MATCH('Processed Non-zero DMR Data'!$J457, '2022 SIC to NAICS'!$A:$A, 0))</f>
        <v>324110</v>
      </c>
      <c r="M457" s="175" t="str">
        <f>INDEX('2022 SIC to NAICS'!D:D, MATCH('Processed Non-zero DMR Data'!$J457, '2022 SIC to NAICS'!$A:$A, 0))</f>
        <v>Petroleum Refineries</v>
      </c>
      <c r="N457" s="90" t="str">
        <f>IFERROR(INDEX('NAICS Code to IS CDR Code'!B:B, MATCH('Processed Non-zero DMR Data'!L457,'NAICS Code to IS CDR Code'!A:A,0)), "NAICS/SIC Not Provided")</f>
        <v>IS11</v>
      </c>
      <c r="O457" s="91" t="str">
        <f>IFERROR(INDEX('NAICS Code to IS CDR Code'!C:C, MATCH('Processed Non-zero DMR Data'!L457,'NAICS Code to IS CDR Code'!A:A,0)), "NAICS/SIC Not Provided")</f>
        <v>Petroleum Refineries</v>
      </c>
      <c r="P457" s="91" t="str">
        <f>INDEX('11DCA Mapping'!$K:$K, MATCH('Processed Non-zero DMR Data'!I463,'11DCA Mapping'!$J:$J,0))</f>
        <v>POTW</v>
      </c>
      <c r="Q457" s="91" t="str">
        <f>INDEX('11DCA Mapping'!$L:$L, MATCH('Processed Non-zero DMR Data'!I463,'11DCA Mapping'!$J:$J,0))</f>
        <v>Assigned POTW per "Facility Type Indicator"</v>
      </c>
      <c r="R457" s="250" t="str">
        <f>VLOOKUP(I457,'DMR POTW Flag'!$A$2:$B$960,2,FALSE)</f>
        <v>NON-POTW</v>
      </c>
      <c r="S457" s="7" t="s">
        <v>62</v>
      </c>
      <c r="T457" s="7" t="s">
        <v>1007</v>
      </c>
      <c r="U457" s="8">
        <f>COUNTIFS('Raw Non-zero DMR Data'!$A:$A, 'Processed Non-zero DMR Data'!A457, 'Raw Non-zero DMR Data'!$C:$C, X457, 'Raw Non-zero DMR Data'!$U:$U,'Processed Non-zero DMR Data'!Y457)</f>
        <v>1</v>
      </c>
      <c r="V457" s="8">
        <f>COUNTIFS('Raw Non-zero DMR Data'!$A:$A, 'Processed Non-zero DMR Data'!A457, 'Raw Non-zero DMR Data'!$C:$C, X457, 'Raw Non-zero DMR Data'!$U:$U,'Processed Non-zero DMR Data'!Y457,'Raw Non-zero DMR Data'!$Z:$Z,"Yes")</f>
        <v>1</v>
      </c>
      <c r="W457">
        <v>2</v>
      </c>
      <c r="X457" t="s">
        <v>1008</v>
      </c>
      <c r="Y457" t="s">
        <v>1009</v>
      </c>
      <c r="Z457" s="257">
        <v>20301040204</v>
      </c>
    </row>
    <row r="458" spans="1:26" ht="15" customHeight="1" x14ac:dyDescent="0.25">
      <c r="A458">
        <v>2020</v>
      </c>
      <c r="B458" t="s">
        <v>310</v>
      </c>
      <c r="C458" t="s">
        <v>311</v>
      </c>
      <c r="D458" t="s">
        <v>950</v>
      </c>
      <c r="E458" t="s">
        <v>153</v>
      </c>
      <c r="F458">
        <v>40.640135000000001</v>
      </c>
      <c r="G458">
        <v>-74.218879999999999</v>
      </c>
      <c r="I458" s="1">
        <v>110041133163</v>
      </c>
      <c r="J458">
        <v>2911</v>
      </c>
      <c r="K458" s="175" t="str">
        <f>INDEX('2022 SIC to NAICS'!B:B, MATCH('Processed Non-zero DMR Data'!$J458, '2022 SIC to NAICS'!$A:$A, 0))</f>
        <v>Petroleum Refining</v>
      </c>
      <c r="L458" s="175">
        <f>INDEX('2022 SIC to NAICS'!C:C, MATCH('Processed Non-zero DMR Data'!$J458, '2022 SIC to NAICS'!$A:$A, 0))</f>
        <v>324110</v>
      </c>
      <c r="M458" s="175" t="str">
        <f>INDEX('2022 SIC to NAICS'!D:D, MATCH('Processed Non-zero DMR Data'!$J458, '2022 SIC to NAICS'!$A:$A, 0))</f>
        <v>Petroleum Refineries</v>
      </c>
      <c r="N458" s="90" t="str">
        <f>IFERROR(INDEX('NAICS Code to IS CDR Code'!B:B, MATCH('Processed Non-zero DMR Data'!L458,'NAICS Code to IS CDR Code'!A:A,0)), "NAICS/SIC Not Provided")</f>
        <v>IS11</v>
      </c>
      <c r="O458" s="91" t="str">
        <f>IFERROR(INDEX('NAICS Code to IS CDR Code'!C:C, MATCH('Processed Non-zero DMR Data'!L458,'NAICS Code to IS CDR Code'!A:A,0)), "NAICS/SIC Not Provided")</f>
        <v>Petroleum Refineries</v>
      </c>
      <c r="P458" s="91" t="str">
        <f>INDEX('11DCA Mapping'!$K:$K, MATCH('Processed Non-zero DMR Data'!I464,'11DCA Mapping'!$J:$J,0))</f>
        <v>POTW</v>
      </c>
      <c r="Q458" s="91" t="str">
        <f>INDEX('11DCA Mapping'!$L:$L, MATCH('Processed Non-zero DMR Data'!I464,'11DCA Mapping'!$J:$J,0))</f>
        <v>Assigned POTW per "Facility Type Indicator"</v>
      </c>
      <c r="R458" s="250" t="str">
        <f>VLOOKUP(I458,'DMR POTW Flag'!$A$2:$B$960,2,FALSE)</f>
        <v>NON-POTW</v>
      </c>
      <c r="S458" s="7" t="s">
        <v>62</v>
      </c>
      <c r="T458" s="7" t="s">
        <v>1007</v>
      </c>
      <c r="U458" s="8">
        <f>COUNTIFS('Raw Non-zero DMR Data'!$A:$A, 'Processed Non-zero DMR Data'!A458, 'Raw Non-zero DMR Data'!$C:$C, X458, 'Raw Non-zero DMR Data'!$U:$U,'Processed Non-zero DMR Data'!Y458)</f>
        <v>1</v>
      </c>
      <c r="V458" s="8">
        <f>COUNTIFS('Raw Non-zero DMR Data'!$A:$A, 'Processed Non-zero DMR Data'!A458, 'Raw Non-zero DMR Data'!$C:$C, X458, 'Raw Non-zero DMR Data'!$U:$U,'Processed Non-zero DMR Data'!Y458,'Raw Non-zero DMR Data'!$Z:$Z,"Yes")</f>
        <v>1</v>
      </c>
      <c r="W458">
        <v>2.3050000000000002</v>
      </c>
      <c r="X458" t="s">
        <v>1008</v>
      </c>
      <c r="Y458" t="s">
        <v>1009</v>
      </c>
      <c r="Z458" s="257">
        <v>20301040204</v>
      </c>
    </row>
    <row r="459" spans="1:26" ht="15" customHeight="1" x14ac:dyDescent="0.25">
      <c r="A459">
        <v>2021</v>
      </c>
      <c r="B459" t="s">
        <v>310</v>
      </c>
      <c r="C459" t="s">
        <v>311</v>
      </c>
      <c r="D459" t="s">
        <v>950</v>
      </c>
      <c r="E459" t="s">
        <v>153</v>
      </c>
      <c r="F459">
        <v>40.640135000000001</v>
      </c>
      <c r="G459">
        <v>-74.218879999999999</v>
      </c>
      <c r="I459" s="1">
        <v>110041133163</v>
      </c>
      <c r="J459">
        <v>2911</v>
      </c>
      <c r="K459" s="175" t="str">
        <f>INDEX('2022 SIC to NAICS'!B:B, MATCH('Processed Non-zero DMR Data'!$J459, '2022 SIC to NAICS'!$A:$A, 0))</f>
        <v>Petroleum Refining</v>
      </c>
      <c r="L459" s="175">
        <f>INDEX('2022 SIC to NAICS'!C:C, MATCH('Processed Non-zero DMR Data'!$J459, '2022 SIC to NAICS'!$A:$A, 0))</f>
        <v>324110</v>
      </c>
      <c r="M459" s="175" t="str">
        <f>INDEX('2022 SIC to NAICS'!D:D, MATCH('Processed Non-zero DMR Data'!$J459, '2022 SIC to NAICS'!$A:$A, 0))</f>
        <v>Petroleum Refineries</v>
      </c>
      <c r="N459" s="90" t="str">
        <f>IFERROR(INDEX('NAICS Code to IS CDR Code'!B:B, MATCH('Processed Non-zero DMR Data'!L459,'NAICS Code to IS CDR Code'!A:A,0)), "NAICS/SIC Not Provided")</f>
        <v>IS11</v>
      </c>
      <c r="O459" s="91" t="str">
        <f>IFERROR(INDEX('NAICS Code to IS CDR Code'!C:C, MATCH('Processed Non-zero DMR Data'!L459,'NAICS Code to IS CDR Code'!A:A,0)), "NAICS/SIC Not Provided")</f>
        <v>Petroleum Refineries</v>
      </c>
      <c r="P459" s="91" t="str">
        <f>INDEX('11DCA Mapping'!$K:$K, MATCH('Processed Non-zero DMR Data'!I465,'11DCA Mapping'!$J:$J,0))</f>
        <v>POTW</v>
      </c>
      <c r="Q459" s="91" t="str">
        <f>INDEX('11DCA Mapping'!$L:$L, MATCH('Processed Non-zero DMR Data'!I465,'11DCA Mapping'!$J:$J,0))</f>
        <v>Assigned POTW per "Facility Type Indicator"</v>
      </c>
      <c r="R459" s="250" t="str">
        <f>VLOOKUP(I459,'DMR POTW Flag'!$A$2:$B$960,2,FALSE)</f>
        <v>NON-POTW</v>
      </c>
      <c r="S459" s="7" t="s">
        <v>62</v>
      </c>
      <c r="T459" s="7" t="s">
        <v>1007</v>
      </c>
      <c r="U459" s="8">
        <f>COUNTIFS('Raw Non-zero DMR Data'!$A:$A, 'Processed Non-zero DMR Data'!A459, 'Raw Non-zero DMR Data'!$C:$C, X459, 'Raw Non-zero DMR Data'!$U:$U,'Processed Non-zero DMR Data'!Y459)</f>
        <v>1</v>
      </c>
      <c r="V459" s="8">
        <f>COUNTIFS('Raw Non-zero DMR Data'!$A:$A, 'Processed Non-zero DMR Data'!A459, 'Raw Non-zero DMR Data'!$C:$C, X459, 'Raw Non-zero DMR Data'!$U:$U,'Processed Non-zero DMR Data'!Y459,'Raw Non-zero DMR Data'!$Z:$Z,"Yes")</f>
        <v>1</v>
      </c>
      <c r="W459">
        <v>1.845</v>
      </c>
      <c r="X459" t="s">
        <v>1008</v>
      </c>
      <c r="Y459" t="s">
        <v>1009</v>
      </c>
      <c r="Z459" s="257">
        <v>20301040204</v>
      </c>
    </row>
    <row r="460" spans="1:26" ht="15" customHeight="1" x14ac:dyDescent="0.25">
      <c r="A460">
        <v>2022</v>
      </c>
      <c r="B460" t="s">
        <v>310</v>
      </c>
      <c r="C460" t="s">
        <v>311</v>
      </c>
      <c r="D460" t="s">
        <v>950</v>
      </c>
      <c r="E460" t="s">
        <v>153</v>
      </c>
      <c r="F460">
        <v>40.640135000000001</v>
      </c>
      <c r="G460">
        <v>-74.218879999999999</v>
      </c>
      <c r="I460" s="1">
        <v>110041133163</v>
      </c>
      <c r="J460">
        <v>2911</v>
      </c>
      <c r="K460" s="175" t="str">
        <f>INDEX('2022 SIC to NAICS'!B:B, MATCH('Processed Non-zero DMR Data'!$J460, '2022 SIC to NAICS'!$A:$A, 0))</f>
        <v>Petroleum Refining</v>
      </c>
      <c r="L460" s="175">
        <f>INDEX('2022 SIC to NAICS'!C:C, MATCH('Processed Non-zero DMR Data'!$J460, '2022 SIC to NAICS'!$A:$A, 0))</f>
        <v>324110</v>
      </c>
      <c r="M460" s="175" t="str">
        <f>INDEX('2022 SIC to NAICS'!D:D, MATCH('Processed Non-zero DMR Data'!$J460, '2022 SIC to NAICS'!$A:$A, 0))</f>
        <v>Petroleum Refineries</v>
      </c>
      <c r="N460" s="90" t="str">
        <f>IFERROR(INDEX('NAICS Code to IS CDR Code'!B:B, MATCH('Processed Non-zero DMR Data'!L460,'NAICS Code to IS CDR Code'!A:A,0)), "NAICS/SIC Not Provided")</f>
        <v>IS11</v>
      </c>
      <c r="O460" s="91" t="str">
        <f>IFERROR(INDEX('NAICS Code to IS CDR Code'!C:C, MATCH('Processed Non-zero DMR Data'!L460,'NAICS Code to IS CDR Code'!A:A,0)), "NAICS/SIC Not Provided")</f>
        <v>Petroleum Refineries</v>
      </c>
      <c r="P460" s="91" t="e">
        <f>INDEX('11DCA Mapping'!$K:$K, MATCH('Processed Non-zero DMR Data'!I466,'11DCA Mapping'!$J:$J,0))</f>
        <v>#N/A</v>
      </c>
      <c r="Q460" s="91" t="e">
        <f>INDEX('11DCA Mapping'!$L:$L, MATCH('Processed Non-zero DMR Data'!I466,'11DCA Mapping'!$J:$J,0))</f>
        <v>#N/A</v>
      </c>
      <c r="R460" s="250" t="str">
        <f>VLOOKUP(I460,'DMR POTW Flag'!$A$2:$B$960,2,FALSE)</f>
        <v>NON-POTW</v>
      </c>
      <c r="S460" s="7" t="s">
        <v>62</v>
      </c>
      <c r="T460" s="7" t="s">
        <v>1007</v>
      </c>
      <c r="U460" s="8">
        <f>COUNTIFS('Raw Non-zero DMR Data'!$A:$A, 'Processed Non-zero DMR Data'!A460, 'Raw Non-zero DMR Data'!$C:$C, X460, 'Raw Non-zero DMR Data'!$U:$U,'Processed Non-zero DMR Data'!Y460)</f>
        <v>1</v>
      </c>
      <c r="V460" s="8">
        <f>COUNTIFS('Raw Non-zero DMR Data'!$A:$A, 'Processed Non-zero DMR Data'!A460, 'Raw Non-zero DMR Data'!$C:$C, X460, 'Raw Non-zero DMR Data'!$U:$U,'Processed Non-zero DMR Data'!Y460,'Raw Non-zero DMR Data'!$Z:$Z,"Yes")</f>
        <v>1</v>
      </c>
      <c r="W460">
        <v>1.9950000000000001</v>
      </c>
      <c r="X460" t="s">
        <v>1008</v>
      </c>
      <c r="Y460" t="s">
        <v>1009</v>
      </c>
      <c r="Z460" s="257">
        <v>20301040204</v>
      </c>
    </row>
    <row r="461" spans="1:26" ht="15" customHeight="1" x14ac:dyDescent="0.25">
      <c r="A461">
        <v>2023</v>
      </c>
      <c r="B461" t="s">
        <v>310</v>
      </c>
      <c r="C461" t="s">
        <v>311</v>
      </c>
      <c r="D461" t="s">
        <v>950</v>
      </c>
      <c r="E461" t="s">
        <v>153</v>
      </c>
      <c r="F461">
        <v>40.640135000000001</v>
      </c>
      <c r="G461">
        <v>-74.218879999999999</v>
      </c>
      <c r="I461" s="1">
        <v>110041133163</v>
      </c>
      <c r="J461">
        <v>2911</v>
      </c>
      <c r="K461" s="175" t="str">
        <f>INDEX('2022 SIC to NAICS'!B:B, MATCH('Processed Non-zero DMR Data'!$J461, '2022 SIC to NAICS'!$A:$A, 0))</f>
        <v>Petroleum Refining</v>
      </c>
      <c r="L461" s="175">
        <f>INDEX('2022 SIC to NAICS'!C:C, MATCH('Processed Non-zero DMR Data'!$J461, '2022 SIC to NAICS'!$A:$A, 0))</f>
        <v>324110</v>
      </c>
      <c r="M461" s="175" t="str">
        <f>INDEX('2022 SIC to NAICS'!D:D, MATCH('Processed Non-zero DMR Data'!$J461, '2022 SIC to NAICS'!$A:$A, 0))</f>
        <v>Petroleum Refineries</v>
      </c>
      <c r="N461" s="90" t="str">
        <f>IFERROR(INDEX('NAICS Code to IS CDR Code'!B:B, MATCH('Processed Non-zero DMR Data'!L461,'NAICS Code to IS CDR Code'!A:A,0)), "NAICS/SIC Not Provided")</f>
        <v>IS11</v>
      </c>
      <c r="O461" s="91" t="str">
        <f>IFERROR(INDEX('NAICS Code to IS CDR Code'!C:C, MATCH('Processed Non-zero DMR Data'!L461,'NAICS Code to IS CDR Code'!A:A,0)), "NAICS/SIC Not Provided")</f>
        <v>Petroleum Refineries</v>
      </c>
      <c r="P461" s="91" t="e">
        <f>INDEX('11DCA Mapping'!$K:$K, MATCH('Processed Non-zero DMR Data'!I467,'11DCA Mapping'!$J:$J,0))</f>
        <v>#N/A</v>
      </c>
      <c r="Q461" s="91" t="e">
        <f>INDEX('11DCA Mapping'!$L:$L, MATCH('Processed Non-zero DMR Data'!I467,'11DCA Mapping'!$J:$J,0))</f>
        <v>#N/A</v>
      </c>
      <c r="R461" s="250" t="str">
        <f>VLOOKUP(I461,'DMR POTW Flag'!$A$2:$B$960,2,FALSE)</f>
        <v>NON-POTW</v>
      </c>
      <c r="S461" s="7" t="s">
        <v>62</v>
      </c>
      <c r="T461" s="7" t="s">
        <v>1007</v>
      </c>
      <c r="U461" s="8">
        <f>COUNTIFS('Raw Non-zero DMR Data'!$A:$A, 'Processed Non-zero DMR Data'!A461, 'Raw Non-zero DMR Data'!$C:$C, X461, 'Raw Non-zero DMR Data'!$U:$U,'Processed Non-zero DMR Data'!Y461)</f>
        <v>1</v>
      </c>
      <c r="V461" s="8">
        <f>COUNTIFS('Raw Non-zero DMR Data'!$A:$A, 'Processed Non-zero DMR Data'!A461, 'Raw Non-zero DMR Data'!$C:$C, X461, 'Raw Non-zero DMR Data'!$U:$U,'Processed Non-zero DMR Data'!Y461,'Raw Non-zero DMR Data'!$Z:$Z,"Yes")</f>
        <v>1</v>
      </c>
      <c r="W461">
        <v>2.3050000000000002</v>
      </c>
      <c r="X461" t="s">
        <v>1008</v>
      </c>
      <c r="Y461" t="s">
        <v>1009</v>
      </c>
      <c r="Z461" s="257">
        <v>20301040204</v>
      </c>
    </row>
    <row r="462" spans="1:26" ht="15" customHeight="1" x14ac:dyDescent="0.25">
      <c r="A462">
        <v>2019</v>
      </c>
      <c r="B462" t="s">
        <v>349</v>
      </c>
      <c r="C462" t="s">
        <v>350</v>
      </c>
      <c r="D462" t="s">
        <v>677</v>
      </c>
      <c r="E462" t="s">
        <v>138</v>
      </c>
      <c r="F462">
        <v>37.491857000000003</v>
      </c>
      <c r="G462">
        <v>-82.539703000000003</v>
      </c>
      <c r="I462" s="1">
        <v>110006644872</v>
      </c>
      <c r="J462">
        <v>4952</v>
      </c>
      <c r="K462" s="175" t="str">
        <f>INDEX('2022 SIC to NAICS'!B:B, MATCH('Processed Non-zero DMR Data'!$J462, '2022 SIC to NAICS'!$A:$A, 0))</f>
        <v>Sewerage Systems</v>
      </c>
      <c r="L462" s="175">
        <f>INDEX('2022 SIC to NAICS'!C:C, MATCH('Processed Non-zero DMR Data'!$J462, '2022 SIC to NAICS'!$A:$A, 0))</f>
        <v>221320</v>
      </c>
      <c r="M462" s="175" t="str">
        <f>INDEX('2022 SIC to NAICS'!D:D, MATCH('Processed Non-zero DMR Data'!$J462, '2022 SIC to NAICS'!$A:$A, 0))</f>
        <v xml:space="preserve">Sewage Treatment Facilities </v>
      </c>
      <c r="N462" s="90" t="str">
        <f>IFERROR(INDEX('NAICS Code to IS CDR Code'!B:B, MATCH('Processed Non-zero DMR Data'!L462,'NAICS Code to IS CDR Code'!A:A,0)), "NAICS/SIC Not Provided")</f>
        <v>IS4</v>
      </c>
      <c r="O462" s="91" t="str">
        <f>IFERROR(INDEX('NAICS Code to IS CDR Code'!C:C, MATCH('Processed Non-zero DMR Data'!L462,'NAICS Code to IS CDR Code'!A:A,0)), "NAICS/SIC Not Provided")</f>
        <v>Utilities</v>
      </c>
      <c r="P462" s="91" t="str">
        <f>INDEX('11DCA Mapping'!$K:$K, MATCH('Processed Non-zero DMR Data'!I468,'11DCA Mapping'!$J:$J,0))</f>
        <v>Unknown</v>
      </c>
      <c r="Q462" s="91" t="str">
        <f>INDEX('11DCA Mapping'!$L:$L, MATCH('Processed Non-zero DMR Data'!I468,'11DCA Mapping'!$J:$J,0))</f>
        <v>Unknown how 1,1-DCA is used in hotels and motels</v>
      </c>
      <c r="R462" s="250" t="str">
        <f>VLOOKUP(I462,'DMR POTW Flag'!$A$2:$B$960,2,FALSE)</f>
        <v>POTW</v>
      </c>
      <c r="S462" s="7" t="s">
        <v>67</v>
      </c>
      <c r="T462" s="249" t="s">
        <v>586</v>
      </c>
      <c r="U462" s="8">
        <f>COUNTIFS('Raw Non-zero DMR Data'!$A:$A, 'Processed Non-zero DMR Data'!A462, 'Raw Non-zero DMR Data'!$C:$C, X462, 'Raw Non-zero DMR Data'!$U:$U,'Processed Non-zero DMR Data'!Y462)</f>
        <v>1</v>
      </c>
      <c r="V462" s="8">
        <f>COUNTIFS('Raw Non-zero DMR Data'!$A:$A, 'Processed Non-zero DMR Data'!A462, 'Raw Non-zero DMR Data'!$C:$C, X462, 'Raw Non-zero DMR Data'!$U:$U,'Processed Non-zero DMR Data'!Y462,'Raw Non-zero DMR Data'!$Z:$Z,"Yes")</f>
        <v>1</v>
      </c>
      <c r="W462">
        <v>7.6501946875</v>
      </c>
      <c r="X462" t="s">
        <v>1010</v>
      </c>
      <c r="Y462" t="s">
        <v>1011</v>
      </c>
      <c r="Z462" s="257">
        <v>50702030202</v>
      </c>
    </row>
    <row r="463" spans="1:26" ht="15" customHeight="1" x14ac:dyDescent="0.25">
      <c r="A463">
        <v>2020</v>
      </c>
      <c r="B463" t="s">
        <v>349</v>
      </c>
      <c r="C463" t="s">
        <v>350</v>
      </c>
      <c r="D463" t="s">
        <v>677</v>
      </c>
      <c r="E463" t="s">
        <v>138</v>
      </c>
      <c r="F463">
        <v>37.491857000000003</v>
      </c>
      <c r="G463">
        <v>-82.539703000000003</v>
      </c>
      <c r="I463" s="1">
        <v>110006644872</v>
      </c>
      <c r="J463">
        <v>4952</v>
      </c>
      <c r="K463" s="175" t="str">
        <f>INDEX('2022 SIC to NAICS'!B:B, MATCH('Processed Non-zero DMR Data'!$J463, '2022 SIC to NAICS'!$A:$A, 0))</f>
        <v>Sewerage Systems</v>
      </c>
      <c r="L463" s="175">
        <f>INDEX('2022 SIC to NAICS'!C:C, MATCH('Processed Non-zero DMR Data'!$J463, '2022 SIC to NAICS'!$A:$A, 0))</f>
        <v>221320</v>
      </c>
      <c r="M463" s="175" t="str">
        <f>INDEX('2022 SIC to NAICS'!D:D, MATCH('Processed Non-zero DMR Data'!$J463, '2022 SIC to NAICS'!$A:$A, 0))</f>
        <v xml:space="preserve">Sewage Treatment Facilities </v>
      </c>
      <c r="N463" s="90" t="str">
        <f>IFERROR(INDEX('NAICS Code to IS CDR Code'!B:B, MATCH('Processed Non-zero DMR Data'!L463,'NAICS Code to IS CDR Code'!A:A,0)), "NAICS/SIC Not Provided")</f>
        <v>IS4</v>
      </c>
      <c r="O463" s="91" t="str">
        <f>IFERROR(INDEX('NAICS Code to IS CDR Code'!C:C, MATCH('Processed Non-zero DMR Data'!L463,'NAICS Code to IS CDR Code'!A:A,0)), "NAICS/SIC Not Provided")</f>
        <v>Utilities</v>
      </c>
      <c r="P463" s="91" t="str">
        <f>INDEX('11DCA Mapping'!$K:$K, MATCH('Processed Non-zero DMR Data'!I469,'11DCA Mapping'!$J:$J,0))</f>
        <v>Unknown</v>
      </c>
      <c r="Q463" s="91" t="str">
        <f>INDEX('11DCA Mapping'!$L:$L, MATCH('Processed Non-zero DMR Data'!I469,'11DCA Mapping'!$J:$J,0))</f>
        <v>Unknown how 1,1-DCA is used in hotels and motels</v>
      </c>
      <c r="R463" s="250" t="str">
        <f>VLOOKUP(I463,'DMR POTW Flag'!$A$2:$B$960,2,FALSE)</f>
        <v>POTW</v>
      </c>
      <c r="S463" s="7" t="s">
        <v>67</v>
      </c>
      <c r="T463" s="249" t="s">
        <v>586</v>
      </c>
      <c r="U463" s="8">
        <f>COUNTIFS('Raw Non-zero DMR Data'!$A:$A, 'Processed Non-zero DMR Data'!A463, 'Raw Non-zero DMR Data'!$C:$C, X463, 'Raw Non-zero DMR Data'!$U:$U,'Processed Non-zero DMR Data'!Y463)</f>
        <v>1</v>
      </c>
      <c r="V463" s="8">
        <f>COUNTIFS('Raw Non-zero DMR Data'!$A:$A, 'Processed Non-zero DMR Data'!A463, 'Raw Non-zero DMR Data'!$C:$C, X463, 'Raw Non-zero DMR Data'!$U:$U,'Processed Non-zero DMR Data'!Y463,'Raw Non-zero DMR Data'!$Z:$Z,"Yes")</f>
        <v>1</v>
      </c>
      <c r="W463">
        <v>1.3628744125000001</v>
      </c>
      <c r="X463" t="s">
        <v>1010</v>
      </c>
      <c r="Y463" t="s">
        <v>1011</v>
      </c>
      <c r="Z463" s="257">
        <v>50702030202</v>
      </c>
    </row>
    <row r="464" spans="1:26" ht="15" customHeight="1" x14ac:dyDescent="0.25">
      <c r="A464">
        <v>2023</v>
      </c>
      <c r="B464" t="s">
        <v>349</v>
      </c>
      <c r="C464" t="s">
        <v>350</v>
      </c>
      <c r="D464" t="s">
        <v>677</v>
      </c>
      <c r="E464" t="s">
        <v>138</v>
      </c>
      <c r="F464">
        <v>37.491857000000003</v>
      </c>
      <c r="G464">
        <v>-82.539703000000003</v>
      </c>
      <c r="I464" s="1">
        <v>110006644872</v>
      </c>
      <c r="J464">
        <v>4952</v>
      </c>
      <c r="K464" s="175" t="str">
        <f>INDEX('2022 SIC to NAICS'!B:B, MATCH('Processed Non-zero DMR Data'!$J464, '2022 SIC to NAICS'!$A:$A, 0))</f>
        <v>Sewerage Systems</v>
      </c>
      <c r="L464" s="175">
        <f>INDEX('2022 SIC to NAICS'!C:C, MATCH('Processed Non-zero DMR Data'!$J464, '2022 SIC to NAICS'!$A:$A, 0))</f>
        <v>221320</v>
      </c>
      <c r="M464" s="175" t="str">
        <f>INDEX('2022 SIC to NAICS'!D:D, MATCH('Processed Non-zero DMR Data'!$J464, '2022 SIC to NAICS'!$A:$A, 0))</f>
        <v xml:space="preserve">Sewage Treatment Facilities </v>
      </c>
      <c r="N464" s="90" t="str">
        <f>IFERROR(INDEX('NAICS Code to IS CDR Code'!B:B, MATCH('Processed Non-zero DMR Data'!L464,'NAICS Code to IS CDR Code'!A:A,0)), "NAICS/SIC Not Provided")</f>
        <v>IS4</v>
      </c>
      <c r="O464" s="91" t="str">
        <f>IFERROR(INDEX('NAICS Code to IS CDR Code'!C:C, MATCH('Processed Non-zero DMR Data'!L464,'NAICS Code to IS CDR Code'!A:A,0)), "NAICS/SIC Not Provided")</f>
        <v>Utilities</v>
      </c>
      <c r="P464" s="91" t="e">
        <f>INDEX('11DCA Mapping'!$K:$K, MATCH('Processed Non-zero DMR Data'!I470,'11DCA Mapping'!$J:$J,0))</f>
        <v>#N/A</v>
      </c>
      <c r="Q464" s="91" t="e">
        <f>INDEX('11DCA Mapping'!$L:$L, MATCH('Processed Non-zero DMR Data'!I470,'11DCA Mapping'!$J:$J,0))</f>
        <v>#N/A</v>
      </c>
      <c r="R464" s="250" t="str">
        <f>VLOOKUP(I464,'DMR POTW Flag'!$A$2:$B$960,2,FALSE)</f>
        <v>POTW</v>
      </c>
      <c r="S464" s="7" t="s">
        <v>67</v>
      </c>
      <c r="T464" s="249" t="s">
        <v>586</v>
      </c>
      <c r="U464" s="8">
        <f>COUNTIFS('Raw Non-zero DMR Data'!$A:$A, 'Processed Non-zero DMR Data'!A464, 'Raw Non-zero DMR Data'!$C:$C, X464, 'Raw Non-zero DMR Data'!$U:$U,'Processed Non-zero DMR Data'!Y464)</f>
        <v>1</v>
      </c>
      <c r="V464" s="8">
        <f>COUNTIFS('Raw Non-zero DMR Data'!$A:$A, 'Processed Non-zero DMR Data'!A464, 'Raw Non-zero DMR Data'!$C:$C, X464, 'Raw Non-zero DMR Data'!$U:$U,'Processed Non-zero DMR Data'!Y464,'Raw Non-zero DMR Data'!$Z:$Z,"Yes")</f>
        <v>1</v>
      </c>
      <c r="W464">
        <v>1.2218897862500001E-3</v>
      </c>
      <c r="X464" t="s">
        <v>1010</v>
      </c>
      <c r="Y464" t="s">
        <v>1011</v>
      </c>
      <c r="Z464" s="257">
        <v>50702030202</v>
      </c>
    </row>
    <row r="465" spans="1:26" ht="15" customHeight="1" x14ac:dyDescent="0.25">
      <c r="A465">
        <v>2019</v>
      </c>
      <c r="B465" t="s">
        <v>319</v>
      </c>
      <c r="C465" t="s">
        <v>320</v>
      </c>
      <c r="D465" t="s">
        <v>1012</v>
      </c>
      <c r="E465" t="s">
        <v>146</v>
      </c>
      <c r="F465">
        <v>39.805480000000003</v>
      </c>
      <c r="G465">
        <v>-120.47149</v>
      </c>
      <c r="I465" s="1">
        <v>110010058757</v>
      </c>
      <c r="J465">
        <v>4952</v>
      </c>
      <c r="K465" s="175" t="str">
        <f>INDEX('2022 SIC to NAICS'!B:B, MATCH('Processed Non-zero DMR Data'!$J465, '2022 SIC to NAICS'!$A:$A, 0))</f>
        <v>Sewerage Systems</v>
      </c>
      <c r="L465" s="175">
        <f>INDEX('2022 SIC to NAICS'!C:C, MATCH('Processed Non-zero DMR Data'!$J465, '2022 SIC to NAICS'!$A:$A, 0))</f>
        <v>221320</v>
      </c>
      <c r="M465" s="175" t="str">
        <f>INDEX('2022 SIC to NAICS'!D:D, MATCH('Processed Non-zero DMR Data'!$J465, '2022 SIC to NAICS'!$A:$A, 0))</f>
        <v xml:space="preserve">Sewage Treatment Facilities </v>
      </c>
      <c r="N465" s="90" t="str">
        <f>IFERROR(INDEX('NAICS Code to IS CDR Code'!B:B, MATCH('Processed Non-zero DMR Data'!L465,'NAICS Code to IS CDR Code'!A:A,0)), "NAICS/SIC Not Provided")</f>
        <v>IS4</v>
      </c>
      <c r="O465" s="91" t="str">
        <f>IFERROR(INDEX('NAICS Code to IS CDR Code'!C:C, MATCH('Processed Non-zero DMR Data'!L465,'NAICS Code to IS CDR Code'!A:A,0)), "NAICS/SIC Not Provided")</f>
        <v>Utilities</v>
      </c>
      <c r="P465" s="91" t="e">
        <f>INDEX('11DCA Mapping'!$K:$K, MATCH('Processed Non-zero DMR Data'!I471,'11DCA Mapping'!$J:$J,0))</f>
        <v>#N/A</v>
      </c>
      <c r="Q465" s="91" t="e">
        <f>INDEX('11DCA Mapping'!$L:$L, MATCH('Processed Non-zero DMR Data'!I471,'11DCA Mapping'!$J:$J,0))</f>
        <v>#N/A</v>
      </c>
      <c r="R465" s="250" t="str">
        <f>VLOOKUP(I465,'DMR POTW Flag'!$A$2:$B$960,2,FALSE)</f>
        <v>POTW</v>
      </c>
      <c r="S465" s="7" t="s">
        <v>67</v>
      </c>
      <c r="T465" s="249" t="s">
        <v>586</v>
      </c>
      <c r="U465" s="8">
        <f>COUNTIFS('Raw Non-zero DMR Data'!$A:$A, 'Processed Non-zero DMR Data'!A465, 'Raw Non-zero DMR Data'!$C:$C, X465, 'Raw Non-zero DMR Data'!$U:$U,'Processed Non-zero DMR Data'!Y465)</f>
        <v>1</v>
      </c>
      <c r="V465" s="8">
        <f>COUNTIFS('Raw Non-zero DMR Data'!$A:$A, 'Processed Non-zero DMR Data'!A465, 'Raw Non-zero DMR Data'!$C:$C, X465, 'Raw Non-zero DMR Data'!$U:$U,'Processed Non-zero DMR Data'!Y465,'Raw Non-zero DMR Data'!$Z:$Z,"Yes")</f>
        <v>1</v>
      </c>
      <c r="W465">
        <v>8.0819212500000005E-3</v>
      </c>
      <c r="X465" t="s">
        <v>1013</v>
      </c>
      <c r="Y465" t="s">
        <v>1014</v>
      </c>
      <c r="Z465" s="257">
        <v>180201230404</v>
      </c>
    </row>
    <row r="466" spans="1:26" ht="15" customHeight="1" x14ac:dyDescent="0.25">
      <c r="A466">
        <v>2023</v>
      </c>
      <c r="B466" t="s">
        <v>457</v>
      </c>
      <c r="C466" t="s">
        <v>157</v>
      </c>
      <c r="D466" t="s">
        <v>575</v>
      </c>
      <c r="E466" t="s">
        <v>158</v>
      </c>
      <c r="F466">
        <v>36.090899999999998</v>
      </c>
      <c r="G466">
        <v>-115.1833</v>
      </c>
      <c r="I466" s="1">
        <v>110070948151</v>
      </c>
      <c r="J466">
        <v>7941</v>
      </c>
      <c r="K466" s="175" t="str">
        <f>INDEX('2022 SIC to NAICS'!B:B, MATCH('Processed Non-zero DMR Data'!$J466, '2022 SIC to NAICS'!$A:$A, 0))</f>
        <v>Sports Clubs, Managers, and Promoters</v>
      </c>
      <c r="L466" s="175">
        <f>INDEX('2022 SIC to NAICS'!C:C, MATCH('Processed Non-zero DMR Data'!$J466, '2022 SIC to NAICS'!$A:$A, 0))</f>
        <v>711211</v>
      </c>
      <c r="M466" s="175" t="str">
        <f>INDEX('2022 SIC to NAICS'!D:D, MATCH('Processed Non-zero DMR Data'!$J466, '2022 SIC to NAICS'!$A:$A, 0))</f>
        <v xml:space="preserve">Sports Teams and Clubs </v>
      </c>
      <c r="N466" s="90" t="str">
        <f>IFERROR(INDEX('NAICS Code to IS CDR Code'!B:B, MATCH('Processed Non-zero DMR Data'!L466,'NAICS Code to IS CDR Code'!A:A,0)), "NAICS/SIC Not Provided")</f>
        <v>IS47</v>
      </c>
      <c r="O466" s="91" t="str">
        <f>IFERROR(INDEX('NAICS Code to IS CDR Code'!C:C, MATCH('Processed Non-zero DMR Data'!L466,'NAICS Code to IS CDR Code'!A:A,0)), "NAICS/SIC Not Provided")</f>
        <v>Services</v>
      </c>
      <c r="P466" s="91" t="e">
        <f>INDEX('11DCA Mapping'!$K:$K, MATCH('Processed Non-zero DMR Data'!I7,'11DCA Mapping'!$J:$J,0))</f>
        <v>#N/A</v>
      </c>
      <c r="Q466" s="91" t="e">
        <f>INDEX('11DCA Mapping'!$L:$L, MATCH('Processed Non-zero DMR Data'!I7,'11DCA Mapping'!$J:$J,0))</f>
        <v>#N/A</v>
      </c>
      <c r="R466" s="91" t="str">
        <f>VLOOKUP(I466,'DMR POTW Flag'!$A$2:$B$960,2,FALSE)</f>
        <v>NON-POTW</v>
      </c>
      <c r="S466" s="7" t="s">
        <v>72</v>
      </c>
      <c r="T466" s="244" t="s">
        <v>750</v>
      </c>
      <c r="U466" s="8">
        <f>COUNTIFS('Raw Non-zero DMR Data'!$A:$A, 'Processed Non-zero DMR Data'!A466, 'Raw Non-zero DMR Data'!$C:$C, X466, 'Raw Non-zero DMR Data'!$U:$U,'Processed Non-zero DMR Data'!Y466)</f>
        <v>1</v>
      </c>
      <c r="V466" s="8">
        <f>COUNTIFS('Raw Non-zero DMR Data'!$A:$A, 'Processed Non-zero DMR Data'!A466, 'Raw Non-zero DMR Data'!$C:$C, X466, 'Raw Non-zero DMR Data'!$U:$U,'Processed Non-zero DMR Data'!Y466,'Raw Non-zero DMR Data'!$Z:$Z,"Yes")</f>
        <v>1</v>
      </c>
      <c r="W466">
        <v>6.2714327375000004E-2</v>
      </c>
      <c r="X466" t="s">
        <v>751</v>
      </c>
      <c r="Y466" t="s">
        <v>557</v>
      </c>
      <c r="Z466" s="257">
        <v>150100150505</v>
      </c>
    </row>
    <row r="467" spans="1:26" ht="15" customHeight="1" x14ac:dyDescent="0.25">
      <c r="A467">
        <v>2023</v>
      </c>
      <c r="B467" t="s">
        <v>462</v>
      </c>
      <c r="C467" t="s">
        <v>463</v>
      </c>
      <c r="D467" t="s">
        <v>752</v>
      </c>
      <c r="E467" t="s">
        <v>186</v>
      </c>
      <c r="F467">
        <v>21.994944</v>
      </c>
      <c r="G467">
        <v>-159.75363899999999</v>
      </c>
      <c r="I467" s="1">
        <v>110006777247</v>
      </c>
      <c r="J467" s="186" t="s">
        <v>753</v>
      </c>
      <c r="K467" s="175" t="e">
        <f>INDEX('2022 SIC to NAICS'!B:B, MATCH('Processed Non-zero DMR Data'!$J467, '2022 SIC to NAICS'!$A:$A, 0))</f>
        <v>#N/A</v>
      </c>
      <c r="L467" s="175" t="e">
        <f>INDEX('2022 SIC to NAICS'!C:C, MATCH('Processed Non-zero DMR Data'!$J467, '2022 SIC to NAICS'!$A:$A, 0))</f>
        <v>#N/A</v>
      </c>
      <c r="M467" s="175" t="e">
        <f>INDEX('2022 SIC to NAICS'!D:D, MATCH('Processed Non-zero DMR Data'!$J467, '2022 SIC to NAICS'!$A:$A, 0))</f>
        <v>#N/A</v>
      </c>
      <c r="N467" s="90" t="str">
        <f>IFERROR(INDEX('NAICS Code to IS CDR Code'!B:B, MATCH('Processed Non-zero DMR Data'!L467,'NAICS Code to IS CDR Code'!A:A,0)), "NAICS/SIC Not Provided")</f>
        <v>NAICS/SIC Not Provided</v>
      </c>
      <c r="O467" s="91" t="str">
        <f>IFERROR(INDEX('NAICS Code to IS CDR Code'!C:C, MATCH('Processed Non-zero DMR Data'!L467,'NAICS Code to IS CDR Code'!A:A,0)), "NAICS/SIC Not Provided")</f>
        <v>NAICS/SIC Not Provided</v>
      </c>
      <c r="P467" s="91" t="str">
        <f>INDEX('11DCA Mapping'!$K:$K, MATCH('Processed Non-zero DMR Data'!I10,'11DCA Mapping'!$J:$J,0))</f>
        <v>Laboratory Use</v>
      </c>
      <c r="Q467" s="91" t="str">
        <f>INDEX('11DCA Mapping'!$L:$L, MATCH('Processed Non-zero DMR Data'!I10,'11DCA Mapping'!$J:$J,0))</f>
        <v>Based on SIC code</v>
      </c>
      <c r="R467" s="91" t="str">
        <f>VLOOKUP(I467,'DMR POTW Flag'!$A$2:$B$960,2,FALSE)</f>
        <v>NON-POTW</v>
      </c>
      <c r="S467" s="7" t="s">
        <v>72</v>
      </c>
      <c r="T467" s="244" t="s">
        <v>754</v>
      </c>
      <c r="U467" s="8">
        <f>COUNTIFS('Raw Non-zero DMR Data'!$A:$A, 'Processed Non-zero DMR Data'!A467, 'Raw Non-zero DMR Data'!$C:$C, X467, 'Raw Non-zero DMR Data'!$U:$U,'Processed Non-zero DMR Data'!Y467)</f>
        <v>1</v>
      </c>
      <c r="V467" s="8">
        <f>COUNTIFS('Raw Non-zero DMR Data'!$A:$A, 'Processed Non-zero DMR Data'!A467, 'Raw Non-zero DMR Data'!$C:$C, X467, 'Raw Non-zero DMR Data'!$U:$U,'Processed Non-zero DMR Data'!Y467,'Raw Non-zero DMR Data'!$Z:$Z,"Yes")</f>
        <v>1</v>
      </c>
      <c r="W467">
        <v>0.46004782500000002</v>
      </c>
      <c r="X467" t="s">
        <v>755</v>
      </c>
      <c r="Y467" t="s">
        <v>756</v>
      </c>
      <c r="Z467" s="257">
        <v>200700000501</v>
      </c>
    </row>
    <row r="468" spans="1:26" ht="15" customHeight="1" x14ac:dyDescent="0.25">
      <c r="A468">
        <v>2023</v>
      </c>
      <c r="B468" t="s">
        <v>167</v>
      </c>
      <c r="C468" t="s">
        <v>157</v>
      </c>
      <c r="D468" t="s">
        <v>554</v>
      </c>
      <c r="E468" t="s">
        <v>158</v>
      </c>
      <c r="F468">
        <v>36.116160999999998</v>
      </c>
      <c r="G468">
        <v>-115.172741</v>
      </c>
      <c r="I468" s="1">
        <v>110015972562</v>
      </c>
      <c r="J468">
        <v>7011</v>
      </c>
      <c r="K468" s="175" t="str">
        <f>INDEX('2022 SIC to NAICS'!B:B, MATCH('Processed Non-zero DMR Data'!$J468, '2022 SIC to NAICS'!$A:$A, 0))</f>
        <v>Hotels and Motels</v>
      </c>
      <c r="L468" s="175">
        <f>INDEX('2022 SIC to NAICS'!C:C, MATCH('Processed Non-zero DMR Data'!$J468, '2022 SIC to NAICS'!$A:$A, 0))</f>
        <v>721110</v>
      </c>
      <c r="M468" s="175" t="str">
        <f>INDEX('2022 SIC to NAICS'!D:D, MATCH('Processed Non-zero DMR Data'!$J468, '2022 SIC to NAICS'!$A:$A, 0))</f>
        <v xml:space="preserve">Hotels (except Casino Hotels) and Motels </v>
      </c>
      <c r="N468" s="90" t="str">
        <f>IFERROR(INDEX('NAICS Code to IS CDR Code'!B:B, MATCH('Processed Non-zero DMR Data'!L468,'NAICS Code to IS CDR Code'!A:A,0)), "NAICS/SIC Not Provided")</f>
        <v>IS47</v>
      </c>
      <c r="O468" s="91" t="str">
        <f>IFERROR(INDEX('NAICS Code to IS CDR Code'!C:C, MATCH('Processed Non-zero DMR Data'!L468,'NAICS Code to IS CDR Code'!A:A,0)), "NAICS/SIC Not Provided")</f>
        <v>Services</v>
      </c>
      <c r="P468" s="91" t="str">
        <f>INDEX('11DCA Mapping'!$K:$K, MATCH('Processed Non-zero DMR Data'!I81,'11DCA Mapping'!$J:$J,0))</f>
        <v>Natural Gas Engines</v>
      </c>
      <c r="Q468" s="91" t="str">
        <f>INDEX('11DCA Mapping'!$L:$L, MATCH('Processed Non-zero DMR Data'!I81,'11DCA Mapping'!$J:$J,0))</f>
        <v>Suggested OES, “Natural gas engines.” Based on https://www.powereng.com/library/el-centro-unit-3-combined-cycle-repower-oe &amp; https://www.energy.ca.gov/powerplant/simple-cycle/el-centro-generating-station-unit-3</v>
      </c>
      <c r="R468" s="91" t="str">
        <f>VLOOKUP(I468,'DMR POTW Flag'!$A$2:$B$960,2,FALSE)</f>
        <v>NON-POTW</v>
      </c>
      <c r="S468" s="7" t="s">
        <v>72</v>
      </c>
      <c r="T468" s="244" t="s">
        <v>555</v>
      </c>
      <c r="U468" s="8">
        <f>COUNTIFS('Raw Non-zero DMR Data'!$A:$A, 'Processed Non-zero DMR Data'!A468, 'Raw Non-zero DMR Data'!$C:$C, X468, 'Raw Non-zero DMR Data'!$U:$U,'Processed Non-zero DMR Data'!Y468)</f>
        <v>2</v>
      </c>
      <c r="V468" s="8">
        <f>COUNTIFS('Raw Non-zero DMR Data'!$A:$A, 'Processed Non-zero DMR Data'!A468, 'Raw Non-zero DMR Data'!$C:$C, X468, 'Raw Non-zero DMR Data'!$U:$U,'Processed Non-zero DMR Data'!Y468,'Raw Non-zero DMR Data'!$Z:$Z,"Yes")</f>
        <v>2</v>
      </c>
      <c r="W468">
        <v>0.1119060893375</v>
      </c>
      <c r="X468" t="s">
        <v>556</v>
      </c>
      <c r="Y468" t="s">
        <v>557</v>
      </c>
      <c r="Z468" s="257">
        <v>150100150505</v>
      </c>
    </row>
    <row r="469" spans="1:26" ht="15" customHeight="1" x14ac:dyDescent="0.25">
      <c r="A469">
        <v>2023</v>
      </c>
      <c r="B469" t="s">
        <v>167</v>
      </c>
      <c r="C469" t="s">
        <v>157</v>
      </c>
      <c r="D469" t="s">
        <v>554</v>
      </c>
      <c r="E469" t="s">
        <v>158</v>
      </c>
      <c r="F469">
        <v>36.116160999999998</v>
      </c>
      <c r="G469">
        <v>-115.172741</v>
      </c>
      <c r="I469" s="1">
        <v>110015972562</v>
      </c>
      <c r="J469">
        <v>7011</v>
      </c>
      <c r="K469" s="175" t="str">
        <f>INDEX('2022 SIC to NAICS'!B:B, MATCH('Processed Non-zero DMR Data'!$J469, '2022 SIC to NAICS'!$A:$A, 0))</f>
        <v>Hotels and Motels</v>
      </c>
      <c r="L469" s="175">
        <f>INDEX('2022 SIC to NAICS'!C:C, MATCH('Processed Non-zero DMR Data'!$J469, '2022 SIC to NAICS'!$A:$A, 0))</f>
        <v>721110</v>
      </c>
      <c r="M469" s="175" t="str">
        <f>INDEX('2022 SIC to NAICS'!D:D, MATCH('Processed Non-zero DMR Data'!$J469, '2022 SIC to NAICS'!$A:$A, 0))</f>
        <v xml:space="preserve">Hotels (except Casino Hotels) and Motels </v>
      </c>
      <c r="N469" s="90" t="str">
        <f>IFERROR(INDEX('NAICS Code to IS CDR Code'!B:B, MATCH('Processed Non-zero DMR Data'!L469,'NAICS Code to IS CDR Code'!A:A,0)), "NAICS/SIC Not Provided")</f>
        <v>IS47</v>
      </c>
      <c r="O469" s="91" t="str">
        <f>IFERROR(INDEX('NAICS Code to IS CDR Code'!C:C, MATCH('Processed Non-zero DMR Data'!L469,'NAICS Code to IS CDR Code'!A:A,0)), "NAICS/SIC Not Provided")</f>
        <v>Services</v>
      </c>
      <c r="P469" s="91" t="str">
        <f>INDEX('11DCA Mapping'!$K:$K, MATCH('Processed Non-zero DMR Data'!I82,'11DCA Mapping'!$J:$J,0))</f>
        <v>POTW</v>
      </c>
      <c r="Q469" s="91" t="str">
        <f>INDEX('11DCA Mapping'!$L:$L, MATCH('Processed Non-zero DMR Data'!I82,'11DCA Mapping'!$J:$J,0))</f>
        <v>Assigned POTW per "Facility Type Indicator"</v>
      </c>
      <c r="R469" s="91" t="str">
        <f>VLOOKUP(I469,'DMR POTW Flag'!$A$2:$B$960,2,FALSE)</f>
        <v>NON-POTW</v>
      </c>
      <c r="S469" s="7" t="s">
        <v>72</v>
      </c>
      <c r="T469" s="244" t="s">
        <v>555</v>
      </c>
      <c r="U469" s="8">
        <f>COUNTIFS('Raw Non-zero DMR Data'!$A:$A, 'Processed Non-zero DMR Data'!A469, 'Raw Non-zero DMR Data'!$C:$C, X469, 'Raw Non-zero DMR Data'!$U:$U,'Processed Non-zero DMR Data'!Y469)</f>
        <v>2</v>
      </c>
      <c r="V469" s="8">
        <f>COUNTIFS('Raw Non-zero DMR Data'!$A:$A, 'Processed Non-zero DMR Data'!A469, 'Raw Non-zero DMR Data'!$C:$C, X469, 'Raw Non-zero DMR Data'!$U:$U,'Processed Non-zero DMR Data'!Y469,'Raw Non-zero DMR Data'!$Z:$Z,"Yes")</f>
        <v>2</v>
      </c>
      <c r="W469">
        <v>5.3379590050000002E-2</v>
      </c>
      <c r="X469" t="s">
        <v>556</v>
      </c>
      <c r="Y469" t="s">
        <v>557</v>
      </c>
      <c r="Z469" s="257">
        <v>150100150505</v>
      </c>
    </row>
    <row r="470" spans="1:26" ht="15" customHeight="1" x14ac:dyDescent="0.25">
      <c r="A470">
        <v>2023</v>
      </c>
      <c r="B470" t="s">
        <v>497</v>
      </c>
      <c r="C470" t="s">
        <v>498</v>
      </c>
      <c r="D470" t="s">
        <v>498</v>
      </c>
      <c r="E470" t="s">
        <v>218</v>
      </c>
      <c r="F470">
        <v>39.754530000000003</v>
      </c>
      <c r="G470">
        <v>-105.00681</v>
      </c>
      <c r="I470" s="1">
        <v>110056125376</v>
      </c>
      <c r="J470">
        <v>1799</v>
      </c>
      <c r="K470" s="175" t="str">
        <f>INDEX('2022 SIC to NAICS'!B:B, MATCH('Processed Non-zero DMR Data'!$J470, '2022 SIC to NAICS'!$A:$A, 0))</f>
        <v>Special Trade Contractors, Nec</v>
      </c>
      <c r="L470" s="175">
        <f>INDEX('2022 SIC to NAICS'!C:C, MATCH('Processed Non-zero DMR Data'!$J470, '2022 SIC to NAICS'!$A:$A, 0))</f>
        <v>236220</v>
      </c>
      <c r="M470" s="175" t="str">
        <f>INDEX('2022 SIC to NAICS'!D:D, MATCH('Processed Non-zero DMR Data'!$J470, '2022 SIC to NAICS'!$A:$A, 0))</f>
        <v xml:space="preserve">Commercial and Institutional Building Construction </v>
      </c>
      <c r="N470" s="90" t="str">
        <f>IFERROR(INDEX('NAICS Code to IS CDR Code'!B:B, MATCH('Processed Non-zero DMR Data'!L470,'NAICS Code to IS CDR Code'!A:A,0)), "NAICS/SIC Not Provided")</f>
        <v>IS5</v>
      </c>
      <c r="O470" s="91" t="str">
        <f>IFERROR(INDEX('NAICS Code to IS CDR Code'!C:C, MATCH('Processed Non-zero DMR Data'!L470,'NAICS Code to IS CDR Code'!A:A,0)), "NAICS/SIC Not Provided")</f>
        <v>Construction</v>
      </c>
      <c r="P470" s="91" t="e">
        <f>INDEX('11DCA Mapping'!$K:$K, MATCH('Processed Non-zero DMR Data'!I135,'11DCA Mapping'!$J:$J,0))</f>
        <v>#N/A</v>
      </c>
      <c r="Q470" s="91" t="e">
        <f>INDEX('11DCA Mapping'!$L:$L, MATCH('Processed Non-zero DMR Data'!I135,'11DCA Mapping'!$J:$J,0))</f>
        <v>#N/A</v>
      </c>
      <c r="R470" s="91" t="str">
        <f>VLOOKUP(I470,'DMR POTW Flag'!$A$2:$B$960,2,FALSE)</f>
        <v>NON-POTW</v>
      </c>
      <c r="S470" s="7" t="s">
        <v>72</v>
      </c>
      <c r="T470" s="244" t="s">
        <v>576</v>
      </c>
      <c r="U470" s="8">
        <f>COUNTIFS('Raw Non-zero DMR Data'!$A:$A, 'Processed Non-zero DMR Data'!A470, 'Raw Non-zero DMR Data'!$C:$C, X470, 'Raw Non-zero DMR Data'!$U:$U,'Processed Non-zero DMR Data'!Y470)</f>
        <v>1</v>
      </c>
      <c r="V470" s="8">
        <f>COUNTIFS('Raw Non-zero DMR Data'!$A:$A, 'Processed Non-zero DMR Data'!A470, 'Raw Non-zero DMR Data'!$C:$C, X470, 'Raw Non-zero DMR Data'!$U:$U,'Processed Non-zero DMR Data'!Y470,'Raw Non-zero DMR Data'!$Z:$Z,"Yes")</f>
        <v>1</v>
      </c>
      <c r="W470">
        <v>6.2756056999999999E-3</v>
      </c>
      <c r="X470" t="s">
        <v>933</v>
      </c>
      <c r="Y470" t="s">
        <v>934</v>
      </c>
      <c r="Z470" s="257">
        <v>101900030304</v>
      </c>
    </row>
    <row r="471" spans="1:26" ht="15" customHeight="1" x14ac:dyDescent="0.25">
      <c r="A471">
        <v>2023</v>
      </c>
      <c r="B471" t="s">
        <v>534</v>
      </c>
      <c r="C471" t="s">
        <v>190</v>
      </c>
      <c r="D471" t="s">
        <v>566</v>
      </c>
      <c r="E471" t="s">
        <v>146</v>
      </c>
      <c r="F471">
        <v>32.781489999999998</v>
      </c>
      <c r="G471">
        <v>-115.5035</v>
      </c>
      <c r="I471" s="1">
        <v>110012876557</v>
      </c>
      <c r="J471">
        <v>6515</v>
      </c>
      <c r="K471" s="175" t="str">
        <f>INDEX('2022 SIC to NAICS'!B:B, MATCH('Processed Non-zero DMR Data'!$J471, '2022 SIC to NAICS'!$A:$A, 0))</f>
        <v>Mobile Home Site Operators</v>
      </c>
      <c r="L471" s="175">
        <f>INDEX('2022 SIC to NAICS'!C:C, MATCH('Processed Non-zero DMR Data'!$J471, '2022 SIC to NAICS'!$A:$A, 0))</f>
        <v>531190</v>
      </c>
      <c r="M471" s="175" t="str">
        <f>INDEX('2022 SIC to NAICS'!D:D, MATCH('Processed Non-zero DMR Data'!$J471, '2022 SIC to NAICS'!$A:$A, 0))</f>
        <v xml:space="preserve">Lessors of Other Real Estate Property </v>
      </c>
      <c r="N471" s="90" t="str">
        <f>IFERROR(INDEX('NAICS Code to IS CDR Code'!B:B, MATCH('Processed Non-zero DMR Data'!L471,'NAICS Code to IS CDR Code'!A:A,0)), "NAICS/SIC Not Provided")</f>
        <v>IS47</v>
      </c>
      <c r="O471" s="91" t="str">
        <f>IFERROR(INDEX('NAICS Code to IS CDR Code'!C:C, MATCH('Processed Non-zero DMR Data'!L471,'NAICS Code to IS CDR Code'!A:A,0)), "NAICS/SIC Not Provided")</f>
        <v>Services</v>
      </c>
      <c r="P471" s="91" t="str">
        <f>INDEX('11DCA Mapping'!$K:$K, MATCH('Processed Non-zero DMR Data'!I139,'11DCA Mapping'!$J:$J,0))</f>
        <v>Natural Gas Engines</v>
      </c>
      <c r="Q471" s="91" t="str">
        <f>INDEX('11DCA Mapping'!$L:$L, MATCH('Processed Non-zero DMR Data'!I139,'11DCA Mapping'!$J:$J,0))</f>
        <v>Suggested OES, “Natural Gas Engines.” Other airports and air traffic control sites were mapped to this OES.</v>
      </c>
      <c r="R471" s="91" t="str">
        <f>VLOOKUP(I471,'DMR POTW Flag'!$A$2:$B$960,2,FALSE)</f>
        <v>NON-POTW</v>
      </c>
      <c r="S471" s="7" t="s">
        <v>72</v>
      </c>
      <c r="T471" s="244" t="s">
        <v>1015</v>
      </c>
      <c r="U471" s="8">
        <f>COUNTIFS('Raw Non-zero DMR Data'!$A:$A, 'Processed Non-zero DMR Data'!A471, 'Raw Non-zero DMR Data'!$C:$C, X471, 'Raw Non-zero DMR Data'!$U:$U,'Processed Non-zero DMR Data'!Y471)</f>
        <v>1</v>
      </c>
      <c r="V471" s="8">
        <f>COUNTIFS('Raw Non-zero DMR Data'!$A:$A, 'Processed Non-zero DMR Data'!A471, 'Raw Non-zero DMR Data'!$C:$C, X471, 'Raw Non-zero DMR Data'!$U:$U,'Processed Non-zero DMR Data'!Y471,'Raw Non-zero DMR Data'!$Z:$Z,"Yes")</f>
        <v>1</v>
      </c>
      <c r="W471">
        <v>7.94376875E-3</v>
      </c>
      <c r="X471" t="s">
        <v>1016</v>
      </c>
      <c r="Y471" t="s">
        <v>570</v>
      </c>
      <c r="Z471" s="257">
        <v>181002040701</v>
      </c>
    </row>
    <row r="472" spans="1:26" ht="15" customHeight="1" x14ac:dyDescent="0.25">
      <c r="A472">
        <v>2023</v>
      </c>
      <c r="B472" t="s">
        <v>516</v>
      </c>
      <c r="C472" t="s">
        <v>517</v>
      </c>
      <c r="D472" t="s">
        <v>736</v>
      </c>
      <c r="E472" t="s">
        <v>146</v>
      </c>
      <c r="F472">
        <v>38.055900000000001</v>
      </c>
      <c r="G472">
        <v>-122.21435</v>
      </c>
      <c r="I472" s="1">
        <v>110001163062</v>
      </c>
      <c r="J472">
        <v>4931</v>
      </c>
      <c r="K472" s="175" t="str">
        <f>INDEX('2022 SIC to NAICS'!B:B, MATCH('Processed Non-zero DMR Data'!$J472, '2022 SIC to NAICS'!$A:$A, 0))</f>
        <v>Electric and Other Services Combined</v>
      </c>
      <c r="L472" s="175">
        <f>INDEX('2022 SIC to NAICS'!C:C, MATCH('Processed Non-zero DMR Data'!$J472, '2022 SIC to NAICS'!$A:$A, 0))</f>
        <v>221111</v>
      </c>
      <c r="M472" s="175" t="str">
        <f>INDEX('2022 SIC to NAICS'!D:D, MATCH('Processed Non-zero DMR Data'!$J472, '2022 SIC to NAICS'!$A:$A, 0))</f>
        <v xml:space="preserve">Hydroelectric Power Generation </v>
      </c>
      <c r="N472" s="90" t="str">
        <f>IFERROR(INDEX('NAICS Code to IS CDR Code'!B:B, MATCH('Processed Non-zero DMR Data'!L472,'NAICS Code to IS CDR Code'!A:A,0)), "NAICS/SIC Not Provided")</f>
        <v>NAICS/SIC Not Provided</v>
      </c>
      <c r="O472" s="91" t="str">
        <f>IFERROR(INDEX('NAICS Code to IS CDR Code'!C:C, MATCH('Processed Non-zero DMR Data'!L472,'NAICS Code to IS CDR Code'!A:A,0)), "NAICS/SIC Not Provided")</f>
        <v>NAICS/SIC Not Provided</v>
      </c>
      <c r="P472" s="91" t="str">
        <f>INDEX('11DCA Mapping'!$K:$K, MATCH('Processed Non-zero DMR Data'!I140,'11DCA Mapping'!$J:$J,0))</f>
        <v>Unknown</v>
      </c>
      <c r="Q472" s="91" t="str">
        <f>INDEX('11DCA Mapping'!$L:$L, MATCH('Processed Non-zero DMR Data'!I140,'11DCA Mapping'!$J:$J,0))</f>
        <v>Unknown how ship building and repairing would fit into any of the OES's</v>
      </c>
      <c r="R472" s="91" t="str">
        <f>VLOOKUP(I472,'DMR POTW Flag'!$A$2:$B$960,2,FALSE)</f>
        <v>NON-POTW</v>
      </c>
      <c r="S472" s="7" t="s">
        <v>72</v>
      </c>
      <c r="T472" s="244" t="s">
        <v>1017</v>
      </c>
      <c r="U472" s="8">
        <f>COUNTIFS('Raw Non-zero DMR Data'!$A:$A, 'Processed Non-zero DMR Data'!A472, 'Raw Non-zero DMR Data'!$C:$C, X472, 'Raw Non-zero DMR Data'!$U:$U,'Processed Non-zero DMR Data'!Y472)</f>
        <v>1</v>
      </c>
      <c r="V472" s="8">
        <f>COUNTIFS('Raw Non-zero DMR Data'!$A:$A, 'Processed Non-zero DMR Data'!A472, 'Raw Non-zero DMR Data'!$C:$C, X472, 'Raw Non-zero DMR Data'!$U:$U,'Processed Non-zero DMR Data'!Y472,'Raw Non-zero DMR Data'!$Z:$Z,"Yes")</f>
        <v>1</v>
      </c>
      <c r="W472">
        <v>2.7174161569625001E-3</v>
      </c>
      <c r="X472" t="s">
        <v>1018</v>
      </c>
      <c r="Y472" t="s">
        <v>1019</v>
      </c>
      <c r="Z472" s="257">
        <v>180500010303</v>
      </c>
    </row>
    <row r="473" spans="1:26" ht="15" customHeight="1" x14ac:dyDescent="0.25">
      <c r="A473">
        <v>2019</v>
      </c>
      <c r="B473" t="s">
        <v>147</v>
      </c>
      <c r="C473" t="s">
        <v>148</v>
      </c>
      <c r="D473" t="s">
        <v>1020</v>
      </c>
      <c r="E473" t="s">
        <v>138</v>
      </c>
      <c r="F473">
        <v>37.845027999999999</v>
      </c>
      <c r="G473">
        <v>-85.940962999999996</v>
      </c>
      <c r="I473" s="1">
        <v>110000732253</v>
      </c>
      <c r="J473">
        <v>4952</v>
      </c>
      <c r="K473" s="175" t="str">
        <f>INDEX('2022 SIC to NAICS'!B:B, MATCH('Processed Non-zero DMR Data'!$J473, '2022 SIC to NAICS'!$A:$A, 0))</f>
        <v>Sewerage Systems</v>
      </c>
      <c r="L473" s="175">
        <f>INDEX('2022 SIC to NAICS'!C:C, MATCH('Processed Non-zero DMR Data'!$J473, '2022 SIC to NAICS'!$A:$A, 0))</f>
        <v>221320</v>
      </c>
      <c r="M473" s="175" t="str">
        <f>INDEX('2022 SIC to NAICS'!D:D, MATCH('Processed Non-zero DMR Data'!$J473, '2022 SIC to NAICS'!$A:$A, 0))</f>
        <v xml:space="preserve">Sewage Treatment Facilities </v>
      </c>
      <c r="N473" s="90" t="str">
        <f>IFERROR(INDEX('NAICS Code to IS CDR Code'!B:B, MATCH('Processed Non-zero DMR Data'!L473,'NAICS Code to IS CDR Code'!A:A,0)), "NAICS/SIC Not Provided")</f>
        <v>IS4</v>
      </c>
      <c r="O473" s="91" t="str">
        <f>IFERROR(INDEX('NAICS Code to IS CDR Code'!C:C, MATCH('Processed Non-zero DMR Data'!L473,'NAICS Code to IS CDR Code'!A:A,0)), "NAICS/SIC Not Provided")</f>
        <v>Utilities</v>
      </c>
      <c r="P473" s="91" t="e">
        <f>INDEX('11DCA Mapping'!$K:$K, MATCH('Processed Non-zero DMR Data'!I479,'11DCA Mapping'!$J:$J,0))</f>
        <v>#N/A</v>
      </c>
      <c r="Q473" s="91" t="e">
        <f>INDEX('11DCA Mapping'!$L:$L, MATCH('Processed Non-zero DMR Data'!I479,'11DCA Mapping'!$J:$J,0))</f>
        <v>#N/A</v>
      </c>
      <c r="R473" s="250" t="str">
        <f>VLOOKUP(I473,'DMR POTW Flag'!$A$2:$B$960,2,FALSE)</f>
        <v>POTW</v>
      </c>
      <c r="S473" s="7" t="s">
        <v>67</v>
      </c>
      <c r="T473" s="249" t="s">
        <v>586</v>
      </c>
      <c r="U473" s="8">
        <f>COUNTIFS('Raw Non-zero DMR Data'!$A:$A, 'Processed Non-zero DMR Data'!A473, 'Raw Non-zero DMR Data'!$C:$C, X473, 'Raw Non-zero DMR Data'!$U:$U,'Processed Non-zero DMR Data'!Y473)</f>
        <v>1</v>
      </c>
      <c r="V473" s="8">
        <f>COUNTIFS('Raw Non-zero DMR Data'!$A:$A, 'Processed Non-zero DMR Data'!A473, 'Raw Non-zero DMR Data'!$C:$C, X473, 'Raw Non-zero DMR Data'!$U:$U,'Processed Non-zero DMR Data'!Y473,'Raw Non-zero DMR Data'!$Z:$Z,"Yes")</f>
        <v>1</v>
      </c>
      <c r="W473">
        <v>13.5216759375</v>
      </c>
      <c r="X473" t="s">
        <v>1021</v>
      </c>
      <c r="Y473" t="s">
        <v>1022</v>
      </c>
      <c r="Z473" s="257">
        <v>51401021302</v>
      </c>
    </row>
    <row r="474" spans="1:26" ht="15" customHeight="1" x14ac:dyDescent="0.25">
      <c r="A474">
        <v>2020</v>
      </c>
      <c r="B474" t="s">
        <v>147</v>
      </c>
      <c r="C474" t="s">
        <v>148</v>
      </c>
      <c r="D474" t="s">
        <v>1020</v>
      </c>
      <c r="E474" t="s">
        <v>138</v>
      </c>
      <c r="F474">
        <v>37.845027999999999</v>
      </c>
      <c r="G474">
        <v>-85.940962999999996</v>
      </c>
      <c r="I474" s="1">
        <v>110000732253</v>
      </c>
      <c r="J474">
        <v>4952</v>
      </c>
      <c r="K474" s="175" t="str">
        <f>INDEX('2022 SIC to NAICS'!B:B, MATCH('Processed Non-zero DMR Data'!$J474, '2022 SIC to NAICS'!$A:$A, 0))</f>
        <v>Sewerage Systems</v>
      </c>
      <c r="L474" s="175">
        <f>INDEX('2022 SIC to NAICS'!C:C, MATCH('Processed Non-zero DMR Data'!$J474, '2022 SIC to NAICS'!$A:$A, 0))</f>
        <v>221320</v>
      </c>
      <c r="M474" s="175" t="str">
        <f>INDEX('2022 SIC to NAICS'!D:D, MATCH('Processed Non-zero DMR Data'!$J474, '2022 SIC to NAICS'!$A:$A, 0))</f>
        <v xml:space="preserve">Sewage Treatment Facilities </v>
      </c>
      <c r="N474" s="90" t="str">
        <f>IFERROR(INDEX('NAICS Code to IS CDR Code'!B:B, MATCH('Processed Non-zero DMR Data'!L474,'NAICS Code to IS CDR Code'!A:A,0)), "NAICS/SIC Not Provided")</f>
        <v>IS4</v>
      </c>
      <c r="O474" s="91" t="str">
        <f>IFERROR(INDEX('NAICS Code to IS CDR Code'!C:C, MATCH('Processed Non-zero DMR Data'!L474,'NAICS Code to IS CDR Code'!A:A,0)), "NAICS/SIC Not Provided")</f>
        <v>Utilities</v>
      </c>
      <c r="P474" s="91" t="e">
        <f>INDEX('11DCA Mapping'!$K:$K, MATCH('Processed Non-zero DMR Data'!I480,'11DCA Mapping'!$J:$J,0))</f>
        <v>#N/A</v>
      </c>
      <c r="Q474" s="91" t="e">
        <f>INDEX('11DCA Mapping'!$L:$L, MATCH('Processed Non-zero DMR Data'!I480,'11DCA Mapping'!$J:$J,0))</f>
        <v>#N/A</v>
      </c>
      <c r="R474" s="250" t="str">
        <f>VLOOKUP(I474,'DMR POTW Flag'!$A$2:$B$960,2,FALSE)</f>
        <v>POTW</v>
      </c>
      <c r="S474" s="7" t="s">
        <v>67</v>
      </c>
      <c r="T474" s="249" t="s">
        <v>586</v>
      </c>
      <c r="U474" s="8">
        <f>COUNTIFS('Raw Non-zero DMR Data'!$A:$A, 'Processed Non-zero DMR Data'!A474, 'Raw Non-zero DMR Data'!$C:$C, X474, 'Raw Non-zero DMR Data'!$U:$U,'Processed Non-zero DMR Data'!Y474)</f>
        <v>1</v>
      </c>
      <c r="V474" s="8">
        <f>COUNTIFS('Raw Non-zero DMR Data'!$A:$A, 'Processed Non-zero DMR Data'!A474, 'Raw Non-zero DMR Data'!$C:$C, X474, 'Raw Non-zero DMR Data'!$U:$U,'Processed Non-zero DMR Data'!Y474,'Raw Non-zero DMR Data'!$Z:$Z,"Yes")</f>
        <v>1</v>
      </c>
      <c r="W474">
        <v>8.2511580625000001</v>
      </c>
      <c r="X474" t="s">
        <v>1021</v>
      </c>
      <c r="Y474" t="s">
        <v>1022</v>
      </c>
      <c r="Z474" s="257">
        <v>51401021302</v>
      </c>
    </row>
    <row r="475" spans="1:26" ht="15" customHeight="1" x14ac:dyDescent="0.25">
      <c r="A475">
        <v>2021</v>
      </c>
      <c r="B475" t="s">
        <v>147</v>
      </c>
      <c r="C475" t="s">
        <v>148</v>
      </c>
      <c r="D475" t="s">
        <v>1020</v>
      </c>
      <c r="E475" t="s">
        <v>138</v>
      </c>
      <c r="F475">
        <v>37.845027999999999</v>
      </c>
      <c r="G475">
        <v>-85.940962999999996</v>
      </c>
      <c r="I475" s="1">
        <v>110000732253</v>
      </c>
      <c r="J475">
        <v>4952</v>
      </c>
      <c r="K475" s="175" t="str">
        <f>INDEX('2022 SIC to NAICS'!B:B, MATCH('Processed Non-zero DMR Data'!$J475, '2022 SIC to NAICS'!$A:$A, 0))</f>
        <v>Sewerage Systems</v>
      </c>
      <c r="L475" s="175">
        <f>INDEX('2022 SIC to NAICS'!C:C, MATCH('Processed Non-zero DMR Data'!$J475, '2022 SIC to NAICS'!$A:$A, 0))</f>
        <v>221320</v>
      </c>
      <c r="M475" s="175" t="str">
        <f>INDEX('2022 SIC to NAICS'!D:D, MATCH('Processed Non-zero DMR Data'!$J475, '2022 SIC to NAICS'!$A:$A, 0))</f>
        <v xml:space="preserve">Sewage Treatment Facilities </v>
      </c>
      <c r="N475" s="90" t="str">
        <f>IFERROR(INDEX('NAICS Code to IS CDR Code'!B:B, MATCH('Processed Non-zero DMR Data'!L475,'NAICS Code to IS CDR Code'!A:A,0)), "NAICS/SIC Not Provided")</f>
        <v>IS4</v>
      </c>
      <c r="O475" s="91" t="str">
        <f>IFERROR(INDEX('NAICS Code to IS CDR Code'!C:C, MATCH('Processed Non-zero DMR Data'!L475,'NAICS Code to IS CDR Code'!A:A,0)), "NAICS/SIC Not Provided")</f>
        <v>Utilities</v>
      </c>
      <c r="P475" s="91" t="e">
        <f>INDEX('11DCA Mapping'!$K:$K, MATCH('Processed Non-zero DMR Data'!I481,'11DCA Mapping'!$J:$J,0))</f>
        <v>#N/A</v>
      </c>
      <c r="Q475" s="91" t="e">
        <f>INDEX('11DCA Mapping'!$L:$L, MATCH('Processed Non-zero DMR Data'!I481,'11DCA Mapping'!$J:$J,0))</f>
        <v>#N/A</v>
      </c>
      <c r="R475" s="250" t="str">
        <f>VLOOKUP(I475,'DMR POTW Flag'!$A$2:$B$960,2,FALSE)</f>
        <v>POTW</v>
      </c>
      <c r="S475" s="7" t="s">
        <v>67</v>
      </c>
      <c r="T475" s="249" t="s">
        <v>586</v>
      </c>
      <c r="U475" s="8">
        <f>COUNTIFS('Raw Non-zero DMR Data'!$A:$A, 'Processed Non-zero DMR Data'!A475, 'Raw Non-zero DMR Data'!$C:$C, X475, 'Raw Non-zero DMR Data'!$U:$U,'Processed Non-zero DMR Data'!Y475)</f>
        <v>1</v>
      </c>
      <c r="V475" s="8">
        <f>COUNTIFS('Raw Non-zero DMR Data'!$A:$A, 'Processed Non-zero DMR Data'!A475, 'Raw Non-zero DMR Data'!$C:$C, X475, 'Raw Non-zero DMR Data'!$U:$U,'Processed Non-zero DMR Data'!Y475,'Raw Non-zero DMR Data'!$Z:$Z,"Yes")</f>
        <v>1</v>
      </c>
      <c r="W475">
        <v>8.8935671875000004</v>
      </c>
      <c r="X475" t="s">
        <v>1021</v>
      </c>
      <c r="Y475" t="s">
        <v>1022</v>
      </c>
      <c r="Z475" s="257">
        <v>51401021302</v>
      </c>
    </row>
    <row r="476" spans="1:26" ht="15" customHeight="1" x14ac:dyDescent="0.25">
      <c r="A476">
        <v>2021</v>
      </c>
      <c r="B476" t="s">
        <v>441</v>
      </c>
      <c r="C476" t="s">
        <v>442</v>
      </c>
      <c r="D476" t="s">
        <v>1023</v>
      </c>
      <c r="E476" t="s">
        <v>138</v>
      </c>
      <c r="F476">
        <v>37.861111000000001</v>
      </c>
      <c r="G476">
        <v>-83.871667000000002</v>
      </c>
      <c r="I476" s="1">
        <v>110009938470</v>
      </c>
      <c r="J476">
        <v>4952</v>
      </c>
      <c r="K476" s="175" t="str">
        <f>INDEX('2022 SIC to NAICS'!B:B, MATCH('Processed Non-zero DMR Data'!$J476, '2022 SIC to NAICS'!$A:$A, 0))</f>
        <v>Sewerage Systems</v>
      </c>
      <c r="L476" s="175">
        <f>INDEX('2022 SIC to NAICS'!C:C, MATCH('Processed Non-zero DMR Data'!$J476, '2022 SIC to NAICS'!$A:$A, 0))</f>
        <v>221320</v>
      </c>
      <c r="M476" s="175" t="str">
        <f>INDEX('2022 SIC to NAICS'!D:D, MATCH('Processed Non-zero DMR Data'!$J476, '2022 SIC to NAICS'!$A:$A, 0))</f>
        <v xml:space="preserve">Sewage Treatment Facilities </v>
      </c>
      <c r="N476" s="90" t="str">
        <f>IFERROR(INDEX('NAICS Code to IS CDR Code'!B:B, MATCH('Processed Non-zero DMR Data'!L476,'NAICS Code to IS CDR Code'!A:A,0)), "NAICS/SIC Not Provided")</f>
        <v>IS4</v>
      </c>
      <c r="O476" s="91" t="str">
        <f>IFERROR(INDEX('NAICS Code to IS CDR Code'!C:C, MATCH('Processed Non-zero DMR Data'!L476,'NAICS Code to IS CDR Code'!A:A,0)), "NAICS/SIC Not Provided")</f>
        <v>Utilities</v>
      </c>
      <c r="P476" s="91" t="str">
        <f>INDEX('11DCA Mapping'!$K:$K, MATCH('Processed Non-zero DMR Data'!I482,'11DCA Mapping'!$J:$J,0))</f>
        <v>POTW</v>
      </c>
      <c r="Q476" s="91" t="str">
        <f>INDEX('11DCA Mapping'!$L:$L, MATCH('Processed Non-zero DMR Data'!I482,'11DCA Mapping'!$J:$J,0))</f>
        <v>Based on DMR "Facility Type Indicator"</v>
      </c>
      <c r="R476" s="250" t="str">
        <f>VLOOKUP(I476,'DMR POTW Flag'!$A$2:$B$960,2,FALSE)</f>
        <v>POTW</v>
      </c>
      <c r="S476" s="7" t="s">
        <v>67</v>
      </c>
      <c r="T476" s="249" t="s">
        <v>586</v>
      </c>
      <c r="U476" s="8">
        <f>COUNTIFS('Raw Non-zero DMR Data'!$A:$A, 'Processed Non-zero DMR Data'!A476, 'Raw Non-zero DMR Data'!$C:$C, X476, 'Raw Non-zero DMR Data'!$U:$U,'Processed Non-zero DMR Data'!Y476)</f>
        <v>1</v>
      </c>
      <c r="V476" s="8">
        <f>COUNTIFS('Raw Non-zero DMR Data'!$A:$A, 'Processed Non-zero DMR Data'!A476, 'Raw Non-zero DMR Data'!$C:$C, X476, 'Raw Non-zero DMR Data'!$U:$U,'Processed Non-zero DMR Data'!Y476,'Raw Non-zero DMR Data'!$Z:$Z,"Yes")</f>
        <v>1</v>
      </c>
      <c r="W476">
        <v>3.9718843750000001</v>
      </c>
      <c r="X476" t="s">
        <v>1024</v>
      </c>
      <c r="Y476" t="s">
        <v>1025</v>
      </c>
      <c r="Z476" s="257">
        <v>51002040302</v>
      </c>
    </row>
    <row r="477" spans="1:26" ht="15" customHeight="1" x14ac:dyDescent="0.25">
      <c r="A477">
        <v>2023</v>
      </c>
      <c r="B477" t="s">
        <v>523</v>
      </c>
      <c r="C477" t="s">
        <v>190</v>
      </c>
      <c r="D477" t="s">
        <v>566</v>
      </c>
      <c r="E477" t="s">
        <v>146</v>
      </c>
      <c r="F477">
        <v>32.796432000000003</v>
      </c>
      <c r="G477">
        <v>-115.667761</v>
      </c>
      <c r="I477" s="1">
        <v>110013128169</v>
      </c>
      <c r="J477">
        <v>4952</v>
      </c>
      <c r="K477" s="175" t="str">
        <f>INDEX('2022 SIC to NAICS'!B:B, MATCH('Processed Non-zero DMR Data'!$J477, '2022 SIC to NAICS'!$A:$A, 0))</f>
        <v>Sewerage Systems</v>
      </c>
      <c r="L477" s="175">
        <f>INDEX('2022 SIC to NAICS'!C:C, MATCH('Processed Non-zero DMR Data'!$J477, '2022 SIC to NAICS'!$A:$A, 0))</f>
        <v>221320</v>
      </c>
      <c r="M477" s="175" t="str">
        <f>INDEX('2022 SIC to NAICS'!D:D, MATCH('Processed Non-zero DMR Data'!$J477, '2022 SIC to NAICS'!$A:$A, 0))</f>
        <v xml:space="preserve">Sewage Treatment Facilities </v>
      </c>
      <c r="N477" s="90" t="str">
        <f>IFERROR(INDEX('NAICS Code to IS CDR Code'!B:B, MATCH('Processed Non-zero DMR Data'!L477,'NAICS Code to IS CDR Code'!A:A,0)), "NAICS/SIC Not Provided")</f>
        <v>IS4</v>
      </c>
      <c r="O477" s="91" t="str">
        <f>IFERROR(INDEX('NAICS Code to IS CDR Code'!C:C, MATCH('Processed Non-zero DMR Data'!L477,'NAICS Code to IS CDR Code'!A:A,0)), "NAICS/SIC Not Provided")</f>
        <v>Utilities</v>
      </c>
      <c r="P477" s="91" t="str">
        <f>INDEX('11DCA Mapping'!$K:$K, MATCH('Processed Non-zero DMR Data'!I149,'11DCA Mapping'!$J:$J,0))</f>
        <v>Processing as a Reactant</v>
      </c>
      <c r="Q477" s="91" t="str">
        <f>INDEX('11DCA Mapping'!$L:$L, MATCH('Processed Non-zero DMR Data'!I149,'11DCA Mapping'!$J:$J,0))</f>
        <v>Based on SIC code</v>
      </c>
      <c r="R477" s="91" t="str">
        <f>VLOOKUP(I477,'DMR POTW Flag'!$A$2:$B$960,2,FALSE)</f>
        <v>NON-POTW</v>
      </c>
      <c r="S477" s="7" t="s">
        <v>72</v>
      </c>
      <c r="T477" s="244" t="s">
        <v>1026</v>
      </c>
      <c r="U477" s="8">
        <f>COUNTIFS('Raw Non-zero DMR Data'!$A:$A, 'Processed Non-zero DMR Data'!A477, 'Raw Non-zero DMR Data'!$C:$C, X477, 'Raw Non-zero DMR Data'!$U:$U,'Processed Non-zero DMR Data'!Y477)</f>
        <v>1</v>
      </c>
      <c r="V477" s="8">
        <f>COUNTIFS('Raw Non-zero DMR Data'!$A:$A, 'Processed Non-zero DMR Data'!A477, 'Raw Non-zero DMR Data'!$C:$C, X477, 'Raw Non-zero DMR Data'!$U:$U,'Processed Non-zero DMR Data'!Y477,'Raw Non-zero DMR Data'!$Z:$Z,"Yes")</f>
        <v>1</v>
      </c>
      <c r="W477">
        <v>2.0722875000000001E-3</v>
      </c>
      <c r="X477" t="s">
        <v>1027</v>
      </c>
      <c r="Y477" t="s">
        <v>674</v>
      </c>
      <c r="Z477" s="257">
        <v>181002040902</v>
      </c>
    </row>
    <row r="478" spans="1:26" ht="15" customHeight="1" x14ac:dyDescent="0.25">
      <c r="A478">
        <v>2023</v>
      </c>
      <c r="B478" t="s">
        <v>216</v>
      </c>
      <c r="C478" t="s">
        <v>217</v>
      </c>
      <c r="D478" t="s">
        <v>571</v>
      </c>
      <c r="E478" t="s">
        <v>218</v>
      </c>
      <c r="F478">
        <v>40.393799999999999</v>
      </c>
      <c r="G478">
        <v>-105.074</v>
      </c>
      <c r="I478" s="1">
        <v>110070053140</v>
      </c>
      <c r="J478">
        <v>7521</v>
      </c>
      <c r="K478" s="175" t="str">
        <f>INDEX('2022 SIC to NAICS'!B:B, MATCH('Processed Non-zero DMR Data'!$J478, '2022 SIC to NAICS'!$A:$A, 0))</f>
        <v>Automobile Parking</v>
      </c>
      <c r="L478" s="175">
        <f>INDEX('2022 SIC to NAICS'!C:C, MATCH('Processed Non-zero DMR Data'!$J478, '2022 SIC to NAICS'!$A:$A, 0))</f>
        <v>812930</v>
      </c>
      <c r="M478" s="175" t="str">
        <f>INDEX('2022 SIC to NAICS'!D:D, MATCH('Processed Non-zero DMR Data'!$J478, '2022 SIC to NAICS'!$A:$A, 0))</f>
        <v xml:space="preserve">Parking Lots and Garages </v>
      </c>
      <c r="N478" s="90" t="str">
        <f>IFERROR(INDEX('NAICS Code to IS CDR Code'!B:B, MATCH('Processed Non-zero DMR Data'!L478,'NAICS Code to IS CDR Code'!A:A,0)), "NAICS/SIC Not Provided")</f>
        <v>IS47</v>
      </c>
      <c r="O478" s="91" t="str">
        <f>IFERROR(INDEX('NAICS Code to IS CDR Code'!C:C, MATCH('Processed Non-zero DMR Data'!L478,'NAICS Code to IS CDR Code'!A:A,0)), "NAICS/SIC Not Provided")</f>
        <v>Services</v>
      </c>
      <c r="P478" s="91" t="str">
        <f>INDEX('11DCA Mapping'!$K:$K, MATCH('Processed Non-zero DMR Data'!I239,'11DCA Mapping'!$J:$J,0))</f>
        <v>Waste Handling, Disposal, Treatment, and Recycling</v>
      </c>
      <c r="Q478" s="91" t="str">
        <f>INDEX('11DCA Mapping'!$L:$L, MATCH('Processed Non-zero DMR Data'!I239,'11DCA Mapping'!$J:$J,0))</f>
        <v>Site name is a produced water reclamation facility - assumed produced waste water from hydraulic fracturing</v>
      </c>
      <c r="R478" s="91" t="str">
        <f>VLOOKUP(I478,'DMR POTW Flag'!$A$2:$B$960,2,FALSE)</f>
        <v>NON-POTW</v>
      </c>
      <c r="S478" s="7" t="s">
        <v>72</v>
      </c>
      <c r="T478" s="244" t="s">
        <v>572</v>
      </c>
      <c r="U478" s="8">
        <f>COUNTIFS('Raw Non-zero DMR Data'!$A:$A, 'Processed Non-zero DMR Data'!A478, 'Raw Non-zero DMR Data'!$C:$C, X478, 'Raw Non-zero DMR Data'!$U:$U,'Processed Non-zero DMR Data'!Y478)</f>
        <v>1</v>
      </c>
      <c r="V478" s="8">
        <f>COUNTIFS('Raw Non-zero DMR Data'!$A:$A, 'Processed Non-zero DMR Data'!A478, 'Raw Non-zero DMR Data'!$C:$C, X478, 'Raw Non-zero DMR Data'!$U:$U,'Processed Non-zero DMR Data'!Y478,'Raw Non-zero DMR Data'!$Z:$Z,"Yes")</f>
        <v>1</v>
      </c>
      <c r="W478">
        <v>5.8727870750000001E-2</v>
      </c>
      <c r="X478" t="s">
        <v>573</v>
      </c>
      <c r="Y478" t="s">
        <v>574</v>
      </c>
      <c r="Z478" s="257">
        <v>101900060605</v>
      </c>
    </row>
    <row r="479" spans="1:26" ht="15" customHeight="1" x14ac:dyDescent="0.25">
      <c r="A479">
        <v>2023</v>
      </c>
      <c r="B479" t="s">
        <v>525</v>
      </c>
      <c r="C479" t="s">
        <v>157</v>
      </c>
      <c r="D479" t="s">
        <v>554</v>
      </c>
      <c r="E479" t="s">
        <v>158</v>
      </c>
      <c r="F479">
        <v>36.170819999999999</v>
      </c>
      <c r="G479">
        <v>-115.14431</v>
      </c>
      <c r="I479" s="1">
        <v>110004300596</v>
      </c>
      <c r="J479">
        <v>7011</v>
      </c>
      <c r="K479" s="175" t="str">
        <f>INDEX('2022 SIC to NAICS'!B:B, MATCH('Processed Non-zero DMR Data'!$J479, '2022 SIC to NAICS'!$A:$A, 0))</f>
        <v>Hotels and Motels</v>
      </c>
      <c r="L479" s="175">
        <f>INDEX('2022 SIC to NAICS'!C:C, MATCH('Processed Non-zero DMR Data'!$J479, '2022 SIC to NAICS'!$A:$A, 0))</f>
        <v>721110</v>
      </c>
      <c r="M479" s="175" t="str">
        <f>INDEX('2022 SIC to NAICS'!D:D, MATCH('Processed Non-zero DMR Data'!$J479, '2022 SIC to NAICS'!$A:$A, 0))</f>
        <v xml:space="preserve">Hotels (except Casino Hotels) and Motels </v>
      </c>
      <c r="N479" s="90" t="str">
        <f>IFERROR(INDEX('NAICS Code to IS CDR Code'!B:B, MATCH('Processed Non-zero DMR Data'!L479,'NAICS Code to IS CDR Code'!A:A,0)), "NAICS/SIC Not Provided")</f>
        <v>IS47</v>
      </c>
      <c r="O479" s="91" t="str">
        <f>IFERROR(INDEX('NAICS Code to IS CDR Code'!C:C, MATCH('Processed Non-zero DMR Data'!L479,'NAICS Code to IS CDR Code'!A:A,0)), "NAICS/SIC Not Provided")</f>
        <v>Services</v>
      </c>
      <c r="P479" s="91" t="str">
        <f>INDEX('11DCA Mapping'!$K:$K, MATCH('Processed Non-zero DMR Data'!I259,'11DCA Mapping'!$J:$J,0))</f>
        <v>POTW</v>
      </c>
      <c r="Q479" s="91" t="str">
        <f>INDEX('11DCA Mapping'!$L:$L, MATCH('Processed Non-zero DMR Data'!I259,'11DCA Mapping'!$J:$J,0))</f>
        <v>Assigned POTW per "Facility Type Indicator"</v>
      </c>
      <c r="R479" s="91" t="str">
        <f>VLOOKUP(I479,'DMR POTW Flag'!$A$2:$B$960,2,FALSE)</f>
        <v>NON-POTW</v>
      </c>
      <c r="S479" s="7" t="s">
        <v>72</v>
      </c>
      <c r="T479" s="244" t="s">
        <v>555</v>
      </c>
      <c r="U479" s="8">
        <f>COUNTIFS('Raw Non-zero DMR Data'!$A:$A, 'Processed Non-zero DMR Data'!A479, 'Raw Non-zero DMR Data'!$C:$C, X479, 'Raw Non-zero DMR Data'!$U:$U,'Processed Non-zero DMR Data'!Y479)</f>
        <v>1</v>
      </c>
      <c r="V479" s="8">
        <f>COUNTIFS('Raw Non-zero DMR Data'!$A:$A, 'Processed Non-zero DMR Data'!A479, 'Raw Non-zero DMR Data'!$C:$C, X479, 'Raw Non-zero DMR Data'!$U:$U,'Processed Non-zero DMR Data'!Y479,'Raw Non-zero DMR Data'!$Z:$Z,"Yes")</f>
        <v>1</v>
      </c>
      <c r="W479">
        <v>2.2898776875000001E-3</v>
      </c>
      <c r="X479" t="s">
        <v>1028</v>
      </c>
      <c r="Y479" t="s">
        <v>578</v>
      </c>
      <c r="Z479" s="257">
        <v>150100150604</v>
      </c>
    </row>
    <row r="480" spans="1:26" ht="15" customHeight="1" x14ac:dyDescent="0.25">
      <c r="A480">
        <v>2023</v>
      </c>
      <c r="B480" t="s">
        <v>445</v>
      </c>
      <c r="C480" t="s">
        <v>446</v>
      </c>
      <c r="D480" t="s">
        <v>446</v>
      </c>
      <c r="E480" t="s">
        <v>146</v>
      </c>
      <c r="F480">
        <v>33.990146000000003</v>
      </c>
      <c r="G480">
        <v>-118.36358</v>
      </c>
      <c r="I480" s="1">
        <v>110064624018</v>
      </c>
      <c r="J480">
        <v>2911</v>
      </c>
      <c r="K480" s="175" t="str">
        <f>INDEX('2022 SIC to NAICS'!B:B, MATCH('Processed Non-zero DMR Data'!$J480, '2022 SIC to NAICS'!$A:$A, 0))</f>
        <v>Petroleum Refining</v>
      </c>
      <c r="L480" s="175">
        <f>INDEX('2022 SIC to NAICS'!C:C, MATCH('Processed Non-zero DMR Data'!$J480, '2022 SIC to NAICS'!$A:$A, 0))</f>
        <v>324110</v>
      </c>
      <c r="M480" s="175" t="str">
        <f>INDEX('2022 SIC to NAICS'!D:D, MATCH('Processed Non-zero DMR Data'!$J480, '2022 SIC to NAICS'!$A:$A, 0))</f>
        <v>Petroleum Refineries</v>
      </c>
      <c r="N480" s="90" t="str">
        <f>IFERROR(INDEX('NAICS Code to IS CDR Code'!B:B, MATCH('Processed Non-zero DMR Data'!L480,'NAICS Code to IS CDR Code'!A:A,0)), "NAICS/SIC Not Provided")</f>
        <v>IS11</v>
      </c>
      <c r="O480" s="91" t="str">
        <f>IFERROR(INDEX('NAICS Code to IS CDR Code'!C:C, MATCH('Processed Non-zero DMR Data'!L480,'NAICS Code to IS CDR Code'!A:A,0)), "NAICS/SIC Not Provided")</f>
        <v>Petroleum Refineries</v>
      </c>
      <c r="P480" s="91" t="str">
        <f>INDEX('11DCA Mapping'!$K:$K, MATCH('Processed Non-zero DMR Data'!I331,'11DCA Mapping'!$J:$J,0))</f>
        <v>Processing as a Reactant</v>
      </c>
      <c r="Q480" s="91" t="str">
        <f>INDEX('11DCA Mapping'!$L:$L, MATCH('Processed Non-zero DMR Data'!I331,'11DCA Mapping'!$J:$J,0))</f>
        <v>Used mapping of other site with similar SIC description (Industrial Organic Chemicals)</v>
      </c>
      <c r="R480" s="91" t="str">
        <f>VLOOKUP(I480,'DMR POTW Flag'!$A$2:$B$960,2,FALSE)</f>
        <v>NON-POTW</v>
      </c>
      <c r="S480" s="7" t="s">
        <v>72</v>
      </c>
      <c r="T480" s="244" t="s">
        <v>820</v>
      </c>
      <c r="U480" s="8">
        <f>COUNTIFS('Raw Non-zero DMR Data'!$A:$A, 'Processed Non-zero DMR Data'!A480, 'Raw Non-zero DMR Data'!$C:$C, X480, 'Raw Non-zero DMR Data'!$U:$U,'Processed Non-zero DMR Data'!Y480)</f>
        <v>3</v>
      </c>
      <c r="V480" s="8">
        <f>COUNTIFS('Raw Non-zero DMR Data'!$A:$A, 'Processed Non-zero DMR Data'!A480, 'Raw Non-zero DMR Data'!$C:$C, X480, 'Raw Non-zero DMR Data'!$U:$U,'Processed Non-zero DMR Data'!Y480,'Raw Non-zero DMR Data'!$Z:$Z,"Yes")</f>
        <v>3</v>
      </c>
      <c r="W480">
        <v>0.20771228375</v>
      </c>
      <c r="X480" t="s">
        <v>821</v>
      </c>
      <c r="Y480" t="s">
        <v>822</v>
      </c>
      <c r="Z480" s="257">
        <v>180701040300</v>
      </c>
    </row>
    <row r="481" spans="1:26" ht="15" customHeight="1" x14ac:dyDescent="0.25">
      <c r="A481">
        <v>2023</v>
      </c>
      <c r="B481" t="s">
        <v>445</v>
      </c>
      <c r="C481" t="s">
        <v>446</v>
      </c>
      <c r="D481" t="s">
        <v>446</v>
      </c>
      <c r="E481" t="s">
        <v>146</v>
      </c>
      <c r="F481">
        <v>33.990146000000003</v>
      </c>
      <c r="G481">
        <v>-118.36358</v>
      </c>
      <c r="I481" s="1">
        <v>110064624018</v>
      </c>
      <c r="J481">
        <v>2911</v>
      </c>
      <c r="K481" s="175" t="str">
        <f>INDEX('2022 SIC to NAICS'!B:B, MATCH('Processed Non-zero DMR Data'!$J481, '2022 SIC to NAICS'!$A:$A, 0))</f>
        <v>Petroleum Refining</v>
      </c>
      <c r="L481" s="175">
        <f>INDEX('2022 SIC to NAICS'!C:C, MATCH('Processed Non-zero DMR Data'!$J481, '2022 SIC to NAICS'!$A:$A, 0))</f>
        <v>324110</v>
      </c>
      <c r="M481" s="175" t="str">
        <f>INDEX('2022 SIC to NAICS'!D:D, MATCH('Processed Non-zero DMR Data'!$J481, '2022 SIC to NAICS'!$A:$A, 0))</f>
        <v>Petroleum Refineries</v>
      </c>
      <c r="N481" s="90" t="str">
        <f>IFERROR(INDEX('NAICS Code to IS CDR Code'!B:B, MATCH('Processed Non-zero DMR Data'!L481,'NAICS Code to IS CDR Code'!A:A,0)), "NAICS/SIC Not Provided")</f>
        <v>IS11</v>
      </c>
      <c r="O481" s="91" t="str">
        <f>IFERROR(INDEX('NAICS Code to IS CDR Code'!C:C, MATCH('Processed Non-zero DMR Data'!L481,'NAICS Code to IS CDR Code'!A:A,0)), "NAICS/SIC Not Provided")</f>
        <v>Petroleum Refineries</v>
      </c>
      <c r="P481" s="91" t="str">
        <f>INDEX('11DCA Mapping'!$K:$K, MATCH('Processed Non-zero DMR Data'!I332,'11DCA Mapping'!$J:$J,0))</f>
        <v>Processing as a Reactant</v>
      </c>
      <c r="Q481" s="91" t="str">
        <f>INDEX('11DCA Mapping'!$L:$L, MATCH('Processed Non-zero DMR Data'!I332,'11DCA Mapping'!$J:$J,0))</f>
        <v>Used mapping of other site with similar SIC description (Industrial Organic Chemicals)</v>
      </c>
      <c r="R481" s="91" t="str">
        <f>VLOOKUP(I481,'DMR POTW Flag'!$A$2:$B$960,2,FALSE)</f>
        <v>NON-POTW</v>
      </c>
      <c r="S481" s="7" t="s">
        <v>72</v>
      </c>
      <c r="T481" s="244" t="s">
        <v>820</v>
      </c>
      <c r="U481" s="8">
        <f>COUNTIFS('Raw Non-zero DMR Data'!$A:$A, 'Processed Non-zero DMR Data'!A481, 'Raw Non-zero DMR Data'!$C:$C, X481, 'Raw Non-zero DMR Data'!$U:$U,'Processed Non-zero DMR Data'!Y481)</f>
        <v>3</v>
      </c>
      <c r="V481" s="8">
        <f>COUNTIFS('Raw Non-zero DMR Data'!$A:$A, 'Processed Non-zero DMR Data'!A481, 'Raw Non-zero DMR Data'!$C:$C, X481, 'Raw Non-zero DMR Data'!$U:$U,'Processed Non-zero DMR Data'!Y481,'Raw Non-zero DMR Data'!$Z:$Z,"Yes")</f>
        <v>3</v>
      </c>
      <c r="W481">
        <v>0.1823613</v>
      </c>
      <c r="X481" t="s">
        <v>821</v>
      </c>
      <c r="Y481" t="s">
        <v>822</v>
      </c>
      <c r="Z481" s="257">
        <v>180701040300</v>
      </c>
    </row>
    <row r="482" spans="1:26" ht="15" customHeight="1" x14ac:dyDescent="0.25">
      <c r="A482">
        <v>2019</v>
      </c>
      <c r="B482" t="s">
        <v>161</v>
      </c>
      <c r="C482" t="s">
        <v>162</v>
      </c>
      <c r="D482" t="s">
        <v>1029</v>
      </c>
      <c r="E482" t="s">
        <v>146</v>
      </c>
      <c r="F482">
        <v>34.055900000000001</v>
      </c>
      <c r="G482">
        <v>-117.36134</v>
      </c>
      <c r="I482" s="1">
        <v>110000525842</v>
      </c>
      <c r="J482">
        <v>4952</v>
      </c>
      <c r="K482" s="175" t="str">
        <f>INDEX('2022 SIC to NAICS'!B:B, MATCH('Processed Non-zero DMR Data'!$J482, '2022 SIC to NAICS'!$A:$A, 0))</f>
        <v>Sewerage Systems</v>
      </c>
      <c r="L482" s="175">
        <f>INDEX('2022 SIC to NAICS'!C:C, MATCH('Processed Non-zero DMR Data'!$J482, '2022 SIC to NAICS'!$A:$A, 0))</f>
        <v>221320</v>
      </c>
      <c r="M482" s="175" t="str">
        <f>INDEX('2022 SIC to NAICS'!D:D, MATCH('Processed Non-zero DMR Data'!$J482, '2022 SIC to NAICS'!$A:$A, 0))</f>
        <v xml:space="preserve">Sewage Treatment Facilities </v>
      </c>
      <c r="N482" s="90" t="str">
        <f>IFERROR(INDEX('NAICS Code to IS CDR Code'!B:B, MATCH('Processed Non-zero DMR Data'!L482,'NAICS Code to IS CDR Code'!A:A,0)), "NAICS/SIC Not Provided")</f>
        <v>IS4</v>
      </c>
      <c r="O482" s="91" t="str">
        <f>IFERROR(INDEX('NAICS Code to IS CDR Code'!C:C, MATCH('Processed Non-zero DMR Data'!L482,'NAICS Code to IS CDR Code'!A:A,0)), "NAICS/SIC Not Provided")</f>
        <v>Utilities</v>
      </c>
      <c r="P482" s="91" t="e">
        <f>INDEX('11DCA Mapping'!$K:$K, MATCH('Processed Non-zero DMR Data'!I488,'11DCA Mapping'!$J:$J,0))</f>
        <v>#N/A</v>
      </c>
      <c r="Q482" s="91" t="e">
        <f>INDEX('11DCA Mapping'!$L:$L, MATCH('Processed Non-zero DMR Data'!I488,'11DCA Mapping'!$J:$J,0))</f>
        <v>#N/A</v>
      </c>
      <c r="R482" s="250" t="str">
        <f>VLOOKUP(I482,'DMR POTW Flag'!$A$2:$B$960,2,FALSE)</f>
        <v>POTW</v>
      </c>
      <c r="S482" s="7" t="s">
        <v>67</v>
      </c>
      <c r="T482" s="249" t="s">
        <v>586</v>
      </c>
      <c r="U482" s="8">
        <f>COUNTIFS('Raw Non-zero DMR Data'!$A:$A, 'Processed Non-zero DMR Data'!A482, 'Raw Non-zero DMR Data'!$C:$C, X482, 'Raw Non-zero DMR Data'!$U:$U,'Processed Non-zero DMR Data'!Y482)</f>
        <v>1</v>
      </c>
      <c r="V482" s="8">
        <f>COUNTIFS('Raw Non-zero DMR Data'!$A:$A, 'Processed Non-zero DMR Data'!A482, 'Raw Non-zero DMR Data'!$C:$C, X482, 'Raw Non-zero DMR Data'!$U:$U,'Processed Non-zero DMR Data'!Y482,'Raw Non-zero DMR Data'!$Z:$Z,"Yes")</f>
        <v>1</v>
      </c>
      <c r="W482">
        <v>1.627694303125</v>
      </c>
      <c r="X482" t="s">
        <v>1030</v>
      </c>
      <c r="Y482" t="s">
        <v>1031</v>
      </c>
      <c r="Z482" s="257">
        <v>180702030804</v>
      </c>
    </row>
    <row r="483" spans="1:26" ht="15" customHeight="1" x14ac:dyDescent="0.25">
      <c r="A483">
        <v>2020</v>
      </c>
      <c r="B483" t="s">
        <v>161</v>
      </c>
      <c r="C483" t="s">
        <v>162</v>
      </c>
      <c r="D483" t="s">
        <v>1029</v>
      </c>
      <c r="E483" t="s">
        <v>146</v>
      </c>
      <c r="F483">
        <v>34.055900000000001</v>
      </c>
      <c r="G483">
        <v>-117.36134</v>
      </c>
      <c r="I483" s="1">
        <v>110000525842</v>
      </c>
      <c r="J483">
        <v>4952</v>
      </c>
      <c r="K483" s="175" t="str">
        <f>INDEX('2022 SIC to NAICS'!B:B, MATCH('Processed Non-zero DMR Data'!$J483, '2022 SIC to NAICS'!$A:$A, 0))</f>
        <v>Sewerage Systems</v>
      </c>
      <c r="L483" s="175">
        <f>INDEX('2022 SIC to NAICS'!C:C, MATCH('Processed Non-zero DMR Data'!$J483, '2022 SIC to NAICS'!$A:$A, 0))</f>
        <v>221320</v>
      </c>
      <c r="M483" s="175" t="str">
        <f>INDEX('2022 SIC to NAICS'!D:D, MATCH('Processed Non-zero DMR Data'!$J483, '2022 SIC to NAICS'!$A:$A, 0))</f>
        <v xml:space="preserve">Sewage Treatment Facilities </v>
      </c>
      <c r="N483" s="90" t="str">
        <f>IFERROR(INDEX('NAICS Code to IS CDR Code'!B:B, MATCH('Processed Non-zero DMR Data'!L483,'NAICS Code to IS CDR Code'!A:A,0)), "NAICS/SIC Not Provided")</f>
        <v>IS4</v>
      </c>
      <c r="O483" s="91" t="str">
        <f>IFERROR(INDEX('NAICS Code to IS CDR Code'!C:C, MATCH('Processed Non-zero DMR Data'!L483,'NAICS Code to IS CDR Code'!A:A,0)), "NAICS/SIC Not Provided")</f>
        <v>Utilities</v>
      </c>
      <c r="P483" s="91" t="str">
        <f>INDEX('11DCA Mapping'!$K:$K, MATCH('Processed Non-zero DMR Data'!I489,'11DCA Mapping'!$J:$J,0))</f>
        <v>POTW</v>
      </c>
      <c r="Q483" s="91" t="str">
        <f>INDEX('11DCA Mapping'!$L:$L, MATCH('Processed Non-zero DMR Data'!I489,'11DCA Mapping'!$J:$J,0))</f>
        <v>Based on DMR "Facility Type Indicator"</v>
      </c>
      <c r="R483" s="250" t="str">
        <f>VLOOKUP(I483,'DMR POTW Flag'!$A$2:$B$960,2,FALSE)</f>
        <v>POTW</v>
      </c>
      <c r="S483" s="7" t="s">
        <v>67</v>
      </c>
      <c r="T483" s="249" t="s">
        <v>586</v>
      </c>
      <c r="U483" s="8">
        <f>COUNTIFS('Raw Non-zero DMR Data'!$A:$A, 'Processed Non-zero DMR Data'!A483, 'Raw Non-zero DMR Data'!$C:$C, X483, 'Raw Non-zero DMR Data'!$U:$U,'Processed Non-zero DMR Data'!Y483)</f>
        <v>1</v>
      </c>
      <c r="V483" s="8">
        <f>COUNTIFS('Raw Non-zero DMR Data'!$A:$A, 'Processed Non-zero DMR Data'!A483, 'Raw Non-zero DMR Data'!$C:$C, X483, 'Raw Non-zero DMR Data'!$U:$U,'Processed Non-zero DMR Data'!Y483,'Raw Non-zero DMR Data'!$Z:$Z,"Yes")</f>
        <v>1</v>
      </c>
      <c r="W483">
        <v>2.38767924875</v>
      </c>
      <c r="X483" t="s">
        <v>1030</v>
      </c>
      <c r="Y483" t="s">
        <v>1031</v>
      </c>
      <c r="Z483" s="257">
        <v>180702030804</v>
      </c>
    </row>
    <row r="484" spans="1:26" ht="15" customHeight="1" x14ac:dyDescent="0.25">
      <c r="A484">
        <v>2021</v>
      </c>
      <c r="B484" t="s">
        <v>161</v>
      </c>
      <c r="C484" t="s">
        <v>162</v>
      </c>
      <c r="D484" t="s">
        <v>1029</v>
      </c>
      <c r="E484" t="s">
        <v>146</v>
      </c>
      <c r="F484">
        <v>34.055900000000001</v>
      </c>
      <c r="G484">
        <v>-117.36134</v>
      </c>
      <c r="I484" s="1">
        <v>110000525842</v>
      </c>
      <c r="J484">
        <v>4952</v>
      </c>
      <c r="K484" s="175" t="str">
        <f>INDEX('2022 SIC to NAICS'!B:B, MATCH('Processed Non-zero DMR Data'!$J484, '2022 SIC to NAICS'!$A:$A, 0))</f>
        <v>Sewerage Systems</v>
      </c>
      <c r="L484" s="175">
        <f>INDEX('2022 SIC to NAICS'!C:C, MATCH('Processed Non-zero DMR Data'!$J484, '2022 SIC to NAICS'!$A:$A, 0))</f>
        <v>221320</v>
      </c>
      <c r="M484" s="175" t="str">
        <f>INDEX('2022 SIC to NAICS'!D:D, MATCH('Processed Non-zero DMR Data'!$J484, '2022 SIC to NAICS'!$A:$A, 0))</f>
        <v xml:space="preserve">Sewage Treatment Facilities </v>
      </c>
      <c r="N484" s="90" t="str">
        <f>IFERROR(INDEX('NAICS Code to IS CDR Code'!B:B, MATCH('Processed Non-zero DMR Data'!L484,'NAICS Code to IS CDR Code'!A:A,0)), "NAICS/SIC Not Provided")</f>
        <v>IS4</v>
      </c>
      <c r="O484" s="91" t="str">
        <f>IFERROR(INDEX('NAICS Code to IS CDR Code'!C:C, MATCH('Processed Non-zero DMR Data'!L484,'NAICS Code to IS CDR Code'!A:A,0)), "NAICS/SIC Not Provided")</f>
        <v>Utilities</v>
      </c>
      <c r="P484" s="91" t="str">
        <f>INDEX('11DCA Mapping'!$K:$K, MATCH('Processed Non-zero DMR Data'!I490,'11DCA Mapping'!$J:$J,0))</f>
        <v>POTW</v>
      </c>
      <c r="Q484" s="91" t="str">
        <f>INDEX('11DCA Mapping'!$L:$L, MATCH('Processed Non-zero DMR Data'!I490,'11DCA Mapping'!$J:$J,0))</f>
        <v>Based on DMR "Facility Type Indicator"</v>
      </c>
      <c r="R484" s="250" t="str">
        <f>VLOOKUP(I484,'DMR POTW Flag'!$A$2:$B$960,2,FALSE)</f>
        <v>POTW</v>
      </c>
      <c r="S484" s="7" t="s">
        <v>67</v>
      </c>
      <c r="T484" s="249" t="s">
        <v>586</v>
      </c>
      <c r="U484" s="8">
        <f>COUNTIFS('Raw Non-zero DMR Data'!$A:$A, 'Processed Non-zero DMR Data'!A484, 'Raw Non-zero DMR Data'!$C:$C, X484, 'Raw Non-zero DMR Data'!$U:$U,'Processed Non-zero DMR Data'!Y484)</f>
        <v>1</v>
      </c>
      <c r="V484" s="8">
        <f>COUNTIFS('Raw Non-zero DMR Data'!$A:$A, 'Processed Non-zero DMR Data'!A484, 'Raw Non-zero DMR Data'!$C:$C, X484, 'Raw Non-zero DMR Data'!$U:$U,'Processed Non-zero DMR Data'!Y484,'Raw Non-zero DMR Data'!$Z:$Z,"Yes")</f>
        <v>1</v>
      </c>
      <c r="W484">
        <v>2.4102596125</v>
      </c>
      <c r="X484" t="s">
        <v>1030</v>
      </c>
      <c r="Y484" t="s">
        <v>1031</v>
      </c>
      <c r="Z484" s="257">
        <v>180702030804</v>
      </c>
    </row>
    <row r="485" spans="1:26" ht="15" customHeight="1" x14ac:dyDescent="0.25">
      <c r="A485">
        <v>2022</v>
      </c>
      <c r="B485" t="s">
        <v>161</v>
      </c>
      <c r="C485" t="s">
        <v>162</v>
      </c>
      <c r="D485" t="s">
        <v>1029</v>
      </c>
      <c r="E485" t="s">
        <v>146</v>
      </c>
      <c r="F485">
        <v>34.055900000000001</v>
      </c>
      <c r="G485">
        <v>-117.36134</v>
      </c>
      <c r="I485" s="1">
        <v>110000525842</v>
      </c>
      <c r="J485">
        <v>4952</v>
      </c>
      <c r="K485" s="175" t="str">
        <f>INDEX('2022 SIC to NAICS'!B:B, MATCH('Processed Non-zero DMR Data'!$J485, '2022 SIC to NAICS'!$A:$A, 0))</f>
        <v>Sewerage Systems</v>
      </c>
      <c r="L485" s="175">
        <f>INDEX('2022 SIC to NAICS'!C:C, MATCH('Processed Non-zero DMR Data'!$J485, '2022 SIC to NAICS'!$A:$A, 0))</f>
        <v>221320</v>
      </c>
      <c r="M485" s="175" t="str">
        <f>INDEX('2022 SIC to NAICS'!D:D, MATCH('Processed Non-zero DMR Data'!$J485, '2022 SIC to NAICS'!$A:$A, 0))</f>
        <v xml:space="preserve">Sewage Treatment Facilities </v>
      </c>
      <c r="N485" s="90" t="str">
        <f>IFERROR(INDEX('NAICS Code to IS CDR Code'!B:B, MATCH('Processed Non-zero DMR Data'!L485,'NAICS Code to IS CDR Code'!A:A,0)), "NAICS/SIC Not Provided")</f>
        <v>IS4</v>
      </c>
      <c r="O485" s="91" t="str">
        <f>IFERROR(INDEX('NAICS Code to IS CDR Code'!C:C, MATCH('Processed Non-zero DMR Data'!L485,'NAICS Code to IS CDR Code'!A:A,0)), "NAICS/SIC Not Provided")</f>
        <v>Utilities</v>
      </c>
      <c r="P485" s="91" t="str">
        <f>INDEX('11DCA Mapping'!$K:$K, MATCH('Processed Non-zero DMR Data'!I491,'11DCA Mapping'!$J:$J,0))</f>
        <v>Processing as a Reactant</v>
      </c>
      <c r="Q485" s="91" t="str">
        <f>INDEX('11DCA Mapping'!$L:$L, MATCH('Processed Non-zero DMR Data'!I491,'11DCA Mapping'!$J:$J,0))</f>
        <v>Assuming processing as a reactant based on SIC description</v>
      </c>
      <c r="R485" s="250" t="str">
        <f>VLOOKUP(I485,'DMR POTW Flag'!$A$2:$B$960,2,FALSE)</f>
        <v>POTW</v>
      </c>
      <c r="S485" s="7" t="s">
        <v>67</v>
      </c>
      <c r="T485" s="249" t="s">
        <v>586</v>
      </c>
      <c r="U485" s="8">
        <f>COUNTIFS('Raw Non-zero DMR Data'!$A:$A, 'Processed Non-zero DMR Data'!A485, 'Raw Non-zero DMR Data'!$C:$C, X485, 'Raw Non-zero DMR Data'!$U:$U,'Processed Non-zero DMR Data'!Y485)</f>
        <v>1</v>
      </c>
      <c r="V485" s="8">
        <f>COUNTIFS('Raw Non-zero DMR Data'!$A:$A, 'Processed Non-zero DMR Data'!A485, 'Raw Non-zero DMR Data'!$C:$C, X485, 'Raw Non-zero DMR Data'!$U:$U,'Processed Non-zero DMR Data'!Y485,'Raw Non-zero DMR Data'!$Z:$Z,"Yes")</f>
        <v>1</v>
      </c>
      <c r="W485">
        <v>1.8593714847</v>
      </c>
      <c r="X485" t="s">
        <v>1030</v>
      </c>
      <c r="Y485" t="s">
        <v>1031</v>
      </c>
      <c r="Z485" s="257">
        <v>180702030804</v>
      </c>
    </row>
    <row r="486" spans="1:26" ht="15" customHeight="1" x14ac:dyDescent="0.25">
      <c r="A486">
        <v>2023</v>
      </c>
      <c r="B486" t="s">
        <v>161</v>
      </c>
      <c r="C486" t="s">
        <v>162</v>
      </c>
      <c r="D486" t="s">
        <v>1029</v>
      </c>
      <c r="E486" t="s">
        <v>146</v>
      </c>
      <c r="F486">
        <v>34.055900000000001</v>
      </c>
      <c r="G486">
        <v>-117.36134</v>
      </c>
      <c r="I486" s="1">
        <v>110000525842</v>
      </c>
      <c r="J486">
        <v>4952</v>
      </c>
      <c r="K486" s="175" t="str">
        <f>INDEX('2022 SIC to NAICS'!B:B, MATCH('Processed Non-zero DMR Data'!$J486, '2022 SIC to NAICS'!$A:$A, 0))</f>
        <v>Sewerage Systems</v>
      </c>
      <c r="L486" s="175">
        <f>INDEX('2022 SIC to NAICS'!C:C, MATCH('Processed Non-zero DMR Data'!$J486, '2022 SIC to NAICS'!$A:$A, 0))</f>
        <v>221320</v>
      </c>
      <c r="M486" s="175" t="str">
        <f>INDEX('2022 SIC to NAICS'!D:D, MATCH('Processed Non-zero DMR Data'!$J486, '2022 SIC to NAICS'!$A:$A, 0))</f>
        <v xml:space="preserve">Sewage Treatment Facilities </v>
      </c>
      <c r="N486" s="90" t="str">
        <f>IFERROR(INDEX('NAICS Code to IS CDR Code'!B:B, MATCH('Processed Non-zero DMR Data'!L486,'NAICS Code to IS CDR Code'!A:A,0)), "NAICS/SIC Not Provided")</f>
        <v>IS4</v>
      </c>
      <c r="O486" s="91" t="str">
        <f>IFERROR(INDEX('NAICS Code to IS CDR Code'!C:C, MATCH('Processed Non-zero DMR Data'!L486,'NAICS Code to IS CDR Code'!A:A,0)), "NAICS/SIC Not Provided")</f>
        <v>Utilities</v>
      </c>
      <c r="P486" s="91" t="str">
        <f>INDEX('11DCA Mapping'!$K:$K, MATCH('Processed Non-zero DMR Data'!I492,'11DCA Mapping'!$J:$J,0))</f>
        <v>Processing as a Reactant</v>
      </c>
      <c r="Q486" s="91" t="str">
        <f>INDEX('11DCA Mapping'!$L:$L, MATCH('Processed Non-zero DMR Data'!I492,'11DCA Mapping'!$J:$J,0))</f>
        <v>Assuming processing as a reactant based on SIC description</v>
      </c>
      <c r="R486" s="250" t="str">
        <f>VLOOKUP(I486,'DMR POTW Flag'!$A$2:$B$960,2,FALSE)</f>
        <v>POTW</v>
      </c>
      <c r="S486" s="7" t="s">
        <v>67</v>
      </c>
      <c r="T486" s="249" t="s">
        <v>586</v>
      </c>
      <c r="U486" s="8">
        <f>COUNTIFS('Raw Non-zero DMR Data'!$A:$A, 'Processed Non-zero DMR Data'!A486, 'Raw Non-zero DMR Data'!$C:$C, X486, 'Raw Non-zero DMR Data'!$U:$U,'Processed Non-zero DMR Data'!Y486)</f>
        <v>1</v>
      </c>
      <c r="V486" s="8">
        <f>COUNTIFS('Raw Non-zero DMR Data'!$A:$A, 'Processed Non-zero DMR Data'!A486, 'Raw Non-zero DMR Data'!$C:$C, X486, 'Raw Non-zero DMR Data'!$U:$U,'Processed Non-zero DMR Data'!Y486,'Raw Non-zero DMR Data'!$Z:$Z,"Yes")</f>
        <v>1</v>
      </c>
      <c r="W486">
        <v>2.4338193449999999</v>
      </c>
      <c r="X486" t="s">
        <v>1030</v>
      </c>
      <c r="Y486" t="s">
        <v>1031</v>
      </c>
      <c r="Z486" s="257">
        <v>180702030804</v>
      </c>
    </row>
    <row r="487" spans="1:26" ht="15" customHeight="1" x14ac:dyDescent="0.25">
      <c r="A487">
        <v>2022</v>
      </c>
      <c r="B487" t="s">
        <v>495</v>
      </c>
      <c r="C487" t="s">
        <v>183</v>
      </c>
      <c r="D487" t="s">
        <v>627</v>
      </c>
      <c r="E487" t="s">
        <v>138</v>
      </c>
      <c r="F487">
        <v>37.801943999999999</v>
      </c>
      <c r="G487">
        <v>-84.261111</v>
      </c>
      <c r="I487" s="1">
        <v>110031112659</v>
      </c>
      <c r="J487">
        <v>4952</v>
      </c>
      <c r="K487" s="175" t="str">
        <f>INDEX('2022 SIC to NAICS'!B:B, MATCH('Processed Non-zero DMR Data'!$J487, '2022 SIC to NAICS'!$A:$A, 0))</f>
        <v>Sewerage Systems</v>
      </c>
      <c r="L487" s="175">
        <f>INDEX('2022 SIC to NAICS'!C:C, MATCH('Processed Non-zero DMR Data'!$J487, '2022 SIC to NAICS'!$A:$A, 0))</f>
        <v>221320</v>
      </c>
      <c r="M487" s="175" t="str">
        <f>INDEX('2022 SIC to NAICS'!D:D, MATCH('Processed Non-zero DMR Data'!$J487, '2022 SIC to NAICS'!$A:$A, 0))</f>
        <v xml:space="preserve">Sewage Treatment Facilities </v>
      </c>
      <c r="N487" s="90" t="str">
        <f>IFERROR(INDEX('NAICS Code to IS CDR Code'!B:B, MATCH('Processed Non-zero DMR Data'!L487,'NAICS Code to IS CDR Code'!A:A,0)), "NAICS/SIC Not Provided")</f>
        <v>IS4</v>
      </c>
      <c r="O487" s="91" t="str">
        <f>IFERROR(INDEX('NAICS Code to IS CDR Code'!C:C, MATCH('Processed Non-zero DMR Data'!L487,'NAICS Code to IS CDR Code'!A:A,0)), "NAICS/SIC Not Provided")</f>
        <v>Utilities</v>
      </c>
      <c r="P487" s="91" t="str">
        <f>INDEX('11DCA Mapping'!$K:$K, MATCH('Processed Non-zero DMR Data'!I493,'11DCA Mapping'!$J:$J,0))</f>
        <v>Processing as a Reactant</v>
      </c>
      <c r="Q487" s="91" t="str">
        <f>INDEX('11DCA Mapping'!$L:$L, MATCH('Processed Non-zero DMR Data'!I493,'11DCA Mapping'!$J:$J,0))</f>
        <v>Assuming processing as a reactant based on SIC description</v>
      </c>
      <c r="R487" s="250" t="str">
        <f>VLOOKUP(I487,'DMR POTW Flag'!$A$2:$B$960,2,FALSE)</f>
        <v>POTW</v>
      </c>
      <c r="S487" s="7" t="s">
        <v>67</v>
      </c>
      <c r="T487" s="249" t="s">
        <v>586</v>
      </c>
      <c r="U487" s="8">
        <f>COUNTIFS('Raw Non-zero DMR Data'!$A:$A, 'Processed Non-zero DMR Data'!A487, 'Raw Non-zero DMR Data'!$C:$C, X487, 'Raw Non-zero DMR Data'!$U:$U,'Processed Non-zero DMR Data'!Y487)</f>
        <v>1</v>
      </c>
      <c r="V487" s="8">
        <f>COUNTIFS('Raw Non-zero DMR Data'!$A:$A, 'Processed Non-zero DMR Data'!A487, 'Raw Non-zero DMR Data'!$C:$C, X487, 'Raw Non-zero DMR Data'!$U:$U,'Processed Non-zero DMR Data'!Y487,'Raw Non-zero DMR Data'!$Z:$Z,"Yes")</f>
        <v>0</v>
      </c>
      <c r="W487">
        <v>34.448325875000002</v>
      </c>
      <c r="X487" t="s">
        <v>1032</v>
      </c>
      <c r="Y487" t="s">
        <v>1033</v>
      </c>
      <c r="Z487" s="257">
        <v>51002050105</v>
      </c>
    </row>
    <row r="488" spans="1:26" ht="15" customHeight="1" x14ac:dyDescent="0.25">
      <c r="A488">
        <v>2023</v>
      </c>
      <c r="B488" t="s">
        <v>495</v>
      </c>
      <c r="C488" t="s">
        <v>183</v>
      </c>
      <c r="D488" t="s">
        <v>627</v>
      </c>
      <c r="E488" t="s">
        <v>138</v>
      </c>
      <c r="F488">
        <v>37.801943999999999</v>
      </c>
      <c r="G488">
        <v>-84.261111</v>
      </c>
      <c r="I488" s="1">
        <v>110031112659</v>
      </c>
      <c r="J488">
        <v>4952</v>
      </c>
      <c r="K488" s="175" t="str">
        <f>INDEX('2022 SIC to NAICS'!B:B, MATCH('Processed Non-zero DMR Data'!$J488, '2022 SIC to NAICS'!$A:$A, 0))</f>
        <v>Sewerage Systems</v>
      </c>
      <c r="L488" s="175">
        <f>INDEX('2022 SIC to NAICS'!C:C, MATCH('Processed Non-zero DMR Data'!$J488, '2022 SIC to NAICS'!$A:$A, 0))</f>
        <v>221320</v>
      </c>
      <c r="M488" s="175" t="str">
        <f>INDEX('2022 SIC to NAICS'!D:D, MATCH('Processed Non-zero DMR Data'!$J488, '2022 SIC to NAICS'!$A:$A, 0))</f>
        <v xml:space="preserve">Sewage Treatment Facilities </v>
      </c>
      <c r="N488" s="90" t="str">
        <f>IFERROR(INDEX('NAICS Code to IS CDR Code'!B:B, MATCH('Processed Non-zero DMR Data'!L488,'NAICS Code to IS CDR Code'!A:A,0)), "NAICS/SIC Not Provided")</f>
        <v>IS4</v>
      </c>
      <c r="O488" s="91" t="str">
        <f>IFERROR(INDEX('NAICS Code to IS CDR Code'!C:C, MATCH('Processed Non-zero DMR Data'!L488,'NAICS Code to IS CDR Code'!A:A,0)), "NAICS/SIC Not Provided")</f>
        <v>Utilities</v>
      </c>
      <c r="P488" s="91" t="str">
        <f>INDEX('11DCA Mapping'!$K:$K, MATCH('Processed Non-zero DMR Data'!I494,'11DCA Mapping'!$J:$J,0))</f>
        <v>Processing as a Reactant</v>
      </c>
      <c r="Q488" s="91" t="str">
        <f>INDEX('11DCA Mapping'!$L:$L, MATCH('Processed Non-zero DMR Data'!I494,'11DCA Mapping'!$J:$J,0))</f>
        <v>Assuming processing as a reactant based on SIC description</v>
      </c>
      <c r="R488" s="250" t="str">
        <f>VLOOKUP(I488,'DMR POTW Flag'!$A$2:$B$960,2,FALSE)</f>
        <v>POTW</v>
      </c>
      <c r="S488" s="7" t="s">
        <v>67</v>
      </c>
      <c r="T488" s="249" t="s">
        <v>586</v>
      </c>
      <c r="U488" s="8">
        <f>COUNTIFS('Raw Non-zero DMR Data'!$A:$A, 'Processed Non-zero DMR Data'!A488, 'Raw Non-zero DMR Data'!$C:$C, X488, 'Raw Non-zero DMR Data'!$U:$U,'Processed Non-zero DMR Data'!Y488)</f>
        <v>1</v>
      </c>
      <c r="V488" s="8">
        <f>COUNTIFS('Raw Non-zero DMR Data'!$A:$A, 'Processed Non-zero DMR Data'!A488, 'Raw Non-zero DMR Data'!$C:$C, X488, 'Raw Non-zero DMR Data'!$U:$U,'Processed Non-zero DMR Data'!Y488,'Raw Non-zero DMR Data'!$Z:$Z,"Yes")</f>
        <v>0</v>
      </c>
      <c r="W488">
        <v>27.865359250000001</v>
      </c>
      <c r="X488" t="s">
        <v>1032</v>
      </c>
      <c r="Y488" t="s">
        <v>1033</v>
      </c>
      <c r="Z488" s="257">
        <v>51002050105</v>
      </c>
    </row>
    <row r="489" spans="1:26" ht="15" customHeight="1" x14ac:dyDescent="0.25">
      <c r="A489">
        <v>2019</v>
      </c>
      <c r="B489" t="s">
        <v>297</v>
      </c>
      <c r="C489" t="s">
        <v>298</v>
      </c>
      <c r="D489" t="s">
        <v>627</v>
      </c>
      <c r="E489" t="s">
        <v>138</v>
      </c>
      <c r="F489">
        <v>37.640973000000002</v>
      </c>
      <c r="G489">
        <v>-84.312661000000006</v>
      </c>
      <c r="I489" s="1">
        <v>110009933484</v>
      </c>
      <c r="J489">
        <v>4952</v>
      </c>
      <c r="K489" s="175" t="str">
        <f>INDEX('2022 SIC to NAICS'!B:B, MATCH('Processed Non-zero DMR Data'!$J489, '2022 SIC to NAICS'!$A:$A, 0))</f>
        <v>Sewerage Systems</v>
      </c>
      <c r="L489" s="175">
        <f>INDEX('2022 SIC to NAICS'!C:C, MATCH('Processed Non-zero DMR Data'!$J489, '2022 SIC to NAICS'!$A:$A, 0))</f>
        <v>221320</v>
      </c>
      <c r="M489" s="175" t="str">
        <f>INDEX('2022 SIC to NAICS'!D:D, MATCH('Processed Non-zero DMR Data'!$J489, '2022 SIC to NAICS'!$A:$A, 0))</f>
        <v xml:space="preserve">Sewage Treatment Facilities </v>
      </c>
      <c r="N489" s="90" t="str">
        <f>IFERROR(INDEX('NAICS Code to IS CDR Code'!B:B, MATCH('Processed Non-zero DMR Data'!L489,'NAICS Code to IS CDR Code'!A:A,0)), "NAICS/SIC Not Provided")</f>
        <v>IS4</v>
      </c>
      <c r="O489" s="91" t="str">
        <f>IFERROR(INDEX('NAICS Code to IS CDR Code'!C:C, MATCH('Processed Non-zero DMR Data'!L489,'NAICS Code to IS CDR Code'!A:A,0)), "NAICS/SIC Not Provided")</f>
        <v>Utilities</v>
      </c>
      <c r="P489" s="91" t="str">
        <f>INDEX('11DCA Mapping'!$K:$K, MATCH('Processed Non-zero DMR Data'!I495,'11DCA Mapping'!$J:$J,0))</f>
        <v>Processing as a Reactant</v>
      </c>
      <c r="Q489" s="91" t="str">
        <f>INDEX('11DCA Mapping'!$L:$L, MATCH('Processed Non-zero DMR Data'!I495,'11DCA Mapping'!$J:$J,0))</f>
        <v>Assuming processing as a reactant based on SIC description</v>
      </c>
      <c r="R489" s="250" t="str">
        <f>VLOOKUP(I489,'DMR POTW Flag'!$A$2:$B$960,2,FALSE)</f>
        <v>POTW</v>
      </c>
      <c r="S489" s="7" t="s">
        <v>67</v>
      </c>
      <c r="T489" s="249" t="s">
        <v>586</v>
      </c>
      <c r="U489" s="8">
        <f>COUNTIFS('Raw Non-zero DMR Data'!$A:$A, 'Processed Non-zero DMR Data'!A489, 'Raw Non-zero DMR Data'!$C:$C, X489, 'Raw Non-zero DMR Data'!$U:$U,'Processed Non-zero DMR Data'!Y489)</f>
        <v>1</v>
      </c>
      <c r="V489" s="8">
        <f>COUNTIFS('Raw Non-zero DMR Data'!$A:$A, 'Processed Non-zero DMR Data'!A489, 'Raw Non-zero DMR Data'!$C:$C, X489, 'Raw Non-zero DMR Data'!$U:$U,'Processed Non-zero DMR Data'!Y489,'Raw Non-zero DMR Data'!$Z:$Z,"Yes")</f>
        <v>0</v>
      </c>
      <c r="W489">
        <v>3.2327685000000002</v>
      </c>
      <c r="X489" t="s">
        <v>1034</v>
      </c>
      <c r="Y489" t="s">
        <v>1035</v>
      </c>
      <c r="Z489" s="257">
        <v>51002050204</v>
      </c>
    </row>
    <row r="490" spans="1:26" ht="15" customHeight="1" x14ac:dyDescent="0.25">
      <c r="A490">
        <v>2020</v>
      </c>
      <c r="B490" t="s">
        <v>297</v>
      </c>
      <c r="C490" t="s">
        <v>298</v>
      </c>
      <c r="D490" t="s">
        <v>627</v>
      </c>
      <c r="E490" t="s">
        <v>138</v>
      </c>
      <c r="F490">
        <v>37.640973000000002</v>
      </c>
      <c r="G490">
        <v>-84.312661000000006</v>
      </c>
      <c r="I490" s="1">
        <v>110009933484</v>
      </c>
      <c r="J490">
        <v>4952</v>
      </c>
      <c r="K490" s="175" t="str">
        <f>INDEX('2022 SIC to NAICS'!B:B, MATCH('Processed Non-zero DMR Data'!$J490, '2022 SIC to NAICS'!$A:$A, 0))</f>
        <v>Sewerage Systems</v>
      </c>
      <c r="L490" s="175">
        <f>INDEX('2022 SIC to NAICS'!C:C, MATCH('Processed Non-zero DMR Data'!$J490, '2022 SIC to NAICS'!$A:$A, 0))</f>
        <v>221320</v>
      </c>
      <c r="M490" s="175" t="str">
        <f>INDEX('2022 SIC to NAICS'!D:D, MATCH('Processed Non-zero DMR Data'!$J490, '2022 SIC to NAICS'!$A:$A, 0))</f>
        <v xml:space="preserve">Sewage Treatment Facilities </v>
      </c>
      <c r="N490" s="90" t="str">
        <f>IFERROR(INDEX('NAICS Code to IS CDR Code'!B:B, MATCH('Processed Non-zero DMR Data'!L490,'NAICS Code to IS CDR Code'!A:A,0)), "NAICS/SIC Not Provided")</f>
        <v>IS4</v>
      </c>
      <c r="O490" s="91" t="str">
        <f>IFERROR(INDEX('NAICS Code to IS CDR Code'!C:C, MATCH('Processed Non-zero DMR Data'!L490,'NAICS Code to IS CDR Code'!A:A,0)), "NAICS/SIC Not Provided")</f>
        <v>Utilities</v>
      </c>
      <c r="P490" s="91" t="str">
        <f>INDEX('11DCA Mapping'!$K:$K, MATCH('Processed Non-zero DMR Data'!I496,'11DCA Mapping'!$J:$J,0))</f>
        <v>POTW</v>
      </c>
      <c r="Q490" s="91" t="str">
        <f>INDEX('11DCA Mapping'!$L:$L, MATCH('Processed Non-zero DMR Data'!I496,'11DCA Mapping'!$J:$J,0))</f>
        <v>Assigned POTW per "Facility Type Indicator"</v>
      </c>
      <c r="R490" s="250" t="str">
        <f>VLOOKUP(I490,'DMR POTW Flag'!$A$2:$B$960,2,FALSE)</f>
        <v>POTW</v>
      </c>
      <c r="S490" s="7" t="s">
        <v>67</v>
      </c>
      <c r="T490" s="249" t="s">
        <v>586</v>
      </c>
      <c r="U490" s="8">
        <f>COUNTIFS('Raw Non-zero DMR Data'!$A:$A, 'Processed Non-zero DMR Data'!A490, 'Raw Non-zero DMR Data'!$C:$C, X490, 'Raw Non-zero DMR Data'!$U:$U,'Processed Non-zero DMR Data'!Y490)</f>
        <v>1</v>
      </c>
      <c r="V490" s="8">
        <f>COUNTIFS('Raw Non-zero DMR Data'!$A:$A, 'Processed Non-zero DMR Data'!A490, 'Raw Non-zero DMR Data'!$C:$C, X490, 'Raw Non-zero DMR Data'!$U:$U,'Processed Non-zero DMR Data'!Y490,'Raw Non-zero DMR Data'!$Z:$Z,"Yes")</f>
        <v>0</v>
      </c>
      <c r="W490">
        <v>2.5420060000000002</v>
      </c>
      <c r="X490" t="s">
        <v>1034</v>
      </c>
      <c r="Y490" t="s">
        <v>1035</v>
      </c>
      <c r="Z490" s="257">
        <v>51002050204</v>
      </c>
    </row>
    <row r="491" spans="1:26" ht="15" customHeight="1" x14ac:dyDescent="0.25">
      <c r="A491">
        <v>2019</v>
      </c>
      <c r="B491" t="s">
        <v>273</v>
      </c>
      <c r="C491" t="s">
        <v>274</v>
      </c>
      <c r="D491" t="s">
        <v>1036</v>
      </c>
      <c r="E491" t="s">
        <v>268</v>
      </c>
      <c r="F491">
        <v>40.094276999999998</v>
      </c>
      <c r="G491">
        <v>-74.865442000000002</v>
      </c>
      <c r="I491" s="1">
        <v>110064634686</v>
      </c>
      <c r="J491">
        <v>2821</v>
      </c>
      <c r="K491" s="175" t="str">
        <f>INDEX('2022 SIC to NAICS'!B:B, MATCH('Processed Non-zero DMR Data'!$J491, '2022 SIC to NAICS'!$A:$A, 0))</f>
        <v>Plastics Materials and Resins</v>
      </c>
      <c r="L491" s="175">
        <f>INDEX('2022 SIC to NAICS'!C:C, MATCH('Processed Non-zero DMR Data'!$J491, '2022 SIC to NAICS'!$A:$A, 0))</f>
        <v>325211</v>
      </c>
      <c r="M491" s="175" t="str">
        <f>INDEX('2022 SIC to NAICS'!D:D, MATCH('Processed Non-zero DMR Data'!$J491, '2022 SIC to NAICS'!$A:$A, 0))</f>
        <v xml:space="preserve">Plastics Material and Resin Manufacturing </v>
      </c>
      <c r="N491" s="90" t="str">
        <f>IFERROR(INDEX('NAICS Code to IS CDR Code'!B:B, MATCH('Processed Non-zero DMR Data'!L491,'NAICS Code to IS CDR Code'!A:A,0)), "NAICS/SIC Not Provided")</f>
        <v>IS22</v>
      </c>
      <c r="O491" s="91" t="str">
        <f>IFERROR(INDEX('NAICS Code to IS CDR Code'!C:C, MATCH('Processed Non-zero DMR Data'!L491,'NAICS Code to IS CDR Code'!A:A,0)), "NAICS/SIC Not Provided")</f>
        <v>Plastic Material and Resin Manufacturing</v>
      </c>
      <c r="P491" s="91" t="str">
        <f>INDEX('11DCA Mapping'!$K:$K, MATCH('Processed Non-zero DMR Data'!I497,'11DCA Mapping'!$J:$J,0))</f>
        <v>POTW</v>
      </c>
      <c r="Q491" s="91" t="str">
        <f>INDEX('11DCA Mapping'!$L:$L, MATCH('Processed Non-zero DMR Data'!I497,'11DCA Mapping'!$J:$J,0))</f>
        <v>Assigned POTW per "Facility Type Indicator"</v>
      </c>
      <c r="R491" s="250" t="str">
        <f>VLOOKUP(I491,'DMR POTW Flag'!$A$2:$B$960,2,FALSE)</f>
        <v>NON-POTW</v>
      </c>
      <c r="S491" s="7" t="s">
        <v>71</v>
      </c>
      <c r="T491" s="7" t="s">
        <v>1037</v>
      </c>
      <c r="U491" s="8">
        <f>COUNTIFS('Raw Non-zero DMR Data'!$A:$A, 'Processed Non-zero DMR Data'!A491, 'Raw Non-zero DMR Data'!$C:$C, X491, 'Raw Non-zero DMR Data'!$U:$U,'Processed Non-zero DMR Data'!Y491)</f>
        <v>1</v>
      </c>
      <c r="V491" s="8">
        <f>COUNTIFS('Raw Non-zero DMR Data'!$A:$A, 'Processed Non-zero DMR Data'!A491, 'Raw Non-zero DMR Data'!$C:$C, X491, 'Raw Non-zero DMR Data'!$U:$U,'Processed Non-zero DMR Data'!Y491,'Raw Non-zero DMR Data'!$Z:$Z,"Yes")</f>
        <v>1</v>
      </c>
      <c r="W491">
        <v>0.1665499</v>
      </c>
      <c r="X491" t="s">
        <v>1038</v>
      </c>
      <c r="Y491" t="s">
        <v>1039</v>
      </c>
      <c r="Z491" s="257">
        <v>20402010407</v>
      </c>
    </row>
    <row r="492" spans="1:26" ht="15" customHeight="1" x14ac:dyDescent="0.25">
      <c r="A492">
        <v>2020</v>
      </c>
      <c r="B492" t="s">
        <v>273</v>
      </c>
      <c r="C492" t="s">
        <v>274</v>
      </c>
      <c r="D492" t="s">
        <v>1036</v>
      </c>
      <c r="E492" t="s">
        <v>268</v>
      </c>
      <c r="F492">
        <v>40.094276999999998</v>
      </c>
      <c r="G492">
        <v>-74.865442000000002</v>
      </c>
      <c r="I492" s="1">
        <v>110064634686</v>
      </c>
      <c r="J492">
        <v>2821</v>
      </c>
      <c r="K492" s="175" t="str">
        <f>INDEX('2022 SIC to NAICS'!B:B, MATCH('Processed Non-zero DMR Data'!$J492, '2022 SIC to NAICS'!$A:$A, 0))</f>
        <v>Plastics Materials and Resins</v>
      </c>
      <c r="L492" s="175">
        <f>INDEX('2022 SIC to NAICS'!C:C, MATCH('Processed Non-zero DMR Data'!$J492, '2022 SIC to NAICS'!$A:$A, 0))</f>
        <v>325211</v>
      </c>
      <c r="M492" s="175" t="str">
        <f>INDEX('2022 SIC to NAICS'!D:D, MATCH('Processed Non-zero DMR Data'!$J492, '2022 SIC to NAICS'!$A:$A, 0))</f>
        <v xml:space="preserve">Plastics Material and Resin Manufacturing </v>
      </c>
      <c r="N492" s="90" t="str">
        <f>IFERROR(INDEX('NAICS Code to IS CDR Code'!B:B, MATCH('Processed Non-zero DMR Data'!L492,'NAICS Code to IS CDR Code'!A:A,0)), "NAICS/SIC Not Provided")</f>
        <v>IS22</v>
      </c>
      <c r="O492" s="91" t="str">
        <f>IFERROR(INDEX('NAICS Code to IS CDR Code'!C:C, MATCH('Processed Non-zero DMR Data'!L492,'NAICS Code to IS CDR Code'!A:A,0)), "NAICS/SIC Not Provided")</f>
        <v>Plastic Material and Resin Manufacturing</v>
      </c>
      <c r="P492" s="91" t="str">
        <f>INDEX('11DCA Mapping'!$K:$K, MATCH('Processed Non-zero DMR Data'!I498,'11DCA Mapping'!$J:$J,0))</f>
        <v>POTW</v>
      </c>
      <c r="Q492" s="91" t="str">
        <f>INDEX('11DCA Mapping'!$L:$L, MATCH('Processed Non-zero DMR Data'!I498,'11DCA Mapping'!$J:$J,0))</f>
        <v>Assigned POTW per "Facility Type Indicator"</v>
      </c>
      <c r="R492" s="250" t="str">
        <f>VLOOKUP(I492,'DMR POTW Flag'!$A$2:$B$960,2,FALSE)</f>
        <v>NON-POTW</v>
      </c>
      <c r="S492" s="7" t="s">
        <v>71</v>
      </c>
      <c r="T492" s="7" t="s">
        <v>1037</v>
      </c>
      <c r="U492" s="8">
        <f>COUNTIFS('Raw Non-zero DMR Data'!$A:$A, 'Processed Non-zero DMR Data'!A492, 'Raw Non-zero DMR Data'!$C:$C, X492, 'Raw Non-zero DMR Data'!$U:$U,'Processed Non-zero DMR Data'!Y492)</f>
        <v>1</v>
      </c>
      <c r="V492" s="8">
        <f>COUNTIFS('Raw Non-zero DMR Data'!$A:$A, 'Processed Non-zero DMR Data'!A492, 'Raw Non-zero DMR Data'!$C:$C, X492, 'Raw Non-zero DMR Data'!$U:$U,'Processed Non-zero DMR Data'!Y492,'Raw Non-zero DMR Data'!$Z:$Z,"Yes")</f>
        <v>1</v>
      </c>
      <c r="W492">
        <v>0.16709470000000001</v>
      </c>
      <c r="X492" t="s">
        <v>1038</v>
      </c>
      <c r="Y492" t="s">
        <v>1039</v>
      </c>
      <c r="Z492" s="257">
        <v>20402010407</v>
      </c>
    </row>
    <row r="493" spans="1:26" ht="15" customHeight="1" x14ac:dyDescent="0.25">
      <c r="A493">
        <v>2021</v>
      </c>
      <c r="B493" t="s">
        <v>273</v>
      </c>
      <c r="C493" t="s">
        <v>274</v>
      </c>
      <c r="D493" t="s">
        <v>1036</v>
      </c>
      <c r="E493" t="s">
        <v>268</v>
      </c>
      <c r="F493">
        <v>40.094276999999998</v>
      </c>
      <c r="G493">
        <v>-74.865442000000002</v>
      </c>
      <c r="I493" s="1">
        <v>110064634686</v>
      </c>
      <c r="J493">
        <v>2821</v>
      </c>
      <c r="K493" s="175" t="str">
        <f>INDEX('2022 SIC to NAICS'!B:B, MATCH('Processed Non-zero DMR Data'!$J493, '2022 SIC to NAICS'!$A:$A, 0))</f>
        <v>Plastics Materials and Resins</v>
      </c>
      <c r="L493" s="175">
        <f>INDEX('2022 SIC to NAICS'!C:C, MATCH('Processed Non-zero DMR Data'!$J493, '2022 SIC to NAICS'!$A:$A, 0))</f>
        <v>325211</v>
      </c>
      <c r="M493" s="175" t="str">
        <f>INDEX('2022 SIC to NAICS'!D:D, MATCH('Processed Non-zero DMR Data'!$J493, '2022 SIC to NAICS'!$A:$A, 0))</f>
        <v xml:space="preserve">Plastics Material and Resin Manufacturing </v>
      </c>
      <c r="N493" s="90" t="str">
        <f>IFERROR(INDEX('NAICS Code to IS CDR Code'!B:B, MATCH('Processed Non-zero DMR Data'!L493,'NAICS Code to IS CDR Code'!A:A,0)), "NAICS/SIC Not Provided")</f>
        <v>IS22</v>
      </c>
      <c r="O493" s="91" t="str">
        <f>IFERROR(INDEX('NAICS Code to IS CDR Code'!C:C, MATCH('Processed Non-zero DMR Data'!L493,'NAICS Code to IS CDR Code'!A:A,0)), "NAICS/SIC Not Provided")</f>
        <v>Plastic Material and Resin Manufacturing</v>
      </c>
      <c r="P493" s="91" t="str">
        <f>INDEX('11DCA Mapping'!$K:$K, MATCH('Processed Non-zero DMR Data'!I499,'11DCA Mapping'!$J:$J,0))</f>
        <v>POTW</v>
      </c>
      <c r="Q493" s="91" t="str">
        <f>INDEX('11DCA Mapping'!$L:$L, MATCH('Processed Non-zero DMR Data'!I499,'11DCA Mapping'!$J:$J,0))</f>
        <v>Assigned POTW per "Facility Type Indicator"</v>
      </c>
      <c r="R493" s="250" t="str">
        <f>VLOOKUP(I493,'DMR POTW Flag'!$A$2:$B$960,2,FALSE)</f>
        <v>NON-POTW</v>
      </c>
      <c r="S493" s="7" t="s">
        <v>71</v>
      </c>
      <c r="T493" s="7" t="s">
        <v>1037</v>
      </c>
      <c r="U493" s="8">
        <f>COUNTIFS('Raw Non-zero DMR Data'!$A:$A, 'Processed Non-zero DMR Data'!A493, 'Raw Non-zero DMR Data'!$C:$C, X493, 'Raw Non-zero DMR Data'!$U:$U,'Processed Non-zero DMR Data'!Y493)</f>
        <v>1</v>
      </c>
      <c r="V493" s="8">
        <f>COUNTIFS('Raw Non-zero DMR Data'!$A:$A, 'Processed Non-zero DMR Data'!A493, 'Raw Non-zero DMR Data'!$C:$C, X493, 'Raw Non-zero DMR Data'!$U:$U,'Processed Non-zero DMR Data'!Y493,'Raw Non-zero DMR Data'!$Z:$Z,"Yes")</f>
        <v>1</v>
      </c>
      <c r="W493">
        <v>0.1848688</v>
      </c>
      <c r="X493" t="s">
        <v>1038</v>
      </c>
      <c r="Y493" t="s">
        <v>1039</v>
      </c>
      <c r="Z493" s="257">
        <v>20402010407</v>
      </c>
    </row>
    <row r="494" spans="1:26" ht="15" customHeight="1" x14ac:dyDescent="0.25">
      <c r="A494">
        <v>2022</v>
      </c>
      <c r="B494" t="s">
        <v>273</v>
      </c>
      <c r="C494" t="s">
        <v>274</v>
      </c>
      <c r="D494" t="s">
        <v>1036</v>
      </c>
      <c r="E494" t="s">
        <v>268</v>
      </c>
      <c r="F494">
        <v>40.094276999999998</v>
      </c>
      <c r="G494">
        <v>-74.865442000000002</v>
      </c>
      <c r="I494" s="1">
        <v>110064634686</v>
      </c>
      <c r="J494">
        <v>2821</v>
      </c>
      <c r="K494" s="175" t="str">
        <f>INDEX('2022 SIC to NAICS'!B:B, MATCH('Processed Non-zero DMR Data'!$J494, '2022 SIC to NAICS'!$A:$A, 0))</f>
        <v>Plastics Materials and Resins</v>
      </c>
      <c r="L494" s="175">
        <f>INDEX('2022 SIC to NAICS'!C:C, MATCH('Processed Non-zero DMR Data'!$J494, '2022 SIC to NAICS'!$A:$A, 0))</f>
        <v>325211</v>
      </c>
      <c r="M494" s="175" t="str">
        <f>INDEX('2022 SIC to NAICS'!D:D, MATCH('Processed Non-zero DMR Data'!$J494, '2022 SIC to NAICS'!$A:$A, 0))</f>
        <v xml:space="preserve">Plastics Material and Resin Manufacturing </v>
      </c>
      <c r="N494" s="90" t="str">
        <f>IFERROR(INDEX('NAICS Code to IS CDR Code'!B:B, MATCH('Processed Non-zero DMR Data'!L494,'NAICS Code to IS CDR Code'!A:A,0)), "NAICS/SIC Not Provided")</f>
        <v>IS22</v>
      </c>
      <c r="O494" s="91" t="str">
        <f>IFERROR(INDEX('NAICS Code to IS CDR Code'!C:C, MATCH('Processed Non-zero DMR Data'!L494,'NAICS Code to IS CDR Code'!A:A,0)), "NAICS/SIC Not Provided")</f>
        <v>Plastic Material and Resin Manufacturing</v>
      </c>
      <c r="P494" s="91" t="str">
        <f>INDEX('11DCA Mapping'!$K:$K, MATCH('Processed Non-zero DMR Data'!I500,'11DCA Mapping'!$J:$J,0))</f>
        <v>POTW</v>
      </c>
      <c r="Q494" s="91" t="str">
        <f>INDEX('11DCA Mapping'!$L:$L, MATCH('Processed Non-zero DMR Data'!I500,'11DCA Mapping'!$J:$J,0))</f>
        <v>Assigned POTW per "Facility Type Indicator"</v>
      </c>
      <c r="R494" s="250" t="str">
        <f>VLOOKUP(I494,'DMR POTW Flag'!$A$2:$B$960,2,FALSE)</f>
        <v>NON-POTW</v>
      </c>
      <c r="S494" s="7" t="s">
        <v>71</v>
      </c>
      <c r="T494" s="7" t="s">
        <v>1037</v>
      </c>
      <c r="U494" s="8">
        <f>COUNTIFS('Raw Non-zero DMR Data'!$A:$A, 'Processed Non-zero DMR Data'!A494, 'Raw Non-zero DMR Data'!$C:$C, X494, 'Raw Non-zero DMR Data'!$U:$U,'Processed Non-zero DMR Data'!Y494)</f>
        <v>1</v>
      </c>
      <c r="V494" s="8">
        <f>COUNTIFS('Raw Non-zero DMR Data'!$A:$A, 'Processed Non-zero DMR Data'!A494, 'Raw Non-zero DMR Data'!$C:$C, X494, 'Raw Non-zero DMR Data'!$U:$U,'Processed Non-zero DMR Data'!Y494,'Raw Non-zero DMR Data'!$Z:$Z,"Yes")</f>
        <v>1</v>
      </c>
      <c r="W494">
        <v>0.16704930000000001</v>
      </c>
      <c r="X494" t="s">
        <v>1038</v>
      </c>
      <c r="Y494" t="s">
        <v>1039</v>
      </c>
      <c r="Z494" s="257">
        <v>20402010407</v>
      </c>
    </row>
    <row r="495" spans="1:26" ht="15" customHeight="1" x14ac:dyDescent="0.25">
      <c r="A495">
        <v>2023</v>
      </c>
      <c r="B495" t="s">
        <v>273</v>
      </c>
      <c r="C495" t="s">
        <v>274</v>
      </c>
      <c r="D495" t="s">
        <v>1036</v>
      </c>
      <c r="E495" t="s">
        <v>268</v>
      </c>
      <c r="F495">
        <v>40.094276999999998</v>
      </c>
      <c r="G495">
        <v>-74.865442000000002</v>
      </c>
      <c r="I495" s="1">
        <v>110064634686</v>
      </c>
      <c r="J495">
        <v>2821</v>
      </c>
      <c r="K495" s="175" t="str">
        <f>INDEX('2022 SIC to NAICS'!B:B, MATCH('Processed Non-zero DMR Data'!$J495, '2022 SIC to NAICS'!$A:$A, 0))</f>
        <v>Plastics Materials and Resins</v>
      </c>
      <c r="L495" s="175">
        <f>INDEX('2022 SIC to NAICS'!C:C, MATCH('Processed Non-zero DMR Data'!$J495, '2022 SIC to NAICS'!$A:$A, 0))</f>
        <v>325211</v>
      </c>
      <c r="M495" s="175" t="str">
        <f>INDEX('2022 SIC to NAICS'!D:D, MATCH('Processed Non-zero DMR Data'!$J495, '2022 SIC to NAICS'!$A:$A, 0))</f>
        <v xml:space="preserve">Plastics Material and Resin Manufacturing </v>
      </c>
      <c r="N495" s="90" t="str">
        <f>IFERROR(INDEX('NAICS Code to IS CDR Code'!B:B, MATCH('Processed Non-zero DMR Data'!L495,'NAICS Code to IS CDR Code'!A:A,0)), "NAICS/SIC Not Provided")</f>
        <v>IS22</v>
      </c>
      <c r="O495" s="91" t="str">
        <f>IFERROR(INDEX('NAICS Code to IS CDR Code'!C:C, MATCH('Processed Non-zero DMR Data'!L495,'NAICS Code to IS CDR Code'!A:A,0)), "NAICS/SIC Not Provided")</f>
        <v>Plastic Material and Resin Manufacturing</v>
      </c>
      <c r="P495" s="91" t="str">
        <f>INDEX('11DCA Mapping'!$K:$K, MATCH('Processed Non-zero DMR Data'!I501,'11DCA Mapping'!$J:$J,0))</f>
        <v>POTW</v>
      </c>
      <c r="Q495" s="91" t="str">
        <f>INDEX('11DCA Mapping'!$L:$L, MATCH('Processed Non-zero DMR Data'!I501,'11DCA Mapping'!$J:$J,0))</f>
        <v>Assigned POTW per "Facility Type Indicator"</v>
      </c>
      <c r="R495" s="250" t="str">
        <f>VLOOKUP(I495,'DMR POTW Flag'!$A$2:$B$960,2,FALSE)</f>
        <v>NON-POTW</v>
      </c>
      <c r="S495" s="7" t="s">
        <v>71</v>
      </c>
      <c r="T495" s="7" t="s">
        <v>1037</v>
      </c>
      <c r="U495" s="8">
        <f>COUNTIFS('Raw Non-zero DMR Data'!$A:$A, 'Processed Non-zero DMR Data'!A495, 'Raw Non-zero DMR Data'!$C:$C, X495, 'Raw Non-zero DMR Data'!$U:$U,'Processed Non-zero DMR Data'!Y495)</f>
        <v>1</v>
      </c>
      <c r="V495" s="8">
        <f>COUNTIFS('Raw Non-zero DMR Data'!$A:$A, 'Processed Non-zero DMR Data'!A495, 'Raw Non-zero DMR Data'!$C:$C, X495, 'Raw Non-zero DMR Data'!$U:$U,'Processed Non-zero DMR Data'!Y495,'Raw Non-zero DMR Data'!$Z:$Z,"Yes")</f>
        <v>1</v>
      </c>
      <c r="W495">
        <v>0.19637769999999999</v>
      </c>
      <c r="X495" t="s">
        <v>1038</v>
      </c>
      <c r="Y495" t="s">
        <v>1039</v>
      </c>
      <c r="Z495" s="257">
        <v>20402010407</v>
      </c>
    </row>
    <row r="496" spans="1:26" ht="15" customHeight="1" x14ac:dyDescent="0.25">
      <c r="A496">
        <v>2019</v>
      </c>
      <c r="B496" t="s">
        <v>251</v>
      </c>
      <c r="C496" t="s">
        <v>252</v>
      </c>
      <c r="D496" t="s">
        <v>1040</v>
      </c>
      <c r="E496" t="s">
        <v>138</v>
      </c>
      <c r="F496">
        <v>36.946111000000002</v>
      </c>
      <c r="G496">
        <v>-85.020832999999996</v>
      </c>
      <c r="I496" s="1">
        <v>110000719045</v>
      </c>
      <c r="J496">
        <v>4952</v>
      </c>
      <c r="K496" s="175" t="str">
        <f>INDEX('2022 SIC to NAICS'!B:B, MATCH('Processed Non-zero DMR Data'!$J496, '2022 SIC to NAICS'!$A:$A, 0))</f>
        <v>Sewerage Systems</v>
      </c>
      <c r="L496" s="175">
        <f>INDEX('2022 SIC to NAICS'!C:C, MATCH('Processed Non-zero DMR Data'!$J496, '2022 SIC to NAICS'!$A:$A, 0))</f>
        <v>221320</v>
      </c>
      <c r="M496" s="175" t="str">
        <f>INDEX('2022 SIC to NAICS'!D:D, MATCH('Processed Non-zero DMR Data'!$J496, '2022 SIC to NAICS'!$A:$A, 0))</f>
        <v xml:space="preserve">Sewage Treatment Facilities </v>
      </c>
      <c r="N496" s="90" t="str">
        <f>IFERROR(INDEX('NAICS Code to IS CDR Code'!B:B, MATCH('Processed Non-zero DMR Data'!L496,'NAICS Code to IS CDR Code'!A:A,0)), "NAICS/SIC Not Provided")</f>
        <v>IS4</v>
      </c>
      <c r="O496" s="91" t="str">
        <f>IFERROR(INDEX('NAICS Code to IS CDR Code'!C:C, MATCH('Processed Non-zero DMR Data'!L496,'NAICS Code to IS CDR Code'!A:A,0)), "NAICS/SIC Not Provided")</f>
        <v>Utilities</v>
      </c>
      <c r="P496" s="91" t="str">
        <f>INDEX('11DCA Mapping'!$K:$K, MATCH('Processed Non-zero DMR Data'!I502,'11DCA Mapping'!$J:$J,0))</f>
        <v>POTW</v>
      </c>
      <c r="Q496" s="91" t="str">
        <f>INDEX('11DCA Mapping'!$L:$L, MATCH('Processed Non-zero DMR Data'!I502,'11DCA Mapping'!$J:$J,0))</f>
        <v>Assigned POTW per "Facility Type Indicator"</v>
      </c>
      <c r="R496" s="250" t="str">
        <f>VLOOKUP(I496,'DMR POTW Flag'!$A$2:$B$960,2,FALSE)</f>
        <v>POTW</v>
      </c>
      <c r="S496" s="7" t="s">
        <v>67</v>
      </c>
      <c r="T496" s="249" t="s">
        <v>586</v>
      </c>
      <c r="U496" s="8">
        <f>COUNTIFS('Raw Non-zero DMR Data'!$A:$A, 'Processed Non-zero DMR Data'!A496, 'Raw Non-zero DMR Data'!$C:$C, X496, 'Raw Non-zero DMR Data'!$U:$U,'Processed Non-zero DMR Data'!Y496)</f>
        <v>1</v>
      </c>
      <c r="V496" s="8">
        <f>COUNTIFS('Raw Non-zero DMR Data'!$A:$A, 'Processed Non-zero DMR Data'!A496, 'Raw Non-zero DMR Data'!$C:$C, X496, 'Raw Non-zero DMR Data'!$U:$U,'Processed Non-zero DMR Data'!Y496,'Raw Non-zero DMR Data'!$Z:$Z,"Yes")</f>
        <v>1</v>
      </c>
      <c r="W496">
        <v>0.69628860000000004</v>
      </c>
      <c r="X496" t="s">
        <v>1041</v>
      </c>
      <c r="Y496" t="s">
        <v>1042</v>
      </c>
      <c r="Z496" s="257">
        <v>51301030602</v>
      </c>
    </row>
    <row r="497" spans="1:26" ht="15" customHeight="1" x14ac:dyDescent="0.25">
      <c r="A497">
        <v>2020</v>
      </c>
      <c r="B497" t="s">
        <v>251</v>
      </c>
      <c r="C497" t="s">
        <v>252</v>
      </c>
      <c r="D497" t="s">
        <v>1040</v>
      </c>
      <c r="E497" t="s">
        <v>138</v>
      </c>
      <c r="F497">
        <v>36.946111000000002</v>
      </c>
      <c r="G497">
        <v>-85.020832999999996</v>
      </c>
      <c r="I497" s="1">
        <v>110000719045</v>
      </c>
      <c r="J497">
        <v>4952</v>
      </c>
      <c r="K497" s="175" t="str">
        <f>INDEX('2022 SIC to NAICS'!B:B, MATCH('Processed Non-zero DMR Data'!$J497, '2022 SIC to NAICS'!$A:$A, 0))</f>
        <v>Sewerage Systems</v>
      </c>
      <c r="L497" s="175">
        <f>INDEX('2022 SIC to NAICS'!C:C, MATCH('Processed Non-zero DMR Data'!$J497, '2022 SIC to NAICS'!$A:$A, 0))</f>
        <v>221320</v>
      </c>
      <c r="M497" s="175" t="str">
        <f>INDEX('2022 SIC to NAICS'!D:D, MATCH('Processed Non-zero DMR Data'!$J497, '2022 SIC to NAICS'!$A:$A, 0))</f>
        <v xml:space="preserve">Sewage Treatment Facilities </v>
      </c>
      <c r="N497" s="90" t="str">
        <f>IFERROR(INDEX('NAICS Code to IS CDR Code'!B:B, MATCH('Processed Non-zero DMR Data'!L497,'NAICS Code to IS CDR Code'!A:A,0)), "NAICS/SIC Not Provided")</f>
        <v>IS4</v>
      </c>
      <c r="O497" s="91" t="str">
        <f>IFERROR(INDEX('NAICS Code to IS CDR Code'!C:C, MATCH('Processed Non-zero DMR Data'!L497,'NAICS Code to IS CDR Code'!A:A,0)), "NAICS/SIC Not Provided")</f>
        <v>Utilities</v>
      </c>
      <c r="P497" s="91" t="str">
        <f>INDEX('11DCA Mapping'!$K:$K, MATCH('Processed Non-zero DMR Data'!I503,'11DCA Mapping'!$J:$J,0))</f>
        <v>POTW</v>
      </c>
      <c r="Q497" s="91" t="str">
        <f>INDEX('11DCA Mapping'!$L:$L, MATCH('Processed Non-zero DMR Data'!I503,'11DCA Mapping'!$J:$J,0))</f>
        <v>Assigned POTW per "Facility Type Indicator"</v>
      </c>
      <c r="R497" s="250" t="str">
        <f>VLOOKUP(I497,'DMR POTW Flag'!$A$2:$B$960,2,FALSE)</f>
        <v>POTW</v>
      </c>
      <c r="S497" s="7" t="s">
        <v>67</v>
      </c>
      <c r="T497" s="249" t="s">
        <v>586</v>
      </c>
      <c r="U497" s="8">
        <f>COUNTIFS('Raw Non-zero DMR Data'!$A:$A, 'Processed Non-zero DMR Data'!A497, 'Raw Non-zero DMR Data'!$C:$C, X497, 'Raw Non-zero DMR Data'!$U:$U,'Processed Non-zero DMR Data'!Y497)</f>
        <v>1</v>
      </c>
      <c r="V497" s="8">
        <f>COUNTIFS('Raw Non-zero DMR Data'!$A:$A, 'Processed Non-zero DMR Data'!A497, 'Raw Non-zero DMR Data'!$C:$C, X497, 'Raw Non-zero DMR Data'!$U:$U,'Processed Non-zero DMR Data'!Y497,'Raw Non-zero DMR Data'!$Z:$Z,"Yes")</f>
        <v>1</v>
      </c>
      <c r="W497">
        <v>0.5353409375</v>
      </c>
      <c r="X497" t="s">
        <v>1041</v>
      </c>
      <c r="Y497" t="s">
        <v>1042</v>
      </c>
      <c r="Z497" s="257">
        <v>51301030602</v>
      </c>
    </row>
    <row r="498" spans="1:26" ht="15" customHeight="1" x14ac:dyDescent="0.25">
      <c r="A498">
        <v>2021</v>
      </c>
      <c r="B498" t="s">
        <v>251</v>
      </c>
      <c r="C498" t="s">
        <v>252</v>
      </c>
      <c r="D498" t="s">
        <v>1040</v>
      </c>
      <c r="E498" t="s">
        <v>138</v>
      </c>
      <c r="F498">
        <v>36.946111000000002</v>
      </c>
      <c r="G498">
        <v>-85.020832999999996</v>
      </c>
      <c r="I498" s="1">
        <v>110000719045</v>
      </c>
      <c r="J498">
        <v>4952</v>
      </c>
      <c r="K498" s="175" t="str">
        <f>INDEX('2022 SIC to NAICS'!B:B, MATCH('Processed Non-zero DMR Data'!$J498, '2022 SIC to NAICS'!$A:$A, 0))</f>
        <v>Sewerage Systems</v>
      </c>
      <c r="L498" s="175">
        <f>INDEX('2022 SIC to NAICS'!C:C, MATCH('Processed Non-zero DMR Data'!$J498, '2022 SIC to NAICS'!$A:$A, 0))</f>
        <v>221320</v>
      </c>
      <c r="M498" s="175" t="str">
        <f>INDEX('2022 SIC to NAICS'!D:D, MATCH('Processed Non-zero DMR Data'!$J498, '2022 SIC to NAICS'!$A:$A, 0))</f>
        <v xml:space="preserve">Sewage Treatment Facilities </v>
      </c>
      <c r="N498" s="90" t="str">
        <f>IFERROR(INDEX('NAICS Code to IS CDR Code'!B:B, MATCH('Processed Non-zero DMR Data'!L498,'NAICS Code to IS CDR Code'!A:A,0)), "NAICS/SIC Not Provided")</f>
        <v>IS4</v>
      </c>
      <c r="O498" s="91" t="str">
        <f>IFERROR(INDEX('NAICS Code to IS CDR Code'!C:C, MATCH('Processed Non-zero DMR Data'!L498,'NAICS Code to IS CDR Code'!A:A,0)), "NAICS/SIC Not Provided")</f>
        <v>Utilities</v>
      </c>
      <c r="P498" s="91" t="str">
        <f>INDEX('11DCA Mapping'!$K:$K, MATCH('Processed Non-zero DMR Data'!I504,'11DCA Mapping'!$J:$J,0))</f>
        <v>POTW</v>
      </c>
      <c r="Q498" s="91" t="str">
        <f>INDEX('11DCA Mapping'!$L:$L, MATCH('Processed Non-zero DMR Data'!I504,'11DCA Mapping'!$J:$J,0))</f>
        <v>Assigned POTW per "Facility Type Indicator"</v>
      </c>
      <c r="R498" s="250" t="str">
        <f>VLOOKUP(I498,'DMR POTW Flag'!$A$2:$B$960,2,FALSE)</f>
        <v>POTW</v>
      </c>
      <c r="S498" s="7" t="s">
        <v>67</v>
      </c>
      <c r="T498" s="249" t="s">
        <v>586</v>
      </c>
      <c r="U498" s="8">
        <f>COUNTIFS('Raw Non-zero DMR Data'!$A:$A, 'Processed Non-zero DMR Data'!A498, 'Raw Non-zero DMR Data'!$C:$C, X498, 'Raw Non-zero DMR Data'!$U:$U,'Processed Non-zero DMR Data'!Y498)</f>
        <v>1</v>
      </c>
      <c r="V498" s="8">
        <f>COUNTIFS('Raw Non-zero DMR Data'!$A:$A, 'Processed Non-zero DMR Data'!A498, 'Raw Non-zero DMR Data'!$C:$C, X498, 'Raw Non-zero DMR Data'!$U:$U,'Processed Non-zero DMR Data'!Y498,'Raw Non-zero DMR Data'!$Z:$Z,"Yes")</f>
        <v>1</v>
      </c>
      <c r="W498">
        <v>0.43172656250000002</v>
      </c>
      <c r="X498" t="s">
        <v>1041</v>
      </c>
      <c r="Y498" t="s">
        <v>1042</v>
      </c>
      <c r="Z498" s="257">
        <v>51301030602</v>
      </c>
    </row>
    <row r="499" spans="1:26" ht="15" customHeight="1" x14ac:dyDescent="0.25">
      <c r="A499">
        <v>2019</v>
      </c>
      <c r="B499" t="s">
        <v>242</v>
      </c>
      <c r="C499" t="s">
        <v>243</v>
      </c>
      <c r="D499" t="s">
        <v>589</v>
      </c>
      <c r="E499" t="s">
        <v>138</v>
      </c>
      <c r="F499">
        <v>36.856732000000001</v>
      </c>
      <c r="G499">
        <v>-86.889048000000003</v>
      </c>
      <c r="I499" s="1">
        <v>110000736730</v>
      </c>
      <c r="J499">
        <v>4952</v>
      </c>
      <c r="K499" s="175" t="str">
        <f>INDEX('2022 SIC to NAICS'!B:B, MATCH('Processed Non-zero DMR Data'!$J499, '2022 SIC to NAICS'!$A:$A, 0))</f>
        <v>Sewerage Systems</v>
      </c>
      <c r="L499" s="175">
        <f>INDEX('2022 SIC to NAICS'!C:C, MATCH('Processed Non-zero DMR Data'!$J499, '2022 SIC to NAICS'!$A:$A, 0))</f>
        <v>221320</v>
      </c>
      <c r="M499" s="175" t="str">
        <f>INDEX('2022 SIC to NAICS'!D:D, MATCH('Processed Non-zero DMR Data'!$J499, '2022 SIC to NAICS'!$A:$A, 0))</f>
        <v xml:space="preserve">Sewage Treatment Facilities </v>
      </c>
      <c r="N499" s="90" t="str">
        <f>IFERROR(INDEX('NAICS Code to IS CDR Code'!B:B, MATCH('Processed Non-zero DMR Data'!L499,'NAICS Code to IS CDR Code'!A:A,0)), "NAICS/SIC Not Provided")</f>
        <v>IS4</v>
      </c>
      <c r="O499" s="91" t="str">
        <f>IFERROR(INDEX('NAICS Code to IS CDR Code'!C:C, MATCH('Processed Non-zero DMR Data'!L499,'NAICS Code to IS CDR Code'!A:A,0)), "NAICS/SIC Not Provided")</f>
        <v>Utilities</v>
      </c>
      <c r="P499" s="91" t="str">
        <f>INDEX('11DCA Mapping'!$K:$K, MATCH('Processed Non-zero DMR Data'!I505,'11DCA Mapping'!$J:$J,0))</f>
        <v>POTW</v>
      </c>
      <c r="Q499" s="91" t="str">
        <f>INDEX('11DCA Mapping'!$L:$L, MATCH('Processed Non-zero DMR Data'!I505,'11DCA Mapping'!$J:$J,0))</f>
        <v>Assigned POTW per "Facility Type Indicator"</v>
      </c>
      <c r="R499" s="250" t="str">
        <f>VLOOKUP(I499,'DMR POTW Flag'!$A$2:$B$960,2,FALSE)</f>
        <v>POTW</v>
      </c>
      <c r="S499" s="7" t="s">
        <v>67</v>
      </c>
      <c r="T499" s="249" t="s">
        <v>586</v>
      </c>
      <c r="U499" s="8">
        <f>COUNTIFS('Raw Non-zero DMR Data'!$A:$A, 'Processed Non-zero DMR Data'!A499, 'Raw Non-zero DMR Data'!$C:$C, X499, 'Raw Non-zero DMR Data'!$U:$U,'Processed Non-zero DMR Data'!Y499)</f>
        <v>1</v>
      </c>
      <c r="V499" s="8">
        <f>COUNTIFS('Raw Non-zero DMR Data'!$A:$A, 'Processed Non-zero DMR Data'!A499, 'Raw Non-zero DMR Data'!$C:$C, X499, 'Raw Non-zero DMR Data'!$U:$U,'Processed Non-zero DMR Data'!Y499,'Raw Non-zero DMR Data'!$Z:$Z,"Yes")</f>
        <v>1</v>
      </c>
      <c r="W499">
        <v>1.4202077</v>
      </c>
      <c r="X499" t="s">
        <v>1043</v>
      </c>
      <c r="Y499" t="s">
        <v>1044</v>
      </c>
      <c r="Z499" s="257">
        <v>51100030204</v>
      </c>
    </row>
    <row r="500" spans="1:26" ht="15" customHeight="1" x14ac:dyDescent="0.25">
      <c r="A500">
        <v>2020</v>
      </c>
      <c r="B500" t="s">
        <v>242</v>
      </c>
      <c r="C500" t="s">
        <v>243</v>
      </c>
      <c r="D500" t="s">
        <v>589</v>
      </c>
      <c r="E500" t="s">
        <v>138</v>
      </c>
      <c r="F500">
        <v>36.856732000000001</v>
      </c>
      <c r="G500">
        <v>-86.889048000000003</v>
      </c>
      <c r="I500" s="1">
        <v>110000736730</v>
      </c>
      <c r="J500">
        <v>4952</v>
      </c>
      <c r="K500" s="175" t="str">
        <f>INDEX('2022 SIC to NAICS'!B:B, MATCH('Processed Non-zero DMR Data'!$J500, '2022 SIC to NAICS'!$A:$A, 0))</f>
        <v>Sewerage Systems</v>
      </c>
      <c r="L500" s="175">
        <f>INDEX('2022 SIC to NAICS'!C:C, MATCH('Processed Non-zero DMR Data'!$J500, '2022 SIC to NAICS'!$A:$A, 0))</f>
        <v>221320</v>
      </c>
      <c r="M500" s="175" t="str">
        <f>INDEX('2022 SIC to NAICS'!D:D, MATCH('Processed Non-zero DMR Data'!$J500, '2022 SIC to NAICS'!$A:$A, 0))</f>
        <v xml:space="preserve">Sewage Treatment Facilities </v>
      </c>
      <c r="N500" s="90" t="str">
        <f>IFERROR(INDEX('NAICS Code to IS CDR Code'!B:B, MATCH('Processed Non-zero DMR Data'!L500,'NAICS Code to IS CDR Code'!A:A,0)), "NAICS/SIC Not Provided")</f>
        <v>IS4</v>
      </c>
      <c r="O500" s="91" t="str">
        <f>IFERROR(INDEX('NAICS Code to IS CDR Code'!C:C, MATCH('Processed Non-zero DMR Data'!L500,'NAICS Code to IS CDR Code'!A:A,0)), "NAICS/SIC Not Provided")</f>
        <v>Utilities</v>
      </c>
      <c r="P500" s="91" t="str">
        <f>INDEX('11DCA Mapping'!$K:$K, MATCH('Processed Non-zero DMR Data'!I506,'11DCA Mapping'!$J:$J,0))</f>
        <v>POTW</v>
      </c>
      <c r="Q500" s="91" t="str">
        <f>INDEX('11DCA Mapping'!$L:$L, MATCH('Processed Non-zero DMR Data'!I506,'11DCA Mapping'!$J:$J,0))</f>
        <v>Assigned POTW per "Facility Type Indicator"</v>
      </c>
      <c r="R500" s="250" t="str">
        <f>VLOOKUP(I500,'DMR POTW Flag'!$A$2:$B$960,2,FALSE)</f>
        <v>POTW</v>
      </c>
      <c r="S500" s="7" t="s">
        <v>67</v>
      </c>
      <c r="T500" s="249" t="s">
        <v>586</v>
      </c>
      <c r="U500" s="8">
        <f>COUNTIFS('Raw Non-zero DMR Data'!$A:$A, 'Processed Non-zero DMR Data'!A500, 'Raw Non-zero DMR Data'!$C:$C, X500, 'Raw Non-zero DMR Data'!$U:$U,'Processed Non-zero DMR Data'!Y500)</f>
        <v>1</v>
      </c>
      <c r="V500" s="8">
        <f>COUNTIFS('Raw Non-zero DMR Data'!$A:$A, 'Processed Non-zero DMR Data'!A500, 'Raw Non-zero DMR Data'!$C:$C, X500, 'Raw Non-zero DMR Data'!$U:$U,'Processed Non-zero DMR Data'!Y500,'Raw Non-zero DMR Data'!$Z:$Z,"Yes")</f>
        <v>1</v>
      </c>
      <c r="W500">
        <v>0.6762564875</v>
      </c>
      <c r="X500" t="s">
        <v>1043</v>
      </c>
      <c r="Y500" t="s">
        <v>1044</v>
      </c>
      <c r="Z500" s="257">
        <v>51100030204</v>
      </c>
    </row>
    <row r="501" spans="1:26" ht="15" customHeight="1" x14ac:dyDescent="0.25">
      <c r="A501">
        <v>2022</v>
      </c>
      <c r="B501" t="s">
        <v>242</v>
      </c>
      <c r="C501" t="s">
        <v>243</v>
      </c>
      <c r="D501" t="s">
        <v>589</v>
      </c>
      <c r="E501" t="s">
        <v>138</v>
      </c>
      <c r="F501">
        <v>36.856732000000001</v>
      </c>
      <c r="G501">
        <v>-86.889048000000003</v>
      </c>
      <c r="I501" s="1">
        <v>110000736730</v>
      </c>
      <c r="J501">
        <v>4952</v>
      </c>
      <c r="K501" s="175" t="str">
        <f>INDEX('2022 SIC to NAICS'!B:B, MATCH('Processed Non-zero DMR Data'!$J501, '2022 SIC to NAICS'!$A:$A, 0))</f>
        <v>Sewerage Systems</v>
      </c>
      <c r="L501" s="175">
        <f>INDEX('2022 SIC to NAICS'!C:C, MATCH('Processed Non-zero DMR Data'!$J501, '2022 SIC to NAICS'!$A:$A, 0))</f>
        <v>221320</v>
      </c>
      <c r="M501" s="175" t="str">
        <f>INDEX('2022 SIC to NAICS'!D:D, MATCH('Processed Non-zero DMR Data'!$J501, '2022 SIC to NAICS'!$A:$A, 0))</f>
        <v xml:space="preserve">Sewage Treatment Facilities </v>
      </c>
      <c r="N501" s="90" t="str">
        <f>IFERROR(INDEX('NAICS Code to IS CDR Code'!B:B, MATCH('Processed Non-zero DMR Data'!L501,'NAICS Code to IS CDR Code'!A:A,0)), "NAICS/SIC Not Provided")</f>
        <v>IS4</v>
      </c>
      <c r="O501" s="91" t="str">
        <f>IFERROR(INDEX('NAICS Code to IS CDR Code'!C:C, MATCH('Processed Non-zero DMR Data'!L501,'NAICS Code to IS CDR Code'!A:A,0)), "NAICS/SIC Not Provided")</f>
        <v>Utilities</v>
      </c>
      <c r="P501" s="91" t="str">
        <f>INDEX('11DCA Mapping'!$K:$K, MATCH('Processed Non-zero DMR Data'!I507,'11DCA Mapping'!$J:$J,0))</f>
        <v>Processing as a Reactant</v>
      </c>
      <c r="Q501" s="91" t="str">
        <f>INDEX('11DCA Mapping'!$L:$L, MATCH('Processed Non-zero DMR Data'!I507,'11DCA Mapping'!$J:$J,0))</f>
        <v>Assuming processing as a reactant based on SIC description</v>
      </c>
      <c r="R501" s="250" t="str">
        <f>VLOOKUP(I501,'DMR POTW Flag'!$A$2:$B$960,2,FALSE)</f>
        <v>POTW</v>
      </c>
      <c r="S501" s="7" t="s">
        <v>67</v>
      </c>
      <c r="T501" s="249" t="s">
        <v>586</v>
      </c>
      <c r="U501" s="8">
        <f>COUNTIFS('Raw Non-zero DMR Data'!$A:$A, 'Processed Non-zero DMR Data'!A501, 'Raw Non-zero DMR Data'!$C:$C, X501, 'Raw Non-zero DMR Data'!$U:$U,'Processed Non-zero DMR Data'!Y501)</f>
        <v>1</v>
      </c>
      <c r="V501" s="8">
        <f>COUNTIFS('Raw Non-zero DMR Data'!$A:$A, 'Processed Non-zero DMR Data'!A501, 'Raw Non-zero DMR Data'!$C:$C, X501, 'Raw Non-zero DMR Data'!$U:$U,'Processed Non-zero DMR Data'!Y501,'Raw Non-zero DMR Data'!$Z:$Z,"Yes")</f>
        <v>1</v>
      </c>
      <c r="W501">
        <v>3.8199166250000001E-3</v>
      </c>
      <c r="X501" t="s">
        <v>1043</v>
      </c>
      <c r="Y501" t="s">
        <v>1044</v>
      </c>
      <c r="Z501" s="257">
        <v>51100030204</v>
      </c>
    </row>
    <row r="502" spans="1:26" ht="15" customHeight="1" x14ac:dyDescent="0.25">
      <c r="A502">
        <v>2019</v>
      </c>
      <c r="B502" t="s">
        <v>316</v>
      </c>
      <c r="C502" t="s">
        <v>150</v>
      </c>
      <c r="D502" t="s">
        <v>985</v>
      </c>
      <c r="E502" t="s">
        <v>138</v>
      </c>
      <c r="F502">
        <v>37.790278000000001</v>
      </c>
      <c r="G502">
        <v>-87.140277999999995</v>
      </c>
      <c r="I502" s="1">
        <v>110039998214</v>
      </c>
      <c r="J502">
        <v>4952</v>
      </c>
      <c r="K502" s="175" t="str">
        <f>INDEX('2022 SIC to NAICS'!B:B, MATCH('Processed Non-zero DMR Data'!$J502, '2022 SIC to NAICS'!$A:$A, 0))</f>
        <v>Sewerage Systems</v>
      </c>
      <c r="L502" s="175">
        <f>INDEX('2022 SIC to NAICS'!C:C, MATCH('Processed Non-zero DMR Data'!$J502, '2022 SIC to NAICS'!$A:$A, 0))</f>
        <v>221320</v>
      </c>
      <c r="M502" s="175" t="str">
        <f>INDEX('2022 SIC to NAICS'!D:D, MATCH('Processed Non-zero DMR Data'!$J502, '2022 SIC to NAICS'!$A:$A, 0))</f>
        <v xml:space="preserve">Sewage Treatment Facilities </v>
      </c>
      <c r="N502" s="90" t="str">
        <f>IFERROR(INDEX('NAICS Code to IS CDR Code'!B:B, MATCH('Processed Non-zero DMR Data'!L502,'NAICS Code to IS CDR Code'!A:A,0)), "NAICS/SIC Not Provided")</f>
        <v>IS4</v>
      </c>
      <c r="O502" s="91" t="str">
        <f>IFERROR(INDEX('NAICS Code to IS CDR Code'!C:C, MATCH('Processed Non-zero DMR Data'!L502,'NAICS Code to IS CDR Code'!A:A,0)), "NAICS/SIC Not Provided")</f>
        <v>Utilities</v>
      </c>
      <c r="P502" s="91" t="str">
        <f>INDEX('11DCA Mapping'!$K:$K, MATCH('Processed Non-zero DMR Data'!I508,'11DCA Mapping'!$J:$J,0))</f>
        <v>Processing as a Reactant</v>
      </c>
      <c r="Q502" s="91" t="str">
        <f>INDEX('11DCA Mapping'!$L:$L, MATCH('Processed Non-zero DMR Data'!I508,'11DCA Mapping'!$J:$J,0))</f>
        <v>Assuming processing as a reactant based on SIC description</v>
      </c>
      <c r="R502" s="250" t="str">
        <f>VLOOKUP(I502,'DMR POTW Flag'!$A$2:$B$960,2,FALSE)</f>
        <v>POTW</v>
      </c>
      <c r="S502" s="7" t="s">
        <v>67</v>
      </c>
      <c r="T502" s="249" t="s">
        <v>586</v>
      </c>
      <c r="U502" s="8">
        <f>COUNTIFS('Raw Non-zero DMR Data'!$A:$A, 'Processed Non-zero DMR Data'!A502, 'Raw Non-zero DMR Data'!$C:$C, X502, 'Raw Non-zero DMR Data'!$U:$U,'Processed Non-zero DMR Data'!Y502)</f>
        <v>1</v>
      </c>
      <c r="V502" s="8">
        <f>COUNTIFS('Raw Non-zero DMR Data'!$A:$A, 'Processed Non-zero DMR Data'!A502, 'Raw Non-zero DMR Data'!$C:$C, X502, 'Raw Non-zero DMR Data'!$U:$U,'Processed Non-zero DMR Data'!Y502,'Raw Non-zero DMR Data'!$Z:$Z,"Yes")</f>
        <v>1</v>
      </c>
      <c r="W502">
        <v>18.809462875000001</v>
      </c>
      <c r="X502" t="s">
        <v>1045</v>
      </c>
      <c r="Y502" t="s">
        <v>989</v>
      </c>
      <c r="Z502" s="257">
        <v>51402011202</v>
      </c>
    </row>
    <row r="503" spans="1:26" ht="15" customHeight="1" x14ac:dyDescent="0.25">
      <c r="A503">
        <v>2020</v>
      </c>
      <c r="B503" t="s">
        <v>316</v>
      </c>
      <c r="C503" t="s">
        <v>150</v>
      </c>
      <c r="D503" t="s">
        <v>985</v>
      </c>
      <c r="E503" t="s">
        <v>138</v>
      </c>
      <c r="F503">
        <v>37.790278000000001</v>
      </c>
      <c r="G503">
        <v>-87.140277999999995</v>
      </c>
      <c r="I503" s="1">
        <v>110039998214</v>
      </c>
      <c r="J503">
        <v>4952</v>
      </c>
      <c r="K503" s="175" t="str">
        <f>INDEX('2022 SIC to NAICS'!B:B, MATCH('Processed Non-zero DMR Data'!$J503, '2022 SIC to NAICS'!$A:$A, 0))</f>
        <v>Sewerage Systems</v>
      </c>
      <c r="L503" s="175">
        <f>INDEX('2022 SIC to NAICS'!C:C, MATCH('Processed Non-zero DMR Data'!$J503, '2022 SIC to NAICS'!$A:$A, 0))</f>
        <v>221320</v>
      </c>
      <c r="M503" s="175" t="str">
        <f>INDEX('2022 SIC to NAICS'!D:D, MATCH('Processed Non-zero DMR Data'!$J503, '2022 SIC to NAICS'!$A:$A, 0))</f>
        <v xml:space="preserve">Sewage Treatment Facilities </v>
      </c>
      <c r="N503" s="90" t="str">
        <f>IFERROR(INDEX('NAICS Code to IS CDR Code'!B:B, MATCH('Processed Non-zero DMR Data'!L503,'NAICS Code to IS CDR Code'!A:A,0)), "NAICS/SIC Not Provided")</f>
        <v>IS4</v>
      </c>
      <c r="O503" s="91" t="str">
        <f>IFERROR(INDEX('NAICS Code to IS CDR Code'!C:C, MATCH('Processed Non-zero DMR Data'!L503,'NAICS Code to IS CDR Code'!A:A,0)), "NAICS/SIC Not Provided")</f>
        <v>Utilities</v>
      </c>
      <c r="P503" s="91" t="str">
        <f>INDEX('11DCA Mapping'!$K:$K, MATCH('Processed Non-zero DMR Data'!I509,'11DCA Mapping'!$J:$J,0))</f>
        <v>Processing as a Reactant</v>
      </c>
      <c r="Q503" s="91" t="str">
        <f>INDEX('11DCA Mapping'!$L:$L, MATCH('Processed Non-zero DMR Data'!I509,'11DCA Mapping'!$J:$J,0))</f>
        <v>Assuming processing as a reactant based on SIC description</v>
      </c>
      <c r="R503" s="250" t="str">
        <f>VLOOKUP(I503,'DMR POTW Flag'!$A$2:$B$960,2,FALSE)</f>
        <v>POTW</v>
      </c>
      <c r="S503" s="7" t="s">
        <v>67</v>
      </c>
      <c r="T503" s="249" t="s">
        <v>586</v>
      </c>
      <c r="U503" s="8">
        <f>COUNTIFS('Raw Non-zero DMR Data'!$A:$A, 'Processed Non-zero DMR Data'!A503, 'Raw Non-zero DMR Data'!$C:$C, X503, 'Raw Non-zero DMR Data'!$U:$U,'Processed Non-zero DMR Data'!Y503)</f>
        <v>1</v>
      </c>
      <c r="V503" s="8">
        <f>COUNTIFS('Raw Non-zero DMR Data'!$A:$A, 'Processed Non-zero DMR Data'!A503, 'Raw Non-zero DMR Data'!$C:$C, X503, 'Raw Non-zero DMR Data'!$U:$U,'Processed Non-zero DMR Data'!Y503,'Raw Non-zero DMR Data'!$Z:$Z,"Yes")</f>
        <v>1</v>
      </c>
      <c r="W503">
        <v>49.955944000000002</v>
      </c>
      <c r="X503" t="s">
        <v>1045</v>
      </c>
      <c r="Y503" t="s">
        <v>989</v>
      </c>
      <c r="Z503" s="257">
        <v>51402011202</v>
      </c>
    </row>
    <row r="504" spans="1:26" ht="15" customHeight="1" x14ac:dyDescent="0.25">
      <c r="A504">
        <v>2021</v>
      </c>
      <c r="B504" t="s">
        <v>316</v>
      </c>
      <c r="C504" t="s">
        <v>150</v>
      </c>
      <c r="D504" t="s">
        <v>985</v>
      </c>
      <c r="E504" t="s">
        <v>138</v>
      </c>
      <c r="F504">
        <v>37.790278000000001</v>
      </c>
      <c r="G504">
        <v>-87.140277999999995</v>
      </c>
      <c r="I504" s="1">
        <v>110039998214</v>
      </c>
      <c r="J504">
        <v>4952</v>
      </c>
      <c r="K504" s="175" t="str">
        <f>INDEX('2022 SIC to NAICS'!B:B, MATCH('Processed Non-zero DMR Data'!$J504, '2022 SIC to NAICS'!$A:$A, 0))</f>
        <v>Sewerage Systems</v>
      </c>
      <c r="L504" s="175">
        <f>INDEX('2022 SIC to NAICS'!C:C, MATCH('Processed Non-zero DMR Data'!$J504, '2022 SIC to NAICS'!$A:$A, 0))</f>
        <v>221320</v>
      </c>
      <c r="M504" s="175" t="str">
        <f>INDEX('2022 SIC to NAICS'!D:D, MATCH('Processed Non-zero DMR Data'!$J504, '2022 SIC to NAICS'!$A:$A, 0))</f>
        <v xml:space="preserve">Sewage Treatment Facilities </v>
      </c>
      <c r="N504" s="90" t="str">
        <f>IFERROR(INDEX('NAICS Code to IS CDR Code'!B:B, MATCH('Processed Non-zero DMR Data'!L504,'NAICS Code to IS CDR Code'!A:A,0)), "NAICS/SIC Not Provided")</f>
        <v>IS4</v>
      </c>
      <c r="O504" s="91" t="str">
        <f>IFERROR(INDEX('NAICS Code to IS CDR Code'!C:C, MATCH('Processed Non-zero DMR Data'!L504,'NAICS Code to IS CDR Code'!A:A,0)), "NAICS/SIC Not Provided")</f>
        <v>Utilities</v>
      </c>
      <c r="P504" s="91" t="str">
        <f>INDEX('11DCA Mapping'!$K:$K, MATCH('Processed Non-zero DMR Data'!I510,'11DCA Mapping'!$J:$J,0))</f>
        <v>Processing as a Reactant</v>
      </c>
      <c r="Q504" s="91" t="str">
        <f>INDEX('11DCA Mapping'!$L:$L, MATCH('Processed Non-zero DMR Data'!I510,'11DCA Mapping'!$J:$J,0))</f>
        <v>Assuming processing as a reactant based on SIC description</v>
      </c>
      <c r="R504" s="250" t="str">
        <f>VLOOKUP(I504,'DMR POTW Flag'!$A$2:$B$960,2,FALSE)</f>
        <v>POTW</v>
      </c>
      <c r="S504" s="7" t="s">
        <v>67</v>
      </c>
      <c r="T504" s="249" t="s">
        <v>586</v>
      </c>
      <c r="U504" s="8">
        <f>COUNTIFS('Raw Non-zero DMR Data'!$A:$A, 'Processed Non-zero DMR Data'!A504, 'Raw Non-zero DMR Data'!$C:$C, X504, 'Raw Non-zero DMR Data'!$U:$U,'Processed Non-zero DMR Data'!Y504)</f>
        <v>1</v>
      </c>
      <c r="V504" s="8">
        <f>COUNTIFS('Raw Non-zero DMR Data'!$A:$A, 'Processed Non-zero DMR Data'!A504, 'Raw Non-zero DMR Data'!$C:$C, X504, 'Raw Non-zero DMR Data'!$U:$U,'Processed Non-zero DMR Data'!Y504,'Raw Non-zero DMR Data'!$Z:$Z,"Yes")</f>
        <v>1</v>
      </c>
      <c r="W504">
        <v>29.688972249999999</v>
      </c>
      <c r="X504" t="s">
        <v>1045</v>
      </c>
      <c r="Y504" t="s">
        <v>989</v>
      </c>
      <c r="Z504" s="257">
        <v>51402011202</v>
      </c>
    </row>
    <row r="505" spans="1:26" ht="15" customHeight="1" x14ac:dyDescent="0.25">
      <c r="A505">
        <v>2022</v>
      </c>
      <c r="B505" t="s">
        <v>316</v>
      </c>
      <c r="C505" t="s">
        <v>150</v>
      </c>
      <c r="D505" t="s">
        <v>985</v>
      </c>
      <c r="E505" t="s">
        <v>138</v>
      </c>
      <c r="F505">
        <v>37.790278000000001</v>
      </c>
      <c r="G505">
        <v>-87.140277999999995</v>
      </c>
      <c r="I505" s="1">
        <v>110039998214</v>
      </c>
      <c r="J505">
        <v>4952</v>
      </c>
      <c r="K505" s="175" t="str">
        <f>INDEX('2022 SIC to NAICS'!B:B, MATCH('Processed Non-zero DMR Data'!$J505, '2022 SIC to NAICS'!$A:$A, 0))</f>
        <v>Sewerage Systems</v>
      </c>
      <c r="L505" s="175">
        <f>INDEX('2022 SIC to NAICS'!C:C, MATCH('Processed Non-zero DMR Data'!$J505, '2022 SIC to NAICS'!$A:$A, 0))</f>
        <v>221320</v>
      </c>
      <c r="M505" s="175" t="str">
        <f>INDEX('2022 SIC to NAICS'!D:D, MATCH('Processed Non-zero DMR Data'!$J505, '2022 SIC to NAICS'!$A:$A, 0))</f>
        <v xml:space="preserve">Sewage Treatment Facilities </v>
      </c>
      <c r="N505" s="90" t="str">
        <f>IFERROR(INDEX('NAICS Code to IS CDR Code'!B:B, MATCH('Processed Non-zero DMR Data'!L505,'NAICS Code to IS CDR Code'!A:A,0)), "NAICS/SIC Not Provided")</f>
        <v>IS4</v>
      </c>
      <c r="O505" s="91" t="str">
        <f>IFERROR(INDEX('NAICS Code to IS CDR Code'!C:C, MATCH('Processed Non-zero DMR Data'!L505,'NAICS Code to IS CDR Code'!A:A,0)), "NAICS/SIC Not Provided")</f>
        <v>Utilities</v>
      </c>
      <c r="P505" s="91" t="str">
        <f>INDEX('11DCA Mapping'!$K:$K, MATCH('Processed Non-zero DMR Data'!I511,'11DCA Mapping'!$J:$J,0))</f>
        <v>Processing as a Reactant</v>
      </c>
      <c r="Q505" s="91" t="str">
        <f>INDEX('11DCA Mapping'!$L:$L, MATCH('Processed Non-zero DMR Data'!I511,'11DCA Mapping'!$J:$J,0))</f>
        <v>Assuming processing as a reactant based on SIC description</v>
      </c>
      <c r="R505" s="250" t="str">
        <f>VLOOKUP(I505,'DMR POTW Flag'!$A$2:$B$960,2,FALSE)</f>
        <v>POTW</v>
      </c>
      <c r="S505" s="7" t="s">
        <v>67</v>
      </c>
      <c r="T505" s="249" t="s">
        <v>586</v>
      </c>
      <c r="U505" s="8">
        <f>COUNTIFS('Raw Non-zero DMR Data'!$A:$A, 'Processed Non-zero DMR Data'!A505, 'Raw Non-zero DMR Data'!$C:$C, X505, 'Raw Non-zero DMR Data'!$U:$U,'Processed Non-zero DMR Data'!Y505)</f>
        <v>1</v>
      </c>
      <c r="V505" s="8">
        <f>COUNTIFS('Raw Non-zero DMR Data'!$A:$A, 'Processed Non-zero DMR Data'!A505, 'Raw Non-zero DMR Data'!$C:$C, X505, 'Raw Non-zero DMR Data'!$U:$U,'Processed Non-zero DMR Data'!Y505,'Raw Non-zero DMR Data'!$Z:$Z,"Yes")</f>
        <v>1</v>
      </c>
      <c r="W505">
        <v>1.0713519146249999</v>
      </c>
      <c r="X505" t="s">
        <v>1045</v>
      </c>
      <c r="Y505" t="s">
        <v>989</v>
      </c>
      <c r="Z505" s="257">
        <v>51402011202</v>
      </c>
    </row>
    <row r="506" spans="1:26" ht="15" customHeight="1" x14ac:dyDescent="0.25">
      <c r="A506">
        <v>2023</v>
      </c>
      <c r="B506" t="s">
        <v>316</v>
      </c>
      <c r="C506" t="s">
        <v>150</v>
      </c>
      <c r="D506" t="s">
        <v>985</v>
      </c>
      <c r="E506" t="s">
        <v>138</v>
      </c>
      <c r="F506">
        <v>37.790278000000001</v>
      </c>
      <c r="G506">
        <v>-87.140277999999995</v>
      </c>
      <c r="I506" s="1">
        <v>110039998214</v>
      </c>
      <c r="J506">
        <v>4952</v>
      </c>
      <c r="K506" s="175" t="str">
        <f>INDEX('2022 SIC to NAICS'!B:B, MATCH('Processed Non-zero DMR Data'!$J506, '2022 SIC to NAICS'!$A:$A, 0))</f>
        <v>Sewerage Systems</v>
      </c>
      <c r="L506" s="175">
        <f>INDEX('2022 SIC to NAICS'!C:C, MATCH('Processed Non-zero DMR Data'!$J506, '2022 SIC to NAICS'!$A:$A, 0))</f>
        <v>221320</v>
      </c>
      <c r="M506" s="175" t="str">
        <f>INDEX('2022 SIC to NAICS'!D:D, MATCH('Processed Non-zero DMR Data'!$J506, '2022 SIC to NAICS'!$A:$A, 0))</f>
        <v xml:space="preserve">Sewage Treatment Facilities </v>
      </c>
      <c r="N506" s="90" t="str">
        <f>IFERROR(INDEX('NAICS Code to IS CDR Code'!B:B, MATCH('Processed Non-zero DMR Data'!L506,'NAICS Code to IS CDR Code'!A:A,0)), "NAICS/SIC Not Provided")</f>
        <v>IS4</v>
      </c>
      <c r="O506" s="91" t="str">
        <f>IFERROR(INDEX('NAICS Code to IS CDR Code'!C:C, MATCH('Processed Non-zero DMR Data'!L506,'NAICS Code to IS CDR Code'!A:A,0)), "NAICS/SIC Not Provided")</f>
        <v>Utilities</v>
      </c>
      <c r="P506" s="91" t="str">
        <f>INDEX('11DCA Mapping'!$K:$K, MATCH('Processed Non-zero DMR Data'!I512,'11DCA Mapping'!$J:$J,0))</f>
        <v>POTW</v>
      </c>
      <c r="Q506" s="91" t="str">
        <f>INDEX('11DCA Mapping'!$L:$L, MATCH('Processed Non-zero DMR Data'!I512,'11DCA Mapping'!$J:$J,0))</f>
        <v>Assigned POTW per "Facility Type Indicator"</v>
      </c>
      <c r="R506" s="250" t="str">
        <f>VLOOKUP(I506,'DMR POTW Flag'!$A$2:$B$960,2,FALSE)</f>
        <v>POTW</v>
      </c>
      <c r="S506" s="7" t="s">
        <v>67</v>
      </c>
      <c r="T506" s="249" t="s">
        <v>586</v>
      </c>
      <c r="U506" s="8">
        <f>COUNTIFS('Raw Non-zero DMR Data'!$A:$A, 'Processed Non-zero DMR Data'!A506, 'Raw Non-zero DMR Data'!$C:$C, X506, 'Raw Non-zero DMR Data'!$U:$U,'Processed Non-zero DMR Data'!Y506)</f>
        <v>1</v>
      </c>
      <c r="V506" s="8">
        <f>COUNTIFS('Raw Non-zero DMR Data'!$A:$A, 'Processed Non-zero DMR Data'!A506, 'Raw Non-zero DMR Data'!$C:$C, X506, 'Raw Non-zero DMR Data'!$U:$U,'Processed Non-zero DMR Data'!Y506,'Raw Non-zero DMR Data'!$Z:$Z,"Yes")</f>
        <v>1</v>
      </c>
      <c r="W506">
        <v>9.6015987500000008</v>
      </c>
      <c r="X506" t="s">
        <v>1045</v>
      </c>
      <c r="Y506" t="s">
        <v>989</v>
      </c>
      <c r="Z506" s="257">
        <v>51402011202</v>
      </c>
    </row>
    <row r="507" spans="1:26" ht="15" customHeight="1" x14ac:dyDescent="0.25">
      <c r="A507">
        <v>2019</v>
      </c>
      <c r="B507" t="s">
        <v>290</v>
      </c>
      <c r="C507" t="s">
        <v>291</v>
      </c>
      <c r="D507" t="s">
        <v>1046</v>
      </c>
      <c r="E507" t="s">
        <v>292</v>
      </c>
      <c r="F507">
        <v>37.907200000000003</v>
      </c>
      <c r="G507">
        <v>-87.927099999999996</v>
      </c>
      <c r="I507" s="1">
        <v>110000403670</v>
      </c>
      <c r="J507">
        <v>2821</v>
      </c>
      <c r="K507" s="175" t="str">
        <f>INDEX('2022 SIC to NAICS'!B:B, MATCH('Processed Non-zero DMR Data'!$J507, '2022 SIC to NAICS'!$A:$A, 0))</f>
        <v>Plastics Materials and Resins</v>
      </c>
      <c r="L507" s="175">
        <f>INDEX('2022 SIC to NAICS'!C:C, MATCH('Processed Non-zero DMR Data'!$J507, '2022 SIC to NAICS'!$A:$A, 0))</f>
        <v>325211</v>
      </c>
      <c r="M507" s="175" t="str">
        <f>INDEX('2022 SIC to NAICS'!D:D, MATCH('Processed Non-zero DMR Data'!$J507, '2022 SIC to NAICS'!$A:$A, 0))</f>
        <v xml:space="preserve">Plastics Material and Resin Manufacturing </v>
      </c>
      <c r="N507" s="90" t="str">
        <f>IFERROR(INDEX('NAICS Code to IS CDR Code'!B:B, MATCH('Processed Non-zero DMR Data'!L507,'NAICS Code to IS CDR Code'!A:A,0)), "NAICS/SIC Not Provided")</f>
        <v>IS22</v>
      </c>
      <c r="O507" s="91" t="str">
        <f>IFERROR(INDEX('NAICS Code to IS CDR Code'!C:C, MATCH('Processed Non-zero DMR Data'!L507,'NAICS Code to IS CDR Code'!A:A,0)), "NAICS/SIC Not Provided")</f>
        <v>Plastic Material and Resin Manufacturing</v>
      </c>
      <c r="P507" s="91" t="str">
        <f>INDEX('11DCA Mapping'!$K:$K, MATCH('Processed Non-zero DMR Data'!I513,'11DCA Mapping'!$J:$J,0))</f>
        <v>POTW</v>
      </c>
      <c r="Q507" s="91" t="str">
        <f>INDEX('11DCA Mapping'!$L:$L, MATCH('Processed Non-zero DMR Data'!I513,'11DCA Mapping'!$J:$J,0))</f>
        <v>Assigned POTW per "Facility Type Indicator"</v>
      </c>
      <c r="R507" s="250" t="str">
        <f>VLOOKUP(I507,'DMR POTW Flag'!$A$2:$B$960,2,FALSE)</f>
        <v>NON-POTW</v>
      </c>
      <c r="S507" s="7" t="s">
        <v>63</v>
      </c>
      <c r="T507" s="7" t="s">
        <v>5470</v>
      </c>
      <c r="U507" s="8">
        <f>COUNTIFS('Raw Non-zero DMR Data'!$A:$A, 'Processed Non-zero DMR Data'!A507, 'Raw Non-zero DMR Data'!$C:$C, X507, 'Raw Non-zero DMR Data'!$U:$U,'Processed Non-zero DMR Data'!Y507)</f>
        <v>1</v>
      </c>
      <c r="V507" s="8">
        <f>COUNTIFS('Raw Non-zero DMR Data'!$A:$A, 'Processed Non-zero DMR Data'!A507, 'Raw Non-zero DMR Data'!$C:$C, X507, 'Raw Non-zero DMR Data'!$U:$U,'Processed Non-zero DMR Data'!Y507,'Raw Non-zero DMR Data'!$Z:$Z,"Yes")</f>
        <v>1</v>
      </c>
      <c r="W507">
        <v>10.859680000000001</v>
      </c>
      <c r="X507" t="s">
        <v>1047</v>
      </c>
      <c r="Y507" t="s">
        <v>1048</v>
      </c>
      <c r="Z507" s="257">
        <v>51402020605</v>
      </c>
    </row>
    <row r="508" spans="1:26" ht="15" customHeight="1" x14ac:dyDescent="0.25">
      <c r="A508">
        <v>2020</v>
      </c>
      <c r="B508" t="s">
        <v>290</v>
      </c>
      <c r="C508" t="s">
        <v>291</v>
      </c>
      <c r="D508" t="s">
        <v>1046</v>
      </c>
      <c r="E508" t="s">
        <v>292</v>
      </c>
      <c r="F508">
        <v>37.907200000000003</v>
      </c>
      <c r="G508">
        <v>-87.927099999999996</v>
      </c>
      <c r="I508" s="1">
        <v>110000403670</v>
      </c>
      <c r="J508">
        <v>2821</v>
      </c>
      <c r="K508" s="175" t="str">
        <f>INDEX('2022 SIC to NAICS'!B:B, MATCH('Processed Non-zero DMR Data'!$J508, '2022 SIC to NAICS'!$A:$A, 0))</f>
        <v>Plastics Materials and Resins</v>
      </c>
      <c r="L508" s="175">
        <f>INDEX('2022 SIC to NAICS'!C:C, MATCH('Processed Non-zero DMR Data'!$J508, '2022 SIC to NAICS'!$A:$A, 0))</f>
        <v>325211</v>
      </c>
      <c r="M508" s="175" t="str">
        <f>INDEX('2022 SIC to NAICS'!D:D, MATCH('Processed Non-zero DMR Data'!$J508, '2022 SIC to NAICS'!$A:$A, 0))</f>
        <v xml:space="preserve">Plastics Material and Resin Manufacturing </v>
      </c>
      <c r="N508" s="90" t="str">
        <f>IFERROR(INDEX('NAICS Code to IS CDR Code'!B:B, MATCH('Processed Non-zero DMR Data'!L508,'NAICS Code to IS CDR Code'!A:A,0)), "NAICS/SIC Not Provided")</f>
        <v>IS22</v>
      </c>
      <c r="O508" s="91" t="str">
        <f>IFERROR(INDEX('NAICS Code to IS CDR Code'!C:C, MATCH('Processed Non-zero DMR Data'!L508,'NAICS Code to IS CDR Code'!A:A,0)), "NAICS/SIC Not Provided")</f>
        <v>Plastic Material and Resin Manufacturing</v>
      </c>
      <c r="P508" s="91" t="str">
        <f>INDEX('11DCA Mapping'!$K:$K, MATCH('Processed Non-zero DMR Data'!I514,'11DCA Mapping'!$J:$J,0))</f>
        <v>POTW</v>
      </c>
      <c r="Q508" s="91" t="str">
        <f>INDEX('11DCA Mapping'!$L:$L, MATCH('Processed Non-zero DMR Data'!I514,'11DCA Mapping'!$J:$J,0))</f>
        <v>Assigned POTW per "Facility Type Indicator"</v>
      </c>
      <c r="R508" s="250" t="str">
        <f>VLOOKUP(I508,'DMR POTW Flag'!$A$2:$B$960,2,FALSE)</f>
        <v>NON-POTW</v>
      </c>
      <c r="S508" s="7" t="s">
        <v>63</v>
      </c>
      <c r="T508" s="7" t="s">
        <v>5470</v>
      </c>
      <c r="U508" s="8">
        <f>COUNTIFS('Raw Non-zero DMR Data'!$A:$A, 'Processed Non-zero DMR Data'!A508, 'Raw Non-zero DMR Data'!$C:$C, X508, 'Raw Non-zero DMR Data'!$U:$U,'Processed Non-zero DMR Data'!Y508)</f>
        <v>1</v>
      </c>
      <c r="V508" s="8">
        <f>COUNTIFS('Raw Non-zero DMR Data'!$A:$A, 'Processed Non-zero DMR Data'!A508, 'Raw Non-zero DMR Data'!$C:$C, X508, 'Raw Non-zero DMR Data'!$U:$U,'Processed Non-zero DMR Data'!Y508,'Raw Non-zero DMR Data'!$Z:$Z,"Yes")</f>
        <v>1</v>
      </c>
      <c r="W508">
        <v>7.5182399999999996</v>
      </c>
      <c r="X508" t="s">
        <v>1047</v>
      </c>
      <c r="Y508" t="s">
        <v>1048</v>
      </c>
      <c r="Z508" s="257">
        <v>51402020605</v>
      </c>
    </row>
    <row r="509" spans="1:26" ht="15" customHeight="1" x14ac:dyDescent="0.25">
      <c r="A509">
        <v>2021</v>
      </c>
      <c r="B509" t="s">
        <v>290</v>
      </c>
      <c r="C509" t="s">
        <v>291</v>
      </c>
      <c r="D509" t="s">
        <v>1046</v>
      </c>
      <c r="E509" t="s">
        <v>292</v>
      </c>
      <c r="F509">
        <v>37.907200000000003</v>
      </c>
      <c r="G509">
        <v>-87.927099999999996</v>
      </c>
      <c r="I509" s="1">
        <v>110000403670</v>
      </c>
      <c r="J509">
        <v>2821</v>
      </c>
      <c r="K509" s="175" t="str">
        <f>INDEX('2022 SIC to NAICS'!B:B, MATCH('Processed Non-zero DMR Data'!$J509, '2022 SIC to NAICS'!$A:$A, 0))</f>
        <v>Plastics Materials and Resins</v>
      </c>
      <c r="L509" s="175">
        <f>INDEX('2022 SIC to NAICS'!C:C, MATCH('Processed Non-zero DMR Data'!$J509, '2022 SIC to NAICS'!$A:$A, 0))</f>
        <v>325211</v>
      </c>
      <c r="M509" s="175" t="str">
        <f>INDEX('2022 SIC to NAICS'!D:D, MATCH('Processed Non-zero DMR Data'!$J509, '2022 SIC to NAICS'!$A:$A, 0))</f>
        <v xml:space="preserve">Plastics Material and Resin Manufacturing </v>
      </c>
      <c r="N509" s="90" t="str">
        <f>IFERROR(INDEX('NAICS Code to IS CDR Code'!B:B, MATCH('Processed Non-zero DMR Data'!L509,'NAICS Code to IS CDR Code'!A:A,0)), "NAICS/SIC Not Provided")</f>
        <v>IS22</v>
      </c>
      <c r="O509" s="91" t="str">
        <f>IFERROR(INDEX('NAICS Code to IS CDR Code'!C:C, MATCH('Processed Non-zero DMR Data'!L509,'NAICS Code to IS CDR Code'!A:A,0)), "NAICS/SIC Not Provided")</f>
        <v>Plastic Material and Resin Manufacturing</v>
      </c>
      <c r="P509" s="91" t="str">
        <f>INDEX('11DCA Mapping'!$K:$K, MATCH('Processed Non-zero DMR Data'!I515,'11DCA Mapping'!$J:$J,0))</f>
        <v>POTW</v>
      </c>
      <c r="Q509" s="91" t="str">
        <f>INDEX('11DCA Mapping'!$L:$L, MATCH('Processed Non-zero DMR Data'!I515,'11DCA Mapping'!$J:$J,0))</f>
        <v>Assigned POTW per "Facility Type Indicator"</v>
      </c>
      <c r="R509" s="250" t="str">
        <f>VLOOKUP(I509,'DMR POTW Flag'!$A$2:$B$960,2,FALSE)</f>
        <v>NON-POTW</v>
      </c>
      <c r="S509" s="7" t="s">
        <v>63</v>
      </c>
      <c r="T509" s="7" t="s">
        <v>5470</v>
      </c>
      <c r="U509" s="8">
        <f>COUNTIFS('Raw Non-zero DMR Data'!$A:$A, 'Processed Non-zero DMR Data'!A509, 'Raw Non-zero DMR Data'!$C:$C, X509, 'Raw Non-zero DMR Data'!$U:$U,'Processed Non-zero DMR Data'!Y509)</f>
        <v>1</v>
      </c>
      <c r="V509" s="8">
        <f>COUNTIFS('Raw Non-zero DMR Data'!$A:$A, 'Processed Non-zero DMR Data'!A509, 'Raw Non-zero DMR Data'!$C:$C, X509, 'Raw Non-zero DMR Data'!$U:$U,'Processed Non-zero DMR Data'!Y509,'Raw Non-zero DMR Data'!$Z:$Z,"Yes")</f>
        <v>1</v>
      </c>
      <c r="W509">
        <v>8.3536000000000001</v>
      </c>
      <c r="X509" t="s">
        <v>1047</v>
      </c>
      <c r="Y509" t="s">
        <v>1048</v>
      </c>
      <c r="Z509" s="257">
        <v>51402020605</v>
      </c>
    </row>
    <row r="510" spans="1:26" ht="15" customHeight="1" x14ac:dyDescent="0.25">
      <c r="A510">
        <v>2022</v>
      </c>
      <c r="B510" t="s">
        <v>290</v>
      </c>
      <c r="C510" t="s">
        <v>291</v>
      </c>
      <c r="D510" t="s">
        <v>1046</v>
      </c>
      <c r="E510" t="s">
        <v>292</v>
      </c>
      <c r="F510">
        <v>37.907200000000003</v>
      </c>
      <c r="G510">
        <v>-87.927099999999996</v>
      </c>
      <c r="I510" s="1">
        <v>110000403670</v>
      </c>
      <c r="J510">
        <v>2821</v>
      </c>
      <c r="K510" s="175" t="str">
        <f>INDEX('2022 SIC to NAICS'!B:B, MATCH('Processed Non-zero DMR Data'!$J510, '2022 SIC to NAICS'!$A:$A, 0))</f>
        <v>Plastics Materials and Resins</v>
      </c>
      <c r="L510" s="175">
        <f>INDEX('2022 SIC to NAICS'!C:C, MATCH('Processed Non-zero DMR Data'!$J510, '2022 SIC to NAICS'!$A:$A, 0))</f>
        <v>325211</v>
      </c>
      <c r="M510" s="175" t="str">
        <f>INDEX('2022 SIC to NAICS'!D:D, MATCH('Processed Non-zero DMR Data'!$J510, '2022 SIC to NAICS'!$A:$A, 0))</f>
        <v xml:space="preserve">Plastics Material and Resin Manufacturing </v>
      </c>
      <c r="N510" s="90" t="str">
        <f>IFERROR(INDEX('NAICS Code to IS CDR Code'!B:B, MATCH('Processed Non-zero DMR Data'!L510,'NAICS Code to IS CDR Code'!A:A,0)), "NAICS/SIC Not Provided")</f>
        <v>IS22</v>
      </c>
      <c r="O510" s="91" t="str">
        <f>IFERROR(INDEX('NAICS Code to IS CDR Code'!C:C, MATCH('Processed Non-zero DMR Data'!L510,'NAICS Code to IS CDR Code'!A:A,0)), "NAICS/SIC Not Provided")</f>
        <v>Plastic Material and Resin Manufacturing</v>
      </c>
      <c r="P510" s="91" t="str">
        <f>INDEX('11DCA Mapping'!$K:$K, MATCH('Processed Non-zero DMR Data'!I516,'11DCA Mapping'!$J:$J,0))</f>
        <v>POTW</v>
      </c>
      <c r="Q510" s="91" t="str">
        <f>INDEX('11DCA Mapping'!$L:$L, MATCH('Processed Non-zero DMR Data'!I516,'11DCA Mapping'!$J:$J,0))</f>
        <v>Assigned POTW per "Facility Type Indicator"</v>
      </c>
      <c r="R510" s="250" t="str">
        <f>VLOOKUP(I510,'DMR POTW Flag'!$A$2:$B$960,2,FALSE)</f>
        <v>NON-POTW</v>
      </c>
      <c r="S510" s="7" t="s">
        <v>63</v>
      </c>
      <c r="T510" s="7" t="s">
        <v>5470</v>
      </c>
      <c r="U510" s="8">
        <f>COUNTIFS('Raw Non-zero DMR Data'!$A:$A, 'Processed Non-zero DMR Data'!A510, 'Raw Non-zero DMR Data'!$C:$C, X510, 'Raw Non-zero DMR Data'!$U:$U,'Processed Non-zero DMR Data'!Y510)</f>
        <v>1</v>
      </c>
      <c r="V510" s="8">
        <f>COUNTIFS('Raw Non-zero DMR Data'!$A:$A, 'Processed Non-zero DMR Data'!A510, 'Raw Non-zero DMR Data'!$C:$C, X510, 'Raw Non-zero DMR Data'!$U:$U,'Processed Non-zero DMR Data'!Y510,'Raw Non-zero DMR Data'!$Z:$Z,"Yes")</f>
        <v>1</v>
      </c>
      <c r="W510">
        <v>6.6828799999999999</v>
      </c>
      <c r="X510" t="s">
        <v>1047</v>
      </c>
      <c r="Y510" t="s">
        <v>1048</v>
      </c>
      <c r="Z510" s="257">
        <v>51402020605</v>
      </c>
    </row>
    <row r="511" spans="1:26" ht="15" customHeight="1" x14ac:dyDescent="0.25">
      <c r="A511">
        <v>2023</v>
      </c>
      <c r="B511" t="s">
        <v>290</v>
      </c>
      <c r="C511" t="s">
        <v>291</v>
      </c>
      <c r="D511" t="s">
        <v>1046</v>
      </c>
      <c r="E511" t="s">
        <v>292</v>
      </c>
      <c r="F511">
        <v>37.907200000000003</v>
      </c>
      <c r="G511">
        <v>-87.927099999999996</v>
      </c>
      <c r="I511" s="1">
        <v>110000403670</v>
      </c>
      <c r="J511">
        <v>2821</v>
      </c>
      <c r="K511" s="175" t="str">
        <f>INDEX('2022 SIC to NAICS'!B:B, MATCH('Processed Non-zero DMR Data'!$J511, '2022 SIC to NAICS'!$A:$A, 0))</f>
        <v>Plastics Materials and Resins</v>
      </c>
      <c r="L511" s="175">
        <f>INDEX('2022 SIC to NAICS'!C:C, MATCH('Processed Non-zero DMR Data'!$J511, '2022 SIC to NAICS'!$A:$A, 0))</f>
        <v>325211</v>
      </c>
      <c r="M511" s="175" t="str">
        <f>INDEX('2022 SIC to NAICS'!D:D, MATCH('Processed Non-zero DMR Data'!$J511, '2022 SIC to NAICS'!$A:$A, 0))</f>
        <v xml:space="preserve">Plastics Material and Resin Manufacturing </v>
      </c>
      <c r="N511" s="90" t="str">
        <f>IFERROR(INDEX('NAICS Code to IS CDR Code'!B:B, MATCH('Processed Non-zero DMR Data'!L511,'NAICS Code to IS CDR Code'!A:A,0)), "NAICS/SIC Not Provided")</f>
        <v>IS22</v>
      </c>
      <c r="O511" s="91" t="str">
        <f>IFERROR(INDEX('NAICS Code to IS CDR Code'!C:C, MATCH('Processed Non-zero DMR Data'!L511,'NAICS Code to IS CDR Code'!A:A,0)), "NAICS/SIC Not Provided")</f>
        <v>Plastic Material and Resin Manufacturing</v>
      </c>
      <c r="P511" s="91" t="str">
        <f>INDEX('11DCA Mapping'!$K:$K, MATCH('Processed Non-zero DMR Data'!I517,'11DCA Mapping'!$J:$J,0))</f>
        <v>POTW</v>
      </c>
      <c r="Q511" s="91" t="str">
        <f>INDEX('11DCA Mapping'!$L:$L, MATCH('Processed Non-zero DMR Data'!I517,'11DCA Mapping'!$J:$J,0))</f>
        <v>Assigned POTW per "Facility Type Indicator"</v>
      </c>
      <c r="R511" s="250" t="str">
        <f>VLOOKUP(I511,'DMR POTW Flag'!$A$2:$B$960,2,FALSE)</f>
        <v>NON-POTW</v>
      </c>
      <c r="S511" s="7" t="s">
        <v>63</v>
      </c>
      <c r="T511" s="7" t="s">
        <v>5470</v>
      </c>
      <c r="U511" s="8">
        <f>COUNTIFS('Raw Non-zero DMR Data'!$A:$A, 'Processed Non-zero DMR Data'!A511, 'Raw Non-zero DMR Data'!$C:$C, X511, 'Raw Non-zero DMR Data'!$U:$U,'Processed Non-zero DMR Data'!Y511)</f>
        <v>1</v>
      </c>
      <c r="V511" s="8">
        <f>COUNTIFS('Raw Non-zero DMR Data'!$A:$A, 'Processed Non-zero DMR Data'!A511, 'Raw Non-zero DMR Data'!$C:$C, X511, 'Raw Non-zero DMR Data'!$U:$U,'Processed Non-zero DMR Data'!Y511,'Raw Non-zero DMR Data'!$Z:$Z,"Yes")</f>
        <v>1</v>
      </c>
      <c r="W511">
        <v>3.34144</v>
      </c>
      <c r="X511" t="s">
        <v>1047</v>
      </c>
      <c r="Y511" t="s">
        <v>1048</v>
      </c>
      <c r="Z511" s="257">
        <v>51402020605</v>
      </c>
    </row>
    <row r="512" spans="1:26" ht="15" customHeight="1" x14ac:dyDescent="0.25">
      <c r="A512">
        <v>2019</v>
      </c>
      <c r="B512" t="s">
        <v>357</v>
      </c>
      <c r="C512" t="s">
        <v>185</v>
      </c>
      <c r="D512" t="s">
        <v>1049</v>
      </c>
      <c r="E512" t="s">
        <v>186</v>
      </c>
      <c r="F512">
        <v>21.304500000000001</v>
      </c>
      <c r="G512">
        <v>-157.88205600000001</v>
      </c>
      <c r="I512" s="1">
        <v>110005726802</v>
      </c>
      <c r="J512">
        <v>4952</v>
      </c>
      <c r="K512" s="175" t="str">
        <f>INDEX('2022 SIC to NAICS'!B:B, MATCH('Processed Non-zero DMR Data'!$J512, '2022 SIC to NAICS'!$A:$A, 0))</f>
        <v>Sewerage Systems</v>
      </c>
      <c r="L512" s="175">
        <f>INDEX('2022 SIC to NAICS'!C:C, MATCH('Processed Non-zero DMR Data'!$J512, '2022 SIC to NAICS'!$A:$A, 0))</f>
        <v>221320</v>
      </c>
      <c r="M512" s="175" t="str">
        <f>INDEX('2022 SIC to NAICS'!D:D, MATCH('Processed Non-zero DMR Data'!$J512, '2022 SIC to NAICS'!$A:$A, 0))</f>
        <v xml:space="preserve">Sewage Treatment Facilities </v>
      </c>
      <c r="N512" s="90" t="str">
        <f>IFERROR(INDEX('NAICS Code to IS CDR Code'!B:B, MATCH('Processed Non-zero DMR Data'!L512,'NAICS Code to IS CDR Code'!A:A,0)), "NAICS/SIC Not Provided")</f>
        <v>IS4</v>
      </c>
      <c r="O512" s="91" t="str">
        <f>IFERROR(INDEX('NAICS Code to IS CDR Code'!C:C, MATCH('Processed Non-zero DMR Data'!L512,'NAICS Code to IS CDR Code'!A:A,0)), "NAICS/SIC Not Provided")</f>
        <v>Utilities</v>
      </c>
      <c r="P512" s="91" t="str">
        <f>INDEX('11DCA Mapping'!$K:$K, MATCH('Processed Non-zero DMR Data'!I518,'11DCA Mapping'!$J:$J,0))</f>
        <v>POTW</v>
      </c>
      <c r="Q512" s="91" t="str">
        <f>INDEX('11DCA Mapping'!$L:$L, MATCH('Processed Non-zero DMR Data'!I518,'11DCA Mapping'!$J:$J,0))</f>
        <v>Assigned POTW per "Facility Type Indicator"</v>
      </c>
      <c r="R512" s="250" t="str">
        <f>VLOOKUP(I512,'DMR POTW Flag'!$A$2:$B$960,2,FALSE)</f>
        <v>POTW</v>
      </c>
      <c r="S512" s="7" t="s">
        <v>67</v>
      </c>
      <c r="T512" s="249" t="s">
        <v>586</v>
      </c>
      <c r="U512" s="8">
        <f>COUNTIFS('Raw Non-zero DMR Data'!$A:$A, 'Processed Non-zero DMR Data'!A512, 'Raw Non-zero DMR Data'!$C:$C, X512, 'Raw Non-zero DMR Data'!$U:$U,'Processed Non-zero DMR Data'!Y512)</f>
        <v>1</v>
      </c>
      <c r="V512" s="8">
        <f>COUNTIFS('Raw Non-zero DMR Data'!$A:$A, 'Processed Non-zero DMR Data'!A512, 'Raw Non-zero DMR Data'!$C:$C, X512, 'Raw Non-zero DMR Data'!$U:$U,'Processed Non-zero DMR Data'!Y512,'Raw Non-zero DMR Data'!$Z:$Z,"Yes")</f>
        <v>1</v>
      </c>
      <c r="W512">
        <v>1.0434064080000001</v>
      </c>
      <c r="X512" t="s">
        <v>1050</v>
      </c>
      <c r="Y512" t="s">
        <v>1051</v>
      </c>
      <c r="Z512" s="257">
        <v>200600000304</v>
      </c>
    </row>
    <row r="513" spans="1:26" ht="15" customHeight="1" x14ac:dyDescent="0.25">
      <c r="A513">
        <v>2020</v>
      </c>
      <c r="B513" t="s">
        <v>357</v>
      </c>
      <c r="C513" t="s">
        <v>185</v>
      </c>
      <c r="D513" t="s">
        <v>1049</v>
      </c>
      <c r="E513" t="s">
        <v>186</v>
      </c>
      <c r="F513">
        <v>21.304500000000001</v>
      </c>
      <c r="G513">
        <v>-157.88205600000001</v>
      </c>
      <c r="I513" s="1">
        <v>110005726802</v>
      </c>
      <c r="J513">
        <v>4952</v>
      </c>
      <c r="K513" s="175" t="str">
        <f>INDEX('2022 SIC to NAICS'!B:B, MATCH('Processed Non-zero DMR Data'!$J513, '2022 SIC to NAICS'!$A:$A, 0))</f>
        <v>Sewerage Systems</v>
      </c>
      <c r="L513" s="175">
        <f>INDEX('2022 SIC to NAICS'!C:C, MATCH('Processed Non-zero DMR Data'!$J513, '2022 SIC to NAICS'!$A:$A, 0))</f>
        <v>221320</v>
      </c>
      <c r="M513" s="175" t="str">
        <f>INDEX('2022 SIC to NAICS'!D:D, MATCH('Processed Non-zero DMR Data'!$J513, '2022 SIC to NAICS'!$A:$A, 0))</f>
        <v xml:space="preserve">Sewage Treatment Facilities </v>
      </c>
      <c r="N513" s="90" t="str">
        <f>IFERROR(INDEX('NAICS Code to IS CDR Code'!B:B, MATCH('Processed Non-zero DMR Data'!L513,'NAICS Code to IS CDR Code'!A:A,0)), "NAICS/SIC Not Provided")</f>
        <v>IS4</v>
      </c>
      <c r="O513" s="91" t="str">
        <f>IFERROR(INDEX('NAICS Code to IS CDR Code'!C:C, MATCH('Processed Non-zero DMR Data'!L513,'NAICS Code to IS CDR Code'!A:A,0)), "NAICS/SIC Not Provided")</f>
        <v>Utilities</v>
      </c>
      <c r="P513" s="91" t="str">
        <f>INDEX('11DCA Mapping'!$K:$K, MATCH('Processed Non-zero DMR Data'!I519,'11DCA Mapping'!$J:$J,0))</f>
        <v>POTW</v>
      </c>
      <c r="Q513" s="91" t="str">
        <f>INDEX('11DCA Mapping'!$L:$L, MATCH('Processed Non-zero DMR Data'!I519,'11DCA Mapping'!$J:$J,0))</f>
        <v>Assigned POTW per "Facility Type Indicator"</v>
      </c>
      <c r="R513" s="250" t="str">
        <f>VLOOKUP(I513,'DMR POTW Flag'!$A$2:$B$960,2,FALSE)</f>
        <v>POTW</v>
      </c>
      <c r="S513" s="7" t="s">
        <v>67</v>
      </c>
      <c r="T513" s="249" t="s">
        <v>586</v>
      </c>
      <c r="U513" s="8">
        <f>COUNTIFS('Raw Non-zero DMR Data'!$A:$A, 'Processed Non-zero DMR Data'!A513, 'Raw Non-zero DMR Data'!$C:$C, X513, 'Raw Non-zero DMR Data'!$U:$U,'Processed Non-zero DMR Data'!Y513)</f>
        <v>1</v>
      </c>
      <c r="V513" s="8">
        <f>COUNTIFS('Raw Non-zero DMR Data'!$A:$A, 'Processed Non-zero DMR Data'!A513, 'Raw Non-zero DMR Data'!$C:$C, X513, 'Raw Non-zero DMR Data'!$U:$U,'Processed Non-zero DMR Data'!Y513,'Raw Non-zero DMR Data'!$Z:$Z,"Yes")</f>
        <v>1</v>
      </c>
      <c r="W513">
        <v>10.63046016</v>
      </c>
      <c r="X513" t="s">
        <v>1050</v>
      </c>
      <c r="Y513" t="s">
        <v>1051</v>
      </c>
      <c r="Z513" s="257">
        <v>200600000304</v>
      </c>
    </row>
    <row r="514" spans="1:26" ht="15" customHeight="1" x14ac:dyDescent="0.25">
      <c r="A514">
        <v>2019</v>
      </c>
      <c r="B514" t="s">
        <v>229</v>
      </c>
      <c r="C514" t="s">
        <v>230</v>
      </c>
      <c r="D514" t="s">
        <v>230</v>
      </c>
      <c r="E514" t="s">
        <v>146</v>
      </c>
      <c r="F514">
        <v>36.963245999999998</v>
      </c>
      <c r="G514">
        <v>-122.034009</v>
      </c>
      <c r="I514" s="1">
        <v>110013848453</v>
      </c>
      <c r="J514">
        <v>4952</v>
      </c>
      <c r="K514" s="175" t="str">
        <f>INDEX('2022 SIC to NAICS'!B:B, MATCH('Processed Non-zero DMR Data'!$J514, '2022 SIC to NAICS'!$A:$A, 0))</f>
        <v>Sewerage Systems</v>
      </c>
      <c r="L514" s="175">
        <f>INDEX('2022 SIC to NAICS'!C:C, MATCH('Processed Non-zero DMR Data'!$J514, '2022 SIC to NAICS'!$A:$A, 0))</f>
        <v>221320</v>
      </c>
      <c r="M514" s="175" t="str">
        <f>INDEX('2022 SIC to NAICS'!D:D, MATCH('Processed Non-zero DMR Data'!$J514, '2022 SIC to NAICS'!$A:$A, 0))</f>
        <v xml:space="preserve">Sewage Treatment Facilities </v>
      </c>
      <c r="N514" s="90" t="str">
        <f>IFERROR(INDEX('NAICS Code to IS CDR Code'!B:B, MATCH('Processed Non-zero DMR Data'!L514,'NAICS Code to IS CDR Code'!A:A,0)), "NAICS/SIC Not Provided")</f>
        <v>IS4</v>
      </c>
      <c r="O514" s="91" t="str">
        <f>IFERROR(INDEX('NAICS Code to IS CDR Code'!C:C, MATCH('Processed Non-zero DMR Data'!L514,'NAICS Code to IS CDR Code'!A:A,0)), "NAICS/SIC Not Provided")</f>
        <v>Utilities</v>
      </c>
      <c r="P514" s="91" t="str">
        <f>INDEX('11DCA Mapping'!$K:$K, MATCH('Processed Non-zero DMR Data'!I520,'11DCA Mapping'!$J:$J,0))</f>
        <v>POTW</v>
      </c>
      <c r="Q514" s="91" t="str">
        <f>INDEX('11DCA Mapping'!$L:$L, MATCH('Processed Non-zero DMR Data'!I520,'11DCA Mapping'!$J:$J,0))</f>
        <v>Assigned POTW per "Facility Type Indicator"</v>
      </c>
      <c r="R514" s="250" t="str">
        <f>VLOOKUP(I514,'DMR POTW Flag'!$A$2:$B$960,2,FALSE)</f>
        <v>POTW</v>
      </c>
      <c r="S514" s="7" t="s">
        <v>67</v>
      </c>
      <c r="T514" s="249" t="s">
        <v>586</v>
      </c>
      <c r="U514" s="8">
        <f>COUNTIFS('Raw Non-zero DMR Data'!$A:$A, 'Processed Non-zero DMR Data'!A514, 'Raw Non-zero DMR Data'!$C:$C, X514, 'Raw Non-zero DMR Data'!$U:$U,'Processed Non-zero DMR Data'!Y514)</f>
        <v>1</v>
      </c>
      <c r="V514" s="8">
        <f>COUNTIFS('Raw Non-zero DMR Data'!$A:$A, 'Processed Non-zero DMR Data'!A514, 'Raw Non-zero DMR Data'!$C:$C, X514, 'Raw Non-zero DMR Data'!$U:$U,'Processed Non-zero DMR Data'!Y514,'Raw Non-zero DMR Data'!$Z:$Z,"Yes")</f>
        <v>1</v>
      </c>
      <c r="W514">
        <v>1.485631425</v>
      </c>
      <c r="X514" t="s">
        <v>1052</v>
      </c>
      <c r="Y514" t="s">
        <v>1053</v>
      </c>
      <c r="Z514" s="257">
        <v>180600150305</v>
      </c>
    </row>
    <row r="515" spans="1:26" ht="15" customHeight="1" x14ac:dyDescent="0.25">
      <c r="A515">
        <v>2020</v>
      </c>
      <c r="B515" t="s">
        <v>229</v>
      </c>
      <c r="C515" t="s">
        <v>230</v>
      </c>
      <c r="D515" t="s">
        <v>230</v>
      </c>
      <c r="E515" t="s">
        <v>146</v>
      </c>
      <c r="F515">
        <v>36.963245999999998</v>
      </c>
      <c r="G515">
        <v>-122.034009</v>
      </c>
      <c r="I515" s="1">
        <v>110013848453</v>
      </c>
      <c r="J515">
        <v>4952</v>
      </c>
      <c r="K515" s="175" t="str">
        <f>INDEX('2022 SIC to NAICS'!B:B, MATCH('Processed Non-zero DMR Data'!$J515, '2022 SIC to NAICS'!$A:$A, 0))</f>
        <v>Sewerage Systems</v>
      </c>
      <c r="L515" s="175">
        <f>INDEX('2022 SIC to NAICS'!C:C, MATCH('Processed Non-zero DMR Data'!$J515, '2022 SIC to NAICS'!$A:$A, 0))</f>
        <v>221320</v>
      </c>
      <c r="M515" s="175" t="str">
        <f>INDEX('2022 SIC to NAICS'!D:D, MATCH('Processed Non-zero DMR Data'!$J515, '2022 SIC to NAICS'!$A:$A, 0))</f>
        <v xml:space="preserve">Sewage Treatment Facilities </v>
      </c>
      <c r="N515" s="90" t="str">
        <f>IFERROR(INDEX('NAICS Code to IS CDR Code'!B:B, MATCH('Processed Non-zero DMR Data'!L515,'NAICS Code to IS CDR Code'!A:A,0)), "NAICS/SIC Not Provided")</f>
        <v>IS4</v>
      </c>
      <c r="O515" s="91" t="str">
        <f>IFERROR(INDEX('NAICS Code to IS CDR Code'!C:C, MATCH('Processed Non-zero DMR Data'!L515,'NAICS Code to IS CDR Code'!A:A,0)), "NAICS/SIC Not Provided")</f>
        <v>Utilities</v>
      </c>
      <c r="P515" s="91" t="str">
        <f>INDEX('11DCA Mapping'!$K:$K, MATCH('Processed Non-zero DMR Data'!I521,'11DCA Mapping'!$J:$J,0))</f>
        <v>Processing as a Reactant</v>
      </c>
      <c r="Q515" s="91" t="str">
        <f>INDEX('11DCA Mapping'!$L:$L, MATCH('Processed Non-zero DMR Data'!I521,'11DCA Mapping'!$J:$J,0))</f>
        <v>Used mapping of other site with same SIC description</v>
      </c>
      <c r="R515" s="250" t="str">
        <f>VLOOKUP(I515,'DMR POTW Flag'!$A$2:$B$960,2,FALSE)</f>
        <v>POTW</v>
      </c>
      <c r="S515" s="7" t="s">
        <v>67</v>
      </c>
      <c r="T515" s="249" t="s">
        <v>586</v>
      </c>
      <c r="U515" s="8">
        <f>COUNTIFS('Raw Non-zero DMR Data'!$A:$A, 'Processed Non-zero DMR Data'!A515, 'Raw Non-zero DMR Data'!$C:$C, X515, 'Raw Non-zero DMR Data'!$U:$U,'Processed Non-zero DMR Data'!Y515)</f>
        <v>1</v>
      </c>
      <c r="V515" s="8">
        <f>COUNTIFS('Raw Non-zero DMR Data'!$A:$A, 'Processed Non-zero DMR Data'!A515, 'Raw Non-zero DMR Data'!$C:$C, X515, 'Raw Non-zero DMR Data'!$U:$U,'Processed Non-zero DMR Data'!Y515,'Raw Non-zero DMR Data'!$Z:$Z,"Yes")</f>
        <v>1</v>
      </c>
      <c r="W515">
        <v>5.0034673892499999E-2</v>
      </c>
      <c r="X515" t="s">
        <v>1052</v>
      </c>
      <c r="Y515" t="s">
        <v>1053</v>
      </c>
      <c r="Z515" s="257">
        <v>180600150305</v>
      </c>
    </row>
    <row r="516" spans="1:26" ht="15" customHeight="1" x14ac:dyDescent="0.25">
      <c r="A516">
        <v>2021</v>
      </c>
      <c r="B516" t="s">
        <v>229</v>
      </c>
      <c r="C516" t="s">
        <v>230</v>
      </c>
      <c r="D516" t="s">
        <v>230</v>
      </c>
      <c r="E516" t="s">
        <v>146</v>
      </c>
      <c r="F516">
        <v>36.963245999999998</v>
      </c>
      <c r="G516">
        <v>-122.034009</v>
      </c>
      <c r="I516" s="1">
        <v>110013848453</v>
      </c>
      <c r="J516">
        <v>4952</v>
      </c>
      <c r="K516" s="175" t="str">
        <f>INDEX('2022 SIC to NAICS'!B:B, MATCH('Processed Non-zero DMR Data'!$J516, '2022 SIC to NAICS'!$A:$A, 0))</f>
        <v>Sewerage Systems</v>
      </c>
      <c r="L516" s="175">
        <f>INDEX('2022 SIC to NAICS'!C:C, MATCH('Processed Non-zero DMR Data'!$J516, '2022 SIC to NAICS'!$A:$A, 0))</f>
        <v>221320</v>
      </c>
      <c r="M516" s="175" t="str">
        <f>INDEX('2022 SIC to NAICS'!D:D, MATCH('Processed Non-zero DMR Data'!$J516, '2022 SIC to NAICS'!$A:$A, 0))</f>
        <v xml:space="preserve">Sewage Treatment Facilities </v>
      </c>
      <c r="N516" s="90" t="str">
        <f>IFERROR(INDEX('NAICS Code to IS CDR Code'!B:B, MATCH('Processed Non-zero DMR Data'!L516,'NAICS Code to IS CDR Code'!A:A,0)), "NAICS/SIC Not Provided")</f>
        <v>IS4</v>
      </c>
      <c r="O516" s="91" t="str">
        <f>IFERROR(INDEX('NAICS Code to IS CDR Code'!C:C, MATCH('Processed Non-zero DMR Data'!L516,'NAICS Code to IS CDR Code'!A:A,0)), "NAICS/SIC Not Provided")</f>
        <v>Utilities</v>
      </c>
      <c r="P516" s="91" t="str">
        <f>INDEX('11DCA Mapping'!$K:$K, MATCH('Processed Non-zero DMR Data'!I522,'11DCA Mapping'!$J:$J,0))</f>
        <v>Processing as a Reactant</v>
      </c>
      <c r="Q516" s="91" t="str">
        <f>INDEX('11DCA Mapping'!$L:$L, MATCH('Processed Non-zero DMR Data'!I522,'11DCA Mapping'!$J:$J,0))</f>
        <v>Used mapping of other site with same SIC description</v>
      </c>
      <c r="R516" s="250" t="str">
        <f>VLOOKUP(I516,'DMR POTW Flag'!$A$2:$B$960,2,FALSE)</f>
        <v>POTW</v>
      </c>
      <c r="S516" s="7" t="s">
        <v>67</v>
      </c>
      <c r="T516" s="249" t="s">
        <v>586</v>
      </c>
      <c r="U516" s="8">
        <f>COUNTIFS('Raw Non-zero DMR Data'!$A:$A, 'Processed Non-zero DMR Data'!A516, 'Raw Non-zero DMR Data'!$C:$C, X516, 'Raw Non-zero DMR Data'!$U:$U,'Processed Non-zero DMR Data'!Y516)</f>
        <v>1</v>
      </c>
      <c r="V516" s="8">
        <f>COUNTIFS('Raw Non-zero DMR Data'!$A:$A, 'Processed Non-zero DMR Data'!A516, 'Raw Non-zero DMR Data'!$C:$C, X516, 'Raw Non-zero DMR Data'!$U:$U,'Processed Non-zero DMR Data'!Y516,'Raw Non-zero DMR Data'!$Z:$Z,"Yes")</f>
        <v>1</v>
      </c>
      <c r="W516">
        <v>5.997047111E-2</v>
      </c>
      <c r="X516" t="s">
        <v>1052</v>
      </c>
      <c r="Y516" t="s">
        <v>1053</v>
      </c>
      <c r="Z516" s="257">
        <v>180600150305</v>
      </c>
    </row>
    <row r="517" spans="1:26" ht="15" customHeight="1" x14ac:dyDescent="0.25">
      <c r="A517">
        <v>2023</v>
      </c>
      <c r="B517" t="s">
        <v>229</v>
      </c>
      <c r="C517" t="s">
        <v>230</v>
      </c>
      <c r="D517" t="s">
        <v>230</v>
      </c>
      <c r="E517" t="s">
        <v>146</v>
      </c>
      <c r="F517">
        <v>36.963245999999998</v>
      </c>
      <c r="G517">
        <v>-122.034009</v>
      </c>
      <c r="I517" s="1">
        <v>110013848453</v>
      </c>
      <c r="J517">
        <v>4952</v>
      </c>
      <c r="K517" s="175" t="str">
        <f>INDEX('2022 SIC to NAICS'!B:B, MATCH('Processed Non-zero DMR Data'!$J517, '2022 SIC to NAICS'!$A:$A, 0))</f>
        <v>Sewerage Systems</v>
      </c>
      <c r="L517" s="175">
        <f>INDEX('2022 SIC to NAICS'!C:C, MATCH('Processed Non-zero DMR Data'!$J517, '2022 SIC to NAICS'!$A:$A, 0))</f>
        <v>221320</v>
      </c>
      <c r="M517" s="175" t="str">
        <f>INDEX('2022 SIC to NAICS'!D:D, MATCH('Processed Non-zero DMR Data'!$J517, '2022 SIC to NAICS'!$A:$A, 0))</f>
        <v xml:space="preserve">Sewage Treatment Facilities </v>
      </c>
      <c r="N517" s="90" t="str">
        <f>IFERROR(INDEX('NAICS Code to IS CDR Code'!B:B, MATCH('Processed Non-zero DMR Data'!L517,'NAICS Code to IS CDR Code'!A:A,0)), "NAICS/SIC Not Provided")</f>
        <v>IS4</v>
      </c>
      <c r="O517" s="91" t="str">
        <f>IFERROR(INDEX('NAICS Code to IS CDR Code'!C:C, MATCH('Processed Non-zero DMR Data'!L517,'NAICS Code to IS CDR Code'!A:A,0)), "NAICS/SIC Not Provided")</f>
        <v>Utilities</v>
      </c>
      <c r="P517" s="91" t="str">
        <f>INDEX('11DCA Mapping'!$K:$K, MATCH('Processed Non-zero DMR Data'!I523,'11DCA Mapping'!$J:$J,0))</f>
        <v>Processing as a Reactant</v>
      </c>
      <c r="Q517" s="91" t="str">
        <f>INDEX('11DCA Mapping'!$L:$L, MATCH('Processed Non-zero DMR Data'!I523,'11DCA Mapping'!$J:$J,0))</f>
        <v>Used mapping of other site with same SIC description</v>
      </c>
      <c r="R517" s="250" t="str">
        <f>VLOOKUP(I517,'DMR POTW Flag'!$A$2:$B$960,2,FALSE)</f>
        <v>POTW</v>
      </c>
      <c r="S517" s="7" t="s">
        <v>67</v>
      </c>
      <c r="T517" s="249" t="s">
        <v>586</v>
      </c>
      <c r="U517" s="8">
        <f>COUNTIFS('Raw Non-zero DMR Data'!$A:$A, 'Processed Non-zero DMR Data'!A517, 'Raw Non-zero DMR Data'!$C:$C, X517, 'Raw Non-zero DMR Data'!$U:$U,'Processed Non-zero DMR Data'!Y517)</f>
        <v>1</v>
      </c>
      <c r="V517" s="8">
        <f>COUNTIFS('Raw Non-zero DMR Data'!$A:$A, 'Processed Non-zero DMR Data'!A517, 'Raw Non-zero DMR Data'!$C:$C, X517, 'Raw Non-zero DMR Data'!$U:$U,'Processed Non-zero DMR Data'!Y517,'Raw Non-zero DMR Data'!$Z:$Z,"Yes")</f>
        <v>1</v>
      </c>
      <c r="W517">
        <v>1.037379174</v>
      </c>
      <c r="X517" t="s">
        <v>1052</v>
      </c>
      <c r="Y517" t="s">
        <v>1053</v>
      </c>
      <c r="Z517" s="257">
        <v>180600150305</v>
      </c>
    </row>
    <row r="518" spans="1:26" ht="15" customHeight="1" x14ac:dyDescent="0.25">
      <c r="A518">
        <v>2019</v>
      </c>
      <c r="B518" t="s">
        <v>176</v>
      </c>
      <c r="C518" t="s">
        <v>177</v>
      </c>
      <c r="D518" t="s">
        <v>1054</v>
      </c>
      <c r="E518" t="s">
        <v>146</v>
      </c>
      <c r="F518">
        <v>38.368760000000002</v>
      </c>
      <c r="G518">
        <v>-122.76860000000001</v>
      </c>
      <c r="I518" s="1">
        <v>110000730460</v>
      </c>
      <c r="J518">
        <v>4952</v>
      </c>
      <c r="K518" s="175" t="str">
        <f>INDEX('2022 SIC to NAICS'!B:B, MATCH('Processed Non-zero DMR Data'!$J518, '2022 SIC to NAICS'!$A:$A, 0))</f>
        <v>Sewerage Systems</v>
      </c>
      <c r="L518" s="175">
        <f>INDEX('2022 SIC to NAICS'!C:C, MATCH('Processed Non-zero DMR Data'!$J518, '2022 SIC to NAICS'!$A:$A, 0))</f>
        <v>221320</v>
      </c>
      <c r="M518" s="175" t="str">
        <f>INDEX('2022 SIC to NAICS'!D:D, MATCH('Processed Non-zero DMR Data'!$J518, '2022 SIC to NAICS'!$A:$A, 0))</f>
        <v xml:space="preserve">Sewage Treatment Facilities </v>
      </c>
      <c r="N518" s="90" t="str">
        <f>IFERROR(INDEX('NAICS Code to IS CDR Code'!B:B, MATCH('Processed Non-zero DMR Data'!L518,'NAICS Code to IS CDR Code'!A:A,0)), "NAICS/SIC Not Provided")</f>
        <v>IS4</v>
      </c>
      <c r="O518" s="91" t="str">
        <f>IFERROR(INDEX('NAICS Code to IS CDR Code'!C:C, MATCH('Processed Non-zero DMR Data'!L518,'NAICS Code to IS CDR Code'!A:A,0)), "NAICS/SIC Not Provided")</f>
        <v>Utilities</v>
      </c>
      <c r="P518" s="91" t="str">
        <f>INDEX('11DCA Mapping'!$K:$K, MATCH('Processed Non-zero DMR Data'!I524,'11DCA Mapping'!$J:$J,0))</f>
        <v>Processing as a Reactant</v>
      </c>
      <c r="Q518" s="91" t="str">
        <f>INDEX('11DCA Mapping'!$L:$L, MATCH('Processed Non-zero DMR Data'!I524,'11DCA Mapping'!$J:$J,0))</f>
        <v>Used mapping of other site with same SIC description</v>
      </c>
      <c r="R518" s="250" t="str">
        <f>VLOOKUP(I518,'DMR POTW Flag'!$A$2:$B$960,2,FALSE)</f>
        <v>POTW</v>
      </c>
      <c r="S518" s="7" t="s">
        <v>67</v>
      </c>
      <c r="T518" s="249" t="s">
        <v>586</v>
      </c>
      <c r="U518" s="8">
        <f>COUNTIFS('Raw Non-zero DMR Data'!$A:$A, 'Processed Non-zero DMR Data'!A518, 'Raw Non-zero DMR Data'!$C:$C, X518, 'Raw Non-zero DMR Data'!$U:$U,'Processed Non-zero DMR Data'!Y518)</f>
        <v>4</v>
      </c>
      <c r="V518" s="8">
        <f>COUNTIFS('Raw Non-zero DMR Data'!$A:$A, 'Processed Non-zero DMR Data'!A518, 'Raw Non-zero DMR Data'!$C:$C, X518, 'Raw Non-zero DMR Data'!$U:$U,'Processed Non-zero DMR Data'!Y518,'Raw Non-zero DMR Data'!$Z:$Z,"Yes")</f>
        <v>4</v>
      </c>
      <c r="W518">
        <v>2.2312574999999999</v>
      </c>
      <c r="X518" t="s">
        <v>1055</v>
      </c>
      <c r="Y518" t="s">
        <v>1056</v>
      </c>
      <c r="Z518" s="257">
        <v>180101100701</v>
      </c>
    </row>
    <row r="519" spans="1:26" ht="15" customHeight="1" x14ac:dyDescent="0.25">
      <c r="A519">
        <v>2019</v>
      </c>
      <c r="B519" t="s">
        <v>176</v>
      </c>
      <c r="C519" t="s">
        <v>177</v>
      </c>
      <c r="D519" t="s">
        <v>1054</v>
      </c>
      <c r="E519" t="s">
        <v>146</v>
      </c>
      <c r="F519">
        <v>38.368760000000002</v>
      </c>
      <c r="G519">
        <v>-122.76860000000001</v>
      </c>
      <c r="I519" s="1">
        <v>110000730460</v>
      </c>
      <c r="J519">
        <v>4952</v>
      </c>
      <c r="K519" s="175" t="str">
        <f>INDEX('2022 SIC to NAICS'!B:B, MATCH('Processed Non-zero DMR Data'!$J519, '2022 SIC to NAICS'!$A:$A, 0))</f>
        <v>Sewerage Systems</v>
      </c>
      <c r="L519" s="175">
        <f>INDEX('2022 SIC to NAICS'!C:C, MATCH('Processed Non-zero DMR Data'!$J519, '2022 SIC to NAICS'!$A:$A, 0))</f>
        <v>221320</v>
      </c>
      <c r="M519" s="175" t="str">
        <f>INDEX('2022 SIC to NAICS'!D:D, MATCH('Processed Non-zero DMR Data'!$J519, '2022 SIC to NAICS'!$A:$A, 0))</f>
        <v xml:space="preserve">Sewage Treatment Facilities </v>
      </c>
      <c r="N519" s="90" t="str">
        <f>IFERROR(INDEX('NAICS Code to IS CDR Code'!B:B, MATCH('Processed Non-zero DMR Data'!L519,'NAICS Code to IS CDR Code'!A:A,0)), "NAICS/SIC Not Provided")</f>
        <v>IS4</v>
      </c>
      <c r="O519" s="91" t="str">
        <f>IFERROR(INDEX('NAICS Code to IS CDR Code'!C:C, MATCH('Processed Non-zero DMR Data'!L519,'NAICS Code to IS CDR Code'!A:A,0)), "NAICS/SIC Not Provided")</f>
        <v>Utilities</v>
      </c>
      <c r="P519" s="91" t="str">
        <f>INDEX('11DCA Mapping'!$K:$K, MATCH('Processed Non-zero DMR Data'!I525,'11DCA Mapping'!$J:$J,0))</f>
        <v>Processing as a Reactant</v>
      </c>
      <c r="Q519" s="91" t="str">
        <f>INDEX('11DCA Mapping'!$L:$L, MATCH('Processed Non-zero DMR Data'!I525,'11DCA Mapping'!$J:$J,0))</f>
        <v>Used mapping of other site with same SIC description</v>
      </c>
      <c r="R519" s="250" t="str">
        <f>VLOOKUP(I519,'DMR POTW Flag'!$A$2:$B$960,2,FALSE)</f>
        <v>POTW</v>
      </c>
      <c r="S519" s="7" t="s">
        <v>67</v>
      </c>
      <c r="T519" s="249" t="s">
        <v>586</v>
      </c>
      <c r="U519" s="8">
        <f>COUNTIFS('Raw Non-zero DMR Data'!$A:$A, 'Processed Non-zero DMR Data'!A519, 'Raw Non-zero DMR Data'!$C:$C, X519, 'Raw Non-zero DMR Data'!$U:$U,'Processed Non-zero DMR Data'!Y519)</f>
        <v>4</v>
      </c>
      <c r="V519" s="8">
        <f>COUNTIFS('Raw Non-zero DMR Data'!$A:$A, 'Processed Non-zero DMR Data'!A519, 'Raw Non-zero DMR Data'!$C:$C, X519, 'Raw Non-zero DMR Data'!$U:$U,'Processed Non-zero DMR Data'!Y519,'Raw Non-zero DMR Data'!$Z:$Z,"Yes")</f>
        <v>4</v>
      </c>
      <c r="W519">
        <v>2.51229375</v>
      </c>
      <c r="X519" t="s">
        <v>1055</v>
      </c>
      <c r="Y519" t="s">
        <v>1056</v>
      </c>
      <c r="Z519" s="257">
        <v>180101100701</v>
      </c>
    </row>
    <row r="520" spans="1:26" ht="15" customHeight="1" x14ac:dyDescent="0.25">
      <c r="A520">
        <v>2019</v>
      </c>
      <c r="B520" t="s">
        <v>176</v>
      </c>
      <c r="C520" t="s">
        <v>177</v>
      </c>
      <c r="D520" t="s">
        <v>1054</v>
      </c>
      <c r="E520" t="s">
        <v>146</v>
      </c>
      <c r="F520">
        <v>38.368760000000002</v>
      </c>
      <c r="G520">
        <v>-122.76860000000001</v>
      </c>
      <c r="I520" s="1">
        <v>110000730460</v>
      </c>
      <c r="J520">
        <v>4952</v>
      </c>
      <c r="K520" s="175" t="str">
        <f>INDEX('2022 SIC to NAICS'!B:B, MATCH('Processed Non-zero DMR Data'!$J520, '2022 SIC to NAICS'!$A:$A, 0))</f>
        <v>Sewerage Systems</v>
      </c>
      <c r="L520" s="175">
        <f>INDEX('2022 SIC to NAICS'!C:C, MATCH('Processed Non-zero DMR Data'!$J520, '2022 SIC to NAICS'!$A:$A, 0))</f>
        <v>221320</v>
      </c>
      <c r="M520" s="175" t="str">
        <f>INDEX('2022 SIC to NAICS'!D:D, MATCH('Processed Non-zero DMR Data'!$J520, '2022 SIC to NAICS'!$A:$A, 0))</f>
        <v xml:space="preserve">Sewage Treatment Facilities </v>
      </c>
      <c r="N520" s="90" t="str">
        <f>IFERROR(INDEX('NAICS Code to IS CDR Code'!B:B, MATCH('Processed Non-zero DMR Data'!L520,'NAICS Code to IS CDR Code'!A:A,0)), "NAICS/SIC Not Provided")</f>
        <v>IS4</v>
      </c>
      <c r="O520" s="91" t="str">
        <f>IFERROR(INDEX('NAICS Code to IS CDR Code'!C:C, MATCH('Processed Non-zero DMR Data'!L520,'NAICS Code to IS CDR Code'!A:A,0)), "NAICS/SIC Not Provided")</f>
        <v>Utilities</v>
      </c>
      <c r="P520" s="91" t="e">
        <f>INDEX('11DCA Mapping'!$K:$K, MATCH('Processed Non-zero DMR Data'!I526,'11DCA Mapping'!$J:$J,0))</f>
        <v>#N/A</v>
      </c>
      <c r="Q520" s="91" t="e">
        <f>INDEX('11DCA Mapping'!$L:$L, MATCH('Processed Non-zero DMR Data'!I526,'11DCA Mapping'!$J:$J,0))</f>
        <v>#N/A</v>
      </c>
      <c r="R520" s="250" t="str">
        <f>VLOOKUP(I520,'DMR POTW Flag'!$A$2:$B$960,2,FALSE)</f>
        <v>POTW</v>
      </c>
      <c r="S520" s="7" t="s">
        <v>67</v>
      </c>
      <c r="T520" s="249" t="s">
        <v>586</v>
      </c>
      <c r="U520" s="8">
        <f>COUNTIFS('Raw Non-zero DMR Data'!$A:$A, 'Processed Non-zero DMR Data'!A520, 'Raw Non-zero DMR Data'!$C:$C, X520, 'Raw Non-zero DMR Data'!$U:$U,'Processed Non-zero DMR Data'!Y520)</f>
        <v>4</v>
      </c>
      <c r="V520" s="8">
        <f>COUNTIFS('Raw Non-zero DMR Data'!$A:$A, 'Processed Non-zero DMR Data'!A520, 'Raw Non-zero DMR Data'!$C:$C, X520, 'Raw Non-zero DMR Data'!$U:$U,'Processed Non-zero DMR Data'!Y520,'Raw Non-zero DMR Data'!$Z:$Z,"Yes")</f>
        <v>4</v>
      </c>
      <c r="W520">
        <v>3.9515400000000001</v>
      </c>
      <c r="X520" t="s">
        <v>1055</v>
      </c>
      <c r="Y520" t="s">
        <v>1056</v>
      </c>
      <c r="Z520" s="257">
        <v>180101100701</v>
      </c>
    </row>
    <row r="521" spans="1:26" ht="15" customHeight="1" x14ac:dyDescent="0.25">
      <c r="A521">
        <v>2019</v>
      </c>
      <c r="B521" t="s">
        <v>266</v>
      </c>
      <c r="C521" t="s">
        <v>267</v>
      </c>
      <c r="D521" t="s">
        <v>1057</v>
      </c>
      <c r="E521" t="s">
        <v>268</v>
      </c>
      <c r="F521">
        <v>41.452778000000002</v>
      </c>
      <c r="G521">
        <v>-79.690278000000006</v>
      </c>
      <c r="I521" s="1">
        <v>110008476327</v>
      </c>
      <c r="J521">
        <v>2865</v>
      </c>
      <c r="K521" s="175" t="str">
        <f>INDEX('2022 SIC to NAICS'!B:B, MATCH('Processed Non-zero DMR Data'!$J521, '2022 SIC to NAICS'!$A:$A, 0))</f>
        <v>Cyclic Crudes and Intermediates</v>
      </c>
      <c r="L521" s="175">
        <f>INDEX('2022 SIC to NAICS'!C:C, MATCH('Processed Non-zero DMR Data'!$J521, '2022 SIC to NAICS'!$A:$A, 0))</f>
        <v>325110</v>
      </c>
      <c r="M521" s="175" t="str">
        <f>INDEX('2022 SIC to NAICS'!D:D, MATCH('Processed Non-zero DMR Data'!$J521, '2022 SIC to NAICS'!$A:$A, 0))</f>
        <v>Petrochemical Manufacturing</v>
      </c>
      <c r="N521" s="90" t="str">
        <f>IFERROR(INDEX('NAICS Code to IS CDR Code'!B:B, MATCH('Processed Non-zero DMR Data'!L521,'NAICS Code to IS CDR Code'!A:A,0)), "NAICS/SIC Not Provided")</f>
        <v>IS15</v>
      </c>
      <c r="O521" s="91" t="str">
        <f>IFERROR(INDEX('NAICS Code to IS CDR Code'!C:C, MATCH('Processed Non-zero DMR Data'!L521,'NAICS Code to IS CDR Code'!A:A,0)), "NAICS/SIC Not Provided")</f>
        <v>Petrochemical Manufacturing</v>
      </c>
      <c r="P521" s="91" t="e">
        <f>INDEX('11DCA Mapping'!$K:$K, MATCH('Processed Non-zero DMR Data'!I528,'11DCA Mapping'!$J:$J,0))</f>
        <v>#N/A</v>
      </c>
      <c r="Q521" s="91" t="e">
        <f>INDEX('11DCA Mapping'!$L:$L, MATCH('Processed Non-zero DMR Data'!I528,'11DCA Mapping'!$J:$J,0))</f>
        <v>#N/A</v>
      </c>
      <c r="R521" s="250" t="str">
        <f>VLOOKUP(I521,'DMR POTW Flag'!$A$2:$B$960,2,FALSE)</f>
        <v>NON-POTW</v>
      </c>
      <c r="S521" s="7" t="s">
        <v>62</v>
      </c>
      <c r="T521" s="7" t="s">
        <v>1058</v>
      </c>
      <c r="U521" s="8">
        <f>COUNTIFS('Raw Non-zero DMR Data'!$A:$A, 'Processed Non-zero DMR Data'!A521, 'Raw Non-zero DMR Data'!$C:$C, X521, 'Raw Non-zero DMR Data'!$U:$U,'Processed Non-zero DMR Data'!Y521)</f>
        <v>1</v>
      </c>
      <c r="V521" s="8">
        <f>COUNTIFS('Raw Non-zero DMR Data'!$A:$A, 'Processed Non-zero DMR Data'!A521, 'Raw Non-zero DMR Data'!$C:$C, X521, 'Raw Non-zero DMR Data'!$U:$U,'Processed Non-zero DMR Data'!Y521,'Raw Non-zero DMR Data'!$Z:$Z,"Yes")</f>
        <v>1</v>
      </c>
      <c r="W521">
        <v>8.2854999999999995E-3</v>
      </c>
      <c r="X521" t="s">
        <v>1059</v>
      </c>
      <c r="Y521" t="s">
        <v>1060</v>
      </c>
      <c r="Z521" s="257">
        <v>50100030606</v>
      </c>
    </row>
    <row r="522" spans="1:26" ht="15" customHeight="1" x14ac:dyDescent="0.25">
      <c r="A522">
        <v>2020</v>
      </c>
      <c r="B522" t="s">
        <v>266</v>
      </c>
      <c r="C522" t="s">
        <v>267</v>
      </c>
      <c r="D522" t="s">
        <v>1057</v>
      </c>
      <c r="E522" t="s">
        <v>268</v>
      </c>
      <c r="F522">
        <v>41.452778000000002</v>
      </c>
      <c r="G522">
        <v>-79.690278000000006</v>
      </c>
      <c r="I522" s="1">
        <v>110008476327</v>
      </c>
      <c r="J522">
        <v>2865</v>
      </c>
      <c r="K522" s="175" t="str">
        <f>INDEX('2022 SIC to NAICS'!B:B, MATCH('Processed Non-zero DMR Data'!$J522, '2022 SIC to NAICS'!$A:$A, 0))</f>
        <v>Cyclic Crudes and Intermediates</v>
      </c>
      <c r="L522" s="175">
        <f>INDEX('2022 SIC to NAICS'!C:C, MATCH('Processed Non-zero DMR Data'!$J522, '2022 SIC to NAICS'!$A:$A, 0))</f>
        <v>325110</v>
      </c>
      <c r="M522" s="175" t="str">
        <f>INDEX('2022 SIC to NAICS'!D:D, MATCH('Processed Non-zero DMR Data'!$J522, '2022 SIC to NAICS'!$A:$A, 0))</f>
        <v>Petrochemical Manufacturing</v>
      </c>
      <c r="N522" s="90" t="str">
        <f>IFERROR(INDEX('NAICS Code to IS CDR Code'!B:B, MATCH('Processed Non-zero DMR Data'!L522,'NAICS Code to IS CDR Code'!A:A,0)), "NAICS/SIC Not Provided")</f>
        <v>IS15</v>
      </c>
      <c r="O522" s="91" t="str">
        <f>IFERROR(INDEX('NAICS Code to IS CDR Code'!C:C, MATCH('Processed Non-zero DMR Data'!L522,'NAICS Code to IS CDR Code'!A:A,0)), "NAICS/SIC Not Provided")</f>
        <v>Petrochemical Manufacturing</v>
      </c>
      <c r="P522" s="91" t="e">
        <f>INDEX('11DCA Mapping'!$K:$K, MATCH('Processed Non-zero DMR Data'!I529,'11DCA Mapping'!$J:$J,0))</f>
        <v>#N/A</v>
      </c>
      <c r="Q522" s="91" t="e">
        <f>INDEX('11DCA Mapping'!$L:$L, MATCH('Processed Non-zero DMR Data'!I529,'11DCA Mapping'!$J:$J,0))</f>
        <v>#N/A</v>
      </c>
      <c r="R522" s="250" t="str">
        <f>VLOOKUP(I522,'DMR POTW Flag'!$A$2:$B$960,2,FALSE)</f>
        <v>NON-POTW</v>
      </c>
      <c r="S522" s="7" t="s">
        <v>62</v>
      </c>
      <c r="T522" s="7" t="s">
        <v>1058</v>
      </c>
      <c r="U522" s="8">
        <f>COUNTIFS('Raw Non-zero DMR Data'!$A:$A, 'Processed Non-zero DMR Data'!A522, 'Raw Non-zero DMR Data'!$C:$C, X522, 'Raw Non-zero DMR Data'!$U:$U,'Processed Non-zero DMR Data'!Y522)</f>
        <v>1</v>
      </c>
      <c r="V522" s="8">
        <f>COUNTIFS('Raw Non-zero DMR Data'!$A:$A, 'Processed Non-zero DMR Data'!A522, 'Raw Non-zero DMR Data'!$C:$C, X522, 'Raw Non-zero DMR Data'!$U:$U,'Processed Non-zero DMR Data'!Y522,'Raw Non-zero DMR Data'!$Z:$Z,"Yes")</f>
        <v>1</v>
      </c>
      <c r="W522">
        <v>3.3141999999999998E-3</v>
      </c>
      <c r="X522" t="s">
        <v>1059</v>
      </c>
      <c r="Y522" t="s">
        <v>1060</v>
      </c>
      <c r="Z522" s="257">
        <v>50100030606</v>
      </c>
    </row>
    <row r="523" spans="1:26" ht="15" customHeight="1" x14ac:dyDescent="0.25">
      <c r="A523">
        <v>2021</v>
      </c>
      <c r="B523" t="s">
        <v>266</v>
      </c>
      <c r="C523" t="s">
        <v>267</v>
      </c>
      <c r="D523" t="s">
        <v>1057</v>
      </c>
      <c r="E523" t="s">
        <v>268</v>
      </c>
      <c r="F523">
        <v>41.452778000000002</v>
      </c>
      <c r="G523">
        <v>-79.690278000000006</v>
      </c>
      <c r="I523" s="1">
        <v>110008476327</v>
      </c>
      <c r="J523">
        <v>2865</v>
      </c>
      <c r="K523" s="175" t="str">
        <f>INDEX('2022 SIC to NAICS'!B:B, MATCH('Processed Non-zero DMR Data'!$J523, '2022 SIC to NAICS'!$A:$A, 0))</f>
        <v>Cyclic Crudes and Intermediates</v>
      </c>
      <c r="L523" s="175">
        <f>INDEX('2022 SIC to NAICS'!C:C, MATCH('Processed Non-zero DMR Data'!$J523, '2022 SIC to NAICS'!$A:$A, 0))</f>
        <v>325110</v>
      </c>
      <c r="M523" s="175" t="str">
        <f>INDEX('2022 SIC to NAICS'!D:D, MATCH('Processed Non-zero DMR Data'!$J523, '2022 SIC to NAICS'!$A:$A, 0))</f>
        <v>Petrochemical Manufacturing</v>
      </c>
      <c r="N523" s="90" t="str">
        <f>IFERROR(INDEX('NAICS Code to IS CDR Code'!B:B, MATCH('Processed Non-zero DMR Data'!L523,'NAICS Code to IS CDR Code'!A:A,0)), "NAICS/SIC Not Provided")</f>
        <v>IS15</v>
      </c>
      <c r="O523" s="91" t="str">
        <f>IFERROR(INDEX('NAICS Code to IS CDR Code'!C:C, MATCH('Processed Non-zero DMR Data'!L523,'NAICS Code to IS CDR Code'!A:A,0)), "NAICS/SIC Not Provided")</f>
        <v>Petrochemical Manufacturing</v>
      </c>
      <c r="P523" s="91" t="e">
        <f>INDEX('11DCA Mapping'!$K:$K, MATCH('Processed Non-zero DMR Data'!I530,'11DCA Mapping'!$J:$J,0))</f>
        <v>#N/A</v>
      </c>
      <c r="Q523" s="91" t="e">
        <f>INDEX('11DCA Mapping'!$L:$L, MATCH('Processed Non-zero DMR Data'!I530,'11DCA Mapping'!$J:$J,0))</f>
        <v>#N/A</v>
      </c>
      <c r="R523" s="250" t="str">
        <f>VLOOKUP(I523,'DMR POTW Flag'!$A$2:$B$960,2,FALSE)</f>
        <v>NON-POTW</v>
      </c>
      <c r="S523" s="7" t="s">
        <v>62</v>
      </c>
      <c r="T523" s="7" t="s">
        <v>1058</v>
      </c>
      <c r="U523" s="8">
        <f>COUNTIFS('Raw Non-zero DMR Data'!$A:$A, 'Processed Non-zero DMR Data'!A523, 'Raw Non-zero DMR Data'!$C:$C, X523, 'Raw Non-zero DMR Data'!$U:$U,'Processed Non-zero DMR Data'!Y523)</f>
        <v>1</v>
      </c>
      <c r="V523" s="8">
        <f>COUNTIFS('Raw Non-zero DMR Data'!$A:$A, 'Processed Non-zero DMR Data'!A523, 'Raw Non-zero DMR Data'!$C:$C, X523, 'Raw Non-zero DMR Data'!$U:$U,'Processed Non-zero DMR Data'!Y523,'Raw Non-zero DMR Data'!$Z:$Z,"Yes")</f>
        <v>1</v>
      </c>
      <c r="W523">
        <v>1.077115E-2</v>
      </c>
      <c r="X523" t="s">
        <v>1059</v>
      </c>
      <c r="Y523" t="s">
        <v>1060</v>
      </c>
      <c r="Z523" s="257">
        <v>50100030606</v>
      </c>
    </row>
    <row r="524" spans="1:26" ht="15" customHeight="1" x14ac:dyDescent="0.25">
      <c r="A524">
        <v>2022</v>
      </c>
      <c r="B524" t="s">
        <v>266</v>
      </c>
      <c r="C524" t="s">
        <v>267</v>
      </c>
      <c r="D524" t="s">
        <v>1057</v>
      </c>
      <c r="E524" t="s">
        <v>268</v>
      </c>
      <c r="F524">
        <v>41.452778000000002</v>
      </c>
      <c r="G524">
        <v>-79.690278000000006</v>
      </c>
      <c r="I524" s="1">
        <v>110008476327</v>
      </c>
      <c r="J524">
        <v>2865</v>
      </c>
      <c r="K524" s="175" t="str">
        <f>INDEX('2022 SIC to NAICS'!B:B, MATCH('Processed Non-zero DMR Data'!$J524, '2022 SIC to NAICS'!$A:$A, 0))</f>
        <v>Cyclic Crudes and Intermediates</v>
      </c>
      <c r="L524" s="175">
        <f>INDEX('2022 SIC to NAICS'!C:C, MATCH('Processed Non-zero DMR Data'!$J524, '2022 SIC to NAICS'!$A:$A, 0))</f>
        <v>325110</v>
      </c>
      <c r="M524" s="175" t="str">
        <f>INDEX('2022 SIC to NAICS'!D:D, MATCH('Processed Non-zero DMR Data'!$J524, '2022 SIC to NAICS'!$A:$A, 0))</f>
        <v>Petrochemical Manufacturing</v>
      </c>
      <c r="N524" s="90" t="str">
        <f>IFERROR(INDEX('NAICS Code to IS CDR Code'!B:B, MATCH('Processed Non-zero DMR Data'!L524,'NAICS Code to IS CDR Code'!A:A,0)), "NAICS/SIC Not Provided")</f>
        <v>IS15</v>
      </c>
      <c r="O524" s="91" t="str">
        <f>IFERROR(INDEX('NAICS Code to IS CDR Code'!C:C, MATCH('Processed Non-zero DMR Data'!L524,'NAICS Code to IS CDR Code'!A:A,0)), "NAICS/SIC Not Provided")</f>
        <v>Petrochemical Manufacturing</v>
      </c>
      <c r="P524" s="91" t="str">
        <f>INDEX('11DCA Mapping'!$K:$K, MATCH('Processed Non-zero DMR Data'!I531,'11DCA Mapping'!$J:$J,0))</f>
        <v>POTW</v>
      </c>
      <c r="Q524" s="91" t="str">
        <f>INDEX('11DCA Mapping'!$L:$L, MATCH('Processed Non-zero DMR Data'!I531,'11DCA Mapping'!$J:$J,0))</f>
        <v>Assigned POTW per "Facility Type Indicator"</v>
      </c>
      <c r="R524" s="250" t="str">
        <f>VLOOKUP(I524,'DMR POTW Flag'!$A$2:$B$960,2,FALSE)</f>
        <v>NON-POTW</v>
      </c>
      <c r="S524" s="7" t="s">
        <v>62</v>
      </c>
      <c r="T524" s="7" t="s">
        <v>1058</v>
      </c>
      <c r="U524" s="8">
        <f>COUNTIFS('Raw Non-zero DMR Data'!$A:$A, 'Processed Non-zero DMR Data'!A524, 'Raw Non-zero DMR Data'!$C:$C, X524, 'Raw Non-zero DMR Data'!$U:$U,'Processed Non-zero DMR Data'!Y524)</f>
        <v>1</v>
      </c>
      <c r="V524" s="8">
        <f>COUNTIFS('Raw Non-zero DMR Data'!$A:$A, 'Processed Non-zero DMR Data'!A524, 'Raw Non-zero DMR Data'!$C:$C, X524, 'Raw Non-zero DMR Data'!$U:$U,'Processed Non-zero DMR Data'!Y524,'Raw Non-zero DMR Data'!$Z:$Z,"Yes")</f>
        <v>1</v>
      </c>
      <c r="W524">
        <v>2.4856499999999998E-3</v>
      </c>
      <c r="X524" t="s">
        <v>1059</v>
      </c>
      <c r="Y524" t="s">
        <v>1060</v>
      </c>
      <c r="Z524" s="257">
        <v>50100030606</v>
      </c>
    </row>
    <row r="525" spans="1:26" ht="15" customHeight="1" x14ac:dyDescent="0.25">
      <c r="A525">
        <v>2023</v>
      </c>
      <c r="B525" t="s">
        <v>266</v>
      </c>
      <c r="C525" t="s">
        <v>267</v>
      </c>
      <c r="D525" t="s">
        <v>1057</v>
      </c>
      <c r="E525" t="s">
        <v>268</v>
      </c>
      <c r="F525">
        <v>41.452778000000002</v>
      </c>
      <c r="G525">
        <v>-79.690278000000006</v>
      </c>
      <c r="I525" s="1">
        <v>110008476327</v>
      </c>
      <c r="J525">
        <v>2865</v>
      </c>
      <c r="K525" s="175" t="str">
        <f>INDEX('2022 SIC to NAICS'!B:B, MATCH('Processed Non-zero DMR Data'!$J525, '2022 SIC to NAICS'!$A:$A, 0))</f>
        <v>Cyclic Crudes and Intermediates</v>
      </c>
      <c r="L525" s="175">
        <f>INDEX('2022 SIC to NAICS'!C:C, MATCH('Processed Non-zero DMR Data'!$J525, '2022 SIC to NAICS'!$A:$A, 0))</f>
        <v>325110</v>
      </c>
      <c r="M525" s="175" t="str">
        <f>INDEX('2022 SIC to NAICS'!D:D, MATCH('Processed Non-zero DMR Data'!$J525, '2022 SIC to NAICS'!$A:$A, 0))</f>
        <v>Petrochemical Manufacturing</v>
      </c>
      <c r="N525" s="90" t="str">
        <f>IFERROR(INDEX('NAICS Code to IS CDR Code'!B:B, MATCH('Processed Non-zero DMR Data'!L525,'NAICS Code to IS CDR Code'!A:A,0)), "NAICS/SIC Not Provided")</f>
        <v>IS15</v>
      </c>
      <c r="O525" s="91" t="str">
        <f>IFERROR(INDEX('NAICS Code to IS CDR Code'!C:C, MATCH('Processed Non-zero DMR Data'!L525,'NAICS Code to IS CDR Code'!A:A,0)), "NAICS/SIC Not Provided")</f>
        <v>Petrochemical Manufacturing</v>
      </c>
      <c r="P525" s="91" t="e">
        <f>INDEX('11DCA Mapping'!$K:$K, MATCH('Processed Non-zero DMR Data'!I532,'11DCA Mapping'!$J:$J,0))</f>
        <v>#N/A</v>
      </c>
      <c r="Q525" s="91" t="e">
        <f>INDEX('11DCA Mapping'!$L:$L, MATCH('Processed Non-zero DMR Data'!I532,'11DCA Mapping'!$J:$J,0))</f>
        <v>#N/A</v>
      </c>
      <c r="R525" s="250" t="str">
        <f>VLOOKUP(I525,'DMR POTW Flag'!$A$2:$B$960,2,FALSE)</f>
        <v>NON-POTW</v>
      </c>
      <c r="S525" s="7" t="s">
        <v>62</v>
      </c>
      <c r="T525" s="7" t="s">
        <v>1058</v>
      </c>
      <c r="U525" s="8">
        <f>COUNTIFS('Raw Non-zero DMR Data'!$A:$A, 'Processed Non-zero DMR Data'!A525, 'Raw Non-zero DMR Data'!$C:$C, X525, 'Raw Non-zero DMR Data'!$U:$U,'Processed Non-zero DMR Data'!Y525)</f>
        <v>1</v>
      </c>
      <c r="V525" s="8">
        <f>COUNTIFS('Raw Non-zero DMR Data'!$A:$A, 'Processed Non-zero DMR Data'!A525, 'Raw Non-zero DMR Data'!$C:$C, X525, 'Raw Non-zero DMR Data'!$U:$U,'Processed Non-zero DMR Data'!Y525,'Raw Non-zero DMR Data'!$Z:$Z,"Yes")</f>
        <v>1</v>
      </c>
      <c r="W525">
        <v>1.6570999999999999E-3</v>
      </c>
      <c r="X525" t="s">
        <v>1059</v>
      </c>
      <c r="Y525" t="s">
        <v>1060</v>
      </c>
      <c r="Z525" s="257">
        <v>50100030606</v>
      </c>
    </row>
    <row r="526" spans="1:26" ht="15" customHeight="1" x14ac:dyDescent="0.25">
      <c r="A526">
        <v>2019</v>
      </c>
      <c r="B526" t="s">
        <v>330</v>
      </c>
      <c r="C526" t="s">
        <v>331</v>
      </c>
      <c r="D526" t="s">
        <v>1061</v>
      </c>
      <c r="E526" t="s">
        <v>250</v>
      </c>
      <c r="F526">
        <v>44.700833000000003</v>
      </c>
      <c r="G526">
        <v>-73.591667000000001</v>
      </c>
      <c r="I526" s="1">
        <v>110064786085</v>
      </c>
      <c r="J526">
        <v>9511</v>
      </c>
      <c r="K526" s="175" t="str">
        <f>INDEX('2022 SIC to NAICS'!B:B, MATCH('Processed Non-zero DMR Data'!$J526, '2022 SIC to NAICS'!$A:$A, 0))</f>
        <v>Air, Water, and Solid Waste Management</v>
      </c>
      <c r="L526" s="175">
        <f>INDEX('2022 SIC to NAICS'!C:C, MATCH('Processed Non-zero DMR Data'!$J526, '2022 SIC to NAICS'!$A:$A, 0))</f>
        <v>924110</v>
      </c>
      <c r="M526" s="175" t="str">
        <f>INDEX('2022 SIC to NAICS'!D:D, MATCH('Processed Non-zero DMR Data'!$J526, '2022 SIC to NAICS'!$A:$A, 0))</f>
        <v xml:space="preserve">Administration of Air and Water Resource and Solid Waste Management Programs </v>
      </c>
      <c r="N526" s="90" t="str">
        <f>IFERROR(INDEX('NAICS Code to IS CDR Code'!B:B, MATCH('Processed Non-zero DMR Data'!L526,'NAICS Code to IS CDR Code'!A:A,0)), "NAICS/SIC Not Provided")</f>
        <v>IS47</v>
      </c>
      <c r="O526" s="91" t="str">
        <f>IFERROR(INDEX('NAICS Code to IS CDR Code'!C:C, MATCH('Processed Non-zero DMR Data'!L526,'NAICS Code to IS CDR Code'!A:A,0)), "NAICS/SIC Not Provided")</f>
        <v>Services</v>
      </c>
      <c r="P526" s="91" t="e">
        <f>INDEX('11DCA Mapping'!$K:$K, MATCH('Processed Non-zero DMR Data'!I533,'11DCA Mapping'!$J:$J,0))</f>
        <v>#N/A</v>
      </c>
      <c r="Q526" s="91" t="e">
        <f>INDEX('11DCA Mapping'!$L:$L, MATCH('Processed Non-zero DMR Data'!I533,'11DCA Mapping'!$J:$J,0))</f>
        <v>#N/A</v>
      </c>
      <c r="R526" s="250" t="str">
        <f>VLOOKUP(I526,'DMR POTW Flag'!$A$2:$B$960,2,FALSE)</f>
        <v>NON-POTW</v>
      </c>
      <c r="S526" s="249" t="s">
        <v>69</v>
      </c>
      <c r="T526" s="249" t="s">
        <v>1062</v>
      </c>
      <c r="U526" s="8">
        <f>COUNTIFS('Raw Non-zero DMR Data'!$A:$A, 'Processed Non-zero DMR Data'!A526, 'Raw Non-zero DMR Data'!$C:$C, X526, 'Raw Non-zero DMR Data'!$U:$U,'Processed Non-zero DMR Data'!Y526)</f>
        <v>1</v>
      </c>
      <c r="V526" s="8">
        <f>COUNTIFS('Raw Non-zero DMR Data'!$A:$A, 'Processed Non-zero DMR Data'!A526, 'Raw Non-zero DMR Data'!$C:$C, X526, 'Raw Non-zero DMR Data'!$U:$U,'Processed Non-zero DMR Data'!Y526,'Raw Non-zero DMR Data'!$Z:$Z,"Yes")</f>
        <v>1</v>
      </c>
      <c r="W526">
        <v>4.0608053800000002E-2</v>
      </c>
      <c r="X526" t="s">
        <v>1063</v>
      </c>
      <c r="Y526" t="s">
        <v>1064</v>
      </c>
      <c r="Z526" s="257">
        <v>41504060504</v>
      </c>
    </row>
    <row r="527" spans="1:26" ht="15" customHeight="1" x14ac:dyDescent="0.25">
      <c r="A527">
        <v>2020</v>
      </c>
      <c r="B527" t="s">
        <v>330</v>
      </c>
      <c r="C527" t="s">
        <v>331</v>
      </c>
      <c r="D527" t="s">
        <v>1061</v>
      </c>
      <c r="E527" t="s">
        <v>250</v>
      </c>
      <c r="F527">
        <v>44.700833000000003</v>
      </c>
      <c r="G527">
        <v>-73.591667000000001</v>
      </c>
      <c r="I527" s="1">
        <v>110064786085</v>
      </c>
      <c r="J527">
        <v>9511</v>
      </c>
      <c r="K527" s="175" t="str">
        <f>INDEX('2022 SIC to NAICS'!B:B, MATCH('Processed Non-zero DMR Data'!$J527, '2022 SIC to NAICS'!$A:$A, 0))</f>
        <v>Air, Water, and Solid Waste Management</v>
      </c>
      <c r="L527" s="175">
        <f>INDEX('2022 SIC to NAICS'!C:C, MATCH('Processed Non-zero DMR Data'!$J527, '2022 SIC to NAICS'!$A:$A, 0))</f>
        <v>924110</v>
      </c>
      <c r="M527" s="175" t="str">
        <f>INDEX('2022 SIC to NAICS'!D:D, MATCH('Processed Non-zero DMR Data'!$J527, '2022 SIC to NAICS'!$A:$A, 0))</f>
        <v xml:space="preserve">Administration of Air and Water Resource and Solid Waste Management Programs </v>
      </c>
      <c r="N527" s="90" t="str">
        <f>IFERROR(INDEX('NAICS Code to IS CDR Code'!B:B, MATCH('Processed Non-zero DMR Data'!L527,'NAICS Code to IS CDR Code'!A:A,0)), "NAICS/SIC Not Provided")</f>
        <v>IS47</v>
      </c>
      <c r="O527" s="91" t="str">
        <f>IFERROR(INDEX('NAICS Code to IS CDR Code'!C:C, MATCH('Processed Non-zero DMR Data'!L527,'NAICS Code to IS CDR Code'!A:A,0)), "NAICS/SIC Not Provided")</f>
        <v>Services</v>
      </c>
      <c r="P527" s="91" t="e">
        <f>INDEX('11DCA Mapping'!$K:$K, MATCH('Processed Non-zero DMR Data'!I534,'11DCA Mapping'!$J:$J,0))</f>
        <v>#N/A</v>
      </c>
      <c r="Q527" s="91" t="e">
        <f>INDEX('11DCA Mapping'!$L:$L, MATCH('Processed Non-zero DMR Data'!I534,'11DCA Mapping'!$J:$J,0))</f>
        <v>#N/A</v>
      </c>
      <c r="R527" s="250" t="str">
        <f>VLOOKUP(I527,'DMR POTW Flag'!$A$2:$B$960,2,FALSE)</f>
        <v>NON-POTW</v>
      </c>
      <c r="S527" s="249" t="s">
        <v>69</v>
      </c>
      <c r="T527" s="249" t="s">
        <v>1062</v>
      </c>
      <c r="U527" s="8">
        <f>COUNTIFS('Raw Non-zero DMR Data'!$A:$A, 'Processed Non-zero DMR Data'!A527, 'Raw Non-zero DMR Data'!$C:$C, X527, 'Raw Non-zero DMR Data'!$U:$U,'Processed Non-zero DMR Data'!Y527)</f>
        <v>1</v>
      </c>
      <c r="V527" s="8">
        <f>COUNTIFS('Raw Non-zero DMR Data'!$A:$A, 'Processed Non-zero DMR Data'!A527, 'Raw Non-zero DMR Data'!$C:$C, X527, 'Raw Non-zero DMR Data'!$U:$U,'Processed Non-zero DMR Data'!Y527,'Raw Non-zero DMR Data'!$Z:$Z,"Yes")</f>
        <v>1</v>
      </c>
      <c r="W527">
        <v>0.14247291852999999</v>
      </c>
      <c r="X527" t="s">
        <v>1063</v>
      </c>
      <c r="Y527" t="s">
        <v>1064</v>
      </c>
      <c r="Z527" s="257">
        <v>41504060504</v>
      </c>
    </row>
    <row r="528" spans="1:26" ht="15" customHeight="1" x14ac:dyDescent="0.25">
      <c r="A528">
        <v>2021</v>
      </c>
      <c r="B528" t="s">
        <v>330</v>
      </c>
      <c r="C528" t="s">
        <v>331</v>
      </c>
      <c r="D528" t="s">
        <v>1061</v>
      </c>
      <c r="E528" t="s">
        <v>250</v>
      </c>
      <c r="F528">
        <v>44.700833000000003</v>
      </c>
      <c r="G528">
        <v>-73.591667000000001</v>
      </c>
      <c r="I528" s="1">
        <v>110064786085</v>
      </c>
      <c r="J528">
        <v>9511</v>
      </c>
      <c r="K528" s="175" t="str">
        <f>INDEX('2022 SIC to NAICS'!B:B, MATCH('Processed Non-zero DMR Data'!$J528, '2022 SIC to NAICS'!$A:$A, 0))</f>
        <v>Air, Water, and Solid Waste Management</v>
      </c>
      <c r="L528" s="175">
        <f>INDEX('2022 SIC to NAICS'!C:C, MATCH('Processed Non-zero DMR Data'!$J528, '2022 SIC to NAICS'!$A:$A, 0))</f>
        <v>924110</v>
      </c>
      <c r="M528" s="175" t="str">
        <f>INDEX('2022 SIC to NAICS'!D:D, MATCH('Processed Non-zero DMR Data'!$J528, '2022 SIC to NAICS'!$A:$A, 0))</f>
        <v xml:space="preserve">Administration of Air and Water Resource and Solid Waste Management Programs </v>
      </c>
      <c r="N528" s="90" t="str">
        <f>IFERROR(INDEX('NAICS Code to IS CDR Code'!B:B, MATCH('Processed Non-zero DMR Data'!L528,'NAICS Code to IS CDR Code'!A:A,0)), "NAICS/SIC Not Provided")</f>
        <v>IS47</v>
      </c>
      <c r="O528" s="91" t="str">
        <f>IFERROR(INDEX('NAICS Code to IS CDR Code'!C:C, MATCH('Processed Non-zero DMR Data'!L528,'NAICS Code to IS CDR Code'!A:A,0)), "NAICS/SIC Not Provided")</f>
        <v>Services</v>
      </c>
      <c r="P528" s="91" t="e">
        <f>INDEX('11DCA Mapping'!$K:$K, MATCH('Processed Non-zero DMR Data'!I535,'11DCA Mapping'!$J:$J,0))</f>
        <v>#N/A</v>
      </c>
      <c r="Q528" s="91" t="e">
        <f>INDEX('11DCA Mapping'!$L:$L, MATCH('Processed Non-zero DMR Data'!I535,'11DCA Mapping'!$J:$J,0))</f>
        <v>#N/A</v>
      </c>
      <c r="R528" s="250" t="str">
        <f>VLOOKUP(I528,'DMR POTW Flag'!$A$2:$B$960,2,FALSE)</f>
        <v>NON-POTW</v>
      </c>
      <c r="S528" s="249" t="s">
        <v>69</v>
      </c>
      <c r="T528" s="249" t="s">
        <v>1062</v>
      </c>
      <c r="U528" s="8">
        <f>COUNTIFS('Raw Non-zero DMR Data'!$A:$A, 'Processed Non-zero DMR Data'!A528, 'Raw Non-zero DMR Data'!$C:$C, X528, 'Raw Non-zero DMR Data'!$U:$U,'Processed Non-zero DMR Data'!Y528)</f>
        <v>1</v>
      </c>
      <c r="V528" s="8">
        <f>COUNTIFS('Raw Non-zero DMR Data'!$A:$A, 'Processed Non-zero DMR Data'!A528, 'Raw Non-zero DMR Data'!$C:$C, X528, 'Raw Non-zero DMR Data'!$U:$U,'Processed Non-zero DMR Data'!Y528,'Raw Non-zero DMR Data'!$Z:$Z,"Yes")</f>
        <v>1</v>
      </c>
      <c r="W528">
        <v>0.21013461751250001</v>
      </c>
      <c r="X528" t="s">
        <v>1063</v>
      </c>
      <c r="Y528" t="s">
        <v>1064</v>
      </c>
      <c r="Z528" s="257">
        <v>41504060504</v>
      </c>
    </row>
    <row r="529" spans="1:26" ht="15" customHeight="1" x14ac:dyDescent="0.25">
      <c r="A529">
        <v>2022</v>
      </c>
      <c r="B529" t="s">
        <v>330</v>
      </c>
      <c r="C529" t="s">
        <v>331</v>
      </c>
      <c r="D529" t="s">
        <v>1061</v>
      </c>
      <c r="E529" t="s">
        <v>250</v>
      </c>
      <c r="F529">
        <v>44.700833000000003</v>
      </c>
      <c r="G529">
        <v>-73.591667000000001</v>
      </c>
      <c r="I529" s="1">
        <v>110064786085</v>
      </c>
      <c r="J529">
        <v>9511</v>
      </c>
      <c r="K529" s="175" t="str">
        <f>INDEX('2022 SIC to NAICS'!B:B, MATCH('Processed Non-zero DMR Data'!$J529, '2022 SIC to NAICS'!$A:$A, 0))</f>
        <v>Air, Water, and Solid Waste Management</v>
      </c>
      <c r="L529" s="175">
        <f>INDEX('2022 SIC to NAICS'!C:C, MATCH('Processed Non-zero DMR Data'!$J529, '2022 SIC to NAICS'!$A:$A, 0))</f>
        <v>924110</v>
      </c>
      <c r="M529" s="175" t="str">
        <f>INDEX('2022 SIC to NAICS'!D:D, MATCH('Processed Non-zero DMR Data'!$J529, '2022 SIC to NAICS'!$A:$A, 0))</f>
        <v xml:space="preserve">Administration of Air and Water Resource and Solid Waste Management Programs </v>
      </c>
      <c r="N529" s="90" t="str">
        <f>IFERROR(INDEX('NAICS Code to IS CDR Code'!B:B, MATCH('Processed Non-zero DMR Data'!L529,'NAICS Code to IS CDR Code'!A:A,0)), "NAICS/SIC Not Provided")</f>
        <v>IS47</v>
      </c>
      <c r="O529" s="91" t="str">
        <f>IFERROR(INDEX('NAICS Code to IS CDR Code'!C:C, MATCH('Processed Non-zero DMR Data'!L529,'NAICS Code to IS CDR Code'!A:A,0)), "NAICS/SIC Not Provided")</f>
        <v>Services</v>
      </c>
      <c r="P529" s="91" t="e">
        <f>INDEX('11DCA Mapping'!$K:$K, MATCH('Processed Non-zero DMR Data'!I536,'11DCA Mapping'!$J:$J,0))</f>
        <v>#N/A</v>
      </c>
      <c r="Q529" s="91" t="e">
        <f>INDEX('11DCA Mapping'!$L:$L, MATCH('Processed Non-zero DMR Data'!I536,'11DCA Mapping'!$J:$J,0))</f>
        <v>#N/A</v>
      </c>
      <c r="R529" s="250" t="str">
        <f>VLOOKUP(I529,'DMR POTW Flag'!$A$2:$B$960,2,FALSE)</f>
        <v>NON-POTW</v>
      </c>
      <c r="S529" s="249" t="s">
        <v>69</v>
      </c>
      <c r="T529" s="249" t="s">
        <v>1062</v>
      </c>
      <c r="U529" s="8">
        <f>COUNTIFS('Raw Non-zero DMR Data'!$A:$A, 'Processed Non-zero DMR Data'!A529, 'Raw Non-zero DMR Data'!$C:$C, X529, 'Raw Non-zero DMR Data'!$U:$U,'Processed Non-zero DMR Data'!Y529)</f>
        <v>1</v>
      </c>
      <c r="V529" s="8">
        <f>COUNTIFS('Raw Non-zero DMR Data'!$A:$A, 'Processed Non-zero DMR Data'!A529, 'Raw Non-zero DMR Data'!$C:$C, X529, 'Raw Non-zero DMR Data'!$U:$U,'Processed Non-zero DMR Data'!Y529,'Raw Non-zero DMR Data'!$Z:$Z,"Yes")</f>
        <v>1</v>
      </c>
      <c r="W529">
        <v>6.2349377674999998E-2</v>
      </c>
      <c r="X529" t="s">
        <v>1063</v>
      </c>
      <c r="Y529" t="s">
        <v>1064</v>
      </c>
      <c r="Z529" s="257">
        <v>41504060504</v>
      </c>
    </row>
    <row r="530" spans="1:26" ht="15" customHeight="1" x14ac:dyDescent="0.25">
      <c r="A530">
        <v>2023</v>
      </c>
      <c r="B530" t="s">
        <v>330</v>
      </c>
      <c r="C530" t="s">
        <v>331</v>
      </c>
      <c r="D530" t="s">
        <v>1061</v>
      </c>
      <c r="E530" t="s">
        <v>250</v>
      </c>
      <c r="F530">
        <v>44.700833000000003</v>
      </c>
      <c r="G530">
        <v>-73.591667000000001</v>
      </c>
      <c r="I530" s="1">
        <v>110064786085</v>
      </c>
      <c r="J530">
        <v>9511</v>
      </c>
      <c r="K530" s="175" t="str">
        <f>INDEX('2022 SIC to NAICS'!B:B, MATCH('Processed Non-zero DMR Data'!$J530, '2022 SIC to NAICS'!$A:$A, 0))</f>
        <v>Air, Water, and Solid Waste Management</v>
      </c>
      <c r="L530" s="175">
        <f>INDEX('2022 SIC to NAICS'!C:C, MATCH('Processed Non-zero DMR Data'!$J530, '2022 SIC to NAICS'!$A:$A, 0))</f>
        <v>924110</v>
      </c>
      <c r="M530" s="175" t="str">
        <f>INDEX('2022 SIC to NAICS'!D:D, MATCH('Processed Non-zero DMR Data'!$J530, '2022 SIC to NAICS'!$A:$A, 0))</f>
        <v xml:space="preserve">Administration of Air and Water Resource and Solid Waste Management Programs </v>
      </c>
      <c r="N530" s="90" t="str">
        <f>IFERROR(INDEX('NAICS Code to IS CDR Code'!B:B, MATCH('Processed Non-zero DMR Data'!L530,'NAICS Code to IS CDR Code'!A:A,0)), "NAICS/SIC Not Provided")</f>
        <v>IS47</v>
      </c>
      <c r="O530" s="91" t="str">
        <f>IFERROR(INDEX('NAICS Code to IS CDR Code'!C:C, MATCH('Processed Non-zero DMR Data'!L530,'NAICS Code to IS CDR Code'!A:A,0)), "NAICS/SIC Not Provided")</f>
        <v>Services</v>
      </c>
      <c r="P530" s="91" t="str">
        <f>INDEX('11DCA Mapping'!$K:$K, MATCH('Processed Non-zero DMR Data'!I537,'11DCA Mapping'!$J:$J,0))</f>
        <v>POTW</v>
      </c>
      <c r="Q530" s="91" t="str">
        <f>INDEX('11DCA Mapping'!$L:$L, MATCH('Processed Non-zero DMR Data'!I537,'11DCA Mapping'!$J:$J,0))</f>
        <v>Assigned POTW per "Facility Type Indicator"</v>
      </c>
      <c r="R530" s="250" t="str">
        <f>VLOOKUP(I530,'DMR POTW Flag'!$A$2:$B$960,2,FALSE)</f>
        <v>NON-POTW</v>
      </c>
      <c r="S530" s="249" t="s">
        <v>69</v>
      </c>
      <c r="T530" s="249" t="s">
        <v>1062</v>
      </c>
      <c r="U530" s="8">
        <f>COUNTIFS('Raw Non-zero DMR Data'!$A:$A, 'Processed Non-zero DMR Data'!A530, 'Raw Non-zero DMR Data'!$C:$C, X530, 'Raw Non-zero DMR Data'!$U:$U,'Processed Non-zero DMR Data'!Y530)</f>
        <v>1</v>
      </c>
      <c r="V530" s="8">
        <f>COUNTIFS('Raw Non-zero DMR Data'!$A:$A, 'Processed Non-zero DMR Data'!A530, 'Raw Non-zero DMR Data'!$C:$C, X530, 'Raw Non-zero DMR Data'!$U:$U,'Processed Non-zero DMR Data'!Y530,'Raw Non-zero DMR Data'!$Z:$Z,"Yes")</f>
        <v>1</v>
      </c>
      <c r="W530">
        <v>6.6826338127499996E-2</v>
      </c>
      <c r="X530" t="s">
        <v>1063</v>
      </c>
      <c r="Y530" t="s">
        <v>1064</v>
      </c>
      <c r="Z530" s="257">
        <v>41504060504</v>
      </c>
    </row>
    <row r="531" spans="1:26" ht="15" customHeight="1" x14ac:dyDescent="0.25">
      <c r="A531">
        <v>2019</v>
      </c>
      <c r="B531" t="s">
        <v>284</v>
      </c>
      <c r="C531" t="s">
        <v>285</v>
      </c>
      <c r="D531" t="s">
        <v>1065</v>
      </c>
      <c r="E531" t="s">
        <v>146</v>
      </c>
      <c r="F531">
        <v>37.636249999999997</v>
      </c>
      <c r="G531">
        <v>-122.38583</v>
      </c>
      <c r="I531" s="1">
        <v>110064622519</v>
      </c>
      <c r="J531">
        <v>4952</v>
      </c>
      <c r="K531" s="175" t="str">
        <f>INDEX('2022 SIC to NAICS'!B:B, MATCH('Processed Non-zero DMR Data'!$J531, '2022 SIC to NAICS'!$A:$A, 0))</f>
        <v>Sewerage Systems</v>
      </c>
      <c r="L531" s="175">
        <f>INDEX('2022 SIC to NAICS'!C:C, MATCH('Processed Non-zero DMR Data'!$J531, '2022 SIC to NAICS'!$A:$A, 0))</f>
        <v>221320</v>
      </c>
      <c r="M531" s="175" t="str">
        <f>INDEX('2022 SIC to NAICS'!D:D, MATCH('Processed Non-zero DMR Data'!$J531, '2022 SIC to NAICS'!$A:$A, 0))</f>
        <v xml:space="preserve">Sewage Treatment Facilities </v>
      </c>
      <c r="N531" s="90" t="str">
        <f>IFERROR(INDEX('NAICS Code to IS CDR Code'!B:B, MATCH('Processed Non-zero DMR Data'!L531,'NAICS Code to IS CDR Code'!A:A,0)), "NAICS/SIC Not Provided")</f>
        <v>IS4</v>
      </c>
      <c r="O531" s="91" t="str">
        <f>IFERROR(INDEX('NAICS Code to IS CDR Code'!C:C, MATCH('Processed Non-zero DMR Data'!L531,'NAICS Code to IS CDR Code'!A:A,0)), "NAICS/SIC Not Provided")</f>
        <v>Utilities</v>
      </c>
      <c r="P531" s="91" t="str">
        <f>INDEX('11DCA Mapping'!$K:$K, MATCH('Processed Non-zero DMR Data'!I538,'11DCA Mapping'!$J:$J,0))</f>
        <v>POTW</v>
      </c>
      <c r="Q531" s="91" t="str">
        <f>INDEX('11DCA Mapping'!$L:$L, MATCH('Processed Non-zero DMR Data'!I538,'11DCA Mapping'!$J:$J,0))</f>
        <v>Assigned POTW per "Facility Type Indicator"</v>
      </c>
      <c r="R531" s="250" t="str">
        <f>VLOOKUP(I531,'DMR POTW Flag'!$A$2:$B$960,2,FALSE)</f>
        <v>POTW</v>
      </c>
      <c r="S531" s="7" t="s">
        <v>67</v>
      </c>
      <c r="T531" s="249" t="s">
        <v>586</v>
      </c>
      <c r="U531" s="8">
        <f>COUNTIFS('Raw Non-zero DMR Data'!$A:$A, 'Processed Non-zero DMR Data'!A531, 'Raw Non-zero DMR Data'!$C:$C, X531, 'Raw Non-zero DMR Data'!$U:$U,'Processed Non-zero DMR Data'!Y531)</f>
        <v>1</v>
      </c>
      <c r="V531" s="8">
        <f>COUNTIFS('Raw Non-zero DMR Data'!$A:$A, 'Processed Non-zero DMR Data'!A531, 'Raw Non-zero DMR Data'!$C:$C, X531, 'Raw Non-zero DMR Data'!$U:$U,'Processed Non-zero DMR Data'!Y531,'Raw Non-zero DMR Data'!$Z:$Z,"Yes")</f>
        <v>1</v>
      </c>
      <c r="W531">
        <v>6.4240912499999997E-2</v>
      </c>
      <c r="X531" t="s">
        <v>1066</v>
      </c>
      <c r="Y531" t="s">
        <v>652</v>
      </c>
      <c r="Z531" s="257">
        <v>180500041001</v>
      </c>
    </row>
    <row r="532" spans="1:26" ht="15" customHeight="1" x14ac:dyDescent="0.25">
      <c r="A532">
        <v>2021</v>
      </c>
      <c r="B532" t="s">
        <v>451</v>
      </c>
      <c r="C532" t="s">
        <v>324</v>
      </c>
      <c r="D532" t="s">
        <v>1067</v>
      </c>
      <c r="E532" t="s">
        <v>452</v>
      </c>
      <c r="F532">
        <v>34.047217000000003</v>
      </c>
      <c r="G532">
        <v>-81.151325999999997</v>
      </c>
      <c r="I532" s="1">
        <v>110000854246</v>
      </c>
      <c r="J532">
        <v>2824</v>
      </c>
      <c r="K532" s="175" t="str">
        <f>INDEX('2022 SIC to NAICS'!B:B, MATCH('Processed Non-zero DMR Data'!$J532, '2022 SIC to NAICS'!$A:$A, 0))</f>
        <v>Organic Fibers, Noncellulosic</v>
      </c>
      <c r="L532" s="175">
        <f>INDEX('2022 SIC to NAICS'!C:C, MATCH('Processed Non-zero DMR Data'!$J532, '2022 SIC to NAICS'!$A:$A, 0))</f>
        <v>325220</v>
      </c>
      <c r="M532" s="175" t="str">
        <f>INDEX('2022 SIC to NAICS'!D:D, MATCH('Processed Non-zero DMR Data'!$J532, '2022 SIC to NAICS'!$A:$A, 0))</f>
        <v>Artificial and Synthetic Fibers and Filaments Manufacturing</v>
      </c>
      <c r="N532" s="90" t="str">
        <f>IFERROR(INDEX('NAICS Code to IS CDR Code'!B:B, MATCH('Processed Non-zero DMR Data'!L532,'NAICS Code to IS CDR Code'!A:A,0)), "NAICS/SIC Not Provided")</f>
        <v>IS24</v>
      </c>
      <c r="O532" s="91" t="str">
        <f>IFERROR(INDEX('NAICS Code to IS CDR Code'!C:C, MATCH('Processed Non-zero DMR Data'!L532,'NAICS Code to IS CDR Code'!A:A,0)), "NAICS/SIC Not Provided")</f>
        <v>Organic Fiber Manufacturing</v>
      </c>
      <c r="P532" s="91" t="str">
        <f>INDEX('11DCA Mapping'!$K:$K, MATCH('Processed Non-zero DMR Data'!I539,'11DCA Mapping'!$J:$J,0))</f>
        <v>POTW</v>
      </c>
      <c r="Q532" s="91" t="str">
        <f>INDEX('11DCA Mapping'!$L:$L, MATCH('Processed Non-zero DMR Data'!I539,'11DCA Mapping'!$J:$J,0))</f>
        <v>Assigned POTW per "Facility Type Indicator"</v>
      </c>
      <c r="R532" s="250" t="str">
        <f>VLOOKUP(I532,'DMR POTW Flag'!$A$2:$B$960,2,FALSE)</f>
        <v>NON-POTW</v>
      </c>
      <c r="S532" s="7" t="s">
        <v>62</v>
      </c>
      <c r="T532" s="7" t="s">
        <v>1068</v>
      </c>
      <c r="U532" s="8">
        <f>COUNTIFS('Raw Non-zero DMR Data'!$A:$A, 'Processed Non-zero DMR Data'!A532, 'Raw Non-zero DMR Data'!$C:$C, X532, 'Raw Non-zero DMR Data'!$U:$U,'Processed Non-zero DMR Data'!Y532)</f>
        <v>1</v>
      </c>
      <c r="V532" s="8">
        <f>COUNTIFS('Raw Non-zero DMR Data'!$A:$A, 'Processed Non-zero DMR Data'!A532, 'Raw Non-zero DMR Data'!$C:$C, X532, 'Raw Non-zero DMR Data'!$U:$U,'Processed Non-zero DMR Data'!Y532,'Raw Non-zero DMR Data'!$Z:$Z,"Yes")</f>
        <v>0</v>
      </c>
      <c r="W532">
        <v>0.33141999999999999</v>
      </c>
      <c r="X532" t="s">
        <v>1069</v>
      </c>
      <c r="Y532" t="s">
        <v>1070</v>
      </c>
      <c r="Z532" s="257">
        <v>30501091403</v>
      </c>
    </row>
    <row r="533" spans="1:26" ht="15" customHeight="1" x14ac:dyDescent="0.25">
      <c r="A533">
        <v>2022</v>
      </c>
      <c r="B533" t="s">
        <v>451</v>
      </c>
      <c r="C533" t="s">
        <v>324</v>
      </c>
      <c r="D533" t="s">
        <v>1067</v>
      </c>
      <c r="E533" t="s">
        <v>452</v>
      </c>
      <c r="F533">
        <v>34.047217000000003</v>
      </c>
      <c r="G533">
        <v>-81.151325999999997</v>
      </c>
      <c r="I533" s="1">
        <v>110000854246</v>
      </c>
      <c r="J533">
        <v>2824</v>
      </c>
      <c r="K533" s="175" t="str">
        <f>INDEX('2022 SIC to NAICS'!B:B, MATCH('Processed Non-zero DMR Data'!$J533, '2022 SIC to NAICS'!$A:$A, 0))</f>
        <v>Organic Fibers, Noncellulosic</v>
      </c>
      <c r="L533" s="175">
        <f>INDEX('2022 SIC to NAICS'!C:C, MATCH('Processed Non-zero DMR Data'!$J533, '2022 SIC to NAICS'!$A:$A, 0))</f>
        <v>325220</v>
      </c>
      <c r="M533" s="175" t="str">
        <f>INDEX('2022 SIC to NAICS'!D:D, MATCH('Processed Non-zero DMR Data'!$J533, '2022 SIC to NAICS'!$A:$A, 0))</f>
        <v>Artificial and Synthetic Fibers and Filaments Manufacturing</v>
      </c>
      <c r="N533" s="90" t="str">
        <f>IFERROR(INDEX('NAICS Code to IS CDR Code'!B:B, MATCH('Processed Non-zero DMR Data'!L533,'NAICS Code to IS CDR Code'!A:A,0)), "NAICS/SIC Not Provided")</f>
        <v>IS24</v>
      </c>
      <c r="O533" s="91" t="str">
        <f>IFERROR(INDEX('NAICS Code to IS CDR Code'!C:C, MATCH('Processed Non-zero DMR Data'!L533,'NAICS Code to IS CDR Code'!A:A,0)), "NAICS/SIC Not Provided")</f>
        <v>Organic Fiber Manufacturing</v>
      </c>
      <c r="P533" s="91" t="str">
        <f>INDEX('11DCA Mapping'!$K:$K, MATCH('Processed Non-zero DMR Data'!I540,'11DCA Mapping'!$J:$J,0))</f>
        <v>POTW</v>
      </c>
      <c r="Q533" s="91" t="str">
        <f>INDEX('11DCA Mapping'!$L:$L, MATCH('Processed Non-zero DMR Data'!I540,'11DCA Mapping'!$J:$J,0))</f>
        <v>Assigned POTW per "Facility Type Indicator"</v>
      </c>
      <c r="R533" s="250" t="str">
        <f>VLOOKUP(I533,'DMR POTW Flag'!$A$2:$B$960,2,FALSE)</f>
        <v>NON-POTW</v>
      </c>
      <c r="S533" s="7" t="s">
        <v>62</v>
      </c>
      <c r="T533" s="7" t="s">
        <v>1068</v>
      </c>
      <c r="U533" s="8">
        <f>COUNTIFS('Raw Non-zero DMR Data'!$A:$A, 'Processed Non-zero DMR Data'!A533, 'Raw Non-zero DMR Data'!$C:$C, X533, 'Raw Non-zero DMR Data'!$U:$U,'Processed Non-zero DMR Data'!Y533)</f>
        <v>1</v>
      </c>
      <c r="V533" s="8">
        <f>COUNTIFS('Raw Non-zero DMR Data'!$A:$A, 'Processed Non-zero DMR Data'!A533, 'Raw Non-zero DMR Data'!$C:$C, X533, 'Raw Non-zero DMR Data'!$U:$U,'Processed Non-zero DMR Data'!Y533,'Raw Non-zero DMR Data'!$Z:$Z,"Yes")</f>
        <v>0</v>
      </c>
      <c r="W533">
        <v>0.33141999999999999</v>
      </c>
      <c r="X533" t="s">
        <v>1069</v>
      </c>
      <c r="Y533" t="s">
        <v>1070</v>
      </c>
      <c r="Z533" s="257">
        <v>30501091403</v>
      </c>
    </row>
    <row r="534" spans="1:26" ht="15" customHeight="1" x14ac:dyDescent="0.25">
      <c r="A534">
        <v>2023</v>
      </c>
      <c r="B534" t="s">
        <v>451</v>
      </c>
      <c r="C534" t="s">
        <v>324</v>
      </c>
      <c r="D534" t="s">
        <v>1067</v>
      </c>
      <c r="E534" t="s">
        <v>452</v>
      </c>
      <c r="F534">
        <v>34.047217000000003</v>
      </c>
      <c r="G534">
        <v>-81.151325999999997</v>
      </c>
      <c r="I534" s="1">
        <v>110000854246</v>
      </c>
      <c r="J534">
        <v>2824</v>
      </c>
      <c r="K534" s="175" t="str">
        <f>INDEX('2022 SIC to NAICS'!B:B, MATCH('Processed Non-zero DMR Data'!$J534, '2022 SIC to NAICS'!$A:$A, 0))</f>
        <v>Organic Fibers, Noncellulosic</v>
      </c>
      <c r="L534" s="175">
        <f>INDEX('2022 SIC to NAICS'!C:C, MATCH('Processed Non-zero DMR Data'!$J534, '2022 SIC to NAICS'!$A:$A, 0))</f>
        <v>325220</v>
      </c>
      <c r="M534" s="175" t="str">
        <f>INDEX('2022 SIC to NAICS'!D:D, MATCH('Processed Non-zero DMR Data'!$J534, '2022 SIC to NAICS'!$A:$A, 0))</f>
        <v>Artificial and Synthetic Fibers and Filaments Manufacturing</v>
      </c>
      <c r="N534" s="90" t="str">
        <f>IFERROR(INDEX('NAICS Code to IS CDR Code'!B:B, MATCH('Processed Non-zero DMR Data'!L534,'NAICS Code to IS CDR Code'!A:A,0)), "NAICS/SIC Not Provided")</f>
        <v>IS24</v>
      </c>
      <c r="O534" s="91" t="str">
        <f>IFERROR(INDEX('NAICS Code to IS CDR Code'!C:C, MATCH('Processed Non-zero DMR Data'!L534,'NAICS Code to IS CDR Code'!A:A,0)), "NAICS/SIC Not Provided")</f>
        <v>Organic Fiber Manufacturing</v>
      </c>
      <c r="P534" s="91" t="str">
        <f>INDEX('11DCA Mapping'!$K:$K, MATCH('Processed Non-zero DMR Data'!I541,'11DCA Mapping'!$J:$J,0))</f>
        <v>Processing as a Reactant</v>
      </c>
      <c r="Q534" s="91" t="str">
        <f>INDEX('11DCA Mapping'!$L:$L, MATCH('Processed Non-zero DMR Data'!I541,'11DCA Mapping'!$J:$J,0))</f>
        <v>Based on SIC code</v>
      </c>
      <c r="R534" s="250" t="str">
        <f>VLOOKUP(I534,'DMR POTW Flag'!$A$2:$B$960,2,FALSE)</f>
        <v>NON-POTW</v>
      </c>
      <c r="S534" s="7" t="s">
        <v>62</v>
      </c>
      <c r="T534" s="7" t="s">
        <v>1068</v>
      </c>
      <c r="U534" s="8">
        <f>COUNTIFS('Raw Non-zero DMR Data'!$A:$A, 'Processed Non-zero DMR Data'!A534, 'Raw Non-zero DMR Data'!$C:$C, X534, 'Raw Non-zero DMR Data'!$U:$U,'Processed Non-zero DMR Data'!Y534)</f>
        <v>1</v>
      </c>
      <c r="V534" s="8">
        <f>COUNTIFS('Raw Non-zero DMR Data'!$A:$A, 'Processed Non-zero DMR Data'!A534, 'Raw Non-zero DMR Data'!$C:$C, X534, 'Raw Non-zero DMR Data'!$U:$U,'Processed Non-zero DMR Data'!Y534,'Raw Non-zero DMR Data'!$Z:$Z,"Yes")</f>
        <v>0</v>
      </c>
      <c r="W534">
        <v>0.33141999999999999</v>
      </c>
      <c r="X534" t="s">
        <v>1069</v>
      </c>
      <c r="Y534" t="s">
        <v>1070</v>
      </c>
      <c r="Z534" s="257">
        <v>30501091403</v>
      </c>
    </row>
    <row r="535" spans="1:26" ht="15" customHeight="1" x14ac:dyDescent="0.25">
      <c r="A535">
        <v>2022</v>
      </c>
      <c r="B535" t="s">
        <v>496</v>
      </c>
      <c r="C535" t="s">
        <v>333</v>
      </c>
      <c r="D535" t="s">
        <v>653</v>
      </c>
      <c r="E535" t="s">
        <v>268</v>
      </c>
      <c r="F535">
        <v>40.670580000000001</v>
      </c>
      <c r="G535">
        <v>-80.336500000000001</v>
      </c>
      <c r="I535" s="1">
        <v>110000329038</v>
      </c>
      <c r="J535">
        <v>2869</v>
      </c>
      <c r="K535" s="175" t="str">
        <f>INDEX('2022 SIC to NAICS'!B:B, MATCH('Processed Non-zero DMR Data'!$J535, '2022 SIC to NAICS'!$A:$A, 0))</f>
        <v>Industrial Organic Chemicals, Nec</v>
      </c>
      <c r="L535" s="175">
        <f>INDEX('2022 SIC to NAICS'!C:C, MATCH('Processed Non-zero DMR Data'!$J535, '2022 SIC to NAICS'!$A:$A, 0))</f>
        <v>325110</v>
      </c>
      <c r="M535" s="175" t="str">
        <f>INDEX('2022 SIC to NAICS'!D:D, MATCH('Processed Non-zero DMR Data'!$J535, '2022 SIC to NAICS'!$A:$A, 0))</f>
        <v>Petrochemical Manufacturing</v>
      </c>
      <c r="N535" s="90" t="str">
        <f>IFERROR(INDEX('NAICS Code to IS CDR Code'!B:B, MATCH('Processed Non-zero DMR Data'!L535,'NAICS Code to IS CDR Code'!A:A,0)), "NAICS/SIC Not Provided")</f>
        <v>IS15</v>
      </c>
      <c r="O535" s="91" t="str">
        <f>IFERROR(INDEX('NAICS Code to IS CDR Code'!C:C, MATCH('Processed Non-zero DMR Data'!L535,'NAICS Code to IS CDR Code'!A:A,0)), "NAICS/SIC Not Provided")</f>
        <v>Petrochemical Manufacturing</v>
      </c>
      <c r="P535" s="91" t="str">
        <f>INDEX('11DCA Mapping'!$K:$K, MATCH('Processed Non-zero DMR Data'!I542,'11DCA Mapping'!$J:$J,0))</f>
        <v>Processing as a Reactant</v>
      </c>
      <c r="Q535" s="91" t="str">
        <f>INDEX('11DCA Mapping'!$L:$L, MATCH('Processed Non-zero DMR Data'!I542,'11DCA Mapping'!$J:$J,0))</f>
        <v>Based on SIC code</v>
      </c>
      <c r="R535" s="250" t="str">
        <f>VLOOKUP(I535,'DMR POTW Flag'!$A$2:$B$960,2,FALSE)</f>
        <v>NON-POTW</v>
      </c>
      <c r="S535" s="7" t="s">
        <v>62</v>
      </c>
      <c r="T535" s="7" t="s">
        <v>876</v>
      </c>
      <c r="U535" s="8">
        <f>COUNTIFS('Raw Non-zero DMR Data'!$A:$A, 'Processed Non-zero DMR Data'!A535, 'Raw Non-zero DMR Data'!$C:$C, X535, 'Raw Non-zero DMR Data'!$U:$U,'Processed Non-zero DMR Data'!Y535)</f>
        <v>1</v>
      </c>
      <c r="V535" s="8">
        <f>COUNTIFS('Raw Non-zero DMR Data'!$A:$A, 'Processed Non-zero DMR Data'!A535, 'Raw Non-zero DMR Data'!$C:$C, X535, 'Raw Non-zero DMR Data'!$U:$U,'Processed Non-zero DMR Data'!Y535,'Raw Non-zero DMR Data'!$Z:$Z,"Yes")</f>
        <v>1</v>
      </c>
      <c r="W535">
        <v>6.8100000000000001E-3</v>
      </c>
      <c r="X535" t="s">
        <v>1071</v>
      </c>
      <c r="Y535" t="s">
        <v>655</v>
      </c>
      <c r="Z535" s="257">
        <v>50301010310</v>
      </c>
    </row>
    <row r="536" spans="1:26" ht="15" customHeight="1" x14ac:dyDescent="0.25">
      <c r="A536">
        <v>2023</v>
      </c>
      <c r="B536" t="s">
        <v>496</v>
      </c>
      <c r="C536" t="s">
        <v>333</v>
      </c>
      <c r="D536" t="s">
        <v>653</v>
      </c>
      <c r="E536" t="s">
        <v>268</v>
      </c>
      <c r="F536">
        <v>40.670580000000001</v>
      </c>
      <c r="G536">
        <v>-80.336500000000001</v>
      </c>
      <c r="I536" s="1">
        <v>110000329038</v>
      </c>
      <c r="J536">
        <v>2869</v>
      </c>
      <c r="K536" s="175" t="str">
        <f>INDEX('2022 SIC to NAICS'!B:B, MATCH('Processed Non-zero DMR Data'!$J536, '2022 SIC to NAICS'!$A:$A, 0))</f>
        <v>Industrial Organic Chemicals, Nec</v>
      </c>
      <c r="L536" s="175">
        <f>INDEX('2022 SIC to NAICS'!C:C, MATCH('Processed Non-zero DMR Data'!$J536, '2022 SIC to NAICS'!$A:$A, 0))</f>
        <v>325110</v>
      </c>
      <c r="M536" s="175" t="str">
        <f>INDEX('2022 SIC to NAICS'!D:D, MATCH('Processed Non-zero DMR Data'!$J536, '2022 SIC to NAICS'!$A:$A, 0))</f>
        <v>Petrochemical Manufacturing</v>
      </c>
      <c r="N536" s="90" t="str">
        <f>IFERROR(INDEX('NAICS Code to IS CDR Code'!B:B, MATCH('Processed Non-zero DMR Data'!L536,'NAICS Code to IS CDR Code'!A:A,0)), "NAICS/SIC Not Provided")</f>
        <v>IS15</v>
      </c>
      <c r="O536" s="91" t="str">
        <f>IFERROR(INDEX('NAICS Code to IS CDR Code'!C:C, MATCH('Processed Non-zero DMR Data'!L536,'NAICS Code to IS CDR Code'!A:A,0)), "NAICS/SIC Not Provided")</f>
        <v>Petrochemical Manufacturing</v>
      </c>
      <c r="P536" s="91" t="str">
        <f>INDEX('11DCA Mapping'!$K:$K, MATCH('Processed Non-zero DMR Data'!I543,'11DCA Mapping'!$J:$J,0))</f>
        <v>Processing as a Reactant</v>
      </c>
      <c r="Q536" s="91" t="str">
        <f>INDEX('11DCA Mapping'!$L:$L, MATCH('Processed Non-zero DMR Data'!I543,'11DCA Mapping'!$J:$J,0))</f>
        <v>Based on SIC code</v>
      </c>
      <c r="R536" s="250" t="str">
        <f>VLOOKUP(I536,'DMR POTW Flag'!$A$2:$B$960,2,FALSE)</f>
        <v>NON-POTW</v>
      </c>
      <c r="S536" s="7" t="s">
        <v>62</v>
      </c>
      <c r="T536" s="7" t="s">
        <v>876</v>
      </c>
      <c r="U536" s="8">
        <f>COUNTIFS('Raw Non-zero DMR Data'!$A:$A, 'Processed Non-zero DMR Data'!A536, 'Raw Non-zero DMR Data'!$C:$C, X536, 'Raw Non-zero DMR Data'!$U:$U,'Processed Non-zero DMR Data'!Y536)</f>
        <v>1</v>
      </c>
      <c r="V536" s="8">
        <f>COUNTIFS('Raw Non-zero DMR Data'!$A:$A, 'Processed Non-zero DMR Data'!A536, 'Raw Non-zero DMR Data'!$C:$C, X536, 'Raw Non-zero DMR Data'!$U:$U,'Processed Non-zero DMR Data'!Y536,'Raw Non-zero DMR Data'!$Z:$Z,"Yes")</f>
        <v>1</v>
      </c>
      <c r="W536">
        <v>2.8147999999999999E-2</v>
      </c>
      <c r="X536" t="s">
        <v>1071</v>
      </c>
      <c r="Y536" t="s">
        <v>655</v>
      </c>
      <c r="Z536" s="257">
        <v>50301010310</v>
      </c>
    </row>
    <row r="537" spans="1:26" ht="15" customHeight="1" x14ac:dyDescent="0.25">
      <c r="A537">
        <v>2019</v>
      </c>
      <c r="B537" t="s">
        <v>159</v>
      </c>
      <c r="C537" t="s">
        <v>160</v>
      </c>
      <c r="D537" t="s">
        <v>1072</v>
      </c>
      <c r="E537" t="s">
        <v>138</v>
      </c>
      <c r="F537">
        <v>37.983888999999998</v>
      </c>
      <c r="G537">
        <v>-85.722778000000005</v>
      </c>
      <c r="I537" s="1">
        <v>110020941383</v>
      </c>
      <c r="J537">
        <v>4952</v>
      </c>
      <c r="K537" s="175" t="str">
        <f>INDEX('2022 SIC to NAICS'!B:B, MATCH('Processed Non-zero DMR Data'!$J537, '2022 SIC to NAICS'!$A:$A, 0))</f>
        <v>Sewerage Systems</v>
      </c>
      <c r="L537" s="175">
        <f>INDEX('2022 SIC to NAICS'!C:C, MATCH('Processed Non-zero DMR Data'!$J537, '2022 SIC to NAICS'!$A:$A, 0))</f>
        <v>221320</v>
      </c>
      <c r="M537" s="175" t="str">
        <f>INDEX('2022 SIC to NAICS'!D:D, MATCH('Processed Non-zero DMR Data'!$J537, '2022 SIC to NAICS'!$A:$A, 0))</f>
        <v xml:space="preserve">Sewage Treatment Facilities </v>
      </c>
      <c r="N537" s="90" t="str">
        <f>IFERROR(INDEX('NAICS Code to IS CDR Code'!B:B, MATCH('Processed Non-zero DMR Data'!L537,'NAICS Code to IS CDR Code'!A:A,0)), "NAICS/SIC Not Provided")</f>
        <v>IS4</v>
      </c>
      <c r="O537" s="91" t="str">
        <f>IFERROR(INDEX('NAICS Code to IS CDR Code'!C:C, MATCH('Processed Non-zero DMR Data'!L537,'NAICS Code to IS CDR Code'!A:A,0)), "NAICS/SIC Not Provided")</f>
        <v>Utilities</v>
      </c>
      <c r="P537" s="91" t="str">
        <f>INDEX('11DCA Mapping'!$K:$K, MATCH('Processed Non-zero DMR Data'!I544,'11DCA Mapping'!$J:$J,0))</f>
        <v>Processing as a Reactant</v>
      </c>
      <c r="Q537" s="91" t="str">
        <f>INDEX('11DCA Mapping'!$L:$L, MATCH('Processed Non-zero DMR Data'!I544,'11DCA Mapping'!$J:$J,0))</f>
        <v>Based on SIC code</v>
      </c>
      <c r="R537" s="250" t="str">
        <f>VLOOKUP(I537,'DMR POTW Flag'!$A$2:$B$960,2,FALSE)</f>
        <v>POTW</v>
      </c>
      <c r="S537" s="7" t="s">
        <v>67</v>
      </c>
      <c r="T537" s="249" t="s">
        <v>586</v>
      </c>
      <c r="U537" s="8">
        <f>COUNTIFS('Raw Non-zero DMR Data'!$A:$A, 'Processed Non-zero DMR Data'!A537, 'Raw Non-zero DMR Data'!$C:$C, X537, 'Raw Non-zero DMR Data'!$U:$U,'Processed Non-zero DMR Data'!Y537)</f>
        <v>1</v>
      </c>
      <c r="V537" s="8">
        <f>COUNTIFS('Raw Non-zero DMR Data'!$A:$A, 'Processed Non-zero DMR Data'!A537, 'Raw Non-zero DMR Data'!$C:$C, X537, 'Raw Non-zero DMR Data'!$U:$U,'Processed Non-zero DMR Data'!Y537,'Raw Non-zero DMR Data'!$Z:$Z,"Yes")</f>
        <v>1</v>
      </c>
      <c r="W537">
        <v>2.3485925000000001</v>
      </c>
      <c r="X537" t="s">
        <v>1073</v>
      </c>
      <c r="Y537" t="s">
        <v>1074</v>
      </c>
      <c r="Z537" s="257">
        <v>51401021103</v>
      </c>
    </row>
    <row r="538" spans="1:26" ht="15" customHeight="1" x14ac:dyDescent="0.25">
      <c r="A538">
        <v>2020</v>
      </c>
      <c r="B538" t="s">
        <v>159</v>
      </c>
      <c r="C538" t="s">
        <v>160</v>
      </c>
      <c r="D538" t="s">
        <v>1072</v>
      </c>
      <c r="E538" t="s">
        <v>138</v>
      </c>
      <c r="F538">
        <v>37.983888999999998</v>
      </c>
      <c r="G538">
        <v>-85.722778000000005</v>
      </c>
      <c r="I538" s="1">
        <v>110020941383</v>
      </c>
      <c r="J538">
        <v>4952</v>
      </c>
      <c r="K538" s="175" t="str">
        <f>INDEX('2022 SIC to NAICS'!B:B, MATCH('Processed Non-zero DMR Data'!$J538, '2022 SIC to NAICS'!$A:$A, 0))</f>
        <v>Sewerage Systems</v>
      </c>
      <c r="L538" s="175">
        <f>INDEX('2022 SIC to NAICS'!C:C, MATCH('Processed Non-zero DMR Data'!$J538, '2022 SIC to NAICS'!$A:$A, 0))</f>
        <v>221320</v>
      </c>
      <c r="M538" s="175" t="str">
        <f>INDEX('2022 SIC to NAICS'!D:D, MATCH('Processed Non-zero DMR Data'!$J538, '2022 SIC to NAICS'!$A:$A, 0))</f>
        <v xml:space="preserve">Sewage Treatment Facilities </v>
      </c>
      <c r="N538" s="90" t="str">
        <f>IFERROR(INDEX('NAICS Code to IS CDR Code'!B:B, MATCH('Processed Non-zero DMR Data'!L538,'NAICS Code to IS CDR Code'!A:A,0)), "NAICS/SIC Not Provided")</f>
        <v>IS4</v>
      </c>
      <c r="O538" s="91" t="str">
        <f>IFERROR(INDEX('NAICS Code to IS CDR Code'!C:C, MATCH('Processed Non-zero DMR Data'!L538,'NAICS Code to IS CDR Code'!A:A,0)), "NAICS/SIC Not Provided")</f>
        <v>Utilities</v>
      </c>
      <c r="P538" s="91" t="str">
        <f>INDEX('11DCA Mapping'!$K:$K, MATCH('Processed Non-zero DMR Data'!I545,'11DCA Mapping'!$J:$J,0))</f>
        <v>Processing as a Reactant</v>
      </c>
      <c r="Q538" s="91" t="str">
        <f>INDEX('11DCA Mapping'!$L:$L, MATCH('Processed Non-zero DMR Data'!I545,'11DCA Mapping'!$J:$J,0))</f>
        <v>Based on SIC code</v>
      </c>
      <c r="R538" s="250" t="str">
        <f>VLOOKUP(I538,'DMR POTW Flag'!$A$2:$B$960,2,FALSE)</f>
        <v>POTW</v>
      </c>
      <c r="S538" s="7" t="s">
        <v>67</v>
      </c>
      <c r="T538" s="249" t="s">
        <v>586</v>
      </c>
      <c r="U538" s="8">
        <f>COUNTIFS('Raw Non-zero DMR Data'!$A:$A, 'Processed Non-zero DMR Data'!A538, 'Raw Non-zero DMR Data'!$C:$C, X538, 'Raw Non-zero DMR Data'!$U:$U,'Processed Non-zero DMR Data'!Y538)</f>
        <v>1</v>
      </c>
      <c r="V538" s="8">
        <f>COUNTIFS('Raw Non-zero DMR Data'!$A:$A, 'Processed Non-zero DMR Data'!A538, 'Raw Non-zero DMR Data'!$C:$C, X538, 'Raw Non-zero DMR Data'!$U:$U,'Processed Non-zero DMR Data'!Y538,'Raw Non-zero DMR Data'!$Z:$Z,"Yes")</f>
        <v>1</v>
      </c>
      <c r="W538">
        <v>1.58875375</v>
      </c>
      <c r="X538" t="s">
        <v>1073</v>
      </c>
      <c r="Y538" t="s">
        <v>1074</v>
      </c>
      <c r="Z538" s="257">
        <v>51401021103</v>
      </c>
    </row>
    <row r="539" spans="1:26" ht="15" customHeight="1" x14ac:dyDescent="0.25">
      <c r="A539">
        <v>2021</v>
      </c>
      <c r="B539" t="s">
        <v>159</v>
      </c>
      <c r="C539" t="s">
        <v>160</v>
      </c>
      <c r="D539" t="s">
        <v>1072</v>
      </c>
      <c r="E539" t="s">
        <v>138</v>
      </c>
      <c r="F539">
        <v>37.983888999999998</v>
      </c>
      <c r="G539">
        <v>-85.722778000000005</v>
      </c>
      <c r="I539" s="1">
        <v>110020941383</v>
      </c>
      <c r="J539">
        <v>4952</v>
      </c>
      <c r="K539" s="175" t="str">
        <f>INDEX('2022 SIC to NAICS'!B:B, MATCH('Processed Non-zero DMR Data'!$J539, '2022 SIC to NAICS'!$A:$A, 0))</f>
        <v>Sewerage Systems</v>
      </c>
      <c r="L539" s="175">
        <f>INDEX('2022 SIC to NAICS'!C:C, MATCH('Processed Non-zero DMR Data'!$J539, '2022 SIC to NAICS'!$A:$A, 0))</f>
        <v>221320</v>
      </c>
      <c r="M539" s="175" t="str">
        <f>INDEX('2022 SIC to NAICS'!D:D, MATCH('Processed Non-zero DMR Data'!$J539, '2022 SIC to NAICS'!$A:$A, 0))</f>
        <v xml:space="preserve">Sewage Treatment Facilities </v>
      </c>
      <c r="N539" s="90" t="str">
        <f>IFERROR(INDEX('NAICS Code to IS CDR Code'!B:B, MATCH('Processed Non-zero DMR Data'!L539,'NAICS Code to IS CDR Code'!A:A,0)), "NAICS/SIC Not Provided")</f>
        <v>IS4</v>
      </c>
      <c r="O539" s="91" t="str">
        <f>IFERROR(INDEX('NAICS Code to IS CDR Code'!C:C, MATCH('Processed Non-zero DMR Data'!L539,'NAICS Code to IS CDR Code'!A:A,0)), "NAICS/SIC Not Provided")</f>
        <v>Utilities</v>
      </c>
      <c r="P539" s="91" t="str">
        <f>INDEX('11DCA Mapping'!$K:$K, MATCH('Processed Non-zero DMR Data'!I546,'11DCA Mapping'!$J:$J,0))</f>
        <v>Processing as a Reactant</v>
      </c>
      <c r="Q539" s="91" t="str">
        <f>INDEX('11DCA Mapping'!$L:$L, MATCH('Processed Non-zero DMR Data'!I546,'11DCA Mapping'!$J:$J,0))</f>
        <v>Based on SIC code</v>
      </c>
      <c r="R539" s="250" t="str">
        <f>VLOOKUP(I539,'DMR POTW Flag'!$A$2:$B$960,2,FALSE)</f>
        <v>POTW</v>
      </c>
      <c r="S539" s="7" t="s">
        <v>67</v>
      </c>
      <c r="T539" s="249" t="s">
        <v>586</v>
      </c>
      <c r="U539" s="8">
        <f>COUNTIFS('Raw Non-zero DMR Data'!$A:$A, 'Processed Non-zero DMR Data'!A539, 'Raw Non-zero DMR Data'!$C:$C, X539, 'Raw Non-zero DMR Data'!$U:$U,'Processed Non-zero DMR Data'!Y539)</f>
        <v>1</v>
      </c>
      <c r="V539" s="8">
        <f>COUNTIFS('Raw Non-zero DMR Data'!$A:$A, 'Processed Non-zero DMR Data'!A539, 'Raw Non-zero DMR Data'!$C:$C, X539, 'Raw Non-zero DMR Data'!$U:$U,'Processed Non-zero DMR Data'!Y539,'Raw Non-zero DMR Data'!$Z:$Z,"Yes")</f>
        <v>1</v>
      </c>
      <c r="W539">
        <v>2.1828094999999998</v>
      </c>
      <c r="X539" t="s">
        <v>1073</v>
      </c>
      <c r="Y539" t="s">
        <v>1074</v>
      </c>
      <c r="Z539" s="257">
        <v>51401021103</v>
      </c>
    </row>
    <row r="540" spans="1:26" ht="15" customHeight="1" x14ac:dyDescent="0.25">
      <c r="A540">
        <v>2023</v>
      </c>
      <c r="B540" t="s">
        <v>526</v>
      </c>
      <c r="C540" t="s">
        <v>527</v>
      </c>
      <c r="D540" t="s">
        <v>757</v>
      </c>
      <c r="E540" t="s">
        <v>485</v>
      </c>
      <c r="F540">
        <v>36.786963999999998</v>
      </c>
      <c r="G540">
        <v>-108.711493</v>
      </c>
      <c r="I540" s="1">
        <v>110024409362</v>
      </c>
      <c r="J540">
        <v>4952</v>
      </c>
      <c r="K540" s="175" t="str">
        <f>INDEX('2022 SIC to NAICS'!B:B, MATCH('Processed Non-zero DMR Data'!$J540, '2022 SIC to NAICS'!$A:$A, 0))</f>
        <v>Sewerage Systems</v>
      </c>
      <c r="L540" s="175">
        <f>INDEX('2022 SIC to NAICS'!C:C, MATCH('Processed Non-zero DMR Data'!$J540, '2022 SIC to NAICS'!$A:$A, 0))</f>
        <v>221320</v>
      </c>
      <c r="M540" s="175" t="str">
        <f>INDEX('2022 SIC to NAICS'!D:D, MATCH('Processed Non-zero DMR Data'!$J540, '2022 SIC to NAICS'!$A:$A, 0))</f>
        <v xml:space="preserve">Sewage Treatment Facilities </v>
      </c>
      <c r="N540" s="90" t="str">
        <f>IFERROR(INDEX('NAICS Code to IS CDR Code'!B:B, MATCH('Processed Non-zero DMR Data'!L540,'NAICS Code to IS CDR Code'!A:A,0)), "NAICS/SIC Not Provided")</f>
        <v>IS4</v>
      </c>
      <c r="O540" s="91" t="str">
        <f>IFERROR(INDEX('NAICS Code to IS CDR Code'!C:C, MATCH('Processed Non-zero DMR Data'!L540,'NAICS Code to IS CDR Code'!A:A,0)), "NAICS/SIC Not Provided")</f>
        <v>Utilities</v>
      </c>
      <c r="P540" s="91" t="str">
        <f>INDEX('11DCA Mapping'!$K:$K, MATCH('Processed Non-zero DMR Data'!I547,'11DCA Mapping'!$J:$J,0))</f>
        <v>Processing as a Reactant</v>
      </c>
      <c r="Q540" s="91" t="str">
        <f>INDEX('11DCA Mapping'!$L:$L, MATCH('Processed Non-zero DMR Data'!I547,'11DCA Mapping'!$J:$J,0))</f>
        <v>Based on SIC code</v>
      </c>
      <c r="R540" s="250" t="str">
        <f>VLOOKUP(I540,'DMR POTW Flag'!$A$2:$B$960,2,FALSE)</f>
        <v>POTW</v>
      </c>
      <c r="S540" s="7" t="s">
        <v>67</v>
      </c>
      <c r="T540" s="249" t="s">
        <v>586</v>
      </c>
      <c r="U540" s="8">
        <f>COUNTIFS('Raw Non-zero DMR Data'!$A:$A, 'Processed Non-zero DMR Data'!A540, 'Raw Non-zero DMR Data'!$C:$C, X540, 'Raw Non-zero DMR Data'!$U:$U,'Processed Non-zero DMR Data'!Y540)</f>
        <v>1</v>
      </c>
      <c r="V540" s="8">
        <f>COUNTIFS('Raw Non-zero DMR Data'!$A:$A, 'Processed Non-zero DMR Data'!A540, 'Raw Non-zero DMR Data'!$C:$C, X540, 'Raw Non-zero DMR Data'!$U:$U,'Processed Non-zero DMR Data'!Y540,'Raw Non-zero DMR Data'!$Z:$Z,"Yes")</f>
        <v>1</v>
      </c>
      <c r="W540">
        <v>0.80347979999999997</v>
      </c>
      <c r="X540" t="s">
        <v>1075</v>
      </c>
      <c r="Y540" t="s">
        <v>1076</v>
      </c>
      <c r="Z540" s="257">
        <v>140801050704</v>
      </c>
    </row>
    <row r="541" spans="1:26" ht="15" customHeight="1" x14ac:dyDescent="0.25">
      <c r="A541">
        <v>2019</v>
      </c>
      <c r="B541" t="s">
        <v>163</v>
      </c>
      <c r="C541" t="s">
        <v>164</v>
      </c>
      <c r="D541" t="s">
        <v>1077</v>
      </c>
      <c r="E541" t="s">
        <v>135</v>
      </c>
      <c r="F541">
        <v>39.599829999999997</v>
      </c>
      <c r="G541">
        <v>-79.97148</v>
      </c>
      <c r="I541" s="1">
        <v>110000572782</v>
      </c>
      <c r="J541">
        <v>2869</v>
      </c>
      <c r="K541" s="175" t="str">
        <f>INDEX('2022 SIC to NAICS'!B:B, MATCH('Processed Non-zero DMR Data'!$J541, '2022 SIC to NAICS'!$A:$A, 0))</f>
        <v>Industrial Organic Chemicals, Nec</v>
      </c>
      <c r="L541" s="175">
        <f>INDEX('2022 SIC to NAICS'!C:C, MATCH('Processed Non-zero DMR Data'!$J541, '2022 SIC to NAICS'!$A:$A, 0))</f>
        <v>325110</v>
      </c>
      <c r="M541" s="175" t="str">
        <f>INDEX('2022 SIC to NAICS'!D:D, MATCH('Processed Non-zero DMR Data'!$J541, '2022 SIC to NAICS'!$A:$A, 0))</f>
        <v>Petrochemical Manufacturing</v>
      </c>
      <c r="N541" s="90" t="str">
        <f>IFERROR(INDEX('NAICS Code to IS CDR Code'!B:B, MATCH('Processed Non-zero DMR Data'!L541,'NAICS Code to IS CDR Code'!A:A,0)), "NAICS/SIC Not Provided")</f>
        <v>IS15</v>
      </c>
      <c r="O541" s="91" t="str">
        <f>IFERROR(INDEX('NAICS Code to IS CDR Code'!C:C, MATCH('Processed Non-zero DMR Data'!L541,'NAICS Code to IS CDR Code'!A:A,0)), "NAICS/SIC Not Provided")</f>
        <v>Petrochemical Manufacturing</v>
      </c>
      <c r="P541" s="91" t="str">
        <f>INDEX('11DCA Mapping'!$K:$K, MATCH('Processed Non-zero DMR Data'!I548,'11DCA Mapping'!$J:$J,0))</f>
        <v>Processing as a Reactant</v>
      </c>
      <c r="Q541" s="91" t="str">
        <f>INDEX('11DCA Mapping'!$L:$L, MATCH('Processed Non-zero DMR Data'!I548,'11DCA Mapping'!$J:$J,0))</f>
        <v>Based on SIC code</v>
      </c>
      <c r="R541" s="250" t="str">
        <f>VLOOKUP(I541,'DMR POTW Flag'!$A$2:$B$960,2,FALSE)</f>
        <v>NON-POTW</v>
      </c>
      <c r="S541" s="7" t="s">
        <v>62</v>
      </c>
      <c r="T541" s="7" t="s">
        <v>601</v>
      </c>
      <c r="U541" s="8">
        <f>COUNTIFS('Raw Non-zero DMR Data'!$A:$A, 'Processed Non-zero DMR Data'!A541, 'Raw Non-zero DMR Data'!$C:$C, X541, 'Raw Non-zero DMR Data'!$U:$U,'Processed Non-zero DMR Data'!Y541)</f>
        <v>2</v>
      </c>
      <c r="V541" s="8">
        <f>COUNTIFS('Raw Non-zero DMR Data'!$A:$A, 'Processed Non-zero DMR Data'!A541, 'Raw Non-zero DMR Data'!$C:$C, X541, 'Raw Non-zero DMR Data'!$U:$U,'Processed Non-zero DMR Data'!Y541,'Raw Non-zero DMR Data'!$Z:$Z,"Yes")</f>
        <v>0</v>
      </c>
      <c r="W541">
        <v>8.5420099999999999E-2</v>
      </c>
      <c r="X541" t="s">
        <v>1078</v>
      </c>
      <c r="Y541" t="s">
        <v>1079</v>
      </c>
      <c r="Z541" s="257">
        <v>50200030307</v>
      </c>
    </row>
    <row r="542" spans="1:26" ht="15" customHeight="1" x14ac:dyDescent="0.25">
      <c r="A542">
        <v>2019</v>
      </c>
      <c r="B542" t="s">
        <v>163</v>
      </c>
      <c r="C542" t="s">
        <v>164</v>
      </c>
      <c r="D542" t="s">
        <v>1077</v>
      </c>
      <c r="E542" t="s">
        <v>135</v>
      </c>
      <c r="F542">
        <v>39.599829999999997</v>
      </c>
      <c r="G542">
        <v>-79.97148</v>
      </c>
      <c r="I542" s="1">
        <v>110000572782</v>
      </c>
      <c r="J542">
        <v>2869</v>
      </c>
      <c r="K542" s="175" t="str">
        <f>INDEX('2022 SIC to NAICS'!B:B, MATCH('Processed Non-zero DMR Data'!$J542, '2022 SIC to NAICS'!$A:$A, 0))</f>
        <v>Industrial Organic Chemicals, Nec</v>
      </c>
      <c r="L542" s="175">
        <f>INDEX('2022 SIC to NAICS'!C:C, MATCH('Processed Non-zero DMR Data'!$J542, '2022 SIC to NAICS'!$A:$A, 0))</f>
        <v>325110</v>
      </c>
      <c r="M542" s="175" t="str">
        <f>INDEX('2022 SIC to NAICS'!D:D, MATCH('Processed Non-zero DMR Data'!$J542, '2022 SIC to NAICS'!$A:$A, 0))</f>
        <v>Petrochemical Manufacturing</v>
      </c>
      <c r="N542" s="90" t="str">
        <f>IFERROR(INDEX('NAICS Code to IS CDR Code'!B:B, MATCH('Processed Non-zero DMR Data'!L542,'NAICS Code to IS CDR Code'!A:A,0)), "NAICS/SIC Not Provided")</f>
        <v>IS15</v>
      </c>
      <c r="O542" s="91" t="str">
        <f>IFERROR(INDEX('NAICS Code to IS CDR Code'!C:C, MATCH('Processed Non-zero DMR Data'!L542,'NAICS Code to IS CDR Code'!A:A,0)), "NAICS/SIC Not Provided")</f>
        <v>Petrochemical Manufacturing</v>
      </c>
      <c r="P542" s="91" t="str">
        <f>INDEX('11DCA Mapping'!$K:$K, MATCH('Processed Non-zero DMR Data'!I549,'11DCA Mapping'!$J:$J,0))</f>
        <v>Processing as a Reactant</v>
      </c>
      <c r="Q542" s="91" t="str">
        <f>INDEX('11DCA Mapping'!$L:$L, MATCH('Processed Non-zero DMR Data'!I549,'11DCA Mapping'!$J:$J,0))</f>
        <v>Based on SIC code</v>
      </c>
      <c r="R542" s="250" t="str">
        <f>VLOOKUP(I542,'DMR POTW Flag'!$A$2:$B$960,2,FALSE)</f>
        <v>NON-POTW</v>
      </c>
      <c r="S542" s="7" t="s">
        <v>62</v>
      </c>
      <c r="T542" s="7" t="s">
        <v>601</v>
      </c>
      <c r="U542" s="8">
        <f>COUNTIFS('Raw Non-zero DMR Data'!$A:$A, 'Processed Non-zero DMR Data'!A542, 'Raw Non-zero DMR Data'!$C:$C, X542, 'Raw Non-zero DMR Data'!$U:$U,'Processed Non-zero DMR Data'!Y542)</f>
        <v>2</v>
      </c>
      <c r="V542" s="8">
        <f>COUNTIFS('Raw Non-zero DMR Data'!$A:$A, 'Processed Non-zero DMR Data'!A542, 'Raw Non-zero DMR Data'!$C:$C, X542, 'Raw Non-zero DMR Data'!$U:$U,'Processed Non-zero DMR Data'!Y542,'Raw Non-zero DMR Data'!$Z:$Z,"Yes")</f>
        <v>0</v>
      </c>
      <c r="W542">
        <v>0.1062814</v>
      </c>
      <c r="X542" t="s">
        <v>1078</v>
      </c>
      <c r="Y542" t="s">
        <v>1079</v>
      </c>
      <c r="Z542" s="257">
        <v>50200030307</v>
      </c>
    </row>
    <row r="543" spans="1:26" ht="15" customHeight="1" x14ac:dyDescent="0.25">
      <c r="A543">
        <v>2020</v>
      </c>
      <c r="B543" t="s">
        <v>163</v>
      </c>
      <c r="C543" t="s">
        <v>164</v>
      </c>
      <c r="D543" t="s">
        <v>1077</v>
      </c>
      <c r="E543" t="s">
        <v>135</v>
      </c>
      <c r="F543">
        <v>39.599829999999997</v>
      </c>
      <c r="G543">
        <v>-79.97148</v>
      </c>
      <c r="I543" s="1">
        <v>110000572782</v>
      </c>
      <c r="J543">
        <v>2869</v>
      </c>
      <c r="K543" s="175" t="str">
        <f>INDEX('2022 SIC to NAICS'!B:B, MATCH('Processed Non-zero DMR Data'!$J543, '2022 SIC to NAICS'!$A:$A, 0))</f>
        <v>Industrial Organic Chemicals, Nec</v>
      </c>
      <c r="L543" s="175">
        <f>INDEX('2022 SIC to NAICS'!C:C, MATCH('Processed Non-zero DMR Data'!$J543, '2022 SIC to NAICS'!$A:$A, 0))</f>
        <v>325110</v>
      </c>
      <c r="M543" s="175" t="str">
        <f>INDEX('2022 SIC to NAICS'!D:D, MATCH('Processed Non-zero DMR Data'!$J543, '2022 SIC to NAICS'!$A:$A, 0))</f>
        <v>Petrochemical Manufacturing</v>
      </c>
      <c r="N543" s="90" t="str">
        <f>IFERROR(INDEX('NAICS Code to IS CDR Code'!B:B, MATCH('Processed Non-zero DMR Data'!L543,'NAICS Code to IS CDR Code'!A:A,0)), "NAICS/SIC Not Provided")</f>
        <v>IS15</v>
      </c>
      <c r="O543" s="91" t="str">
        <f>IFERROR(INDEX('NAICS Code to IS CDR Code'!C:C, MATCH('Processed Non-zero DMR Data'!L543,'NAICS Code to IS CDR Code'!A:A,0)), "NAICS/SIC Not Provided")</f>
        <v>Petrochemical Manufacturing</v>
      </c>
      <c r="P543" s="91" t="str">
        <f>INDEX('11DCA Mapping'!$K:$K, MATCH('Processed Non-zero DMR Data'!I550,'11DCA Mapping'!$J:$J,0))</f>
        <v>Processing as a Reactant</v>
      </c>
      <c r="Q543" s="91" t="str">
        <f>INDEX('11DCA Mapping'!$L:$L, MATCH('Processed Non-zero DMR Data'!I550,'11DCA Mapping'!$J:$J,0))</f>
        <v>Based on SIC code</v>
      </c>
      <c r="R543" s="250" t="str">
        <f>VLOOKUP(I543,'DMR POTW Flag'!$A$2:$B$960,2,FALSE)</f>
        <v>NON-POTW</v>
      </c>
      <c r="S543" s="7" t="s">
        <v>62</v>
      </c>
      <c r="T543" s="7" t="s">
        <v>601</v>
      </c>
      <c r="U543" s="8">
        <f>COUNTIFS('Raw Non-zero DMR Data'!$A:$A, 'Processed Non-zero DMR Data'!A543, 'Raw Non-zero DMR Data'!$C:$C, X543, 'Raw Non-zero DMR Data'!$U:$U,'Processed Non-zero DMR Data'!Y543)</f>
        <v>2</v>
      </c>
      <c r="V543" s="8">
        <f>COUNTIFS('Raw Non-zero DMR Data'!$A:$A, 'Processed Non-zero DMR Data'!A543, 'Raw Non-zero DMR Data'!$C:$C, X543, 'Raw Non-zero DMR Data'!$U:$U,'Processed Non-zero DMR Data'!Y543,'Raw Non-zero DMR Data'!$Z:$Z,"Yes")</f>
        <v>0</v>
      </c>
      <c r="W543">
        <v>0.74926344</v>
      </c>
      <c r="X543" t="s">
        <v>1078</v>
      </c>
      <c r="Y543" t="s">
        <v>1079</v>
      </c>
      <c r="Z543" s="257">
        <v>50200030307</v>
      </c>
    </row>
    <row r="544" spans="1:26" ht="15" customHeight="1" x14ac:dyDescent="0.25">
      <c r="A544">
        <v>2020</v>
      </c>
      <c r="B544" t="s">
        <v>163</v>
      </c>
      <c r="C544" t="s">
        <v>164</v>
      </c>
      <c r="D544" t="s">
        <v>1077</v>
      </c>
      <c r="E544" t="s">
        <v>135</v>
      </c>
      <c r="F544">
        <v>39.599829999999997</v>
      </c>
      <c r="G544">
        <v>-79.97148</v>
      </c>
      <c r="I544" s="1">
        <v>110000572782</v>
      </c>
      <c r="J544">
        <v>2869</v>
      </c>
      <c r="K544" s="175" t="str">
        <f>INDEX('2022 SIC to NAICS'!B:B, MATCH('Processed Non-zero DMR Data'!$J544, '2022 SIC to NAICS'!$A:$A, 0))</f>
        <v>Industrial Organic Chemicals, Nec</v>
      </c>
      <c r="L544" s="175">
        <f>INDEX('2022 SIC to NAICS'!C:C, MATCH('Processed Non-zero DMR Data'!$J544, '2022 SIC to NAICS'!$A:$A, 0))</f>
        <v>325110</v>
      </c>
      <c r="M544" s="175" t="str">
        <f>INDEX('2022 SIC to NAICS'!D:D, MATCH('Processed Non-zero DMR Data'!$J544, '2022 SIC to NAICS'!$A:$A, 0))</f>
        <v>Petrochemical Manufacturing</v>
      </c>
      <c r="N544" s="90" t="str">
        <f>IFERROR(INDEX('NAICS Code to IS CDR Code'!B:B, MATCH('Processed Non-zero DMR Data'!L544,'NAICS Code to IS CDR Code'!A:A,0)), "NAICS/SIC Not Provided")</f>
        <v>IS15</v>
      </c>
      <c r="O544" s="91" t="str">
        <f>IFERROR(INDEX('NAICS Code to IS CDR Code'!C:C, MATCH('Processed Non-zero DMR Data'!L544,'NAICS Code to IS CDR Code'!A:A,0)), "NAICS/SIC Not Provided")</f>
        <v>Petrochemical Manufacturing</v>
      </c>
      <c r="P544" s="91" t="str">
        <f>INDEX('11DCA Mapping'!$K:$K, MATCH('Processed Non-zero DMR Data'!I551,'11DCA Mapping'!$J:$J,0))</f>
        <v>Processing as a Reactant</v>
      </c>
      <c r="Q544" s="91" t="str">
        <f>INDEX('11DCA Mapping'!$L:$L, MATCH('Processed Non-zero DMR Data'!I551,'11DCA Mapping'!$J:$J,0))</f>
        <v>Assumed processing as a reactant based on SIC and NAICS description</v>
      </c>
      <c r="R544" s="250" t="str">
        <f>VLOOKUP(I544,'DMR POTW Flag'!$A$2:$B$960,2,FALSE)</f>
        <v>NON-POTW</v>
      </c>
      <c r="S544" s="7" t="s">
        <v>62</v>
      </c>
      <c r="T544" s="7" t="s">
        <v>601</v>
      </c>
      <c r="U544" s="8">
        <f>COUNTIFS('Raw Non-zero DMR Data'!$A:$A, 'Processed Non-zero DMR Data'!A544, 'Raw Non-zero DMR Data'!$C:$C, X544, 'Raw Non-zero DMR Data'!$U:$U,'Processed Non-zero DMR Data'!Y544)</f>
        <v>2</v>
      </c>
      <c r="V544" s="8">
        <f>COUNTIFS('Raw Non-zero DMR Data'!$A:$A, 'Processed Non-zero DMR Data'!A544, 'Raw Non-zero DMR Data'!$C:$C, X544, 'Raw Non-zero DMR Data'!$U:$U,'Processed Non-zero DMR Data'!Y544,'Raw Non-zero DMR Data'!$Z:$Z,"Yes")</f>
        <v>0</v>
      </c>
      <c r="W544">
        <v>0.67729536000000001</v>
      </c>
      <c r="X544" t="s">
        <v>1078</v>
      </c>
      <c r="Y544" t="s">
        <v>1079</v>
      </c>
      <c r="Z544" s="257">
        <v>50200030307</v>
      </c>
    </row>
    <row r="545" spans="1:26" ht="15" customHeight="1" x14ac:dyDescent="0.25">
      <c r="A545">
        <v>2021</v>
      </c>
      <c r="B545" t="s">
        <v>163</v>
      </c>
      <c r="C545" t="s">
        <v>164</v>
      </c>
      <c r="D545" t="s">
        <v>1077</v>
      </c>
      <c r="E545" t="s">
        <v>135</v>
      </c>
      <c r="F545">
        <v>39.599829999999997</v>
      </c>
      <c r="G545">
        <v>-79.97148</v>
      </c>
      <c r="I545" s="1">
        <v>110000572782</v>
      </c>
      <c r="J545">
        <v>2869</v>
      </c>
      <c r="K545" s="175" t="str">
        <f>INDEX('2022 SIC to NAICS'!B:B, MATCH('Processed Non-zero DMR Data'!$J545, '2022 SIC to NAICS'!$A:$A, 0))</f>
        <v>Industrial Organic Chemicals, Nec</v>
      </c>
      <c r="L545" s="175">
        <f>INDEX('2022 SIC to NAICS'!C:C, MATCH('Processed Non-zero DMR Data'!$J545, '2022 SIC to NAICS'!$A:$A, 0))</f>
        <v>325110</v>
      </c>
      <c r="M545" s="175" t="str">
        <f>INDEX('2022 SIC to NAICS'!D:D, MATCH('Processed Non-zero DMR Data'!$J545, '2022 SIC to NAICS'!$A:$A, 0))</f>
        <v>Petrochemical Manufacturing</v>
      </c>
      <c r="N545" s="90" t="str">
        <f>IFERROR(INDEX('NAICS Code to IS CDR Code'!B:B, MATCH('Processed Non-zero DMR Data'!L545,'NAICS Code to IS CDR Code'!A:A,0)), "NAICS/SIC Not Provided")</f>
        <v>IS15</v>
      </c>
      <c r="O545" s="91" t="str">
        <f>IFERROR(INDEX('NAICS Code to IS CDR Code'!C:C, MATCH('Processed Non-zero DMR Data'!L545,'NAICS Code to IS CDR Code'!A:A,0)), "NAICS/SIC Not Provided")</f>
        <v>Petrochemical Manufacturing</v>
      </c>
      <c r="P545" s="91" t="str">
        <f>INDEX('11DCA Mapping'!$K:$K, MATCH('Processed Non-zero DMR Data'!I552,'11DCA Mapping'!$J:$J,0))</f>
        <v>Processing as a Reactant</v>
      </c>
      <c r="Q545" s="91" t="str">
        <f>INDEX('11DCA Mapping'!$L:$L, MATCH('Processed Non-zero DMR Data'!I552,'11DCA Mapping'!$J:$J,0))</f>
        <v>Assumed processing as a reactant based on SIC and NAICS description</v>
      </c>
      <c r="R545" s="250" t="str">
        <f>VLOOKUP(I545,'DMR POTW Flag'!$A$2:$B$960,2,FALSE)</f>
        <v>NON-POTW</v>
      </c>
      <c r="S545" s="7" t="s">
        <v>62</v>
      </c>
      <c r="T545" s="7" t="s">
        <v>601</v>
      </c>
      <c r="U545" s="8">
        <f>COUNTIFS('Raw Non-zero DMR Data'!$A:$A, 'Processed Non-zero DMR Data'!A545, 'Raw Non-zero DMR Data'!$C:$C, X545, 'Raw Non-zero DMR Data'!$U:$U,'Processed Non-zero DMR Data'!Y545)</f>
        <v>2</v>
      </c>
      <c r="V545" s="8">
        <f>COUNTIFS('Raw Non-zero DMR Data'!$A:$A, 'Processed Non-zero DMR Data'!A545, 'Raw Non-zero DMR Data'!$C:$C, X545, 'Raw Non-zero DMR Data'!$U:$U,'Processed Non-zero DMR Data'!Y545,'Raw Non-zero DMR Data'!$Z:$Z,"Yes")</f>
        <v>0</v>
      </c>
      <c r="W545">
        <v>6.6170499999999993E-2</v>
      </c>
      <c r="X545" t="s">
        <v>1078</v>
      </c>
      <c r="Y545" t="s">
        <v>1079</v>
      </c>
      <c r="Z545" s="257">
        <v>50200030307</v>
      </c>
    </row>
    <row r="546" spans="1:26" ht="15" customHeight="1" x14ac:dyDescent="0.25">
      <c r="A546">
        <v>2021</v>
      </c>
      <c r="B546" t="s">
        <v>163</v>
      </c>
      <c r="C546" t="s">
        <v>164</v>
      </c>
      <c r="D546" t="s">
        <v>1077</v>
      </c>
      <c r="E546" t="s">
        <v>135</v>
      </c>
      <c r="F546">
        <v>39.599829999999997</v>
      </c>
      <c r="G546">
        <v>-79.97148</v>
      </c>
      <c r="I546" s="1">
        <v>110000572782</v>
      </c>
      <c r="J546">
        <v>2869</v>
      </c>
      <c r="K546" s="175" t="str">
        <f>INDEX('2022 SIC to NAICS'!B:B, MATCH('Processed Non-zero DMR Data'!$J546, '2022 SIC to NAICS'!$A:$A, 0))</f>
        <v>Industrial Organic Chemicals, Nec</v>
      </c>
      <c r="L546" s="175">
        <f>INDEX('2022 SIC to NAICS'!C:C, MATCH('Processed Non-zero DMR Data'!$J546, '2022 SIC to NAICS'!$A:$A, 0))</f>
        <v>325110</v>
      </c>
      <c r="M546" s="175" t="str">
        <f>INDEX('2022 SIC to NAICS'!D:D, MATCH('Processed Non-zero DMR Data'!$J546, '2022 SIC to NAICS'!$A:$A, 0))</f>
        <v>Petrochemical Manufacturing</v>
      </c>
      <c r="N546" s="90" t="str">
        <f>IFERROR(INDEX('NAICS Code to IS CDR Code'!B:B, MATCH('Processed Non-zero DMR Data'!L546,'NAICS Code to IS CDR Code'!A:A,0)), "NAICS/SIC Not Provided")</f>
        <v>IS15</v>
      </c>
      <c r="O546" s="91" t="str">
        <f>IFERROR(INDEX('NAICS Code to IS CDR Code'!C:C, MATCH('Processed Non-zero DMR Data'!L546,'NAICS Code to IS CDR Code'!A:A,0)), "NAICS/SIC Not Provided")</f>
        <v>Petrochemical Manufacturing</v>
      </c>
      <c r="P546" s="91" t="str">
        <f>INDEX('11DCA Mapping'!$K:$K, MATCH('Processed Non-zero DMR Data'!I553,'11DCA Mapping'!$J:$J,0))</f>
        <v>Processing as a Reactant</v>
      </c>
      <c r="Q546" s="91" t="str">
        <f>INDEX('11DCA Mapping'!$L:$L, MATCH('Processed Non-zero DMR Data'!I553,'11DCA Mapping'!$J:$J,0))</f>
        <v>Assumed processing as a reactant based on SIC and NAICS description</v>
      </c>
      <c r="R546" s="250" t="str">
        <f>VLOOKUP(I546,'DMR POTW Flag'!$A$2:$B$960,2,FALSE)</f>
        <v>NON-POTW</v>
      </c>
      <c r="S546" s="7" t="s">
        <v>62</v>
      </c>
      <c r="T546" s="7" t="s">
        <v>601</v>
      </c>
      <c r="U546" s="8">
        <f>COUNTIFS('Raw Non-zero DMR Data'!$A:$A, 'Processed Non-zero DMR Data'!A546, 'Raw Non-zero DMR Data'!$C:$C, X546, 'Raw Non-zero DMR Data'!$U:$U,'Processed Non-zero DMR Data'!Y546)</f>
        <v>2</v>
      </c>
      <c r="V546" s="8">
        <f>COUNTIFS('Raw Non-zero DMR Data'!$A:$A, 'Processed Non-zero DMR Data'!A546, 'Raw Non-zero DMR Data'!$C:$C, X546, 'Raw Non-zero DMR Data'!$U:$U,'Processed Non-zero DMR Data'!Y546,'Raw Non-zero DMR Data'!$Z:$Z,"Yes")</f>
        <v>0</v>
      </c>
      <c r="W546">
        <v>6.4295480000000002E-2</v>
      </c>
      <c r="X546" t="s">
        <v>1078</v>
      </c>
      <c r="Y546" t="s">
        <v>1079</v>
      </c>
      <c r="Z546" s="257">
        <v>50200030307</v>
      </c>
    </row>
    <row r="547" spans="1:26" ht="15" customHeight="1" x14ac:dyDescent="0.25">
      <c r="A547">
        <v>2022</v>
      </c>
      <c r="B547" t="s">
        <v>163</v>
      </c>
      <c r="C547" t="s">
        <v>164</v>
      </c>
      <c r="D547" t="s">
        <v>1077</v>
      </c>
      <c r="E547" t="s">
        <v>135</v>
      </c>
      <c r="F547">
        <v>39.599829999999997</v>
      </c>
      <c r="G547">
        <v>-79.97148</v>
      </c>
      <c r="I547" s="1">
        <v>110000572782</v>
      </c>
      <c r="J547">
        <v>2869</v>
      </c>
      <c r="K547" s="175" t="str">
        <f>INDEX('2022 SIC to NAICS'!B:B, MATCH('Processed Non-zero DMR Data'!$J547, '2022 SIC to NAICS'!$A:$A, 0))</f>
        <v>Industrial Organic Chemicals, Nec</v>
      </c>
      <c r="L547" s="175">
        <f>INDEX('2022 SIC to NAICS'!C:C, MATCH('Processed Non-zero DMR Data'!$J547, '2022 SIC to NAICS'!$A:$A, 0))</f>
        <v>325110</v>
      </c>
      <c r="M547" s="175" t="str">
        <f>INDEX('2022 SIC to NAICS'!D:D, MATCH('Processed Non-zero DMR Data'!$J547, '2022 SIC to NAICS'!$A:$A, 0))</f>
        <v>Petrochemical Manufacturing</v>
      </c>
      <c r="N547" s="90" t="str">
        <f>IFERROR(INDEX('NAICS Code to IS CDR Code'!B:B, MATCH('Processed Non-zero DMR Data'!L547,'NAICS Code to IS CDR Code'!A:A,0)), "NAICS/SIC Not Provided")</f>
        <v>IS15</v>
      </c>
      <c r="O547" s="91" t="str">
        <f>IFERROR(INDEX('NAICS Code to IS CDR Code'!C:C, MATCH('Processed Non-zero DMR Data'!L547,'NAICS Code to IS CDR Code'!A:A,0)), "NAICS/SIC Not Provided")</f>
        <v>Petrochemical Manufacturing</v>
      </c>
      <c r="P547" s="91" t="str">
        <f>INDEX('11DCA Mapping'!$K:$K, MATCH('Processed Non-zero DMR Data'!I554,'11DCA Mapping'!$J:$J,0))</f>
        <v>Processing as a Reactant</v>
      </c>
      <c r="Q547" s="91" t="str">
        <f>INDEX('11DCA Mapping'!$L:$L, MATCH('Processed Non-zero DMR Data'!I554,'11DCA Mapping'!$J:$J,0))</f>
        <v xml:space="preserve">The site produces multiple materials including alkoxylates, alpha sulfo methyl esters, amides, amine oxides, esters, sulfosuccinates, sulfacetates, sulfonates, sulfates, blends, phosphate esters, quaternaries, phthalic anhydride, and polyols (https://www.stepan.com/content/stepan-dot-com/en/you-stepan/locations.html). 1,1 DCA is likely used in the manufacturing process. </v>
      </c>
      <c r="R547" s="250" t="str">
        <f>VLOOKUP(I547,'DMR POTW Flag'!$A$2:$B$960,2,FALSE)</f>
        <v>NON-POTW</v>
      </c>
      <c r="S547" s="7" t="s">
        <v>62</v>
      </c>
      <c r="T547" s="7" t="s">
        <v>601</v>
      </c>
      <c r="U547" s="8">
        <f>COUNTIFS('Raw Non-zero DMR Data'!$A:$A, 'Processed Non-zero DMR Data'!A547, 'Raw Non-zero DMR Data'!$C:$C, X547, 'Raw Non-zero DMR Data'!$U:$U,'Processed Non-zero DMR Data'!Y547)</f>
        <v>2</v>
      </c>
      <c r="V547" s="8">
        <f>COUNTIFS('Raw Non-zero DMR Data'!$A:$A, 'Processed Non-zero DMR Data'!A547, 'Raw Non-zero DMR Data'!$C:$C, X547, 'Raw Non-zero DMR Data'!$U:$U,'Processed Non-zero DMR Data'!Y547,'Raw Non-zero DMR Data'!$Z:$Z,"Yes")</f>
        <v>0</v>
      </c>
      <c r="W547">
        <v>5.1385989999999999E-2</v>
      </c>
      <c r="X547" t="s">
        <v>1078</v>
      </c>
      <c r="Y547" t="s">
        <v>1079</v>
      </c>
      <c r="Z547" s="257">
        <v>50200030307</v>
      </c>
    </row>
    <row r="548" spans="1:26" ht="15" customHeight="1" x14ac:dyDescent="0.25">
      <c r="A548">
        <v>2022</v>
      </c>
      <c r="B548" t="s">
        <v>163</v>
      </c>
      <c r="C548" t="s">
        <v>164</v>
      </c>
      <c r="D548" t="s">
        <v>1077</v>
      </c>
      <c r="E548" t="s">
        <v>135</v>
      </c>
      <c r="F548">
        <v>39.599829999999997</v>
      </c>
      <c r="G548">
        <v>-79.97148</v>
      </c>
      <c r="I548" s="1">
        <v>110000572782</v>
      </c>
      <c r="J548">
        <v>2869</v>
      </c>
      <c r="K548" s="175" t="str">
        <f>INDEX('2022 SIC to NAICS'!B:B, MATCH('Processed Non-zero DMR Data'!$J548, '2022 SIC to NAICS'!$A:$A, 0))</f>
        <v>Industrial Organic Chemicals, Nec</v>
      </c>
      <c r="L548" s="175">
        <f>INDEX('2022 SIC to NAICS'!C:C, MATCH('Processed Non-zero DMR Data'!$J548, '2022 SIC to NAICS'!$A:$A, 0))</f>
        <v>325110</v>
      </c>
      <c r="M548" s="175" t="str">
        <f>INDEX('2022 SIC to NAICS'!D:D, MATCH('Processed Non-zero DMR Data'!$J548, '2022 SIC to NAICS'!$A:$A, 0))</f>
        <v>Petrochemical Manufacturing</v>
      </c>
      <c r="N548" s="90" t="str">
        <f>IFERROR(INDEX('NAICS Code to IS CDR Code'!B:B, MATCH('Processed Non-zero DMR Data'!L548,'NAICS Code to IS CDR Code'!A:A,0)), "NAICS/SIC Not Provided")</f>
        <v>IS15</v>
      </c>
      <c r="O548" s="91" t="str">
        <f>IFERROR(INDEX('NAICS Code to IS CDR Code'!C:C, MATCH('Processed Non-zero DMR Data'!L548,'NAICS Code to IS CDR Code'!A:A,0)), "NAICS/SIC Not Provided")</f>
        <v>Petrochemical Manufacturing</v>
      </c>
      <c r="P548" s="91" t="str">
        <f>INDEX('11DCA Mapping'!$K:$K, MATCH('Processed Non-zero DMR Data'!I555,'11DCA Mapping'!$J:$J,0))</f>
        <v>Processing as a Reactant</v>
      </c>
      <c r="Q548" s="91" t="str">
        <f>INDEX('11DCA Mapping'!$L:$L, MATCH('Processed Non-zero DMR Data'!I555,'11DCA Mapping'!$J:$J,0))</f>
        <v xml:space="preserve">The site produces multiple materials including alkoxylates, alpha sulfo methyl esters, amides, amine oxides, esters, sulfosuccinates, sulfacetates, sulfonates, sulfates, blends, phosphate esters, quaternaries, phthalic anhydride, and polyols (https://www.stepan.com/content/stepan-dot-com/en/you-stepan/locations.html). 1,1 DCA is likely used in the manufacturing process. </v>
      </c>
      <c r="R548" s="250" t="str">
        <f>VLOOKUP(I548,'DMR POTW Flag'!$A$2:$B$960,2,FALSE)</f>
        <v>NON-POTW</v>
      </c>
      <c r="S548" s="7" t="s">
        <v>62</v>
      </c>
      <c r="T548" s="7" t="s">
        <v>601</v>
      </c>
      <c r="U548" s="8">
        <f>COUNTIFS('Raw Non-zero DMR Data'!$A:$A, 'Processed Non-zero DMR Data'!A548, 'Raw Non-zero DMR Data'!$C:$C, X548, 'Raw Non-zero DMR Data'!$U:$U,'Processed Non-zero DMR Data'!Y548)</f>
        <v>2</v>
      </c>
      <c r="V548" s="8">
        <f>COUNTIFS('Raw Non-zero DMR Data'!$A:$A, 'Processed Non-zero DMR Data'!A548, 'Raw Non-zero DMR Data'!$C:$C, X548, 'Raw Non-zero DMR Data'!$U:$U,'Processed Non-zero DMR Data'!Y548,'Raw Non-zero DMR Data'!$Z:$Z,"Yes")</f>
        <v>0</v>
      </c>
      <c r="W548">
        <v>0.10296719999999999</v>
      </c>
      <c r="X548" t="s">
        <v>1078</v>
      </c>
      <c r="Y548" t="s">
        <v>1079</v>
      </c>
      <c r="Z548" s="257">
        <v>50200030307</v>
      </c>
    </row>
    <row r="549" spans="1:26" ht="15" customHeight="1" x14ac:dyDescent="0.25">
      <c r="A549">
        <v>2023</v>
      </c>
      <c r="B549" t="s">
        <v>163</v>
      </c>
      <c r="C549" t="s">
        <v>164</v>
      </c>
      <c r="D549" t="s">
        <v>1077</v>
      </c>
      <c r="E549" t="s">
        <v>135</v>
      </c>
      <c r="F549">
        <v>39.599829999999997</v>
      </c>
      <c r="G549">
        <v>-79.97148</v>
      </c>
      <c r="I549" s="1">
        <v>110000572782</v>
      </c>
      <c r="J549">
        <v>2869</v>
      </c>
      <c r="K549" s="175" t="str">
        <f>INDEX('2022 SIC to NAICS'!B:B, MATCH('Processed Non-zero DMR Data'!$J549, '2022 SIC to NAICS'!$A:$A, 0))</f>
        <v>Industrial Organic Chemicals, Nec</v>
      </c>
      <c r="L549" s="175">
        <f>INDEX('2022 SIC to NAICS'!C:C, MATCH('Processed Non-zero DMR Data'!$J549, '2022 SIC to NAICS'!$A:$A, 0))</f>
        <v>325110</v>
      </c>
      <c r="M549" s="175" t="str">
        <f>INDEX('2022 SIC to NAICS'!D:D, MATCH('Processed Non-zero DMR Data'!$J549, '2022 SIC to NAICS'!$A:$A, 0))</f>
        <v>Petrochemical Manufacturing</v>
      </c>
      <c r="N549" s="90" t="str">
        <f>IFERROR(INDEX('NAICS Code to IS CDR Code'!B:B, MATCH('Processed Non-zero DMR Data'!L549,'NAICS Code to IS CDR Code'!A:A,0)), "NAICS/SIC Not Provided")</f>
        <v>IS15</v>
      </c>
      <c r="O549" s="91" t="str">
        <f>IFERROR(INDEX('NAICS Code to IS CDR Code'!C:C, MATCH('Processed Non-zero DMR Data'!L549,'NAICS Code to IS CDR Code'!A:A,0)), "NAICS/SIC Not Provided")</f>
        <v>Petrochemical Manufacturing</v>
      </c>
      <c r="P549" s="91" t="str">
        <f>INDEX('11DCA Mapping'!$K:$K, MATCH('Processed Non-zero DMR Data'!I556,'11DCA Mapping'!$J:$J,0))</f>
        <v>Processing as a Reactant</v>
      </c>
      <c r="Q549" s="91" t="str">
        <f>INDEX('11DCA Mapping'!$L:$L, MATCH('Processed Non-zero DMR Data'!I556,'11DCA Mapping'!$J:$J,0))</f>
        <v xml:space="preserve">The site produces multiple materials including alkoxylates, alpha sulfo methyl esters, amides, amine oxides, esters, sulfosuccinates, sulfacetates, sulfonates, sulfates, blends, phosphate esters, quaternaries, phthalic anhydride, and polyols (https://www.stepan.com/content/stepan-dot-com/en/you-stepan/locations.html). 1,1 DCA is likely used in the manufacturing process. </v>
      </c>
      <c r="R549" s="250" t="str">
        <f>VLOOKUP(I549,'DMR POTW Flag'!$A$2:$B$960,2,FALSE)</f>
        <v>NON-POTW</v>
      </c>
      <c r="S549" s="7" t="s">
        <v>62</v>
      </c>
      <c r="T549" s="7" t="s">
        <v>601</v>
      </c>
      <c r="U549" s="8">
        <f>COUNTIFS('Raw Non-zero DMR Data'!$A:$A, 'Processed Non-zero DMR Data'!A549, 'Raw Non-zero DMR Data'!$C:$C, X549, 'Raw Non-zero DMR Data'!$U:$U,'Processed Non-zero DMR Data'!Y549)</f>
        <v>2</v>
      </c>
      <c r="V549" s="8">
        <f>COUNTIFS('Raw Non-zero DMR Data'!$A:$A, 'Processed Non-zero DMR Data'!A549, 'Raw Non-zero DMR Data'!$C:$C, X549, 'Raw Non-zero DMR Data'!$U:$U,'Processed Non-zero DMR Data'!Y549,'Raw Non-zero DMR Data'!$Z:$Z,"Yes")</f>
        <v>0</v>
      </c>
      <c r="W549">
        <v>3.1135320000000001E-2</v>
      </c>
      <c r="X549" t="s">
        <v>1078</v>
      </c>
      <c r="Y549" t="s">
        <v>1079</v>
      </c>
      <c r="Z549" s="257">
        <v>50200030307</v>
      </c>
    </row>
    <row r="550" spans="1:26" ht="15" customHeight="1" x14ac:dyDescent="0.25">
      <c r="A550">
        <v>2023</v>
      </c>
      <c r="B550" t="s">
        <v>163</v>
      </c>
      <c r="C550" t="s">
        <v>164</v>
      </c>
      <c r="D550" t="s">
        <v>1077</v>
      </c>
      <c r="E550" t="s">
        <v>135</v>
      </c>
      <c r="F550">
        <v>39.599829999999997</v>
      </c>
      <c r="G550">
        <v>-79.97148</v>
      </c>
      <c r="I550" s="1">
        <v>110000572782</v>
      </c>
      <c r="J550">
        <v>2869</v>
      </c>
      <c r="K550" s="175" t="str">
        <f>INDEX('2022 SIC to NAICS'!B:B, MATCH('Processed Non-zero DMR Data'!$J550, '2022 SIC to NAICS'!$A:$A, 0))</f>
        <v>Industrial Organic Chemicals, Nec</v>
      </c>
      <c r="L550" s="175">
        <f>INDEX('2022 SIC to NAICS'!C:C, MATCH('Processed Non-zero DMR Data'!$J550, '2022 SIC to NAICS'!$A:$A, 0))</f>
        <v>325110</v>
      </c>
      <c r="M550" s="175" t="str">
        <f>INDEX('2022 SIC to NAICS'!D:D, MATCH('Processed Non-zero DMR Data'!$J550, '2022 SIC to NAICS'!$A:$A, 0))</f>
        <v>Petrochemical Manufacturing</v>
      </c>
      <c r="N550" s="90" t="str">
        <f>IFERROR(INDEX('NAICS Code to IS CDR Code'!B:B, MATCH('Processed Non-zero DMR Data'!L550,'NAICS Code to IS CDR Code'!A:A,0)), "NAICS/SIC Not Provided")</f>
        <v>IS15</v>
      </c>
      <c r="O550" s="91" t="str">
        <f>IFERROR(INDEX('NAICS Code to IS CDR Code'!C:C, MATCH('Processed Non-zero DMR Data'!L550,'NAICS Code to IS CDR Code'!A:A,0)), "NAICS/SIC Not Provided")</f>
        <v>Petrochemical Manufacturing</v>
      </c>
      <c r="P550" s="91" t="str">
        <f>INDEX('11DCA Mapping'!$K:$K, MATCH('Processed Non-zero DMR Data'!I557,'11DCA Mapping'!$J:$J,0))</f>
        <v>Processing as a Reactant</v>
      </c>
      <c r="Q550" s="91" t="str">
        <f>INDEX('11DCA Mapping'!$L:$L, MATCH('Processed Non-zero DMR Data'!I557,'11DCA Mapping'!$J:$J,0))</f>
        <v xml:space="preserve">The site produces multiple materials including alkoxylates, alpha sulfo methyl esters, amides, amine oxides, esters, sulfosuccinates, sulfacetates, sulfonates, sulfates, blends, phosphate esters, quaternaries, phthalic anhydride, and polyols (https://www.stepan.com/content/stepan-dot-com/en/you-stepan/locations.html). 1,1 DCA is likely used in the manufacturing process. </v>
      </c>
      <c r="R550" s="250" t="str">
        <f>VLOOKUP(I550,'DMR POTW Flag'!$A$2:$B$960,2,FALSE)</f>
        <v>NON-POTW</v>
      </c>
      <c r="S550" s="7" t="s">
        <v>62</v>
      </c>
      <c r="T550" s="7" t="s">
        <v>601</v>
      </c>
      <c r="U550" s="8">
        <f>COUNTIFS('Raw Non-zero DMR Data'!$A:$A, 'Processed Non-zero DMR Data'!A550, 'Raw Non-zero DMR Data'!$C:$C, X550, 'Raw Non-zero DMR Data'!$U:$U,'Processed Non-zero DMR Data'!Y550)</f>
        <v>2</v>
      </c>
      <c r="V550" s="8">
        <f>COUNTIFS('Raw Non-zero DMR Data'!$A:$A, 'Processed Non-zero DMR Data'!A550, 'Raw Non-zero DMR Data'!$C:$C, X550, 'Raw Non-zero DMR Data'!$U:$U,'Processed Non-zero DMR Data'!Y550,'Raw Non-zero DMR Data'!$Z:$Z,"Yes")</f>
        <v>0</v>
      </c>
      <c r="W550">
        <v>3.5230400000000002E-2</v>
      </c>
      <c r="X550" t="s">
        <v>1078</v>
      </c>
      <c r="Y550" t="s">
        <v>1079</v>
      </c>
      <c r="Z550" s="257">
        <v>50200030307</v>
      </c>
    </row>
    <row r="551" spans="1:26" ht="15" customHeight="1" x14ac:dyDescent="0.25">
      <c r="A551">
        <v>2020</v>
      </c>
      <c r="B551" t="s">
        <v>405</v>
      </c>
      <c r="C551" t="s">
        <v>406</v>
      </c>
      <c r="D551" t="s">
        <v>731</v>
      </c>
      <c r="E551" t="s">
        <v>153</v>
      </c>
      <c r="F551">
        <v>39.845474000000003</v>
      </c>
      <c r="G551">
        <v>-75.209485999999998</v>
      </c>
      <c r="I551" s="1">
        <v>110013317614</v>
      </c>
      <c r="J551">
        <v>2821</v>
      </c>
      <c r="K551" s="175" t="str">
        <f>INDEX('2022 SIC to NAICS'!B:B, MATCH('Processed Non-zero DMR Data'!$J551, '2022 SIC to NAICS'!$A:$A, 0))</f>
        <v>Plastics Materials and Resins</v>
      </c>
      <c r="L551" s="175">
        <f>INDEX('2022 SIC to NAICS'!C:C, MATCH('Processed Non-zero DMR Data'!$J551, '2022 SIC to NAICS'!$A:$A, 0))</f>
        <v>325211</v>
      </c>
      <c r="M551" s="175" t="str">
        <f>INDEX('2022 SIC to NAICS'!D:D, MATCH('Processed Non-zero DMR Data'!$J551, '2022 SIC to NAICS'!$A:$A, 0))</f>
        <v xml:space="preserve">Plastics Material and Resin Manufacturing </v>
      </c>
      <c r="N551" s="90" t="str">
        <f>IFERROR(INDEX('NAICS Code to IS CDR Code'!B:B, MATCH('Processed Non-zero DMR Data'!L551,'NAICS Code to IS CDR Code'!A:A,0)), "NAICS/SIC Not Provided")</f>
        <v>IS22</v>
      </c>
      <c r="O551" s="91" t="str">
        <f>IFERROR(INDEX('NAICS Code to IS CDR Code'!C:C, MATCH('Processed Non-zero DMR Data'!L551,'NAICS Code to IS CDR Code'!A:A,0)), "NAICS/SIC Not Provided")</f>
        <v>Plastic Material and Resin Manufacturing</v>
      </c>
      <c r="P551" s="91" t="str">
        <f>INDEX('11DCA Mapping'!$K:$K, MATCH('Processed Non-zero DMR Data'!I558,'11DCA Mapping'!$J:$J,0))</f>
        <v>Processing as a Reactant</v>
      </c>
      <c r="Q551" s="91" t="str">
        <f>INDEX('11DCA Mapping'!$L:$L, MATCH('Processed Non-zero DMR Data'!I558,'11DCA Mapping'!$J:$J,0))</f>
        <v xml:space="preserve">The site produces multiple materials including alkoxylates, alpha sulfo methyl esters, amides, amine oxides, esters, sulfosuccinates, sulfacetates, sulfonates, sulfates, blends, phosphate esters, quaternaries, phthalic anhydride, and polyols (https://www.stepan.com/content/stepan-dot-com/en/you-stepan/locations.html). 1,1 DCA is likely used in the manufacturing process. </v>
      </c>
      <c r="R551" s="250" t="str">
        <f>VLOOKUP(I551,'DMR POTW Flag'!$A$2:$B$960,2,FALSE)</f>
        <v>NON-POTW</v>
      </c>
      <c r="S551" s="7" t="s">
        <v>63</v>
      </c>
      <c r="T551" s="7" t="s">
        <v>5470</v>
      </c>
      <c r="U551" s="8">
        <f>COUNTIFS('Raw Non-zero DMR Data'!$A:$A, 'Processed Non-zero DMR Data'!A551, 'Raw Non-zero DMR Data'!$C:$C, X551, 'Raw Non-zero DMR Data'!$U:$U,'Processed Non-zero DMR Data'!Y551)</f>
        <v>1</v>
      </c>
      <c r="V551" s="8">
        <f>COUNTIFS('Raw Non-zero DMR Data'!$A:$A, 'Processed Non-zero DMR Data'!A551, 'Raw Non-zero DMR Data'!$C:$C, X551, 'Raw Non-zero DMR Data'!$U:$U,'Processed Non-zero DMR Data'!Y551,'Raw Non-zero DMR Data'!$Z:$Z,"Yes")</f>
        <v>1</v>
      </c>
      <c r="W551">
        <v>8.8350000000000008E-3</v>
      </c>
      <c r="X551" t="s">
        <v>1080</v>
      </c>
      <c r="Y551" t="s">
        <v>852</v>
      </c>
      <c r="Z551" s="257">
        <v>20402020507</v>
      </c>
    </row>
    <row r="552" spans="1:26" ht="15" customHeight="1" x14ac:dyDescent="0.25">
      <c r="A552">
        <v>2021</v>
      </c>
      <c r="B552" t="s">
        <v>405</v>
      </c>
      <c r="C552" t="s">
        <v>406</v>
      </c>
      <c r="D552" t="s">
        <v>731</v>
      </c>
      <c r="E552" t="s">
        <v>153</v>
      </c>
      <c r="F552">
        <v>39.845474000000003</v>
      </c>
      <c r="G552">
        <v>-75.209485999999998</v>
      </c>
      <c r="I552" s="1">
        <v>110013317614</v>
      </c>
      <c r="J552">
        <v>2821</v>
      </c>
      <c r="K552" s="175" t="str">
        <f>INDEX('2022 SIC to NAICS'!B:B, MATCH('Processed Non-zero DMR Data'!$J552, '2022 SIC to NAICS'!$A:$A, 0))</f>
        <v>Plastics Materials and Resins</v>
      </c>
      <c r="L552" s="175">
        <f>INDEX('2022 SIC to NAICS'!C:C, MATCH('Processed Non-zero DMR Data'!$J552, '2022 SIC to NAICS'!$A:$A, 0))</f>
        <v>325211</v>
      </c>
      <c r="M552" s="175" t="str">
        <f>INDEX('2022 SIC to NAICS'!D:D, MATCH('Processed Non-zero DMR Data'!$J552, '2022 SIC to NAICS'!$A:$A, 0))</f>
        <v xml:space="preserve">Plastics Material and Resin Manufacturing </v>
      </c>
      <c r="N552" s="90" t="str">
        <f>IFERROR(INDEX('NAICS Code to IS CDR Code'!B:B, MATCH('Processed Non-zero DMR Data'!L552,'NAICS Code to IS CDR Code'!A:A,0)), "NAICS/SIC Not Provided")</f>
        <v>IS22</v>
      </c>
      <c r="O552" s="91" t="str">
        <f>IFERROR(INDEX('NAICS Code to IS CDR Code'!C:C, MATCH('Processed Non-zero DMR Data'!L552,'NAICS Code to IS CDR Code'!A:A,0)), "NAICS/SIC Not Provided")</f>
        <v>Plastic Material and Resin Manufacturing</v>
      </c>
      <c r="P552" s="91" t="e">
        <f>INDEX('11DCA Mapping'!$K:$K, MATCH('Processed Non-zero DMR Data'!I559,'11DCA Mapping'!$J:$J,0))</f>
        <v>#N/A</v>
      </c>
      <c r="Q552" s="91" t="e">
        <f>INDEX('11DCA Mapping'!$L:$L, MATCH('Processed Non-zero DMR Data'!I559,'11DCA Mapping'!$J:$J,0))</f>
        <v>#N/A</v>
      </c>
      <c r="R552" s="250" t="str">
        <f>VLOOKUP(I552,'DMR POTW Flag'!$A$2:$B$960,2,FALSE)</f>
        <v>NON-POTW</v>
      </c>
      <c r="S552" s="7" t="s">
        <v>63</v>
      </c>
      <c r="T552" s="7" t="s">
        <v>5470</v>
      </c>
      <c r="U552" s="8">
        <f>COUNTIFS('Raw Non-zero DMR Data'!$A:$A, 'Processed Non-zero DMR Data'!A552, 'Raw Non-zero DMR Data'!$C:$C, X552, 'Raw Non-zero DMR Data'!$U:$U,'Processed Non-zero DMR Data'!Y552)</f>
        <v>1</v>
      </c>
      <c r="V552" s="8">
        <f>COUNTIFS('Raw Non-zero DMR Data'!$A:$A, 'Processed Non-zero DMR Data'!A552, 'Raw Non-zero DMR Data'!$C:$C, X552, 'Raw Non-zero DMR Data'!$U:$U,'Processed Non-zero DMR Data'!Y552,'Raw Non-zero DMR Data'!$Z:$Z,"Yes")</f>
        <v>1</v>
      </c>
      <c r="W552">
        <v>1.6538500000000001E-2</v>
      </c>
      <c r="X552" t="s">
        <v>1080</v>
      </c>
      <c r="Y552" t="s">
        <v>852</v>
      </c>
      <c r="Z552" s="257">
        <v>20402020507</v>
      </c>
    </row>
    <row r="553" spans="1:26" ht="15" customHeight="1" x14ac:dyDescent="0.25">
      <c r="A553">
        <v>2023</v>
      </c>
      <c r="B553" t="s">
        <v>405</v>
      </c>
      <c r="C553" t="s">
        <v>406</v>
      </c>
      <c r="D553" t="s">
        <v>731</v>
      </c>
      <c r="E553" t="s">
        <v>153</v>
      </c>
      <c r="F553">
        <v>39.845474000000003</v>
      </c>
      <c r="G553">
        <v>-75.209485999999998</v>
      </c>
      <c r="I553" s="1">
        <v>110013317614</v>
      </c>
      <c r="J553">
        <v>2821</v>
      </c>
      <c r="K553" s="175" t="str">
        <f>INDEX('2022 SIC to NAICS'!B:B, MATCH('Processed Non-zero DMR Data'!$J553, '2022 SIC to NAICS'!$A:$A, 0))</f>
        <v>Plastics Materials and Resins</v>
      </c>
      <c r="L553" s="175">
        <f>INDEX('2022 SIC to NAICS'!C:C, MATCH('Processed Non-zero DMR Data'!$J553, '2022 SIC to NAICS'!$A:$A, 0))</f>
        <v>325211</v>
      </c>
      <c r="M553" s="175" t="str">
        <f>INDEX('2022 SIC to NAICS'!D:D, MATCH('Processed Non-zero DMR Data'!$J553, '2022 SIC to NAICS'!$A:$A, 0))</f>
        <v xml:space="preserve">Plastics Material and Resin Manufacturing </v>
      </c>
      <c r="N553" s="90" t="str">
        <f>IFERROR(INDEX('NAICS Code to IS CDR Code'!B:B, MATCH('Processed Non-zero DMR Data'!L553,'NAICS Code to IS CDR Code'!A:A,0)), "NAICS/SIC Not Provided")</f>
        <v>IS22</v>
      </c>
      <c r="O553" s="91" t="str">
        <f>IFERROR(INDEX('NAICS Code to IS CDR Code'!C:C, MATCH('Processed Non-zero DMR Data'!L553,'NAICS Code to IS CDR Code'!A:A,0)), "NAICS/SIC Not Provided")</f>
        <v>Plastic Material and Resin Manufacturing</v>
      </c>
      <c r="P553" s="91" t="str">
        <f>INDEX('11DCA Mapping'!$K:$K, MATCH('Processed Non-zero DMR Data'!I560,'11DCA Mapping'!$J:$J,0))</f>
        <v>Processing as a Reactant</v>
      </c>
      <c r="Q553" s="91" t="str">
        <f>INDEX('11DCA Mapping'!$L:$L, MATCH('Processed Non-zero DMR Data'!I560,'11DCA Mapping'!$J:$J,0))</f>
        <v>Used mapping of other site with similar SIC description</v>
      </c>
      <c r="R553" s="250" t="str">
        <f>VLOOKUP(I553,'DMR POTW Flag'!$A$2:$B$960,2,FALSE)</f>
        <v>NON-POTW</v>
      </c>
      <c r="S553" s="7" t="s">
        <v>63</v>
      </c>
      <c r="T553" s="7" t="s">
        <v>5470</v>
      </c>
      <c r="U553" s="8">
        <f>COUNTIFS('Raw Non-zero DMR Data'!$A:$A, 'Processed Non-zero DMR Data'!A553, 'Raw Non-zero DMR Data'!$C:$C, X553, 'Raw Non-zero DMR Data'!$U:$U,'Processed Non-zero DMR Data'!Y553)</f>
        <v>1</v>
      </c>
      <c r="V553" s="8">
        <f>COUNTIFS('Raw Non-zero DMR Data'!$A:$A, 'Processed Non-zero DMR Data'!A553, 'Raw Non-zero DMR Data'!$C:$C, X553, 'Raw Non-zero DMR Data'!$U:$U,'Processed Non-zero DMR Data'!Y553,'Raw Non-zero DMR Data'!$Z:$Z,"Yes")</f>
        <v>1</v>
      </c>
      <c r="W553">
        <v>3.6661600000000003E-2</v>
      </c>
      <c r="X553" t="s">
        <v>1080</v>
      </c>
      <c r="Y553" t="s">
        <v>852</v>
      </c>
      <c r="Z553" s="257">
        <v>20402020507</v>
      </c>
    </row>
    <row r="554" spans="1:26" ht="15" customHeight="1" x14ac:dyDescent="0.25">
      <c r="A554">
        <v>2019</v>
      </c>
      <c r="B554" t="s">
        <v>139</v>
      </c>
      <c r="C554" t="s">
        <v>140</v>
      </c>
      <c r="D554" t="s">
        <v>1081</v>
      </c>
      <c r="E554" t="s">
        <v>141</v>
      </c>
      <c r="F554">
        <v>41.441667000000002</v>
      </c>
      <c r="G554">
        <v>-88.159719999999993</v>
      </c>
      <c r="I554" s="1">
        <v>110000432504</v>
      </c>
      <c r="J554">
        <v>2843</v>
      </c>
      <c r="K554" s="175" t="str">
        <f>INDEX('2022 SIC to NAICS'!B:B, MATCH('Processed Non-zero DMR Data'!$J554, '2022 SIC to NAICS'!$A:$A, 0))</f>
        <v>Surface Active Agents</v>
      </c>
      <c r="L554" s="175">
        <f>INDEX('2022 SIC to NAICS'!C:C, MATCH('Processed Non-zero DMR Data'!$J554, '2022 SIC to NAICS'!$A:$A, 0))</f>
        <v>325613</v>
      </c>
      <c r="M554" s="175" t="str">
        <f>INDEX('2022 SIC to NAICS'!D:D, MATCH('Processed Non-zero DMR Data'!$J554, '2022 SIC to NAICS'!$A:$A, 0))</f>
        <v xml:space="preserve">Surface Active Agent Manufacturing </v>
      </c>
      <c r="N554" s="90" t="str">
        <f>IFERROR(INDEX('NAICS Code to IS CDR Code'!B:B, MATCH('Processed Non-zero DMR Data'!L554,'NAICS Code to IS CDR Code'!A:A,0)), "NAICS/SIC Not Provided")</f>
        <v>IS29</v>
      </c>
      <c r="O554" s="91" t="str">
        <f>IFERROR(INDEX('NAICS Code to IS CDR Code'!C:C, MATCH('Processed Non-zero DMR Data'!L554,'NAICS Code to IS CDR Code'!A:A,0)), "NAICS/SIC Not Provided")</f>
        <v>Soap, Cleaning Compound, and Toilet Preparation Manufacturing</v>
      </c>
      <c r="P554" s="91" t="str">
        <f>INDEX('11DCA Mapping'!$K:$K, MATCH('Processed Non-zero DMR Data'!I561,'11DCA Mapping'!$J:$J,0))</f>
        <v>Processing as a Reactant</v>
      </c>
      <c r="Q554" s="91" t="str">
        <f>INDEX('11DCA Mapping'!$L:$L, MATCH('Processed Non-zero DMR Data'!I561,'11DCA Mapping'!$J:$J,0))</f>
        <v>Used mapping of other site with similar SIC description</v>
      </c>
      <c r="R554" s="250" t="str">
        <f>VLOOKUP(I554,'DMR POTW Flag'!$A$2:$B$960,2,FALSE)</f>
        <v>NON-POTW</v>
      </c>
      <c r="S554" s="7" t="s">
        <v>62</v>
      </c>
      <c r="T554" s="7" t="s">
        <v>1082</v>
      </c>
      <c r="U554" s="8">
        <f>COUNTIFS('Raw Non-zero DMR Data'!$A:$A, 'Processed Non-zero DMR Data'!A554, 'Raw Non-zero DMR Data'!$C:$C, X554, 'Raw Non-zero DMR Data'!$U:$U,'Processed Non-zero DMR Data'!Y554)</f>
        <v>1</v>
      </c>
      <c r="V554" s="8">
        <f>COUNTIFS('Raw Non-zero DMR Data'!$A:$A, 'Processed Non-zero DMR Data'!A554, 'Raw Non-zero DMR Data'!$C:$C, X554, 'Raw Non-zero DMR Data'!$U:$U,'Processed Non-zero DMR Data'!Y554,'Raw Non-zero DMR Data'!$Z:$Z,"Yes")</f>
        <v>0</v>
      </c>
      <c r="W554">
        <v>0.74501399999999995</v>
      </c>
      <c r="X554" t="s">
        <v>1083</v>
      </c>
      <c r="Y554" t="s">
        <v>1084</v>
      </c>
      <c r="Z554" s="257">
        <v>71200040905</v>
      </c>
    </row>
    <row r="555" spans="1:26" ht="15" customHeight="1" x14ac:dyDescent="0.25">
      <c r="A555">
        <v>2020</v>
      </c>
      <c r="B555" t="s">
        <v>139</v>
      </c>
      <c r="C555" t="s">
        <v>140</v>
      </c>
      <c r="D555" t="s">
        <v>1081</v>
      </c>
      <c r="E555" t="s">
        <v>141</v>
      </c>
      <c r="F555">
        <v>41.441667000000002</v>
      </c>
      <c r="G555">
        <v>-88.159719999999993</v>
      </c>
      <c r="I555" s="1">
        <v>110000432504</v>
      </c>
      <c r="J555">
        <v>2843</v>
      </c>
      <c r="K555" s="175" t="str">
        <f>INDEX('2022 SIC to NAICS'!B:B, MATCH('Processed Non-zero DMR Data'!$J555, '2022 SIC to NAICS'!$A:$A, 0))</f>
        <v>Surface Active Agents</v>
      </c>
      <c r="L555" s="175">
        <f>INDEX('2022 SIC to NAICS'!C:C, MATCH('Processed Non-zero DMR Data'!$J555, '2022 SIC to NAICS'!$A:$A, 0))</f>
        <v>325613</v>
      </c>
      <c r="M555" s="175" t="str">
        <f>INDEX('2022 SIC to NAICS'!D:D, MATCH('Processed Non-zero DMR Data'!$J555, '2022 SIC to NAICS'!$A:$A, 0))</f>
        <v xml:space="preserve">Surface Active Agent Manufacturing </v>
      </c>
      <c r="N555" s="90" t="str">
        <f>IFERROR(INDEX('NAICS Code to IS CDR Code'!B:B, MATCH('Processed Non-zero DMR Data'!L555,'NAICS Code to IS CDR Code'!A:A,0)), "NAICS/SIC Not Provided")</f>
        <v>IS29</v>
      </c>
      <c r="O555" s="91" t="str">
        <f>IFERROR(INDEX('NAICS Code to IS CDR Code'!C:C, MATCH('Processed Non-zero DMR Data'!L555,'NAICS Code to IS CDR Code'!A:A,0)), "NAICS/SIC Not Provided")</f>
        <v>Soap, Cleaning Compound, and Toilet Preparation Manufacturing</v>
      </c>
      <c r="P555" s="91" t="str">
        <f>INDEX('11DCA Mapping'!$K:$K, MATCH('Processed Non-zero DMR Data'!I562,'11DCA Mapping'!$J:$J,0))</f>
        <v>Processing as a Reactant</v>
      </c>
      <c r="Q555" s="91" t="str">
        <f>INDEX('11DCA Mapping'!$L:$L, MATCH('Processed Non-zero DMR Data'!I562,'11DCA Mapping'!$J:$J,0))</f>
        <v>Used mapping of other site with similar SIC description</v>
      </c>
      <c r="R555" s="250" t="str">
        <f>VLOOKUP(I555,'DMR POTW Flag'!$A$2:$B$960,2,FALSE)</f>
        <v>NON-POTW</v>
      </c>
      <c r="S555" s="7" t="s">
        <v>62</v>
      </c>
      <c r="T555" s="7" t="s">
        <v>1082</v>
      </c>
      <c r="U555" s="8">
        <f>COUNTIFS('Raw Non-zero DMR Data'!$A:$A, 'Processed Non-zero DMR Data'!A555, 'Raw Non-zero DMR Data'!$C:$C, X555, 'Raw Non-zero DMR Data'!$U:$U,'Processed Non-zero DMR Data'!Y555)</f>
        <v>1</v>
      </c>
      <c r="V555" s="8">
        <f>COUNTIFS('Raw Non-zero DMR Data'!$A:$A, 'Processed Non-zero DMR Data'!A555, 'Raw Non-zero DMR Data'!$C:$C, X555, 'Raw Non-zero DMR Data'!$U:$U,'Processed Non-zero DMR Data'!Y555,'Raw Non-zero DMR Data'!$Z:$Z,"Yes")</f>
        <v>0</v>
      </c>
      <c r="W555">
        <v>0.66147800000000001</v>
      </c>
      <c r="X555" t="s">
        <v>1083</v>
      </c>
      <c r="Y555" t="s">
        <v>1084</v>
      </c>
      <c r="Z555" s="257">
        <v>71200040905</v>
      </c>
    </row>
    <row r="556" spans="1:26" ht="15" customHeight="1" x14ac:dyDescent="0.25">
      <c r="A556">
        <v>2021</v>
      </c>
      <c r="B556" t="s">
        <v>139</v>
      </c>
      <c r="C556" t="s">
        <v>140</v>
      </c>
      <c r="D556" t="s">
        <v>1081</v>
      </c>
      <c r="E556" t="s">
        <v>141</v>
      </c>
      <c r="F556">
        <v>41.441667000000002</v>
      </c>
      <c r="G556">
        <v>-88.159719999999993</v>
      </c>
      <c r="I556" s="1">
        <v>110000432504</v>
      </c>
      <c r="J556">
        <v>2843</v>
      </c>
      <c r="K556" s="175" t="str">
        <f>INDEX('2022 SIC to NAICS'!B:B, MATCH('Processed Non-zero DMR Data'!$J556, '2022 SIC to NAICS'!$A:$A, 0))</f>
        <v>Surface Active Agents</v>
      </c>
      <c r="L556" s="175">
        <f>INDEX('2022 SIC to NAICS'!C:C, MATCH('Processed Non-zero DMR Data'!$J556, '2022 SIC to NAICS'!$A:$A, 0))</f>
        <v>325613</v>
      </c>
      <c r="M556" s="175" t="str">
        <f>INDEX('2022 SIC to NAICS'!D:D, MATCH('Processed Non-zero DMR Data'!$J556, '2022 SIC to NAICS'!$A:$A, 0))</f>
        <v xml:space="preserve">Surface Active Agent Manufacturing </v>
      </c>
      <c r="N556" s="90" t="str">
        <f>IFERROR(INDEX('NAICS Code to IS CDR Code'!B:B, MATCH('Processed Non-zero DMR Data'!L556,'NAICS Code to IS CDR Code'!A:A,0)), "NAICS/SIC Not Provided")</f>
        <v>IS29</v>
      </c>
      <c r="O556" s="91" t="str">
        <f>IFERROR(INDEX('NAICS Code to IS CDR Code'!C:C, MATCH('Processed Non-zero DMR Data'!L556,'NAICS Code to IS CDR Code'!A:A,0)), "NAICS/SIC Not Provided")</f>
        <v>Soap, Cleaning Compound, and Toilet Preparation Manufacturing</v>
      </c>
      <c r="P556" s="91" t="str">
        <f>INDEX('11DCA Mapping'!$K:$K, MATCH('Processed Non-zero DMR Data'!I563,'11DCA Mapping'!$J:$J,0))</f>
        <v>Processing as a Reactant</v>
      </c>
      <c r="Q556" s="91" t="str">
        <f>INDEX('11DCA Mapping'!$L:$L, MATCH('Processed Non-zero DMR Data'!I563,'11DCA Mapping'!$J:$J,0))</f>
        <v>Used mapping of other site with similar SIC description</v>
      </c>
      <c r="R556" s="250" t="str">
        <f>VLOOKUP(I556,'DMR POTW Flag'!$A$2:$B$960,2,FALSE)</f>
        <v>NON-POTW</v>
      </c>
      <c r="S556" s="7" t="s">
        <v>62</v>
      </c>
      <c r="T556" s="7" t="s">
        <v>1082</v>
      </c>
      <c r="U556" s="8">
        <f>COUNTIFS('Raw Non-zero DMR Data'!$A:$A, 'Processed Non-zero DMR Data'!A556, 'Raw Non-zero DMR Data'!$C:$C, X556, 'Raw Non-zero DMR Data'!$U:$U,'Processed Non-zero DMR Data'!Y556)</f>
        <v>1</v>
      </c>
      <c r="V556" s="8">
        <f>COUNTIFS('Raw Non-zero DMR Data'!$A:$A, 'Processed Non-zero DMR Data'!A556, 'Raw Non-zero DMR Data'!$C:$C, X556, 'Raw Non-zero DMR Data'!$U:$U,'Processed Non-zero DMR Data'!Y556,'Raw Non-zero DMR Data'!$Z:$Z,"Yes")</f>
        <v>0</v>
      </c>
      <c r="W556">
        <v>0.41223199999999999</v>
      </c>
      <c r="X556" t="s">
        <v>1083</v>
      </c>
      <c r="Y556" t="s">
        <v>1084</v>
      </c>
      <c r="Z556" s="257">
        <v>71200040905</v>
      </c>
    </row>
    <row r="557" spans="1:26" ht="15" customHeight="1" x14ac:dyDescent="0.25">
      <c r="A557">
        <v>2022</v>
      </c>
      <c r="B557" t="s">
        <v>139</v>
      </c>
      <c r="C557" t="s">
        <v>140</v>
      </c>
      <c r="D557" t="s">
        <v>1081</v>
      </c>
      <c r="E557" t="s">
        <v>141</v>
      </c>
      <c r="F557">
        <v>41.441667000000002</v>
      </c>
      <c r="G557">
        <v>-88.159719999999993</v>
      </c>
      <c r="I557" s="1">
        <v>110000432504</v>
      </c>
      <c r="J557">
        <v>2843</v>
      </c>
      <c r="K557" s="175" t="str">
        <f>INDEX('2022 SIC to NAICS'!B:B, MATCH('Processed Non-zero DMR Data'!$J557, '2022 SIC to NAICS'!$A:$A, 0))</f>
        <v>Surface Active Agents</v>
      </c>
      <c r="L557" s="175">
        <f>INDEX('2022 SIC to NAICS'!C:C, MATCH('Processed Non-zero DMR Data'!$J557, '2022 SIC to NAICS'!$A:$A, 0))</f>
        <v>325613</v>
      </c>
      <c r="M557" s="175" t="str">
        <f>INDEX('2022 SIC to NAICS'!D:D, MATCH('Processed Non-zero DMR Data'!$J557, '2022 SIC to NAICS'!$A:$A, 0))</f>
        <v xml:space="preserve">Surface Active Agent Manufacturing </v>
      </c>
      <c r="N557" s="90" t="str">
        <f>IFERROR(INDEX('NAICS Code to IS CDR Code'!B:B, MATCH('Processed Non-zero DMR Data'!L557,'NAICS Code to IS CDR Code'!A:A,0)), "NAICS/SIC Not Provided")</f>
        <v>IS29</v>
      </c>
      <c r="O557" s="91" t="str">
        <f>IFERROR(INDEX('NAICS Code to IS CDR Code'!C:C, MATCH('Processed Non-zero DMR Data'!L557,'NAICS Code to IS CDR Code'!A:A,0)), "NAICS/SIC Not Provided")</f>
        <v>Soap, Cleaning Compound, and Toilet Preparation Manufacturing</v>
      </c>
      <c r="P557" s="91" t="str">
        <f>INDEX('11DCA Mapping'!$K:$K, MATCH('Processed Non-zero DMR Data'!I564,'11DCA Mapping'!$J:$J,0))</f>
        <v>Processing as a Reactant</v>
      </c>
      <c r="Q557" s="91" t="str">
        <f>INDEX('11DCA Mapping'!$L:$L, MATCH('Processed Non-zero DMR Data'!I564,'11DCA Mapping'!$J:$J,0))</f>
        <v>Used mapping of other site with similar SIC description</v>
      </c>
      <c r="R557" s="250" t="str">
        <f>VLOOKUP(I557,'DMR POTW Flag'!$A$2:$B$960,2,FALSE)</f>
        <v>NON-POTW</v>
      </c>
      <c r="S557" s="7" t="s">
        <v>62</v>
      </c>
      <c r="T557" s="7" t="s">
        <v>1082</v>
      </c>
      <c r="U557" s="8">
        <f>COUNTIFS('Raw Non-zero DMR Data'!$A:$A, 'Processed Non-zero DMR Data'!A557, 'Raw Non-zero DMR Data'!$C:$C, X557, 'Raw Non-zero DMR Data'!$U:$U,'Processed Non-zero DMR Data'!Y557)</f>
        <v>1</v>
      </c>
      <c r="V557" s="8">
        <f>COUNTIFS('Raw Non-zero DMR Data'!$A:$A, 'Processed Non-zero DMR Data'!A557, 'Raw Non-zero DMR Data'!$C:$C, X557, 'Raw Non-zero DMR Data'!$U:$U,'Processed Non-zero DMR Data'!Y557,'Raw Non-zero DMR Data'!$Z:$Z,"Yes")</f>
        <v>0</v>
      </c>
      <c r="W557">
        <v>0.58066600000000002</v>
      </c>
      <c r="X557" t="s">
        <v>1083</v>
      </c>
      <c r="Y557" t="s">
        <v>1084</v>
      </c>
      <c r="Z557" s="257">
        <v>71200040905</v>
      </c>
    </row>
    <row r="558" spans="1:26" ht="15" customHeight="1" x14ac:dyDescent="0.25">
      <c r="A558">
        <v>2023</v>
      </c>
      <c r="B558" t="s">
        <v>139</v>
      </c>
      <c r="C558" t="s">
        <v>140</v>
      </c>
      <c r="D558" t="s">
        <v>1081</v>
      </c>
      <c r="E558" t="s">
        <v>141</v>
      </c>
      <c r="F558">
        <v>41.441667000000002</v>
      </c>
      <c r="G558">
        <v>-88.159719999999993</v>
      </c>
      <c r="I558" s="1">
        <v>110000432504</v>
      </c>
      <c r="J558">
        <v>2843</v>
      </c>
      <c r="K558" s="175" t="str">
        <f>INDEX('2022 SIC to NAICS'!B:B, MATCH('Processed Non-zero DMR Data'!$J558, '2022 SIC to NAICS'!$A:$A, 0))</f>
        <v>Surface Active Agents</v>
      </c>
      <c r="L558" s="175">
        <f>INDEX('2022 SIC to NAICS'!C:C, MATCH('Processed Non-zero DMR Data'!$J558, '2022 SIC to NAICS'!$A:$A, 0))</f>
        <v>325613</v>
      </c>
      <c r="M558" s="175" t="str">
        <f>INDEX('2022 SIC to NAICS'!D:D, MATCH('Processed Non-zero DMR Data'!$J558, '2022 SIC to NAICS'!$A:$A, 0))</f>
        <v xml:space="preserve">Surface Active Agent Manufacturing </v>
      </c>
      <c r="N558" s="90" t="str">
        <f>IFERROR(INDEX('NAICS Code to IS CDR Code'!B:B, MATCH('Processed Non-zero DMR Data'!L558,'NAICS Code to IS CDR Code'!A:A,0)), "NAICS/SIC Not Provided")</f>
        <v>IS29</v>
      </c>
      <c r="O558" s="91" t="str">
        <f>IFERROR(INDEX('NAICS Code to IS CDR Code'!C:C, MATCH('Processed Non-zero DMR Data'!L558,'NAICS Code to IS CDR Code'!A:A,0)), "NAICS/SIC Not Provided")</f>
        <v>Soap, Cleaning Compound, and Toilet Preparation Manufacturing</v>
      </c>
      <c r="P558" s="91" t="str">
        <f>INDEX('11DCA Mapping'!$K:$K, MATCH('Processed Non-zero DMR Data'!I565,'11DCA Mapping'!$J:$J,0))</f>
        <v>Processing as a Reactant</v>
      </c>
      <c r="Q558" s="91" t="str">
        <f>INDEX('11DCA Mapping'!$L:$L, MATCH('Processed Non-zero DMR Data'!I565,'11DCA Mapping'!$J:$J,0))</f>
        <v>Used mapping of other site with similar SIC description (Industrial Organic Chemicals)</v>
      </c>
      <c r="R558" s="250" t="str">
        <f>VLOOKUP(I558,'DMR POTW Flag'!$A$2:$B$960,2,FALSE)</f>
        <v>NON-POTW</v>
      </c>
      <c r="S558" s="7" t="s">
        <v>62</v>
      </c>
      <c r="T558" s="7" t="s">
        <v>1082</v>
      </c>
      <c r="U558" s="8">
        <f>COUNTIFS('Raw Non-zero DMR Data'!$A:$A, 'Processed Non-zero DMR Data'!A558, 'Raw Non-zero DMR Data'!$C:$C, X558, 'Raw Non-zero DMR Data'!$U:$U,'Processed Non-zero DMR Data'!Y558)</f>
        <v>1</v>
      </c>
      <c r="V558" s="8">
        <f>COUNTIFS('Raw Non-zero DMR Data'!$A:$A, 'Processed Non-zero DMR Data'!A558, 'Raw Non-zero DMR Data'!$C:$C, X558, 'Raw Non-zero DMR Data'!$U:$U,'Processed Non-zero DMR Data'!Y558,'Raw Non-zero DMR Data'!$Z:$Z,"Yes")</f>
        <v>0</v>
      </c>
      <c r="W558">
        <v>0.58066600000000002</v>
      </c>
      <c r="X558" t="s">
        <v>1083</v>
      </c>
      <c r="Y558" t="s">
        <v>1084</v>
      </c>
      <c r="Z558" s="257">
        <v>71200040905</v>
      </c>
    </row>
    <row r="559" spans="1:26" ht="15" customHeight="1" x14ac:dyDescent="0.25">
      <c r="A559">
        <v>2023</v>
      </c>
      <c r="B559" t="s">
        <v>524</v>
      </c>
      <c r="C559" t="s">
        <v>315</v>
      </c>
      <c r="D559" t="s">
        <v>554</v>
      </c>
      <c r="E559" t="s">
        <v>138</v>
      </c>
      <c r="F559">
        <v>38.041639000000004</v>
      </c>
      <c r="G559">
        <v>-84.208667000000005</v>
      </c>
      <c r="I559" s="1">
        <v>110000542896</v>
      </c>
      <c r="J559">
        <v>4952</v>
      </c>
      <c r="K559" s="175" t="str">
        <f>INDEX('2022 SIC to NAICS'!B:B, MATCH('Processed Non-zero DMR Data'!$J559, '2022 SIC to NAICS'!$A:$A, 0))</f>
        <v>Sewerage Systems</v>
      </c>
      <c r="L559" s="175">
        <f>INDEX('2022 SIC to NAICS'!C:C, MATCH('Processed Non-zero DMR Data'!$J559, '2022 SIC to NAICS'!$A:$A, 0))</f>
        <v>221320</v>
      </c>
      <c r="M559" s="175" t="str">
        <f>INDEX('2022 SIC to NAICS'!D:D, MATCH('Processed Non-zero DMR Data'!$J559, '2022 SIC to NAICS'!$A:$A, 0))</f>
        <v xml:space="preserve">Sewage Treatment Facilities </v>
      </c>
      <c r="N559" s="90" t="str">
        <f>IFERROR(INDEX('NAICS Code to IS CDR Code'!B:B, MATCH('Processed Non-zero DMR Data'!L559,'NAICS Code to IS CDR Code'!A:A,0)), "NAICS/SIC Not Provided")</f>
        <v>IS4</v>
      </c>
      <c r="O559" s="91" t="str">
        <f>IFERROR(INDEX('NAICS Code to IS CDR Code'!C:C, MATCH('Processed Non-zero DMR Data'!L559,'NAICS Code to IS CDR Code'!A:A,0)), "NAICS/SIC Not Provided")</f>
        <v>Utilities</v>
      </c>
      <c r="P559" s="91" t="str">
        <f>INDEX('11DCA Mapping'!$K:$K, MATCH('Processed Non-zero DMR Data'!I566,'11DCA Mapping'!$J:$J,0))</f>
        <v>Processing as a Reactant</v>
      </c>
      <c r="Q559" s="91" t="str">
        <f>INDEX('11DCA Mapping'!$L:$L, MATCH('Processed Non-zero DMR Data'!I566,'11DCA Mapping'!$J:$J,0))</f>
        <v>Used mapping of other site with similar SIC description (Industrial Organic Chemicals)</v>
      </c>
      <c r="R559" s="250" t="str">
        <f>VLOOKUP(I559,'DMR POTW Flag'!$A$2:$B$960,2,FALSE)</f>
        <v>POTW</v>
      </c>
      <c r="S559" s="7" t="s">
        <v>67</v>
      </c>
      <c r="T559" s="249" t="s">
        <v>586</v>
      </c>
      <c r="U559" s="8">
        <f>COUNTIFS('Raw Non-zero DMR Data'!$A:$A, 'Processed Non-zero DMR Data'!A559, 'Raw Non-zero DMR Data'!$C:$C, X559, 'Raw Non-zero DMR Data'!$U:$U,'Processed Non-zero DMR Data'!Y559)</f>
        <v>1</v>
      </c>
      <c r="V559" s="8">
        <f>COUNTIFS('Raw Non-zero DMR Data'!$A:$A, 'Processed Non-zero DMR Data'!A559, 'Raw Non-zero DMR Data'!$C:$C, X559, 'Raw Non-zero DMR Data'!$U:$U,'Processed Non-zero DMR Data'!Y559,'Raw Non-zero DMR Data'!$Z:$Z,"Yes")</f>
        <v>1</v>
      </c>
      <c r="W559">
        <v>0.55833642112500004</v>
      </c>
      <c r="X559" t="s">
        <v>1085</v>
      </c>
      <c r="Y559" t="s">
        <v>1086</v>
      </c>
      <c r="Z559" s="257">
        <v>51001020101</v>
      </c>
    </row>
    <row r="560" spans="1:26" ht="15" customHeight="1" x14ac:dyDescent="0.25">
      <c r="A560">
        <v>2019</v>
      </c>
      <c r="B560" t="s">
        <v>246</v>
      </c>
      <c r="C560" t="s">
        <v>194</v>
      </c>
      <c r="D560" t="s">
        <v>1087</v>
      </c>
      <c r="E560" t="s">
        <v>106</v>
      </c>
      <c r="F560">
        <v>30.241299999999999</v>
      </c>
      <c r="G560">
        <v>-91.100899999999996</v>
      </c>
      <c r="I560" s="1">
        <v>110000597426</v>
      </c>
      <c r="J560">
        <v>2819</v>
      </c>
      <c r="K560" s="175" t="str">
        <f>INDEX('2022 SIC to NAICS'!B:B, MATCH('Processed Non-zero DMR Data'!$J560, '2022 SIC to NAICS'!$A:$A, 0))</f>
        <v>Industrial Inorganic Chemicals, Nec</v>
      </c>
      <c r="L560" s="175">
        <f>INDEX('2022 SIC to NAICS'!C:C, MATCH('Processed Non-zero DMR Data'!$J560, '2022 SIC to NAICS'!$A:$A, 0))</f>
        <v>211130</v>
      </c>
      <c r="M560" s="175" t="str">
        <f>INDEX('2022 SIC to NAICS'!D:D, MATCH('Processed Non-zero DMR Data'!$J560, '2022 SIC to NAICS'!$A:$A, 0))</f>
        <v xml:space="preserve">Natural Gas Extraction </v>
      </c>
      <c r="N560" s="90" t="str">
        <f>IFERROR(INDEX('NAICS Code to IS CDR Code'!B:B, MATCH('Processed Non-zero DMR Data'!L560,'NAICS Code to IS CDR Code'!A:A,0)), "NAICS/SIC Not Provided")</f>
        <v>IS2</v>
      </c>
      <c r="O560" s="91" t="str">
        <f>IFERROR(INDEX('NAICS Code to IS CDR Code'!C:C, MATCH('Processed Non-zero DMR Data'!L560,'NAICS Code to IS CDR Code'!A:A,0)), "NAICS/SIC Not Provided")</f>
        <v>Oil and Gas Drilling, Extraction, and Support Activities</v>
      </c>
      <c r="P560" s="91" t="str">
        <f>INDEX('11DCA Mapping'!$K:$K, MATCH('Processed Non-zero DMR Data'!I567,'11DCA Mapping'!$J:$J,0))</f>
        <v>Processing as a Reactant</v>
      </c>
      <c r="Q560" s="91" t="str">
        <f>INDEX('11DCA Mapping'!$L:$L, MATCH('Processed Non-zero DMR Data'!I567,'11DCA Mapping'!$J:$J,0))</f>
        <v>Used mapping of other site with similar SIC description (Industrial Organic Chemicals)</v>
      </c>
      <c r="R560" s="250" t="str">
        <f>VLOOKUP(I560,'DMR POTW Flag'!$A$2:$B$960,2,FALSE)</f>
        <v>NON-POTW</v>
      </c>
      <c r="S560" s="7" t="s">
        <v>62</v>
      </c>
      <c r="T560" s="7" t="s">
        <v>1088</v>
      </c>
      <c r="U560" s="8">
        <f>COUNTIFS('Raw Non-zero DMR Data'!$A:$A, 'Processed Non-zero DMR Data'!A560, 'Raw Non-zero DMR Data'!$C:$C, X560, 'Raw Non-zero DMR Data'!$U:$U,'Processed Non-zero DMR Data'!Y560)</f>
        <v>1</v>
      </c>
      <c r="V560" s="8">
        <f>COUNTIFS('Raw Non-zero DMR Data'!$A:$A, 'Processed Non-zero DMR Data'!A560, 'Raw Non-zero DMR Data'!$C:$C, X560, 'Raw Non-zero DMR Data'!$U:$U,'Processed Non-zero DMR Data'!Y560,'Raw Non-zero DMR Data'!$Z:$Z,"Yes")</f>
        <v>1</v>
      </c>
      <c r="W560">
        <v>0.82855000000000001</v>
      </c>
      <c r="X560" t="s">
        <v>1089</v>
      </c>
      <c r="Y560" t="s">
        <v>1090</v>
      </c>
      <c r="Z560" s="257">
        <v>80702020801</v>
      </c>
    </row>
    <row r="561" spans="1:26" ht="15" customHeight="1" x14ac:dyDescent="0.25">
      <c r="A561">
        <v>2020</v>
      </c>
      <c r="B561" t="s">
        <v>246</v>
      </c>
      <c r="C561" t="s">
        <v>194</v>
      </c>
      <c r="D561" t="s">
        <v>1087</v>
      </c>
      <c r="E561" t="s">
        <v>106</v>
      </c>
      <c r="F561">
        <v>30.241299999999999</v>
      </c>
      <c r="G561">
        <v>-91.100899999999996</v>
      </c>
      <c r="I561" s="1">
        <v>110000597426</v>
      </c>
      <c r="J561">
        <v>2819</v>
      </c>
      <c r="K561" s="175" t="str">
        <f>INDEX('2022 SIC to NAICS'!B:B, MATCH('Processed Non-zero DMR Data'!$J561, '2022 SIC to NAICS'!$A:$A, 0))</f>
        <v>Industrial Inorganic Chemicals, Nec</v>
      </c>
      <c r="L561" s="175">
        <f>INDEX('2022 SIC to NAICS'!C:C, MATCH('Processed Non-zero DMR Data'!$J561, '2022 SIC to NAICS'!$A:$A, 0))</f>
        <v>211130</v>
      </c>
      <c r="M561" s="175" t="str">
        <f>INDEX('2022 SIC to NAICS'!D:D, MATCH('Processed Non-zero DMR Data'!$J561, '2022 SIC to NAICS'!$A:$A, 0))</f>
        <v xml:space="preserve">Natural Gas Extraction </v>
      </c>
      <c r="N561" s="90" t="str">
        <f>IFERROR(INDEX('NAICS Code to IS CDR Code'!B:B, MATCH('Processed Non-zero DMR Data'!L561,'NAICS Code to IS CDR Code'!A:A,0)), "NAICS/SIC Not Provided")</f>
        <v>IS2</v>
      </c>
      <c r="O561" s="91" t="str">
        <f>IFERROR(INDEX('NAICS Code to IS CDR Code'!C:C, MATCH('Processed Non-zero DMR Data'!L561,'NAICS Code to IS CDR Code'!A:A,0)), "NAICS/SIC Not Provided")</f>
        <v>Oil and Gas Drilling, Extraction, and Support Activities</v>
      </c>
      <c r="P561" s="91" t="str">
        <f>INDEX('11DCA Mapping'!$K:$K, MATCH('Processed Non-zero DMR Data'!I568,'11DCA Mapping'!$J:$J,0))</f>
        <v>Processing as a Reactant</v>
      </c>
      <c r="Q561" s="91" t="str">
        <f>INDEX('11DCA Mapping'!$L:$L, MATCH('Processed Non-zero DMR Data'!I568,'11DCA Mapping'!$J:$J,0))</f>
        <v>Used mapping of other site with similar SIC description (Industrial Organic Chemicals)</v>
      </c>
      <c r="R561" s="250" t="str">
        <f>VLOOKUP(I561,'DMR POTW Flag'!$A$2:$B$960,2,FALSE)</f>
        <v>NON-POTW</v>
      </c>
      <c r="S561" s="7" t="s">
        <v>62</v>
      </c>
      <c r="T561" s="7" t="s">
        <v>1088</v>
      </c>
      <c r="U561" s="8">
        <f>COUNTIFS('Raw Non-zero DMR Data'!$A:$A, 'Processed Non-zero DMR Data'!A561, 'Raw Non-zero DMR Data'!$C:$C, X561, 'Raw Non-zero DMR Data'!$U:$U,'Processed Non-zero DMR Data'!Y561)</f>
        <v>1</v>
      </c>
      <c r="V561" s="8">
        <f>COUNTIFS('Raw Non-zero DMR Data'!$A:$A, 'Processed Non-zero DMR Data'!A561, 'Raw Non-zero DMR Data'!$C:$C, X561, 'Raw Non-zero DMR Data'!$U:$U,'Processed Non-zero DMR Data'!Y561,'Raw Non-zero DMR Data'!$Z:$Z,"Yes")</f>
        <v>1</v>
      </c>
      <c r="W561">
        <v>0.82855000000000001</v>
      </c>
      <c r="X561" t="s">
        <v>1089</v>
      </c>
      <c r="Y561" t="s">
        <v>1090</v>
      </c>
      <c r="Z561" s="257">
        <v>80702020801</v>
      </c>
    </row>
    <row r="562" spans="1:26" ht="15" customHeight="1" x14ac:dyDescent="0.25">
      <c r="A562">
        <v>2021</v>
      </c>
      <c r="B562" t="s">
        <v>246</v>
      </c>
      <c r="C562" t="s">
        <v>194</v>
      </c>
      <c r="D562" t="s">
        <v>1087</v>
      </c>
      <c r="E562" t="s">
        <v>106</v>
      </c>
      <c r="F562">
        <v>30.241299999999999</v>
      </c>
      <c r="G562">
        <v>-91.100899999999996</v>
      </c>
      <c r="I562" s="1">
        <v>110000597426</v>
      </c>
      <c r="J562">
        <v>2819</v>
      </c>
      <c r="K562" s="175" t="str">
        <f>INDEX('2022 SIC to NAICS'!B:B, MATCH('Processed Non-zero DMR Data'!$J562, '2022 SIC to NAICS'!$A:$A, 0))</f>
        <v>Industrial Inorganic Chemicals, Nec</v>
      </c>
      <c r="L562" s="175">
        <f>INDEX('2022 SIC to NAICS'!C:C, MATCH('Processed Non-zero DMR Data'!$J562, '2022 SIC to NAICS'!$A:$A, 0))</f>
        <v>211130</v>
      </c>
      <c r="M562" s="175" t="str">
        <f>INDEX('2022 SIC to NAICS'!D:D, MATCH('Processed Non-zero DMR Data'!$J562, '2022 SIC to NAICS'!$A:$A, 0))</f>
        <v xml:space="preserve">Natural Gas Extraction </v>
      </c>
      <c r="N562" s="90" t="str">
        <f>IFERROR(INDEX('NAICS Code to IS CDR Code'!B:B, MATCH('Processed Non-zero DMR Data'!L562,'NAICS Code to IS CDR Code'!A:A,0)), "NAICS/SIC Not Provided")</f>
        <v>IS2</v>
      </c>
      <c r="O562" s="91" t="str">
        <f>IFERROR(INDEX('NAICS Code to IS CDR Code'!C:C, MATCH('Processed Non-zero DMR Data'!L562,'NAICS Code to IS CDR Code'!A:A,0)), "NAICS/SIC Not Provided")</f>
        <v>Oil and Gas Drilling, Extraction, and Support Activities</v>
      </c>
      <c r="P562" s="91" t="e">
        <f>INDEX('11DCA Mapping'!$K:$K, MATCH('Processed Non-zero DMR Data'!I569,'11DCA Mapping'!$J:$J,0))</f>
        <v>#N/A</v>
      </c>
      <c r="Q562" s="91" t="e">
        <f>INDEX('11DCA Mapping'!$L:$L, MATCH('Processed Non-zero DMR Data'!I569,'11DCA Mapping'!$J:$J,0))</f>
        <v>#N/A</v>
      </c>
      <c r="R562" s="250" t="str">
        <f>VLOOKUP(I562,'DMR POTW Flag'!$A$2:$B$960,2,FALSE)</f>
        <v>NON-POTW</v>
      </c>
      <c r="S562" s="7" t="s">
        <v>62</v>
      </c>
      <c r="T562" s="7" t="s">
        <v>1088</v>
      </c>
      <c r="U562" s="8">
        <f>COUNTIFS('Raw Non-zero DMR Data'!$A:$A, 'Processed Non-zero DMR Data'!A562, 'Raw Non-zero DMR Data'!$C:$C, X562, 'Raw Non-zero DMR Data'!$U:$U,'Processed Non-zero DMR Data'!Y562)</f>
        <v>1</v>
      </c>
      <c r="V562" s="8">
        <f>COUNTIFS('Raw Non-zero DMR Data'!$A:$A, 'Processed Non-zero DMR Data'!A562, 'Raw Non-zero DMR Data'!$C:$C, X562, 'Raw Non-zero DMR Data'!$U:$U,'Processed Non-zero DMR Data'!Y562,'Raw Non-zero DMR Data'!$Z:$Z,"Yes")</f>
        <v>1</v>
      </c>
      <c r="W562">
        <v>0.82855000000000001</v>
      </c>
      <c r="X562" t="s">
        <v>1089</v>
      </c>
      <c r="Y562" t="s">
        <v>1090</v>
      </c>
      <c r="Z562" s="257">
        <v>80702020801</v>
      </c>
    </row>
    <row r="563" spans="1:26" ht="15" customHeight="1" x14ac:dyDescent="0.25">
      <c r="A563">
        <v>2022</v>
      </c>
      <c r="B563" t="s">
        <v>246</v>
      </c>
      <c r="C563" t="s">
        <v>194</v>
      </c>
      <c r="D563" t="s">
        <v>1087</v>
      </c>
      <c r="E563" t="s">
        <v>106</v>
      </c>
      <c r="F563">
        <v>30.241299999999999</v>
      </c>
      <c r="G563">
        <v>-91.100899999999996</v>
      </c>
      <c r="I563" s="1">
        <v>110000597426</v>
      </c>
      <c r="J563">
        <v>2819</v>
      </c>
      <c r="K563" s="175" t="str">
        <f>INDEX('2022 SIC to NAICS'!B:B, MATCH('Processed Non-zero DMR Data'!$J563, '2022 SIC to NAICS'!$A:$A, 0))</f>
        <v>Industrial Inorganic Chemicals, Nec</v>
      </c>
      <c r="L563" s="175">
        <f>INDEX('2022 SIC to NAICS'!C:C, MATCH('Processed Non-zero DMR Data'!$J563, '2022 SIC to NAICS'!$A:$A, 0))</f>
        <v>211130</v>
      </c>
      <c r="M563" s="175" t="str">
        <f>INDEX('2022 SIC to NAICS'!D:D, MATCH('Processed Non-zero DMR Data'!$J563, '2022 SIC to NAICS'!$A:$A, 0))</f>
        <v xml:space="preserve">Natural Gas Extraction </v>
      </c>
      <c r="N563" s="90" t="str">
        <f>IFERROR(INDEX('NAICS Code to IS CDR Code'!B:B, MATCH('Processed Non-zero DMR Data'!L563,'NAICS Code to IS CDR Code'!A:A,0)), "NAICS/SIC Not Provided")</f>
        <v>IS2</v>
      </c>
      <c r="O563" s="91" t="str">
        <f>IFERROR(INDEX('NAICS Code to IS CDR Code'!C:C, MATCH('Processed Non-zero DMR Data'!L563,'NAICS Code to IS CDR Code'!A:A,0)), "NAICS/SIC Not Provided")</f>
        <v>Oil and Gas Drilling, Extraction, and Support Activities</v>
      </c>
      <c r="P563" s="91" t="e">
        <f>INDEX('11DCA Mapping'!$K:$K, MATCH('Processed Non-zero DMR Data'!I570,'11DCA Mapping'!$J:$J,0))</f>
        <v>#N/A</v>
      </c>
      <c r="Q563" s="91" t="e">
        <f>INDEX('11DCA Mapping'!$L:$L, MATCH('Processed Non-zero DMR Data'!I570,'11DCA Mapping'!$J:$J,0))</f>
        <v>#N/A</v>
      </c>
      <c r="R563" s="250" t="str">
        <f>VLOOKUP(I563,'DMR POTW Flag'!$A$2:$B$960,2,FALSE)</f>
        <v>NON-POTW</v>
      </c>
      <c r="S563" s="7" t="s">
        <v>62</v>
      </c>
      <c r="T563" s="7" t="s">
        <v>1088</v>
      </c>
      <c r="U563" s="8">
        <f>COUNTIFS('Raw Non-zero DMR Data'!$A:$A, 'Processed Non-zero DMR Data'!A563, 'Raw Non-zero DMR Data'!$C:$C, X563, 'Raw Non-zero DMR Data'!$U:$U,'Processed Non-zero DMR Data'!Y563)</f>
        <v>1</v>
      </c>
      <c r="V563" s="8">
        <f>COUNTIFS('Raw Non-zero DMR Data'!$A:$A, 'Processed Non-zero DMR Data'!A563, 'Raw Non-zero DMR Data'!$C:$C, X563, 'Raw Non-zero DMR Data'!$U:$U,'Processed Non-zero DMR Data'!Y563,'Raw Non-zero DMR Data'!$Z:$Z,"Yes")</f>
        <v>1</v>
      </c>
      <c r="W563">
        <v>0.82855000000000001</v>
      </c>
      <c r="X563" t="s">
        <v>1089</v>
      </c>
      <c r="Y563" t="s">
        <v>1090</v>
      </c>
      <c r="Z563" s="257">
        <v>80702020801</v>
      </c>
    </row>
    <row r="564" spans="1:26" ht="15" customHeight="1" x14ac:dyDescent="0.25">
      <c r="A564">
        <v>2023</v>
      </c>
      <c r="B564" t="s">
        <v>246</v>
      </c>
      <c r="C564" t="s">
        <v>194</v>
      </c>
      <c r="D564" t="s">
        <v>1087</v>
      </c>
      <c r="E564" t="s">
        <v>106</v>
      </c>
      <c r="F564">
        <v>30.241299999999999</v>
      </c>
      <c r="G564">
        <v>-91.100899999999996</v>
      </c>
      <c r="I564" s="1">
        <v>110000597426</v>
      </c>
      <c r="J564">
        <v>2819</v>
      </c>
      <c r="K564" s="175" t="str">
        <f>INDEX('2022 SIC to NAICS'!B:B, MATCH('Processed Non-zero DMR Data'!$J564, '2022 SIC to NAICS'!$A:$A, 0))</f>
        <v>Industrial Inorganic Chemicals, Nec</v>
      </c>
      <c r="L564" s="175">
        <f>INDEX('2022 SIC to NAICS'!C:C, MATCH('Processed Non-zero DMR Data'!$J564, '2022 SIC to NAICS'!$A:$A, 0))</f>
        <v>211130</v>
      </c>
      <c r="M564" s="175" t="str">
        <f>INDEX('2022 SIC to NAICS'!D:D, MATCH('Processed Non-zero DMR Data'!$J564, '2022 SIC to NAICS'!$A:$A, 0))</f>
        <v xml:space="preserve">Natural Gas Extraction </v>
      </c>
      <c r="N564" s="90" t="str">
        <f>IFERROR(INDEX('NAICS Code to IS CDR Code'!B:B, MATCH('Processed Non-zero DMR Data'!L564,'NAICS Code to IS CDR Code'!A:A,0)), "NAICS/SIC Not Provided")</f>
        <v>IS2</v>
      </c>
      <c r="O564" s="91" t="str">
        <f>IFERROR(INDEX('NAICS Code to IS CDR Code'!C:C, MATCH('Processed Non-zero DMR Data'!L564,'NAICS Code to IS CDR Code'!A:A,0)), "NAICS/SIC Not Provided")</f>
        <v>Oil and Gas Drilling, Extraction, and Support Activities</v>
      </c>
      <c r="P564" s="91" t="e">
        <f>INDEX('11DCA Mapping'!$K:$K, MATCH('Processed Non-zero DMR Data'!I571,'11DCA Mapping'!$J:$J,0))</f>
        <v>#N/A</v>
      </c>
      <c r="Q564" s="91" t="e">
        <f>INDEX('11DCA Mapping'!$L:$L, MATCH('Processed Non-zero DMR Data'!I571,'11DCA Mapping'!$J:$J,0))</f>
        <v>#N/A</v>
      </c>
      <c r="R564" s="250" t="str">
        <f>VLOOKUP(I564,'DMR POTW Flag'!$A$2:$B$960,2,FALSE)</f>
        <v>NON-POTW</v>
      </c>
      <c r="S564" s="7" t="s">
        <v>62</v>
      </c>
      <c r="T564" s="7" t="s">
        <v>1088</v>
      </c>
      <c r="U564" s="8">
        <f>COUNTIFS('Raw Non-zero DMR Data'!$A:$A, 'Processed Non-zero DMR Data'!A564, 'Raw Non-zero DMR Data'!$C:$C, X564, 'Raw Non-zero DMR Data'!$U:$U,'Processed Non-zero DMR Data'!Y564)</f>
        <v>1</v>
      </c>
      <c r="V564" s="8">
        <f>COUNTIFS('Raw Non-zero DMR Data'!$A:$A, 'Processed Non-zero DMR Data'!A564, 'Raw Non-zero DMR Data'!$C:$C, X564, 'Raw Non-zero DMR Data'!$U:$U,'Processed Non-zero DMR Data'!Y564,'Raw Non-zero DMR Data'!$Z:$Z,"Yes")</f>
        <v>1</v>
      </c>
      <c r="W564">
        <v>0.82855000000000001</v>
      </c>
      <c r="X564" t="s">
        <v>1089</v>
      </c>
      <c r="Y564" t="s">
        <v>1090</v>
      </c>
      <c r="Z564" s="257">
        <v>80702020801</v>
      </c>
    </row>
    <row r="565" spans="1:26" ht="15" customHeight="1" x14ac:dyDescent="0.25">
      <c r="A565">
        <v>2019</v>
      </c>
      <c r="B565" t="s">
        <v>193</v>
      </c>
      <c r="C565" t="s">
        <v>194</v>
      </c>
      <c r="D565" t="s">
        <v>1087</v>
      </c>
      <c r="E565" t="s">
        <v>106</v>
      </c>
      <c r="F565">
        <v>30.250833</v>
      </c>
      <c r="G565">
        <v>-91.092277999999993</v>
      </c>
      <c r="I565" s="1">
        <v>110056972432</v>
      </c>
      <c r="J565">
        <v>2869</v>
      </c>
      <c r="K565" s="175" t="str">
        <f>INDEX('2022 SIC to NAICS'!B:B, MATCH('Processed Non-zero DMR Data'!$J565, '2022 SIC to NAICS'!$A:$A, 0))</f>
        <v>Industrial Organic Chemicals, Nec</v>
      </c>
      <c r="L565" s="175">
        <f>INDEX('2022 SIC to NAICS'!C:C, MATCH('Processed Non-zero DMR Data'!$J565, '2022 SIC to NAICS'!$A:$A, 0))</f>
        <v>325110</v>
      </c>
      <c r="M565" s="175" t="str">
        <f>INDEX('2022 SIC to NAICS'!D:D, MATCH('Processed Non-zero DMR Data'!$J565, '2022 SIC to NAICS'!$A:$A, 0))</f>
        <v>Petrochemical Manufacturing</v>
      </c>
      <c r="N565" s="90" t="str">
        <f>IFERROR(INDEX('NAICS Code to IS CDR Code'!B:B, MATCH('Processed Non-zero DMR Data'!L565,'NAICS Code to IS CDR Code'!A:A,0)), "NAICS/SIC Not Provided")</f>
        <v>IS15</v>
      </c>
      <c r="O565" s="91" t="str">
        <f>IFERROR(INDEX('NAICS Code to IS CDR Code'!C:C, MATCH('Processed Non-zero DMR Data'!L565,'NAICS Code to IS CDR Code'!A:A,0)), "NAICS/SIC Not Provided")</f>
        <v>Petrochemical Manufacturing</v>
      </c>
      <c r="P565" s="91" t="e">
        <f>INDEX('11DCA Mapping'!$K:$K, MATCH('Processed Non-zero DMR Data'!I572,'11DCA Mapping'!$J:$J,0))</f>
        <v>#N/A</v>
      </c>
      <c r="Q565" s="91" t="e">
        <f>INDEX('11DCA Mapping'!$L:$L, MATCH('Processed Non-zero DMR Data'!I572,'11DCA Mapping'!$J:$J,0))</f>
        <v>#N/A</v>
      </c>
      <c r="R565" s="250" t="str">
        <f>VLOOKUP(I565,'DMR POTW Flag'!$A$2:$B$960,2,FALSE)</f>
        <v>NON-POTW</v>
      </c>
      <c r="S565" s="7" t="s">
        <v>62</v>
      </c>
      <c r="T565" s="7" t="s">
        <v>601</v>
      </c>
      <c r="U565" s="8">
        <f>COUNTIFS('Raw Non-zero DMR Data'!$A:$A, 'Processed Non-zero DMR Data'!A565, 'Raw Non-zero DMR Data'!$C:$C, X565, 'Raw Non-zero DMR Data'!$U:$U,'Processed Non-zero DMR Data'!Y565)</f>
        <v>1</v>
      </c>
      <c r="V565" s="8">
        <f>COUNTIFS('Raw Non-zero DMR Data'!$A:$A, 'Processed Non-zero DMR Data'!A565, 'Raw Non-zero DMR Data'!$C:$C, X565, 'Raw Non-zero DMR Data'!$U:$U,'Processed Non-zero DMR Data'!Y565,'Raw Non-zero DMR Data'!$Z:$Z,"Yes")</f>
        <v>1</v>
      </c>
      <c r="W565">
        <v>0.414275</v>
      </c>
      <c r="X565" t="s">
        <v>1091</v>
      </c>
      <c r="Y565" t="s">
        <v>1090</v>
      </c>
      <c r="Z565" s="257">
        <v>80702020801</v>
      </c>
    </row>
    <row r="566" spans="1:26" ht="15" customHeight="1" x14ac:dyDescent="0.25">
      <c r="A566">
        <v>2020</v>
      </c>
      <c r="B566" t="s">
        <v>193</v>
      </c>
      <c r="C566" t="s">
        <v>194</v>
      </c>
      <c r="D566" t="s">
        <v>1087</v>
      </c>
      <c r="E566" t="s">
        <v>106</v>
      </c>
      <c r="F566">
        <v>30.250833</v>
      </c>
      <c r="G566">
        <v>-91.092277999999993</v>
      </c>
      <c r="I566" s="1">
        <v>110056972432</v>
      </c>
      <c r="J566">
        <v>2869</v>
      </c>
      <c r="K566" s="175" t="str">
        <f>INDEX('2022 SIC to NAICS'!B:B, MATCH('Processed Non-zero DMR Data'!$J566, '2022 SIC to NAICS'!$A:$A, 0))</f>
        <v>Industrial Organic Chemicals, Nec</v>
      </c>
      <c r="L566" s="175">
        <f>INDEX('2022 SIC to NAICS'!C:C, MATCH('Processed Non-zero DMR Data'!$J566, '2022 SIC to NAICS'!$A:$A, 0))</f>
        <v>325110</v>
      </c>
      <c r="M566" s="175" t="str">
        <f>INDEX('2022 SIC to NAICS'!D:D, MATCH('Processed Non-zero DMR Data'!$J566, '2022 SIC to NAICS'!$A:$A, 0))</f>
        <v>Petrochemical Manufacturing</v>
      </c>
      <c r="N566" s="90" t="str">
        <f>IFERROR(INDEX('NAICS Code to IS CDR Code'!B:B, MATCH('Processed Non-zero DMR Data'!L566,'NAICS Code to IS CDR Code'!A:A,0)), "NAICS/SIC Not Provided")</f>
        <v>IS15</v>
      </c>
      <c r="O566" s="91" t="str">
        <f>IFERROR(INDEX('NAICS Code to IS CDR Code'!C:C, MATCH('Processed Non-zero DMR Data'!L566,'NAICS Code to IS CDR Code'!A:A,0)), "NAICS/SIC Not Provided")</f>
        <v>Petrochemical Manufacturing</v>
      </c>
      <c r="P566" s="91" t="e">
        <f>INDEX('11DCA Mapping'!$K:$K, MATCH('Processed Non-zero DMR Data'!I573,'11DCA Mapping'!$J:$J,0))</f>
        <v>#N/A</v>
      </c>
      <c r="Q566" s="91" t="e">
        <f>INDEX('11DCA Mapping'!$L:$L, MATCH('Processed Non-zero DMR Data'!I573,'11DCA Mapping'!$J:$J,0))</f>
        <v>#N/A</v>
      </c>
      <c r="R566" s="250" t="str">
        <f>VLOOKUP(I566,'DMR POTW Flag'!$A$2:$B$960,2,FALSE)</f>
        <v>NON-POTW</v>
      </c>
      <c r="S566" s="7" t="s">
        <v>62</v>
      </c>
      <c r="T566" s="7" t="s">
        <v>601</v>
      </c>
      <c r="U566" s="8">
        <f>COUNTIFS('Raw Non-zero DMR Data'!$A:$A, 'Processed Non-zero DMR Data'!A566, 'Raw Non-zero DMR Data'!$C:$C, X566, 'Raw Non-zero DMR Data'!$U:$U,'Processed Non-zero DMR Data'!Y566)</f>
        <v>1</v>
      </c>
      <c r="V566" s="8">
        <f>COUNTIFS('Raw Non-zero DMR Data'!$A:$A, 'Processed Non-zero DMR Data'!A566, 'Raw Non-zero DMR Data'!$C:$C, X566, 'Raw Non-zero DMR Data'!$U:$U,'Processed Non-zero DMR Data'!Y566,'Raw Non-zero DMR Data'!$Z:$Z,"Yes")</f>
        <v>1</v>
      </c>
      <c r="W566">
        <v>0.414275</v>
      </c>
      <c r="X566" t="s">
        <v>1091</v>
      </c>
      <c r="Y566" t="s">
        <v>1090</v>
      </c>
      <c r="Z566" s="257">
        <v>80702020801</v>
      </c>
    </row>
    <row r="567" spans="1:26" ht="15" customHeight="1" x14ac:dyDescent="0.25">
      <c r="A567">
        <v>2021</v>
      </c>
      <c r="B567" t="s">
        <v>193</v>
      </c>
      <c r="C567" t="s">
        <v>194</v>
      </c>
      <c r="D567" t="s">
        <v>1087</v>
      </c>
      <c r="E567" t="s">
        <v>106</v>
      </c>
      <c r="F567">
        <v>30.250833</v>
      </c>
      <c r="G567">
        <v>-91.092277999999993</v>
      </c>
      <c r="I567" s="1">
        <v>110056972432</v>
      </c>
      <c r="J567">
        <v>2869</v>
      </c>
      <c r="K567" s="175" t="str">
        <f>INDEX('2022 SIC to NAICS'!B:B, MATCH('Processed Non-zero DMR Data'!$J567, '2022 SIC to NAICS'!$A:$A, 0))</f>
        <v>Industrial Organic Chemicals, Nec</v>
      </c>
      <c r="L567" s="175">
        <f>INDEX('2022 SIC to NAICS'!C:C, MATCH('Processed Non-zero DMR Data'!$J567, '2022 SIC to NAICS'!$A:$A, 0))</f>
        <v>325110</v>
      </c>
      <c r="M567" s="175" t="str">
        <f>INDEX('2022 SIC to NAICS'!D:D, MATCH('Processed Non-zero DMR Data'!$J567, '2022 SIC to NAICS'!$A:$A, 0))</f>
        <v>Petrochemical Manufacturing</v>
      </c>
      <c r="N567" s="90" t="str">
        <f>IFERROR(INDEX('NAICS Code to IS CDR Code'!B:B, MATCH('Processed Non-zero DMR Data'!L567,'NAICS Code to IS CDR Code'!A:A,0)), "NAICS/SIC Not Provided")</f>
        <v>IS15</v>
      </c>
      <c r="O567" s="91" t="str">
        <f>IFERROR(INDEX('NAICS Code to IS CDR Code'!C:C, MATCH('Processed Non-zero DMR Data'!L567,'NAICS Code to IS CDR Code'!A:A,0)), "NAICS/SIC Not Provided")</f>
        <v>Petrochemical Manufacturing</v>
      </c>
      <c r="P567" s="91" t="e">
        <f>INDEX('11DCA Mapping'!$K:$K, MATCH('Processed Non-zero DMR Data'!I574,'11DCA Mapping'!$J:$J,0))</f>
        <v>#N/A</v>
      </c>
      <c r="Q567" s="91" t="e">
        <f>INDEX('11DCA Mapping'!$L:$L, MATCH('Processed Non-zero DMR Data'!I574,'11DCA Mapping'!$J:$J,0))</f>
        <v>#N/A</v>
      </c>
      <c r="R567" s="250" t="str">
        <f>VLOOKUP(I567,'DMR POTW Flag'!$A$2:$B$960,2,FALSE)</f>
        <v>NON-POTW</v>
      </c>
      <c r="S567" s="7" t="s">
        <v>62</v>
      </c>
      <c r="T567" s="7" t="s">
        <v>601</v>
      </c>
      <c r="U567" s="8">
        <f>COUNTIFS('Raw Non-zero DMR Data'!$A:$A, 'Processed Non-zero DMR Data'!A567, 'Raw Non-zero DMR Data'!$C:$C, X567, 'Raw Non-zero DMR Data'!$U:$U,'Processed Non-zero DMR Data'!Y567)</f>
        <v>1</v>
      </c>
      <c r="V567" s="8">
        <f>COUNTIFS('Raw Non-zero DMR Data'!$A:$A, 'Processed Non-zero DMR Data'!A567, 'Raw Non-zero DMR Data'!$C:$C, X567, 'Raw Non-zero DMR Data'!$U:$U,'Processed Non-zero DMR Data'!Y567,'Raw Non-zero DMR Data'!$Z:$Z,"Yes")</f>
        <v>1</v>
      </c>
      <c r="W567">
        <v>0.414275</v>
      </c>
      <c r="X567" t="s">
        <v>1091</v>
      </c>
      <c r="Y567" t="s">
        <v>1090</v>
      </c>
      <c r="Z567" s="257">
        <v>80702020801</v>
      </c>
    </row>
    <row r="568" spans="1:26" ht="15" customHeight="1" x14ac:dyDescent="0.25">
      <c r="A568">
        <v>2022</v>
      </c>
      <c r="B568" t="s">
        <v>193</v>
      </c>
      <c r="C568" t="s">
        <v>194</v>
      </c>
      <c r="D568" t="s">
        <v>1087</v>
      </c>
      <c r="E568" t="s">
        <v>106</v>
      </c>
      <c r="F568">
        <v>30.250833</v>
      </c>
      <c r="G568">
        <v>-91.092277999999993</v>
      </c>
      <c r="I568" s="1">
        <v>110056972432</v>
      </c>
      <c r="J568">
        <v>2869</v>
      </c>
      <c r="K568" s="175" t="str">
        <f>INDEX('2022 SIC to NAICS'!B:B, MATCH('Processed Non-zero DMR Data'!$J568, '2022 SIC to NAICS'!$A:$A, 0))</f>
        <v>Industrial Organic Chemicals, Nec</v>
      </c>
      <c r="L568" s="175">
        <f>INDEX('2022 SIC to NAICS'!C:C, MATCH('Processed Non-zero DMR Data'!$J568, '2022 SIC to NAICS'!$A:$A, 0))</f>
        <v>325110</v>
      </c>
      <c r="M568" s="175" t="str">
        <f>INDEX('2022 SIC to NAICS'!D:D, MATCH('Processed Non-zero DMR Data'!$J568, '2022 SIC to NAICS'!$A:$A, 0))</f>
        <v>Petrochemical Manufacturing</v>
      </c>
      <c r="N568" s="90" t="str">
        <f>IFERROR(INDEX('NAICS Code to IS CDR Code'!B:B, MATCH('Processed Non-zero DMR Data'!L568,'NAICS Code to IS CDR Code'!A:A,0)), "NAICS/SIC Not Provided")</f>
        <v>IS15</v>
      </c>
      <c r="O568" s="91" t="str">
        <f>IFERROR(INDEX('NAICS Code to IS CDR Code'!C:C, MATCH('Processed Non-zero DMR Data'!L568,'NAICS Code to IS CDR Code'!A:A,0)), "NAICS/SIC Not Provided")</f>
        <v>Petrochemical Manufacturing</v>
      </c>
      <c r="P568" s="91" t="e">
        <f>INDEX('11DCA Mapping'!$K:$K, MATCH('Processed Non-zero DMR Data'!I575,'11DCA Mapping'!$J:$J,0))</f>
        <v>#N/A</v>
      </c>
      <c r="Q568" s="91" t="e">
        <f>INDEX('11DCA Mapping'!$L:$L, MATCH('Processed Non-zero DMR Data'!I575,'11DCA Mapping'!$J:$J,0))</f>
        <v>#N/A</v>
      </c>
      <c r="R568" s="250" t="str">
        <f>VLOOKUP(I568,'DMR POTW Flag'!$A$2:$B$960,2,FALSE)</f>
        <v>NON-POTW</v>
      </c>
      <c r="S568" s="7" t="s">
        <v>62</v>
      </c>
      <c r="T568" s="7" t="s">
        <v>601</v>
      </c>
      <c r="U568" s="8">
        <f>COUNTIFS('Raw Non-zero DMR Data'!$A:$A, 'Processed Non-zero DMR Data'!A568, 'Raw Non-zero DMR Data'!$C:$C, X568, 'Raw Non-zero DMR Data'!$U:$U,'Processed Non-zero DMR Data'!Y568)</f>
        <v>1</v>
      </c>
      <c r="V568" s="8">
        <f>COUNTIFS('Raw Non-zero DMR Data'!$A:$A, 'Processed Non-zero DMR Data'!A568, 'Raw Non-zero DMR Data'!$C:$C, X568, 'Raw Non-zero DMR Data'!$U:$U,'Processed Non-zero DMR Data'!Y568,'Raw Non-zero DMR Data'!$Z:$Z,"Yes")</f>
        <v>1</v>
      </c>
      <c r="W568">
        <v>0.414275</v>
      </c>
      <c r="X568" t="s">
        <v>1091</v>
      </c>
      <c r="Y568" t="s">
        <v>1090</v>
      </c>
      <c r="Z568" s="257">
        <v>80702020801</v>
      </c>
    </row>
    <row r="569" spans="1:26" ht="15" customHeight="1" x14ac:dyDescent="0.25">
      <c r="A569">
        <v>2021</v>
      </c>
      <c r="B569" t="s">
        <v>458</v>
      </c>
      <c r="C569" t="s">
        <v>459</v>
      </c>
      <c r="D569" t="s">
        <v>1092</v>
      </c>
      <c r="E569" t="s">
        <v>309</v>
      </c>
      <c r="F569">
        <v>35.607599999999998</v>
      </c>
      <c r="G569">
        <v>-89.237700000000004</v>
      </c>
      <c r="I569" s="1">
        <v>110000373621</v>
      </c>
      <c r="J569">
        <v>3087</v>
      </c>
      <c r="K569" s="175" t="str">
        <f>INDEX('2022 SIC to NAICS'!B:B, MATCH('Processed Non-zero DMR Data'!$J569, '2022 SIC to NAICS'!$A:$A, 0))</f>
        <v>Custom Compound Purchased Resins</v>
      </c>
      <c r="L569" s="175">
        <f>INDEX('2022 SIC to NAICS'!C:C, MATCH('Processed Non-zero DMR Data'!$J569, '2022 SIC to NAICS'!$A:$A, 0))</f>
        <v>325991</v>
      </c>
      <c r="M569" s="175" t="str">
        <f>INDEX('2022 SIC to NAICS'!D:D, MATCH('Processed Non-zero DMR Data'!$J569, '2022 SIC to NAICS'!$A:$A, 0))</f>
        <v xml:space="preserve">Custom Compounding of Purchased Resins </v>
      </c>
      <c r="N569" s="90" t="str">
        <f>IFERROR(INDEX('NAICS Code to IS CDR Code'!B:B, MATCH('Processed Non-zero DMR Data'!L569,'NAICS Code to IS CDR Code'!A:A,0)), "NAICS/SIC Not Provided")</f>
        <v>IS32</v>
      </c>
      <c r="O569" s="91" t="str">
        <f>IFERROR(INDEX('NAICS Code to IS CDR Code'!C:C, MATCH('Processed Non-zero DMR Data'!L569,'NAICS Code to IS CDR Code'!A:A,0)), "NAICS/SIC Not Provided")</f>
        <v>Custom Compounding of Purchased Resin</v>
      </c>
      <c r="P569" s="91" t="e">
        <f>INDEX('11DCA Mapping'!$K:$K, MATCH('Processed Non-zero DMR Data'!I576,'11DCA Mapping'!$J:$J,0))</f>
        <v>#N/A</v>
      </c>
      <c r="Q569" s="91" t="e">
        <f>INDEX('11DCA Mapping'!$L:$L, MATCH('Processed Non-zero DMR Data'!I576,'11DCA Mapping'!$J:$J,0))</f>
        <v>#N/A</v>
      </c>
      <c r="R569" s="250" t="str">
        <f>VLOOKUP(I569,'DMR POTW Flag'!$A$2:$B$960,2,FALSE)</f>
        <v>NON-POTW</v>
      </c>
      <c r="S569" s="7" t="s">
        <v>63</v>
      </c>
      <c r="T569" s="7" t="s">
        <v>1093</v>
      </c>
      <c r="U569" s="8">
        <f>COUNTIFS('Raw Non-zero DMR Data'!$A:$A, 'Processed Non-zero DMR Data'!A569, 'Raw Non-zero DMR Data'!$C:$C, X569, 'Raw Non-zero DMR Data'!$U:$U,'Processed Non-zero DMR Data'!Y569)</f>
        <v>2</v>
      </c>
      <c r="V569" s="8">
        <f>COUNTIFS('Raw Non-zero DMR Data'!$A:$A, 'Processed Non-zero DMR Data'!A569, 'Raw Non-zero DMR Data'!$C:$C, X569, 'Raw Non-zero DMR Data'!$U:$U,'Processed Non-zero DMR Data'!Y569,'Raw Non-zero DMR Data'!$Z:$Z,"Yes")</f>
        <v>2</v>
      </c>
      <c r="W569">
        <v>0.78056162500000004</v>
      </c>
      <c r="X569" t="s">
        <v>1094</v>
      </c>
      <c r="Y569" t="s">
        <v>1095</v>
      </c>
      <c r="Z569" s="257">
        <v>80102050401</v>
      </c>
    </row>
    <row r="570" spans="1:26" ht="15" customHeight="1" x14ac:dyDescent="0.25">
      <c r="A570">
        <v>2021</v>
      </c>
      <c r="B570" t="s">
        <v>458</v>
      </c>
      <c r="C570" t="s">
        <v>459</v>
      </c>
      <c r="D570" t="s">
        <v>1092</v>
      </c>
      <c r="E570" t="s">
        <v>309</v>
      </c>
      <c r="F570">
        <v>35.607599999999998</v>
      </c>
      <c r="G570">
        <v>-89.237700000000004</v>
      </c>
      <c r="I570" s="1">
        <v>110000373621</v>
      </c>
      <c r="J570">
        <v>3087</v>
      </c>
      <c r="K570" s="175" t="str">
        <f>INDEX('2022 SIC to NAICS'!B:B, MATCH('Processed Non-zero DMR Data'!$J570, '2022 SIC to NAICS'!$A:$A, 0))</f>
        <v>Custom Compound Purchased Resins</v>
      </c>
      <c r="L570" s="175">
        <f>INDEX('2022 SIC to NAICS'!C:C, MATCH('Processed Non-zero DMR Data'!$J570, '2022 SIC to NAICS'!$A:$A, 0))</f>
        <v>325991</v>
      </c>
      <c r="M570" s="175" t="str">
        <f>INDEX('2022 SIC to NAICS'!D:D, MATCH('Processed Non-zero DMR Data'!$J570, '2022 SIC to NAICS'!$A:$A, 0))</f>
        <v xml:space="preserve">Custom Compounding of Purchased Resins </v>
      </c>
      <c r="N570" s="90" t="str">
        <f>IFERROR(INDEX('NAICS Code to IS CDR Code'!B:B, MATCH('Processed Non-zero DMR Data'!L570,'NAICS Code to IS CDR Code'!A:A,0)), "NAICS/SIC Not Provided")</f>
        <v>IS32</v>
      </c>
      <c r="O570" s="91" t="str">
        <f>IFERROR(INDEX('NAICS Code to IS CDR Code'!C:C, MATCH('Processed Non-zero DMR Data'!L570,'NAICS Code to IS CDR Code'!A:A,0)), "NAICS/SIC Not Provided")</f>
        <v>Custom Compounding of Purchased Resin</v>
      </c>
      <c r="P570" s="91" t="e">
        <f>INDEX('11DCA Mapping'!$K:$K, MATCH('Processed Non-zero DMR Data'!I577,'11DCA Mapping'!$J:$J,0))</f>
        <v>#N/A</v>
      </c>
      <c r="Q570" s="91" t="e">
        <f>INDEX('11DCA Mapping'!$L:$L, MATCH('Processed Non-zero DMR Data'!I577,'11DCA Mapping'!$J:$J,0))</f>
        <v>#N/A</v>
      </c>
      <c r="R570" s="250" t="str">
        <f>VLOOKUP(I570,'DMR POTW Flag'!$A$2:$B$960,2,FALSE)</f>
        <v>NON-POTW</v>
      </c>
      <c r="S570" s="7" t="s">
        <v>63</v>
      </c>
      <c r="T570" s="7" t="s">
        <v>1093</v>
      </c>
      <c r="U570" s="8">
        <f>COUNTIFS('Raw Non-zero DMR Data'!$A:$A, 'Processed Non-zero DMR Data'!A570, 'Raw Non-zero DMR Data'!$C:$C, X570, 'Raw Non-zero DMR Data'!$U:$U,'Processed Non-zero DMR Data'!Y570)</f>
        <v>2</v>
      </c>
      <c r="V570" s="8">
        <f>COUNTIFS('Raw Non-zero DMR Data'!$A:$A, 'Processed Non-zero DMR Data'!A570, 'Raw Non-zero DMR Data'!$C:$C, X570, 'Raw Non-zero DMR Data'!$U:$U,'Processed Non-zero DMR Data'!Y570,'Raw Non-zero DMR Data'!$Z:$Z,"Yes")</f>
        <v>2</v>
      </c>
      <c r="W570">
        <v>0.70803156249999999</v>
      </c>
      <c r="X570" t="s">
        <v>1094</v>
      </c>
      <c r="Y570" t="s">
        <v>1095</v>
      </c>
      <c r="Z570" s="257">
        <v>80102050401</v>
      </c>
    </row>
    <row r="571" spans="1:26" ht="15" customHeight="1" x14ac:dyDescent="0.25">
      <c r="A571">
        <v>2022</v>
      </c>
      <c r="B571" t="s">
        <v>458</v>
      </c>
      <c r="C571" t="s">
        <v>459</v>
      </c>
      <c r="D571" t="s">
        <v>1092</v>
      </c>
      <c r="E571" t="s">
        <v>309</v>
      </c>
      <c r="F571">
        <v>35.607599999999998</v>
      </c>
      <c r="G571">
        <v>-89.237700000000004</v>
      </c>
      <c r="I571" s="1">
        <v>110000373621</v>
      </c>
      <c r="J571">
        <v>3087</v>
      </c>
      <c r="K571" s="175" t="str">
        <f>INDEX('2022 SIC to NAICS'!B:B, MATCH('Processed Non-zero DMR Data'!$J571, '2022 SIC to NAICS'!$A:$A, 0))</f>
        <v>Custom Compound Purchased Resins</v>
      </c>
      <c r="L571" s="175">
        <f>INDEX('2022 SIC to NAICS'!C:C, MATCH('Processed Non-zero DMR Data'!$J571, '2022 SIC to NAICS'!$A:$A, 0))</f>
        <v>325991</v>
      </c>
      <c r="M571" s="175" t="str">
        <f>INDEX('2022 SIC to NAICS'!D:D, MATCH('Processed Non-zero DMR Data'!$J571, '2022 SIC to NAICS'!$A:$A, 0))</f>
        <v xml:space="preserve">Custom Compounding of Purchased Resins </v>
      </c>
      <c r="N571" s="90" t="str">
        <f>IFERROR(INDEX('NAICS Code to IS CDR Code'!B:B, MATCH('Processed Non-zero DMR Data'!L571,'NAICS Code to IS CDR Code'!A:A,0)), "NAICS/SIC Not Provided")</f>
        <v>IS32</v>
      </c>
      <c r="O571" s="91" t="str">
        <f>IFERROR(INDEX('NAICS Code to IS CDR Code'!C:C, MATCH('Processed Non-zero DMR Data'!L571,'NAICS Code to IS CDR Code'!A:A,0)), "NAICS/SIC Not Provided")</f>
        <v>Custom Compounding of Purchased Resin</v>
      </c>
      <c r="P571" s="91" t="str">
        <f>INDEX('11DCA Mapping'!$K:$K, MATCH('Processed Non-zero DMR Data'!I578,'11DCA Mapping'!$J:$J,0))</f>
        <v>Unknown</v>
      </c>
      <c r="Q571" s="91" t="str">
        <f>INDEX('11DCA Mapping'!$L:$L, MATCH('Processed Non-zero DMR Data'!I578,'11DCA Mapping'!$J:$J,0))</f>
        <v>Unknown how 1,1-DCA is used in apartment buildings</v>
      </c>
      <c r="R571" s="250" t="str">
        <f>VLOOKUP(I571,'DMR POTW Flag'!$A$2:$B$960,2,FALSE)</f>
        <v>NON-POTW</v>
      </c>
      <c r="S571" s="7" t="s">
        <v>63</v>
      </c>
      <c r="T571" s="7" t="s">
        <v>1093</v>
      </c>
      <c r="U571" s="8">
        <f>COUNTIFS('Raw Non-zero DMR Data'!$A:$A, 'Processed Non-zero DMR Data'!A571, 'Raw Non-zero DMR Data'!$C:$C, X571, 'Raw Non-zero DMR Data'!$U:$U,'Processed Non-zero DMR Data'!Y571)</f>
        <v>2</v>
      </c>
      <c r="V571" s="8">
        <f>COUNTIFS('Raw Non-zero DMR Data'!$A:$A, 'Processed Non-zero DMR Data'!A571, 'Raw Non-zero DMR Data'!$C:$C, X571, 'Raw Non-zero DMR Data'!$U:$U,'Processed Non-zero DMR Data'!Y571,'Raw Non-zero DMR Data'!$Z:$Z,"Yes")</f>
        <v>2</v>
      </c>
      <c r="W571">
        <v>0.26939737499999999</v>
      </c>
      <c r="X571" t="s">
        <v>1094</v>
      </c>
      <c r="Y571" t="s">
        <v>1095</v>
      </c>
      <c r="Z571" s="257">
        <v>80102050401</v>
      </c>
    </row>
    <row r="572" spans="1:26" ht="15" customHeight="1" x14ac:dyDescent="0.25">
      <c r="A572">
        <v>2022</v>
      </c>
      <c r="B572" t="s">
        <v>458</v>
      </c>
      <c r="C572" t="s">
        <v>459</v>
      </c>
      <c r="D572" t="s">
        <v>1092</v>
      </c>
      <c r="E572" t="s">
        <v>309</v>
      </c>
      <c r="F572">
        <v>35.607599999999998</v>
      </c>
      <c r="G572">
        <v>-89.237700000000004</v>
      </c>
      <c r="I572" s="1">
        <v>110000373621</v>
      </c>
      <c r="J572">
        <v>3087</v>
      </c>
      <c r="K572" s="175" t="str">
        <f>INDEX('2022 SIC to NAICS'!B:B, MATCH('Processed Non-zero DMR Data'!$J572, '2022 SIC to NAICS'!$A:$A, 0))</f>
        <v>Custom Compound Purchased Resins</v>
      </c>
      <c r="L572" s="175">
        <f>INDEX('2022 SIC to NAICS'!C:C, MATCH('Processed Non-zero DMR Data'!$J572, '2022 SIC to NAICS'!$A:$A, 0))</f>
        <v>325991</v>
      </c>
      <c r="M572" s="175" t="str">
        <f>INDEX('2022 SIC to NAICS'!D:D, MATCH('Processed Non-zero DMR Data'!$J572, '2022 SIC to NAICS'!$A:$A, 0))</f>
        <v xml:space="preserve">Custom Compounding of Purchased Resins </v>
      </c>
      <c r="N572" s="90" t="str">
        <f>IFERROR(INDEX('NAICS Code to IS CDR Code'!B:B, MATCH('Processed Non-zero DMR Data'!L572,'NAICS Code to IS CDR Code'!A:A,0)), "NAICS/SIC Not Provided")</f>
        <v>IS32</v>
      </c>
      <c r="O572" s="91" t="str">
        <f>IFERROR(INDEX('NAICS Code to IS CDR Code'!C:C, MATCH('Processed Non-zero DMR Data'!L572,'NAICS Code to IS CDR Code'!A:A,0)), "NAICS/SIC Not Provided")</f>
        <v>Custom Compounding of Purchased Resin</v>
      </c>
      <c r="P572" s="91" t="str">
        <f>INDEX('11DCA Mapping'!$K:$K, MATCH('Processed Non-zero DMR Data'!I579,'11DCA Mapping'!$J:$J,0))</f>
        <v>Remediation</v>
      </c>
      <c r="Q572" s="91" t="str">
        <f>INDEX('11DCA Mapping'!$L:$L, MATCH('Processed Non-zero DMR Data'!I579,'11DCA Mapping'!$J:$J,0))</f>
        <v>Remediation treatment facility to remove chromium and perchloratre from groundwater (CH)</v>
      </c>
      <c r="R572" s="250" t="str">
        <f>VLOOKUP(I572,'DMR POTW Flag'!$A$2:$B$960,2,FALSE)</f>
        <v>NON-POTW</v>
      </c>
      <c r="S572" s="7" t="s">
        <v>63</v>
      </c>
      <c r="T572" s="7" t="s">
        <v>1093</v>
      </c>
      <c r="U572" s="8">
        <f>COUNTIFS('Raw Non-zero DMR Data'!$A:$A, 'Processed Non-zero DMR Data'!A572, 'Raw Non-zero DMR Data'!$C:$C, X572, 'Raw Non-zero DMR Data'!$U:$U,'Processed Non-zero DMR Data'!Y572)</f>
        <v>2</v>
      </c>
      <c r="V572" s="8">
        <f>COUNTIFS('Raw Non-zero DMR Data'!$A:$A, 'Processed Non-zero DMR Data'!A572, 'Raw Non-zero DMR Data'!$C:$C, X572, 'Raw Non-zero DMR Data'!$U:$U,'Processed Non-zero DMR Data'!Y572,'Raw Non-zero DMR Data'!$Z:$Z,"Yes")</f>
        <v>2</v>
      </c>
      <c r="W572">
        <v>0.1416063125</v>
      </c>
      <c r="X572" t="s">
        <v>1094</v>
      </c>
      <c r="Y572" t="s">
        <v>1095</v>
      </c>
      <c r="Z572" s="257">
        <v>80102050401</v>
      </c>
    </row>
    <row r="573" spans="1:26" ht="15" customHeight="1" x14ac:dyDescent="0.25">
      <c r="A573">
        <v>2023</v>
      </c>
      <c r="B573" t="s">
        <v>458</v>
      </c>
      <c r="C573" t="s">
        <v>459</v>
      </c>
      <c r="D573" t="s">
        <v>1092</v>
      </c>
      <c r="E573" t="s">
        <v>309</v>
      </c>
      <c r="F573">
        <v>35.607599999999998</v>
      </c>
      <c r="G573">
        <v>-89.237700000000004</v>
      </c>
      <c r="I573" s="1">
        <v>110000373621</v>
      </c>
      <c r="J573">
        <v>3087</v>
      </c>
      <c r="K573" s="175" t="str">
        <f>INDEX('2022 SIC to NAICS'!B:B, MATCH('Processed Non-zero DMR Data'!$J573, '2022 SIC to NAICS'!$A:$A, 0))</f>
        <v>Custom Compound Purchased Resins</v>
      </c>
      <c r="L573" s="175">
        <f>INDEX('2022 SIC to NAICS'!C:C, MATCH('Processed Non-zero DMR Data'!$J573, '2022 SIC to NAICS'!$A:$A, 0))</f>
        <v>325991</v>
      </c>
      <c r="M573" s="175" t="str">
        <f>INDEX('2022 SIC to NAICS'!D:D, MATCH('Processed Non-zero DMR Data'!$J573, '2022 SIC to NAICS'!$A:$A, 0))</f>
        <v xml:space="preserve">Custom Compounding of Purchased Resins </v>
      </c>
      <c r="N573" s="90" t="str">
        <f>IFERROR(INDEX('NAICS Code to IS CDR Code'!B:B, MATCH('Processed Non-zero DMR Data'!L573,'NAICS Code to IS CDR Code'!A:A,0)), "NAICS/SIC Not Provided")</f>
        <v>IS32</v>
      </c>
      <c r="O573" s="91" t="str">
        <f>IFERROR(INDEX('NAICS Code to IS CDR Code'!C:C, MATCH('Processed Non-zero DMR Data'!L573,'NAICS Code to IS CDR Code'!A:A,0)), "NAICS/SIC Not Provided")</f>
        <v>Custom Compounding of Purchased Resin</v>
      </c>
      <c r="P573" s="91" t="str">
        <f>INDEX('11DCA Mapping'!$K:$K, MATCH('Processed Non-zero DMR Data'!I580,'11DCA Mapping'!$J:$J,0))</f>
        <v>Remediation</v>
      </c>
      <c r="Q573" s="91" t="str">
        <f>INDEX('11DCA Mapping'!$L:$L, MATCH('Processed Non-zero DMR Data'!I580,'11DCA Mapping'!$J:$J,0))</f>
        <v>Remediation treatment facility to remove chromium and perchloratre from groundwater (CH)</v>
      </c>
      <c r="R573" s="250" t="str">
        <f>VLOOKUP(I573,'DMR POTW Flag'!$A$2:$B$960,2,FALSE)</f>
        <v>NON-POTW</v>
      </c>
      <c r="S573" s="7" t="s">
        <v>63</v>
      </c>
      <c r="T573" s="7" t="s">
        <v>1093</v>
      </c>
      <c r="U573" s="8">
        <f>COUNTIFS('Raw Non-zero DMR Data'!$A:$A, 'Processed Non-zero DMR Data'!A573, 'Raw Non-zero DMR Data'!$C:$C, X573, 'Raw Non-zero DMR Data'!$U:$U,'Processed Non-zero DMR Data'!Y573)</f>
        <v>2</v>
      </c>
      <c r="V573" s="8">
        <f>COUNTIFS('Raw Non-zero DMR Data'!$A:$A, 'Processed Non-zero DMR Data'!A573, 'Raw Non-zero DMR Data'!$C:$C, X573, 'Raw Non-zero DMR Data'!$U:$U,'Processed Non-zero DMR Data'!Y573,'Raw Non-zero DMR Data'!$Z:$Z,"Yes")</f>
        <v>2</v>
      </c>
      <c r="W573">
        <v>2.4176687499999999E-2</v>
      </c>
      <c r="X573" t="s">
        <v>1094</v>
      </c>
      <c r="Y573" t="s">
        <v>1095</v>
      </c>
      <c r="Z573" s="257">
        <v>80102050401</v>
      </c>
    </row>
    <row r="574" spans="1:26" ht="15" customHeight="1" x14ac:dyDescent="0.25">
      <c r="A574">
        <v>2023</v>
      </c>
      <c r="B574" t="s">
        <v>458</v>
      </c>
      <c r="C574" t="s">
        <v>459</v>
      </c>
      <c r="D574" t="s">
        <v>1092</v>
      </c>
      <c r="E574" t="s">
        <v>309</v>
      </c>
      <c r="F574">
        <v>35.607599999999998</v>
      </c>
      <c r="G574">
        <v>-89.237700000000004</v>
      </c>
      <c r="I574" s="1">
        <v>110000373621</v>
      </c>
      <c r="J574">
        <v>3087</v>
      </c>
      <c r="K574" s="175" t="str">
        <f>INDEX('2022 SIC to NAICS'!B:B, MATCH('Processed Non-zero DMR Data'!$J574, '2022 SIC to NAICS'!$A:$A, 0))</f>
        <v>Custom Compound Purchased Resins</v>
      </c>
      <c r="L574" s="175">
        <f>INDEX('2022 SIC to NAICS'!C:C, MATCH('Processed Non-zero DMR Data'!$J574, '2022 SIC to NAICS'!$A:$A, 0))</f>
        <v>325991</v>
      </c>
      <c r="M574" s="175" t="str">
        <f>INDEX('2022 SIC to NAICS'!D:D, MATCH('Processed Non-zero DMR Data'!$J574, '2022 SIC to NAICS'!$A:$A, 0))</f>
        <v xml:space="preserve">Custom Compounding of Purchased Resins </v>
      </c>
      <c r="N574" s="90" t="str">
        <f>IFERROR(INDEX('NAICS Code to IS CDR Code'!B:B, MATCH('Processed Non-zero DMR Data'!L574,'NAICS Code to IS CDR Code'!A:A,0)), "NAICS/SIC Not Provided")</f>
        <v>IS32</v>
      </c>
      <c r="O574" s="91" t="str">
        <f>IFERROR(INDEX('NAICS Code to IS CDR Code'!C:C, MATCH('Processed Non-zero DMR Data'!L574,'NAICS Code to IS CDR Code'!A:A,0)), "NAICS/SIC Not Provided")</f>
        <v>Custom Compounding of Purchased Resin</v>
      </c>
      <c r="P574" s="91" t="str">
        <f>INDEX('11DCA Mapping'!$K:$K, MATCH('Processed Non-zero DMR Data'!I581,'11DCA Mapping'!$J:$J,0))</f>
        <v>Remediation</v>
      </c>
      <c r="Q574" s="91" t="str">
        <f>INDEX('11DCA Mapping'!$L:$L, MATCH('Processed Non-zero DMR Data'!I581,'11DCA Mapping'!$J:$J,0))</f>
        <v>Remediation treatment facility to remove chromium and perchloratre from groundwater (CH)</v>
      </c>
      <c r="R574" s="250" t="str">
        <f>VLOOKUP(I574,'DMR POTW Flag'!$A$2:$B$960,2,FALSE)</f>
        <v>NON-POTW</v>
      </c>
      <c r="S574" s="7" t="s">
        <v>63</v>
      </c>
      <c r="T574" s="7" t="s">
        <v>1093</v>
      </c>
      <c r="U574" s="8">
        <f>COUNTIFS('Raw Non-zero DMR Data'!$A:$A, 'Processed Non-zero DMR Data'!A574, 'Raw Non-zero DMR Data'!$C:$C, X574, 'Raw Non-zero DMR Data'!$U:$U,'Processed Non-zero DMR Data'!Y574)</f>
        <v>2</v>
      </c>
      <c r="V574" s="8">
        <f>COUNTIFS('Raw Non-zero DMR Data'!$A:$A, 'Processed Non-zero DMR Data'!A574, 'Raw Non-zero DMR Data'!$C:$C, X574, 'Raw Non-zero DMR Data'!$U:$U,'Processed Non-zero DMR Data'!Y574,'Raw Non-zero DMR Data'!$Z:$Z,"Yes")</f>
        <v>2</v>
      </c>
      <c r="W574">
        <v>7.5983875000000006E-2</v>
      </c>
      <c r="X574" t="s">
        <v>1094</v>
      </c>
      <c r="Y574" t="s">
        <v>1095</v>
      </c>
      <c r="Z574" s="257">
        <v>80102050401</v>
      </c>
    </row>
    <row r="575" spans="1:26" ht="15" customHeight="1" x14ac:dyDescent="0.25">
      <c r="A575">
        <v>2022</v>
      </c>
      <c r="B575" t="s">
        <v>511</v>
      </c>
      <c r="C575" t="s">
        <v>512</v>
      </c>
      <c r="D575" t="s">
        <v>736</v>
      </c>
      <c r="E575" t="s">
        <v>146</v>
      </c>
      <c r="F575">
        <v>38.030833000000001</v>
      </c>
      <c r="G575">
        <v>-122.075</v>
      </c>
      <c r="I575" s="1">
        <v>110071349304</v>
      </c>
      <c r="J575">
        <v>2911</v>
      </c>
      <c r="K575" s="175" t="str">
        <f>INDEX('2022 SIC to NAICS'!B:B, MATCH('Processed Non-zero DMR Data'!$J575, '2022 SIC to NAICS'!$A:$A, 0))</f>
        <v>Petroleum Refining</v>
      </c>
      <c r="L575" s="175">
        <f>INDEX('2022 SIC to NAICS'!C:C, MATCH('Processed Non-zero DMR Data'!$J575, '2022 SIC to NAICS'!$A:$A, 0))</f>
        <v>324110</v>
      </c>
      <c r="M575" s="175" t="str">
        <f>INDEX('2022 SIC to NAICS'!D:D, MATCH('Processed Non-zero DMR Data'!$J575, '2022 SIC to NAICS'!$A:$A, 0))</f>
        <v>Petroleum Refineries</v>
      </c>
      <c r="N575" s="90" t="str">
        <f>IFERROR(INDEX('NAICS Code to IS CDR Code'!B:B, MATCH('Processed Non-zero DMR Data'!L575,'NAICS Code to IS CDR Code'!A:A,0)), "NAICS/SIC Not Provided")</f>
        <v>IS11</v>
      </c>
      <c r="O575" s="91" t="str">
        <f>IFERROR(INDEX('NAICS Code to IS CDR Code'!C:C, MATCH('Processed Non-zero DMR Data'!L575,'NAICS Code to IS CDR Code'!A:A,0)), "NAICS/SIC Not Provided")</f>
        <v>Petroleum Refineries</v>
      </c>
      <c r="P575" s="91" t="str">
        <f>INDEX('11DCA Mapping'!$K:$K, MATCH('Processed Non-zero DMR Data'!I582,'11DCA Mapping'!$J:$J,0))</f>
        <v>Remediation</v>
      </c>
      <c r="Q575" s="91" t="str">
        <f>INDEX('11DCA Mapping'!$L:$L, MATCH('Processed Non-zero DMR Data'!I582,'11DCA Mapping'!$J:$J,0))</f>
        <v>Remediation treatment facility to remove chromium and perchloratre from groundwater (CH)</v>
      </c>
      <c r="R575" s="250" t="str">
        <f>VLOOKUP(I575,'DMR POTW Flag'!$A$2:$B$960,2,FALSE)</f>
        <v>NON-POTW</v>
      </c>
      <c r="S575" s="7" t="s">
        <v>61</v>
      </c>
      <c r="T575" s="7" t="s">
        <v>1096</v>
      </c>
      <c r="U575" s="8">
        <f>COUNTIFS('Raw Non-zero DMR Data'!$A:$A, 'Processed Non-zero DMR Data'!A575, 'Raw Non-zero DMR Data'!$C:$C, X575, 'Raw Non-zero DMR Data'!$U:$U,'Processed Non-zero DMR Data'!Y575)</f>
        <v>1</v>
      </c>
      <c r="V575" s="8">
        <f>COUNTIFS('Raw Non-zero DMR Data'!$A:$A, 'Processed Non-zero DMR Data'!A575, 'Raw Non-zero DMR Data'!$C:$C, X575, 'Raw Non-zero DMR Data'!$U:$U,'Processed Non-zero DMR Data'!Y575,'Raw Non-zero DMR Data'!$Z:$Z,"Yes")</f>
        <v>1</v>
      </c>
      <c r="W575">
        <v>2.34212772E-2</v>
      </c>
      <c r="X575" t="s">
        <v>1097</v>
      </c>
      <c r="Y575" t="s">
        <v>1098</v>
      </c>
      <c r="Z575" s="257">
        <v>180500010302</v>
      </c>
    </row>
    <row r="576" spans="1:26" ht="15" customHeight="1" x14ac:dyDescent="0.25">
      <c r="A576">
        <v>2023</v>
      </c>
      <c r="B576" t="s">
        <v>511</v>
      </c>
      <c r="C576" t="s">
        <v>512</v>
      </c>
      <c r="D576" t="s">
        <v>736</v>
      </c>
      <c r="E576" t="s">
        <v>146</v>
      </c>
      <c r="F576">
        <v>38.030833000000001</v>
      </c>
      <c r="G576">
        <v>-122.075</v>
      </c>
      <c r="I576" s="1">
        <v>110071349304</v>
      </c>
      <c r="J576">
        <v>2911</v>
      </c>
      <c r="K576" s="175" t="str">
        <f>INDEX('2022 SIC to NAICS'!B:B, MATCH('Processed Non-zero DMR Data'!$J576, '2022 SIC to NAICS'!$A:$A, 0))</f>
        <v>Petroleum Refining</v>
      </c>
      <c r="L576" s="175">
        <f>INDEX('2022 SIC to NAICS'!C:C, MATCH('Processed Non-zero DMR Data'!$J576, '2022 SIC to NAICS'!$A:$A, 0))</f>
        <v>324110</v>
      </c>
      <c r="M576" s="175" t="str">
        <f>INDEX('2022 SIC to NAICS'!D:D, MATCH('Processed Non-zero DMR Data'!$J576, '2022 SIC to NAICS'!$A:$A, 0))</f>
        <v>Petroleum Refineries</v>
      </c>
      <c r="N576" s="90" t="str">
        <f>IFERROR(INDEX('NAICS Code to IS CDR Code'!B:B, MATCH('Processed Non-zero DMR Data'!L576,'NAICS Code to IS CDR Code'!A:A,0)), "NAICS/SIC Not Provided")</f>
        <v>IS11</v>
      </c>
      <c r="O576" s="91" t="str">
        <f>IFERROR(INDEX('NAICS Code to IS CDR Code'!C:C, MATCH('Processed Non-zero DMR Data'!L576,'NAICS Code to IS CDR Code'!A:A,0)), "NAICS/SIC Not Provided")</f>
        <v>Petroleum Refineries</v>
      </c>
      <c r="P576" s="91" t="str">
        <f>INDEX('11DCA Mapping'!$K:$K, MATCH('Processed Non-zero DMR Data'!I583,'11DCA Mapping'!$J:$J,0))</f>
        <v>Remediation</v>
      </c>
      <c r="Q576" s="91" t="str">
        <f>INDEX('11DCA Mapping'!$L:$L, MATCH('Processed Non-zero DMR Data'!I583,'11DCA Mapping'!$J:$J,0))</f>
        <v>Remediation treatment facility to remove chromium and perchloratre from groundwater (CH)</v>
      </c>
      <c r="R576" s="250" t="str">
        <f>VLOOKUP(I576,'DMR POTW Flag'!$A$2:$B$960,2,FALSE)</f>
        <v>NON-POTW</v>
      </c>
      <c r="S576" s="7" t="s">
        <v>61</v>
      </c>
      <c r="T576" s="7" t="s">
        <v>1096</v>
      </c>
      <c r="U576" s="8">
        <f>COUNTIFS('Raw Non-zero DMR Data'!$A:$A, 'Processed Non-zero DMR Data'!A576, 'Raw Non-zero DMR Data'!$C:$C, X576, 'Raw Non-zero DMR Data'!$U:$U,'Processed Non-zero DMR Data'!Y576)</f>
        <v>1</v>
      </c>
      <c r="V576" s="8">
        <f>COUNTIFS('Raw Non-zero DMR Data'!$A:$A, 'Processed Non-zero DMR Data'!A576, 'Raw Non-zero DMR Data'!$C:$C, X576, 'Raw Non-zero DMR Data'!$U:$U,'Processed Non-zero DMR Data'!Y576,'Raw Non-zero DMR Data'!$Z:$Z,"Yes")</f>
        <v>1</v>
      </c>
      <c r="W576">
        <v>2.95882534E-2</v>
      </c>
      <c r="X576" t="s">
        <v>1097</v>
      </c>
      <c r="Y576" t="s">
        <v>1098</v>
      </c>
      <c r="Z576" s="257">
        <v>180500010302</v>
      </c>
    </row>
    <row r="577" spans="1:26" ht="15" customHeight="1" x14ac:dyDescent="0.25">
      <c r="A577">
        <v>2023</v>
      </c>
      <c r="B577" t="s">
        <v>535</v>
      </c>
      <c r="C577" t="s">
        <v>536</v>
      </c>
      <c r="D577" t="s">
        <v>571</v>
      </c>
      <c r="E577" t="s">
        <v>218</v>
      </c>
      <c r="F577">
        <v>40.49682</v>
      </c>
      <c r="G577">
        <v>-105.11552</v>
      </c>
      <c r="I577" s="1">
        <v>110012150858</v>
      </c>
      <c r="J577">
        <v>4953</v>
      </c>
      <c r="K577" s="175" t="str">
        <f>INDEX('2022 SIC to NAICS'!B:B, MATCH('Processed Non-zero DMR Data'!$J577, '2022 SIC to NAICS'!$A:$A, 0))</f>
        <v>Refuse Systems</v>
      </c>
      <c r="L577" s="175">
        <f>INDEX('2022 SIC to NAICS'!C:C, MATCH('Processed Non-zero DMR Data'!$J577, '2022 SIC to NAICS'!$A:$A, 0))</f>
        <v>562211</v>
      </c>
      <c r="M577" s="175" t="str">
        <f>INDEX('2022 SIC to NAICS'!D:D, MATCH('Processed Non-zero DMR Data'!$J577, '2022 SIC to NAICS'!$A:$A, 0))</f>
        <v xml:space="preserve">Hazardous Waste Treatment and Disposal </v>
      </c>
      <c r="N577" s="90" t="str">
        <f>IFERROR(INDEX('NAICS Code to IS CDR Code'!B:B, MATCH('Processed Non-zero DMR Data'!L577,'NAICS Code to IS CDR Code'!A:A,0)), "NAICS/SIC Not Provided")</f>
        <v>IS47</v>
      </c>
      <c r="O577" s="91" t="str">
        <f>IFERROR(INDEX('NAICS Code to IS CDR Code'!C:C, MATCH('Processed Non-zero DMR Data'!L577,'NAICS Code to IS CDR Code'!A:A,0)), "NAICS/SIC Not Provided")</f>
        <v>Services</v>
      </c>
      <c r="P577" s="91" t="str">
        <f>INDEX('11DCA Mapping'!$K:$K, MATCH('Processed Non-zero DMR Data'!I357,'11DCA Mapping'!$J:$J,0))</f>
        <v>Unknown</v>
      </c>
      <c r="Q577" s="91">
        <f>INDEX('11DCA Mapping'!$L:$L, MATCH('Processed Non-zero DMR Data'!I357,'11DCA Mapping'!$J:$J,0))</f>
        <v>0</v>
      </c>
      <c r="R577" s="91" t="str">
        <f>VLOOKUP(I577,'DMR POTW Flag'!$A$2:$B$960,2,FALSE)</f>
        <v>NON-POTW</v>
      </c>
      <c r="S577" s="7" t="s">
        <v>72</v>
      </c>
      <c r="T577" s="244" t="s">
        <v>1099</v>
      </c>
      <c r="U577" s="8">
        <f>COUNTIFS('Raw Non-zero DMR Data'!$A:$A, 'Processed Non-zero DMR Data'!A577, 'Raw Non-zero DMR Data'!$C:$C, X577, 'Raw Non-zero DMR Data'!$U:$U,'Processed Non-zero DMR Data'!Y577)</f>
        <v>1</v>
      </c>
      <c r="V577" s="8">
        <f>COUNTIFS('Raw Non-zero DMR Data'!$A:$A, 'Processed Non-zero DMR Data'!A577, 'Raw Non-zero DMR Data'!$C:$C, X577, 'Raw Non-zero DMR Data'!$U:$U,'Processed Non-zero DMR Data'!Y577,'Raw Non-zero DMR Data'!$Z:$Z,"Yes")</f>
        <v>1</v>
      </c>
      <c r="W577">
        <v>2.4702492818181798E-3</v>
      </c>
      <c r="X577" t="s">
        <v>1100</v>
      </c>
      <c r="Y577" t="s">
        <v>1101</v>
      </c>
      <c r="Z577" s="257">
        <v>101900071002</v>
      </c>
    </row>
    <row r="578" spans="1:26" ht="15" customHeight="1" x14ac:dyDescent="0.25">
      <c r="A578">
        <v>2023</v>
      </c>
      <c r="B578" t="s">
        <v>301</v>
      </c>
      <c r="C578" t="s">
        <v>157</v>
      </c>
      <c r="D578" t="s">
        <v>575</v>
      </c>
      <c r="E578" t="s">
        <v>158</v>
      </c>
      <c r="F578">
        <v>36.176639999999999</v>
      </c>
      <c r="G578">
        <v>-115.12891999999999</v>
      </c>
      <c r="I578" s="1">
        <v>110008995490</v>
      </c>
      <c r="J578">
        <v>6513</v>
      </c>
      <c r="K578" s="175" t="str">
        <f>INDEX('2022 SIC to NAICS'!B:B, MATCH('Processed Non-zero DMR Data'!$J578, '2022 SIC to NAICS'!$A:$A, 0))</f>
        <v>Apartment Building Operators</v>
      </c>
      <c r="L578" s="175">
        <f>INDEX('2022 SIC to NAICS'!C:C, MATCH('Processed Non-zero DMR Data'!$J578, '2022 SIC to NAICS'!$A:$A, 0))</f>
        <v>531110</v>
      </c>
      <c r="M578" s="175" t="str">
        <f>INDEX('2022 SIC to NAICS'!D:D, MATCH('Processed Non-zero DMR Data'!$J578, '2022 SIC to NAICS'!$A:$A, 0))</f>
        <v xml:space="preserve">Lessors of Residential Buildings and Dwellings </v>
      </c>
      <c r="N578" s="90" t="str">
        <f>IFERROR(INDEX('NAICS Code to IS CDR Code'!B:B, MATCH('Processed Non-zero DMR Data'!L578,'NAICS Code to IS CDR Code'!A:A,0)), "NAICS/SIC Not Provided")</f>
        <v>IS47</v>
      </c>
      <c r="O578" s="91" t="str">
        <f>IFERROR(INDEX('NAICS Code to IS CDR Code'!C:C, MATCH('Processed Non-zero DMR Data'!L578,'NAICS Code to IS CDR Code'!A:A,0)), "NAICS/SIC Not Provided")</f>
        <v>Services</v>
      </c>
      <c r="P578" s="91" t="str">
        <f>INDEX('11DCA Mapping'!$K:$K, MATCH('Processed Non-zero DMR Data'!I379,'11DCA Mapping'!$J:$J,0))</f>
        <v>Natural Gas Engines</v>
      </c>
      <c r="Q578" s="91" t="str">
        <f>INDEX('11DCA Mapping'!$L:$L, MATCH('Processed Non-zero DMR Data'!I379,'11DCA Mapping'!$J:$J,0))</f>
        <v>Suggested OES, “Natural gas engines.” Based on https://www.powereng.com/library/el-centro-unit-3-combined-cycle-repower-oe &amp; https://www.energy.ca.gov/powerplant/simple-cycle/el-centro-generating-station-unit-3</v>
      </c>
      <c r="R578" s="91" t="str">
        <f>VLOOKUP(I578,'DMR POTW Flag'!$A$2:$B$960,2,FALSE)</f>
        <v>NON-POTW</v>
      </c>
      <c r="S578" s="7" t="s">
        <v>72</v>
      </c>
      <c r="T578" s="244" t="s">
        <v>576</v>
      </c>
      <c r="U578" s="8">
        <f>COUNTIFS('Raw Non-zero DMR Data'!$A:$A, 'Processed Non-zero DMR Data'!A578, 'Raw Non-zero DMR Data'!$C:$C, X578, 'Raw Non-zero DMR Data'!$U:$U,'Processed Non-zero DMR Data'!Y578)</f>
        <v>1</v>
      </c>
      <c r="V578" s="8">
        <f>COUNTIFS('Raw Non-zero DMR Data'!$A:$A, 'Processed Non-zero DMR Data'!A578, 'Raw Non-zero DMR Data'!$C:$C, X578, 'Raw Non-zero DMR Data'!$U:$U,'Processed Non-zero DMR Data'!Y578,'Raw Non-zero DMR Data'!$Z:$Z,"Yes")</f>
        <v>1</v>
      </c>
      <c r="W578">
        <v>0.25150662624999998</v>
      </c>
      <c r="X578" t="s">
        <v>577</v>
      </c>
      <c r="Y578" t="s">
        <v>578</v>
      </c>
      <c r="Z578" s="257">
        <v>150100150604</v>
      </c>
    </row>
    <row r="579" spans="1:26" ht="15" customHeight="1" x14ac:dyDescent="0.25">
      <c r="A579">
        <v>2019</v>
      </c>
      <c r="B579" t="s">
        <v>172</v>
      </c>
      <c r="C579" t="s">
        <v>173</v>
      </c>
      <c r="D579" t="s">
        <v>554</v>
      </c>
      <c r="E579" t="s">
        <v>158</v>
      </c>
      <c r="F579">
        <v>36.035440000000001</v>
      </c>
      <c r="G579">
        <v>-114.99994</v>
      </c>
      <c r="I579" s="1">
        <v>110043808467</v>
      </c>
      <c r="J579">
        <v>1799</v>
      </c>
      <c r="K579" s="175" t="str">
        <f>INDEX('2022 SIC to NAICS'!B:B, MATCH('Processed Non-zero DMR Data'!$J579, '2022 SIC to NAICS'!$A:$A, 0))</f>
        <v>Special Trade Contractors, Nec</v>
      </c>
      <c r="L579" s="175">
        <f>INDEX('2022 SIC to NAICS'!C:C, MATCH('Processed Non-zero DMR Data'!$J579, '2022 SIC to NAICS'!$A:$A, 0))</f>
        <v>236220</v>
      </c>
      <c r="M579" s="175" t="str">
        <f>INDEX('2022 SIC to NAICS'!D:D, MATCH('Processed Non-zero DMR Data'!$J579, '2022 SIC to NAICS'!$A:$A, 0))</f>
        <v xml:space="preserve">Commercial and Institutional Building Construction </v>
      </c>
      <c r="N579" s="90" t="str">
        <f>IFERROR(INDEX('NAICS Code to IS CDR Code'!B:B, MATCH('Processed Non-zero DMR Data'!L579,'NAICS Code to IS CDR Code'!A:A,0)), "NAICS/SIC Not Provided")</f>
        <v>IS5</v>
      </c>
      <c r="O579" s="91" t="str">
        <f>IFERROR(INDEX('NAICS Code to IS CDR Code'!C:C, MATCH('Processed Non-zero DMR Data'!L579,'NAICS Code to IS CDR Code'!A:A,0)), "NAICS/SIC Not Provided")</f>
        <v>Construction</v>
      </c>
      <c r="P579" s="91" t="str">
        <f>INDEX('11DCA Mapping'!$K:$K, MATCH('Processed Non-zero DMR Data'!I586,'11DCA Mapping'!$J:$J,0))</f>
        <v>POTW</v>
      </c>
      <c r="Q579" s="91" t="str">
        <f>INDEX('11DCA Mapping'!$L:$L, MATCH('Processed Non-zero DMR Data'!I586,'11DCA Mapping'!$J:$J,0))</f>
        <v>Assigned POTW per "Facility Type Indicator"</v>
      </c>
      <c r="R579" s="250" t="str">
        <f>VLOOKUP(I579,'DMR POTW Flag'!$A$2:$B$960,2,FALSE)</f>
        <v>NON-POTW</v>
      </c>
      <c r="S579" s="7" t="s">
        <v>71</v>
      </c>
      <c r="T579" s="7" t="s">
        <v>1102</v>
      </c>
      <c r="U579" s="8">
        <f>COUNTIFS('Raw Non-zero DMR Data'!$A:$A, 'Processed Non-zero DMR Data'!A579, 'Raw Non-zero DMR Data'!$C:$C, X579, 'Raw Non-zero DMR Data'!$U:$U,'Processed Non-zero DMR Data'!Y579)</f>
        <v>1</v>
      </c>
      <c r="V579" s="8">
        <f>COUNTIFS('Raw Non-zero DMR Data'!$A:$A, 'Processed Non-zero DMR Data'!A579, 'Raw Non-zero DMR Data'!$C:$C, X579, 'Raw Non-zero DMR Data'!$U:$U,'Processed Non-zero DMR Data'!Y579,'Raw Non-zero DMR Data'!$Z:$Z,"Yes")</f>
        <v>1</v>
      </c>
      <c r="W579">
        <v>0.29663518124999999</v>
      </c>
      <c r="X579" t="s">
        <v>1103</v>
      </c>
      <c r="Y579" t="s">
        <v>1104</v>
      </c>
      <c r="Z579" s="257">
        <v>150100150708</v>
      </c>
    </row>
    <row r="580" spans="1:26" ht="15" customHeight="1" x14ac:dyDescent="0.25">
      <c r="A580">
        <v>2020</v>
      </c>
      <c r="B580" t="s">
        <v>172</v>
      </c>
      <c r="C580" t="s">
        <v>173</v>
      </c>
      <c r="D580" t="s">
        <v>554</v>
      </c>
      <c r="E580" t="s">
        <v>158</v>
      </c>
      <c r="F580">
        <v>36.035440000000001</v>
      </c>
      <c r="G580">
        <v>-114.99994</v>
      </c>
      <c r="I580" s="1">
        <v>110043808467</v>
      </c>
      <c r="J580">
        <v>1799</v>
      </c>
      <c r="K580" s="175" t="str">
        <f>INDEX('2022 SIC to NAICS'!B:B, MATCH('Processed Non-zero DMR Data'!$J580, '2022 SIC to NAICS'!$A:$A, 0))</f>
        <v>Special Trade Contractors, Nec</v>
      </c>
      <c r="L580" s="175">
        <f>INDEX('2022 SIC to NAICS'!C:C, MATCH('Processed Non-zero DMR Data'!$J580, '2022 SIC to NAICS'!$A:$A, 0))</f>
        <v>236220</v>
      </c>
      <c r="M580" s="175" t="str">
        <f>INDEX('2022 SIC to NAICS'!D:D, MATCH('Processed Non-zero DMR Data'!$J580, '2022 SIC to NAICS'!$A:$A, 0))</f>
        <v xml:space="preserve">Commercial and Institutional Building Construction </v>
      </c>
      <c r="N580" s="90" t="str">
        <f>IFERROR(INDEX('NAICS Code to IS CDR Code'!B:B, MATCH('Processed Non-zero DMR Data'!L580,'NAICS Code to IS CDR Code'!A:A,0)), "NAICS/SIC Not Provided")</f>
        <v>IS5</v>
      </c>
      <c r="O580" s="91" t="str">
        <f>IFERROR(INDEX('NAICS Code to IS CDR Code'!C:C, MATCH('Processed Non-zero DMR Data'!L580,'NAICS Code to IS CDR Code'!A:A,0)), "NAICS/SIC Not Provided")</f>
        <v>Construction</v>
      </c>
      <c r="P580" s="91" t="str">
        <f>INDEX('11DCA Mapping'!$K:$K, MATCH('Processed Non-zero DMR Data'!I587,'11DCA Mapping'!$J:$J,0))</f>
        <v>Natural Gas Engines</v>
      </c>
      <c r="Q580" s="91" t="str">
        <f>INDEX('11DCA Mapping'!$L:$L, MATCH('Processed Non-zero DMR Data'!I587,'11DCA Mapping'!$J:$J,0))</f>
        <v>Suggested OES, “Natural Gas Engines.” Other airports and air traffic control sites were mapped to this OES.</v>
      </c>
      <c r="R580" s="250" t="str">
        <f>VLOOKUP(I580,'DMR POTW Flag'!$A$2:$B$960,2,FALSE)</f>
        <v>NON-POTW</v>
      </c>
      <c r="S580" s="7" t="s">
        <v>71</v>
      </c>
      <c r="T580" s="7" t="s">
        <v>1102</v>
      </c>
      <c r="U580" s="8">
        <f>COUNTIFS('Raw Non-zero DMR Data'!$A:$A, 'Processed Non-zero DMR Data'!A580, 'Raw Non-zero DMR Data'!$C:$C, X580, 'Raw Non-zero DMR Data'!$U:$U,'Processed Non-zero DMR Data'!Y580)</f>
        <v>1</v>
      </c>
      <c r="V580" s="8">
        <f>COUNTIFS('Raw Non-zero DMR Data'!$A:$A, 'Processed Non-zero DMR Data'!A580, 'Raw Non-zero DMR Data'!$C:$C, X580, 'Raw Non-zero DMR Data'!$U:$U,'Processed Non-zero DMR Data'!Y580,'Raw Non-zero DMR Data'!$Z:$Z,"Yes")</f>
        <v>1</v>
      </c>
      <c r="W580">
        <v>0.51747062774999997</v>
      </c>
      <c r="X580" t="s">
        <v>1103</v>
      </c>
      <c r="Y580" t="s">
        <v>1104</v>
      </c>
      <c r="Z580" s="257">
        <v>150100150708</v>
      </c>
    </row>
    <row r="581" spans="1:26" ht="15" customHeight="1" x14ac:dyDescent="0.25">
      <c r="A581">
        <v>2021</v>
      </c>
      <c r="B581" t="s">
        <v>172</v>
      </c>
      <c r="C581" t="s">
        <v>173</v>
      </c>
      <c r="D581" t="s">
        <v>554</v>
      </c>
      <c r="E581" t="s">
        <v>158</v>
      </c>
      <c r="F581">
        <v>36.035440000000001</v>
      </c>
      <c r="G581">
        <v>-114.99994</v>
      </c>
      <c r="I581" s="1">
        <v>110043808467</v>
      </c>
      <c r="J581">
        <v>1799</v>
      </c>
      <c r="K581" s="175" t="str">
        <f>INDEX('2022 SIC to NAICS'!B:B, MATCH('Processed Non-zero DMR Data'!$J581, '2022 SIC to NAICS'!$A:$A, 0))</f>
        <v>Special Trade Contractors, Nec</v>
      </c>
      <c r="L581" s="175">
        <f>INDEX('2022 SIC to NAICS'!C:C, MATCH('Processed Non-zero DMR Data'!$J581, '2022 SIC to NAICS'!$A:$A, 0))</f>
        <v>236220</v>
      </c>
      <c r="M581" s="175" t="str">
        <f>INDEX('2022 SIC to NAICS'!D:D, MATCH('Processed Non-zero DMR Data'!$J581, '2022 SIC to NAICS'!$A:$A, 0))</f>
        <v xml:space="preserve">Commercial and Institutional Building Construction </v>
      </c>
      <c r="N581" s="90" t="str">
        <f>IFERROR(INDEX('NAICS Code to IS CDR Code'!B:B, MATCH('Processed Non-zero DMR Data'!L581,'NAICS Code to IS CDR Code'!A:A,0)), "NAICS/SIC Not Provided")</f>
        <v>IS5</v>
      </c>
      <c r="O581" s="91" t="str">
        <f>IFERROR(INDEX('NAICS Code to IS CDR Code'!C:C, MATCH('Processed Non-zero DMR Data'!L581,'NAICS Code to IS CDR Code'!A:A,0)), "NAICS/SIC Not Provided")</f>
        <v>Construction</v>
      </c>
      <c r="P581" s="91" t="str">
        <f>INDEX('11DCA Mapping'!$K:$K, MATCH('Processed Non-zero DMR Data'!I588,'11DCA Mapping'!$J:$J,0))</f>
        <v>Natural Gas Engines</v>
      </c>
      <c r="Q581" s="91" t="str">
        <f>INDEX('11DCA Mapping'!$L:$L, MATCH('Processed Non-zero DMR Data'!I588,'11DCA Mapping'!$J:$J,0))</f>
        <v>Suggested OES, “Natural Gas Engines.” Other airports and air traffic control sites were mapped to this OES.</v>
      </c>
      <c r="R581" s="250" t="str">
        <f>VLOOKUP(I581,'DMR POTW Flag'!$A$2:$B$960,2,FALSE)</f>
        <v>NON-POTW</v>
      </c>
      <c r="S581" s="7" t="s">
        <v>71</v>
      </c>
      <c r="T581" s="7" t="s">
        <v>1102</v>
      </c>
      <c r="U581" s="8">
        <f>COUNTIFS('Raw Non-zero DMR Data'!$A:$A, 'Processed Non-zero DMR Data'!A581, 'Raw Non-zero DMR Data'!$C:$C, X581, 'Raw Non-zero DMR Data'!$U:$U,'Processed Non-zero DMR Data'!Y581)</f>
        <v>1</v>
      </c>
      <c r="V581" s="8">
        <f>COUNTIFS('Raw Non-zero DMR Data'!$A:$A, 'Processed Non-zero DMR Data'!A581, 'Raw Non-zero DMR Data'!$C:$C, X581, 'Raw Non-zero DMR Data'!$U:$U,'Processed Non-zero DMR Data'!Y581,'Raw Non-zero DMR Data'!$Z:$Z,"Yes")</f>
        <v>1</v>
      </c>
      <c r="W581">
        <v>0.63700111699999995</v>
      </c>
      <c r="X581" t="s">
        <v>1103</v>
      </c>
      <c r="Y581" t="s">
        <v>1104</v>
      </c>
      <c r="Z581" s="257">
        <v>150100150708</v>
      </c>
    </row>
    <row r="582" spans="1:26" ht="15" customHeight="1" x14ac:dyDescent="0.25">
      <c r="A582">
        <v>2022</v>
      </c>
      <c r="B582" t="s">
        <v>172</v>
      </c>
      <c r="C582" t="s">
        <v>173</v>
      </c>
      <c r="D582" t="s">
        <v>554</v>
      </c>
      <c r="E582" t="s">
        <v>158</v>
      </c>
      <c r="F582">
        <v>36.035440000000001</v>
      </c>
      <c r="G582">
        <v>-114.99994</v>
      </c>
      <c r="I582" s="1">
        <v>110043808467</v>
      </c>
      <c r="J582">
        <v>1799</v>
      </c>
      <c r="K582" s="175" t="str">
        <f>INDEX('2022 SIC to NAICS'!B:B, MATCH('Processed Non-zero DMR Data'!$J582, '2022 SIC to NAICS'!$A:$A, 0))</f>
        <v>Special Trade Contractors, Nec</v>
      </c>
      <c r="L582" s="175">
        <f>INDEX('2022 SIC to NAICS'!C:C, MATCH('Processed Non-zero DMR Data'!$J582, '2022 SIC to NAICS'!$A:$A, 0))</f>
        <v>236220</v>
      </c>
      <c r="M582" s="175" t="str">
        <f>INDEX('2022 SIC to NAICS'!D:D, MATCH('Processed Non-zero DMR Data'!$J582, '2022 SIC to NAICS'!$A:$A, 0))</f>
        <v xml:space="preserve">Commercial and Institutional Building Construction </v>
      </c>
      <c r="N582" s="90" t="str">
        <f>IFERROR(INDEX('NAICS Code to IS CDR Code'!B:B, MATCH('Processed Non-zero DMR Data'!L582,'NAICS Code to IS CDR Code'!A:A,0)), "NAICS/SIC Not Provided")</f>
        <v>IS5</v>
      </c>
      <c r="O582" s="91" t="str">
        <f>IFERROR(INDEX('NAICS Code to IS CDR Code'!C:C, MATCH('Processed Non-zero DMR Data'!L582,'NAICS Code to IS CDR Code'!A:A,0)), "NAICS/SIC Not Provided")</f>
        <v>Construction</v>
      </c>
      <c r="P582" s="91" t="str">
        <f>INDEX('11DCA Mapping'!$K:$K, MATCH('Processed Non-zero DMR Data'!I589,'11DCA Mapping'!$J:$J,0))</f>
        <v>Unknown</v>
      </c>
      <c r="Q582" s="91" t="str">
        <f>INDEX('11DCA Mapping'!$L:$L, MATCH('Processed Non-zero DMR Data'!I589,'11DCA Mapping'!$J:$J,0))</f>
        <v>Unknown how ship building and repairing would fit into any of the OES's</v>
      </c>
      <c r="R582" s="250" t="str">
        <f>VLOOKUP(I582,'DMR POTW Flag'!$A$2:$B$960,2,FALSE)</f>
        <v>NON-POTW</v>
      </c>
      <c r="S582" s="7" t="s">
        <v>71</v>
      </c>
      <c r="T582" s="7" t="s">
        <v>1102</v>
      </c>
      <c r="U582" s="8">
        <f>COUNTIFS('Raw Non-zero DMR Data'!$A:$A, 'Processed Non-zero DMR Data'!A582, 'Raw Non-zero DMR Data'!$C:$C, X582, 'Raw Non-zero DMR Data'!$U:$U,'Processed Non-zero DMR Data'!Y582)</f>
        <v>1</v>
      </c>
      <c r="V582" s="8">
        <f>COUNTIFS('Raw Non-zero DMR Data'!$A:$A, 'Processed Non-zero DMR Data'!A582, 'Raw Non-zero DMR Data'!$C:$C, X582, 'Raw Non-zero DMR Data'!$U:$U,'Processed Non-zero DMR Data'!Y582,'Raw Non-zero DMR Data'!$Z:$Z,"Yes")</f>
        <v>1</v>
      </c>
      <c r="W582">
        <v>0.59279780525000003</v>
      </c>
      <c r="X582" t="s">
        <v>1103</v>
      </c>
      <c r="Y582" t="s">
        <v>1104</v>
      </c>
      <c r="Z582" s="257">
        <v>150100150708</v>
      </c>
    </row>
    <row r="583" spans="1:26" ht="15" customHeight="1" x14ac:dyDescent="0.25">
      <c r="A583">
        <v>2023</v>
      </c>
      <c r="B583" t="s">
        <v>172</v>
      </c>
      <c r="C583" t="s">
        <v>173</v>
      </c>
      <c r="D583" t="s">
        <v>554</v>
      </c>
      <c r="E583" t="s">
        <v>158</v>
      </c>
      <c r="F583">
        <v>36.035440000000001</v>
      </c>
      <c r="G583">
        <v>-114.99994</v>
      </c>
      <c r="I583" s="1">
        <v>110043808467</v>
      </c>
      <c r="J583">
        <v>1799</v>
      </c>
      <c r="K583" s="175" t="str">
        <f>INDEX('2022 SIC to NAICS'!B:B, MATCH('Processed Non-zero DMR Data'!$J583, '2022 SIC to NAICS'!$A:$A, 0))</f>
        <v>Special Trade Contractors, Nec</v>
      </c>
      <c r="L583" s="175">
        <f>INDEX('2022 SIC to NAICS'!C:C, MATCH('Processed Non-zero DMR Data'!$J583, '2022 SIC to NAICS'!$A:$A, 0))</f>
        <v>236220</v>
      </c>
      <c r="M583" s="175" t="str">
        <f>INDEX('2022 SIC to NAICS'!D:D, MATCH('Processed Non-zero DMR Data'!$J583, '2022 SIC to NAICS'!$A:$A, 0))</f>
        <v xml:space="preserve">Commercial and Institutional Building Construction </v>
      </c>
      <c r="N583" s="90" t="str">
        <f>IFERROR(INDEX('NAICS Code to IS CDR Code'!B:B, MATCH('Processed Non-zero DMR Data'!L583,'NAICS Code to IS CDR Code'!A:A,0)), "NAICS/SIC Not Provided")</f>
        <v>IS5</v>
      </c>
      <c r="O583" s="91" t="str">
        <f>IFERROR(INDEX('NAICS Code to IS CDR Code'!C:C, MATCH('Processed Non-zero DMR Data'!L583,'NAICS Code to IS CDR Code'!A:A,0)), "NAICS/SIC Not Provided")</f>
        <v>Construction</v>
      </c>
      <c r="P583" s="91" t="str">
        <f>INDEX('11DCA Mapping'!$K:$K, MATCH('Processed Non-zero DMR Data'!I590,'11DCA Mapping'!$J:$J,0))</f>
        <v>Fuels and Related Products</v>
      </c>
      <c r="Q583" s="91" t="str">
        <f>INDEX('11DCA Mapping'!$L:$L, MATCH('Processed Non-zero DMR Data'!I590,'11DCA Mapping'!$J:$J,0))</f>
        <v xml:space="preserve">The site is a coal power plant. 1,1 DCA has been known to be released into the environment at coal powered power plants (https://www.atsdr.cdc.gov/toxprofiles/tp133-c6.pdf). The site is using coal to generate electricity. ERG is suggesting fuel use (coal) as the recommended OES.  </v>
      </c>
      <c r="R583" s="250" t="str">
        <f>VLOOKUP(I583,'DMR POTW Flag'!$A$2:$B$960,2,FALSE)</f>
        <v>NON-POTW</v>
      </c>
      <c r="S583" s="7" t="s">
        <v>71</v>
      </c>
      <c r="T583" s="7" t="s">
        <v>1102</v>
      </c>
      <c r="U583" s="8">
        <f>COUNTIFS('Raw Non-zero DMR Data'!$A:$A, 'Processed Non-zero DMR Data'!A583, 'Raw Non-zero DMR Data'!$C:$C, X583, 'Raw Non-zero DMR Data'!$U:$U,'Processed Non-zero DMR Data'!Y583)</f>
        <v>1</v>
      </c>
      <c r="V583" s="8">
        <f>COUNTIFS('Raw Non-zero DMR Data'!$A:$A, 'Processed Non-zero DMR Data'!A583, 'Raw Non-zero DMR Data'!$C:$C, X583, 'Raw Non-zero DMR Data'!$U:$U,'Processed Non-zero DMR Data'!Y583,'Raw Non-zero DMR Data'!$Z:$Z,"Yes")</f>
        <v>1</v>
      </c>
      <c r="W583">
        <v>0.60328944674999996</v>
      </c>
      <c r="X583" t="s">
        <v>1103</v>
      </c>
      <c r="Y583" t="s">
        <v>1104</v>
      </c>
      <c r="Z583" s="257">
        <v>150100150708</v>
      </c>
    </row>
    <row r="584" spans="1:26" ht="15" customHeight="1" x14ac:dyDescent="0.25">
      <c r="A584">
        <v>2020</v>
      </c>
      <c r="B584" t="s">
        <v>429</v>
      </c>
      <c r="C584" t="s">
        <v>430</v>
      </c>
      <c r="D584" t="s">
        <v>1105</v>
      </c>
      <c r="E584" t="s">
        <v>367</v>
      </c>
      <c r="F584">
        <v>36.091380999999998</v>
      </c>
      <c r="G584">
        <v>-111.289585</v>
      </c>
      <c r="I584" s="1">
        <v>110024409344</v>
      </c>
      <c r="J584">
        <v>4952</v>
      </c>
      <c r="K584" s="175" t="str">
        <f>INDEX('2022 SIC to NAICS'!B:B, MATCH('Processed Non-zero DMR Data'!$J584, '2022 SIC to NAICS'!$A:$A, 0))</f>
        <v>Sewerage Systems</v>
      </c>
      <c r="L584" s="175">
        <f>INDEX('2022 SIC to NAICS'!C:C, MATCH('Processed Non-zero DMR Data'!$J584, '2022 SIC to NAICS'!$A:$A, 0))</f>
        <v>221320</v>
      </c>
      <c r="M584" s="175" t="str">
        <f>INDEX('2022 SIC to NAICS'!D:D, MATCH('Processed Non-zero DMR Data'!$J584, '2022 SIC to NAICS'!$A:$A, 0))</f>
        <v xml:space="preserve">Sewage Treatment Facilities </v>
      </c>
      <c r="N584" s="90" t="str">
        <f>IFERROR(INDEX('NAICS Code to IS CDR Code'!B:B, MATCH('Processed Non-zero DMR Data'!L584,'NAICS Code to IS CDR Code'!A:A,0)), "NAICS/SIC Not Provided")</f>
        <v>IS4</v>
      </c>
      <c r="O584" s="91" t="str">
        <f>IFERROR(INDEX('NAICS Code to IS CDR Code'!C:C, MATCH('Processed Non-zero DMR Data'!L584,'NAICS Code to IS CDR Code'!A:A,0)), "NAICS/SIC Not Provided")</f>
        <v>Utilities</v>
      </c>
      <c r="P584" s="91" t="str">
        <f>INDEX('11DCA Mapping'!$K:$K, MATCH('Processed Non-zero DMR Data'!I591,'11DCA Mapping'!$J:$J,0))</f>
        <v>Unknown</v>
      </c>
      <c r="Q584" s="91" t="str">
        <f>INDEX('11DCA Mapping'!$L:$L, MATCH('Processed Non-zero DMR Data'!I591,'11DCA Mapping'!$J:$J,0))</f>
        <v>Unknown how 1,1-DCA is used in hotels and motels</v>
      </c>
      <c r="R584" s="250" t="str">
        <f>VLOOKUP(I584,'DMR POTW Flag'!$A$2:$B$960,2,FALSE)</f>
        <v>POTW</v>
      </c>
      <c r="S584" s="7" t="s">
        <v>67</v>
      </c>
      <c r="T584" s="249" t="s">
        <v>586</v>
      </c>
      <c r="U584" s="8">
        <f>COUNTIFS('Raw Non-zero DMR Data'!$A:$A, 'Processed Non-zero DMR Data'!A584, 'Raw Non-zero DMR Data'!$C:$C, X584, 'Raw Non-zero DMR Data'!$U:$U,'Processed Non-zero DMR Data'!Y584)</f>
        <v>1</v>
      </c>
      <c r="V584" s="8">
        <f>COUNTIFS('Raw Non-zero DMR Data'!$A:$A, 'Processed Non-zero DMR Data'!A584, 'Raw Non-zero DMR Data'!$C:$C, X584, 'Raw Non-zero DMR Data'!$U:$U,'Processed Non-zero DMR Data'!Y584,'Raw Non-zero DMR Data'!$Z:$Z,"Yes")</f>
        <v>1</v>
      </c>
      <c r="W584">
        <v>0.75772671999999996</v>
      </c>
      <c r="X584" t="s">
        <v>1106</v>
      </c>
      <c r="Y584" t="s">
        <v>1107</v>
      </c>
      <c r="Z584" s="257">
        <v>150200181004</v>
      </c>
    </row>
    <row r="585" spans="1:26" ht="15" customHeight="1" x14ac:dyDescent="0.25">
      <c r="A585">
        <v>2022</v>
      </c>
      <c r="B585" t="s">
        <v>429</v>
      </c>
      <c r="C585" t="s">
        <v>430</v>
      </c>
      <c r="D585" t="s">
        <v>1105</v>
      </c>
      <c r="E585" t="s">
        <v>367</v>
      </c>
      <c r="F585">
        <v>36.091380999999998</v>
      </c>
      <c r="G585">
        <v>-111.289585</v>
      </c>
      <c r="I585" s="1">
        <v>110024409344</v>
      </c>
      <c r="J585">
        <v>4952</v>
      </c>
      <c r="K585" s="175" t="str">
        <f>INDEX('2022 SIC to NAICS'!B:B, MATCH('Processed Non-zero DMR Data'!$J585, '2022 SIC to NAICS'!$A:$A, 0))</f>
        <v>Sewerage Systems</v>
      </c>
      <c r="L585" s="175">
        <f>INDEX('2022 SIC to NAICS'!C:C, MATCH('Processed Non-zero DMR Data'!$J585, '2022 SIC to NAICS'!$A:$A, 0))</f>
        <v>221320</v>
      </c>
      <c r="M585" s="175" t="str">
        <f>INDEX('2022 SIC to NAICS'!D:D, MATCH('Processed Non-zero DMR Data'!$J585, '2022 SIC to NAICS'!$A:$A, 0))</f>
        <v xml:space="preserve">Sewage Treatment Facilities </v>
      </c>
      <c r="N585" s="90" t="str">
        <f>IFERROR(INDEX('NAICS Code to IS CDR Code'!B:B, MATCH('Processed Non-zero DMR Data'!L585,'NAICS Code to IS CDR Code'!A:A,0)), "NAICS/SIC Not Provided")</f>
        <v>IS4</v>
      </c>
      <c r="O585" s="91" t="str">
        <f>IFERROR(INDEX('NAICS Code to IS CDR Code'!C:C, MATCH('Processed Non-zero DMR Data'!L585,'NAICS Code to IS CDR Code'!A:A,0)), "NAICS/SIC Not Provided")</f>
        <v>Utilities</v>
      </c>
      <c r="P585" s="91" t="str">
        <f>INDEX('11DCA Mapping'!$K:$K, MATCH('Processed Non-zero DMR Data'!I592,'11DCA Mapping'!$J:$J,0))</f>
        <v>POTW</v>
      </c>
      <c r="Q585" s="91" t="str">
        <f>INDEX('11DCA Mapping'!$L:$L, MATCH('Processed Non-zero DMR Data'!I592,'11DCA Mapping'!$J:$J,0))</f>
        <v>SIC description indicates POTW</v>
      </c>
      <c r="R585" s="250" t="str">
        <f>VLOOKUP(I585,'DMR POTW Flag'!$A$2:$B$960,2,FALSE)</f>
        <v>POTW</v>
      </c>
      <c r="S585" s="7" t="s">
        <v>67</v>
      </c>
      <c r="T585" s="249" t="s">
        <v>586</v>
      </c>
      <c r="U585" s="8">
        <f>COUNTIFS('Raw Non-zero DMR Data'!$A:$A, 'Processed Non-zero DMR Data'!A585, 'Raw Non-zero DMR Data'!$C:$C, X585, 'Raw Non-zero DMR Data'!$U:$U,'Processed Non-zero DMR Data'!Y585)</f>
        <v>1</v>
      </c>
      <c r="V585" s="8">
        <f>COUNTIFS('Raw Non-zero DMR Data'!$A:$A, 'Processed Non-zero DMR Data'!A585, 'Raw Non-zero DMR Data'!$C:$C, X585, 'Raw Non-zero DMR Data'!$U:$U,'Processed Non-zero DMR Data'!Y585,'Raw Non-zero DMR Data'!$Z:$Z,"Yes")</f>
        <v>0</v>
      </c>
      <c r="W585">
        <v>1.9834611200000001</v>
      </c>
      <c r="X585" t="s">
        <v>1106</v>
      </c>
      <c r="Y585" t="s">
        <v>1107</v>
      </c>
      <c r="Z585" s="257">
        <v>150200181004</v>
      </c>
    </row>
    <row r="586" spans="1:26" ht="15" customHeight="1" x14ac:dyDescent="0.25">
      <c r="A586">
        <v>2023</v>
      </c>
      <c r="B586" t="s">
        <v>429</v>
      </c>
      <c r="C586" t="s">
        <v>430</v>
      </c>
      <c r="D586" t="s">
        <v>1105</v>
      </c>
      <c r="E586" t="s">
        <v>367</v>
      </c>
      <c r="F586">
        <v>36.091380999999998</v>
      </c>
      <c r="G586">
        <v>-111.289585</v>
      </c>
      <c r="I586" s="1">
        <v>110024409344</v>
      </c>
      <c r="J586">
        <v>4952</v>
      </c>
      <c r="K586" s="175" t="str">
        <f>INDEX('2022 SIC to NAICS'!B:B, MATCH('Processed Non-zero DMR Data'!$J586, '2022 SIC to NAICS'!$A:$A, 0))</f>
        <v>Sewerage Systems</v>
      </c>
      <c r="L586" s="175">
        <f>INDEX('2022 SIC to NAICS'!C:C, MATCH('Processed Non-zero DMR Data'!$J586, '2022 SIC to NAICS'!$A:$A, 0))</f>
        <v>221320</v>
      </c>
      <c r="M586" s="175" t="str">
        <f>INDEX('2022 SIC to NAICS'!D:D, MATCH('Processed Non-zero DMR Data'!$J586, '2022 SIC to NAICS'!$A:$A, 0))</f>
        <v xml:space="preserve">Sewage Treatment Facilities </v>
      </c>
      <c r="N586" s="90" t="str">
        <f>IFERROR(INDEX('NAICS Code to IS CDR Code'!B:B, MATCH('Processed Non-zero DMR Data'!L586,'NAICS Code to IS CDR Code'!A:A,0)), "NAICS/SIC Not Provided")</f>
        <v>IS4</v>
      </c>
      <c r="O586" s="91" t="str">
        <f>IFERROR(INDEX('NAICS Code to IS CDR Code'!C:C, MATCH('Processed Non-zero DMR Data'!L586,'NAICS Code to IS CDR Code'!A:A,0)), "NAICS/SIC Not Provided")</f>
        <v>Utilities</v>
      </c>
      <c r="P586" s="91" t="str">
        <f>INDEX('11DCA Mapping'!$K:$K, MATCH('Processed Non-zero DMR Data'!I593,'11DCA Mapping'!$J:$J,0))</f>
        <v>POTW</v>
      </c>
      <c r="Q586" s="91" t="str">
        <f>INDEX('11DCA Mapping'!$L:$L, MATCH('Processed Non-zero DMR Data'!I593,'11DCA Mapping'!$J:$J,0))</f>
        <v>SIC description indicates POTW</v>
      </c>
      <c r="R586" s="250" t="str">
        <f>VLOOKUP(I586,'DMR POTW Flag'!$A$2:$B$960,2,FALSE)</f>
        <v>POTW</v>
      </c>
      <c r="S586" s="7" t="s">
        <v>67</v>
      </c>
      <c r="T586" s="249" t="s">
        <v>586</v>
      </c>
      <c r="U586" s="8">
        <f>COUNTIFS('Raw Non-zero DMR Data'!$A:$A, 'Processed Non-zero DMR Data'!A586, 'Raw Non-zero DMR Data'!$C:$C, X586, 'Raw Non-zero DMR Data'!$U:$U,'Processed Non-zero DMR Data'!Y586)</f>
        <v>1</v>
      </c>
      <c r="V586" s="8">
        <f>COUNTIFS('Raw Non-zero DMR Data'!$A:$A, 'Processed Non-zero DMR Data'!A586, 'Raw Non-zero DMR Data'!$C:$C, X586, 'Raw Non-zero DMR Data'!$U:$U,'Processed Non-zero DMR Data'!Y586,'Raw Non-zero DMR Data'!$Z:$Z,"Yes")</f>
        <v>1</v>
      </c>
      <c r="W586">
        <v>1.2317904</v>
      </c>
      <c r="X586" t="s">
        <v>1106</v>
      </c>
      <c r="Y586" t="s">
        <v>1107</v>
      </c>
      <c r="Z586" s="257">
        <v>150200181004</v>
      </c>
    </row>
    <row r="587" spans="1:26" ht="15" customHeight="1" x14ac:dyDescent="0.25">
      <c r="A587">
        <v>2023</v>
      </c>
      <c r="B587" t="s">
        <v>233</v>
      </c>
      <c r="C587" t="s">
        <v>157</v>
      </c>
      <c r="D587" t="s">
        <v>554</v>
      </c>
      <c r="E587" t="s">
        <v>158</v>
      </c>
      <c r="F587">
        <v>36.075400000000002</v>
      </c>
      <c r="G587">
        <v>-115.1669</v>
      </c>
      <c r="I587" s="1">
        <v>110064134459</v>
      </c>
      <c r="J587">
        <v>4581</v>
      </c>
      <c r="K587" s="175" t="str">
        <f>INDEX('2022 SIC to NAICS'!B:B, MATCH('Processed Non-zero DMR Data'!$J587, '2022 SIC to NAICS'!$A:$A, 0))</f>
        <v>Airports, Flying Fields, and Services</v>
      </c>
      <c r="L587" s="175">
        <f>INDEX('2022 SIC to NAICS'!C:C, MATCH('Processed Non-zero DMR Data'!$J587, '2022 SIC to NAICS'!$A:$A, 0))</f>
        <v>488111</v>
      </c>
      <c r="M587" s="175" t="str">
        <f>INDEX('2022 SIC to NAICS'!D:D, MATCH('Processed Non-zero DMR Data'!$J587, '2022 SIC to NAICS'!$A:$A, 0))</f>
        <v>Air Traffic Control</v>
      </c>
      <c r="N587" s="90" t="str">
        <f>IFERROR(INDEX('NAICS Code to IS CDR Code'!B:B, MATCH('Processed Non-zero DMR Data'!L587,'NAICS Code to IS CDR Code'!A:A,0)), "NAICS/SIC Not Provided")</f>
        <v>IS46</v>
      </c>
      <c r="O587" s="91" t="str">
        <f>IFERROR(INDEX('NAICS Code to IS CDR Code'!C:C, MATCH('Processed Non-zero DMR Data'!L587,'NAICS Code to IS CDR Code'!A:A,0)), "NAICS/SIC Not Provided")</f>
        <v>Wholesale and Retail Trade</v>
      </c>
      <c r="P587" s="91" t="e">
        <f>INDEX('11DCA Mapping'!$K:$K, MATCH('Processed Non-zero DMR Data'!I387,'11DCA Mapping'!$J:$J,0))</f>
        <v>#N/A</v>
      </c>
      <c r="Q587" s="91" t="e">
        <f>INDEX('11DCA Mapping'!$L:$L, MATCH('Processed Non-zero DMR Data'!I387,'11DCA Mapping'!$J:$J,0))</f>
        <v>#N/A</v>
      </c>
      <c r="R587" s="91" t="str">
        <f>VLOOKUP(I587,'DMR POTW Flag'!$A$2:$B$960,2,FALSE)</f>
        <v>NON-POTW</v>
      </c>
      <c r="S587" s="7" t="s">
        <v>72</v>
      </c>
      <c r="T587" s="244" t="s">
        <v>579</v>
      </c>
      <c r="U587" s="8">
        <f>COUNTIFS('Raw Non-zero DMR Data'!$A:$A, 'Processed Non-zero DMR Data'!A587, 'Raw Non-zero DMR Data'!$C:$C, X587, 'Raw Non-zero DMR Data'!$U:$U,'Processed Non-zero DMR Data'!Y587)</f>
        <v>2</v>
      </c>
      <c r="V587" s="8">
        <f>COUNTIFS('Raw Non-zero DMR Data'!$A:$A, 'Processed Non-zero DMR Data'!A587, 'Raw Non-zero DMR Data'!$C:$C, X587, 'Raw Non-zero DMR Data'!$U:$U,'Processed Non-zero DMR Data'!Y587,'Raw Non-zero DMR Data'!$Z:$Z,"Yes")</f>
        <v>2</v>
      </c>
      <c r="W587">
        <v>7.1289528749999996E-3</v>
      </c>
      <c r="X587" t="s">
        <v>580</v>
      </c>
      <c r="Y587" t="s">
        <v>581</v>
      </c>
      <c r="Z587" s="257">
        <v>150100150704</v>
      </c>
    </row>
    <row r="588" spans="1:26" ht="15" customHeight="1" x14ac:dyDescent="0.25">
      <c r="A588">
        <v>2023</v>
      </c>
      <c r="B588" t="s">
        <v>233</v>
      </c>
      <c r="C588" t="s">
        <v>157</v>
      </c>
      <c r="D588" t="s">
        <v>554</v>
      </c>
      <c r="E588" t="s">
        <v>158</v>
      </c>
      <c r="F588">
        <v>36.075400000000002</v>
      </c>
      <c r="G588">
        <v>-115.1669</v>
      </c>
      <c r="I588" s="1">
        <v>110064134459</v>
      </c>
      <c r="J588">
        <v>4581</v>
      </c>
      <c r="K588" s="175" t="str">
        <f>INDEX('2022 SIC to NAICS'!B:B, MATCH('Processed Non-zero DMR Data'!$J588, '2022 SIC to NAICS'!$A:$A, 0))</f>
        <v>Airports, Flying Fields, and Services</v>
      </c>
      <c r="L588" s="175">
        <f>INDEX('2022 SIC to NAICS'!C:C, MATCH('Processed Non-zero DMR Data'!$J588, '2022 SIC to NAICS'!$A:$A, 0))</f>
        <v>488111</v>
      </c>
      <c r="M588" s="175" t="str">
        <f>INDEX('2022 SIC to NAICS'!D:D, MATCH('Processed Non-zero DMR Data'!$J588, '2022 SIC to NAICS'!$A:$A, 0))</f>
        <v>Air Traffic Control</v>
      </c>
      <c r="N588" s="90" t="str">
        <f>IFERROR(INDEX('NAICS Code to IS CDR Code'!B:B, MATCH('Processed Non-zero DMR Data'!L588,'NAICS Code to IS CDR Code'!A:A,0)), "NAICS/SIC Not Provided")</f>
        <v>IS46</v>
      </c>
      <c r="O588" s="91" t="str">
        <f>IFERROR(INDEX('NAICS Code to IS CDR Code'!C:C, MATCH('Processed Non-zero DMR Data'!L588,'NAICS Code to IS CDR Code'!A:A,0)), "NAICS/SIC Not Provided")</f>
        <v>Wholesale and Retail Trade</v>
      </c>
      <c r="P588" s="91" t="str">
        <f>INDEX('11DCA Mapping'!$K:$K, MATCH('Processed Non-zero DMR Data'!I388,'11DCA Mapping'!$J:$J,0))</f>
        <v>Processing as a Reactant</v>
      </c>
      <c r="Q588" s="91" t="str">
        <f>INDEX('11DCA Mapping'!$L:$L, MATCH('Processed Non-zero DMR Data'!I388,'11DCA Mapping'!$J:$J,0))</f>
        <v>Based on SIC code</v>
      </c>
      <c r="R588" s="91" t="str">
        <f>VLOOKUP(I588,'DMR POTW Flag'!$A$2:$B$960,2,FALSE)</f>
        <v>NON-POTW</v>
      </c>
      <c r="S588" s="7" t="s">
        <v>72</v>
      </c>
      <c r="T588" s="244" t="s">
        <v>579</v>
      </c>
      <c r="U588" s="8">
        <f>COUNTIFS('Raw Non-zero DMR Data'!$A:$A, 'Processed Non-zero DMR Data'!A588, 'Raw Non-zero DMR Data'!$C:$C, X588, 'Raw Non-zero DMR Data'!$U:$U,'Processed Non-zero DMR Data'!Y588)</f>
        <v>2</v>
      </c>
      <c r="V588" s="8">
        <f>COUNTIFS('Raw Non-zero DMR Data'!$A:$A, 'Processed Non-zero DMR Data'!A588, 'Raw Non-zero DMR Data'!$C:$C, X588, 'Raw Non-zero DMR Data'!$U:$U,'Processed Non-zero DMR Data'!Y588,'Raw Non-zero DMR Data'!$Z:$Z,"Yes")</f>
        <v>2</v>
      </c>
      <c r="W588">
        <v>4.0396358750000002E-3</v>
      </c>
      <c r="X588" t="s">
        <v>580</v>
      </c>
      <c r="Y588" t="s">
        <v>581</v>
      </c>
      <c r="Z588" s="257">
        <v>150100150704</v>
      </c>
    </row>
    <row r="589" spans="1:26" ht="15" customHeight="1" x14ac:dyDescent="0.25">
      <c r="A589">
        <v>2023</v>
      </c>
      <c r="B589" t="s">
        <v>184</v>
      </c>
      <c r="C589" t="s">
        <v>185</v>
      </c>
      <c r="D589" t="s">
        <v>185</v>
      </c>
      <c r="E589" t="s">
        <v>186</v>
      </c>
      <c r="F589">
        <v>21.352499999999999</v>
      </c>
      <c r="G589">
        <v>-157.95813899999999</v>
      </c>
      <c r="I589" s="1">
        <v>110046184516</v>
      </c>
      <c r="J589">
        <v>3731</v>
      </c>
      <c r="K589" s="175" t="str">
        <f>INDEX('2022 SIC to NAICS'!B:B, MATCH('Processed Non-zero DMR Data'!$J589, '2022 SIC to NAICS'!$A:$A, 0))</f>
        <v>Shipbuilding and Repairing</v>
      </c>
      <c r="L589" s="175">
        <f>INDEX('2022 SIC to NAICS'!C:C, MATCH('Processed Non-zero DMR Data'!$J589, '2022 SIC to NAICS'!$A:$A, 0))</f>
        <v>336611</v>
      </c>
      <c r="M589" s="175" t="str">
        <f>INDEX('2022 SIC to NAICS'!D:D, MATCH('Processed Non-zero DMR Data'!$J589, '2022 SIC to NAICS'!$A:$A, 0))</f>
        <v xml:space="preserve">Ship Building and Repairing </v>
      </c>
      <c r="N589" s="90" t="str">
        <f>IFERROR(INDEX('NAICS Code to IS CDR Code'!B:B, MATCH('Processed Non-zero DMR Data'!L589,'NAICS Code to IS CDR Code'!A:A,0)), "NAICS/SIC Not Provided")</f>
        <v>IS43</v>
      </c>
      <c r="O589" s="91" t="str">
        <f>IFERROR(INDEX('NAICS Code to IS CDR Code'!C:C, MATCH('Processed Non-zero DMR Data'!L589,'NAICS Code to IS CDR Code'!A:A,0)), "NAICS/SIC Not Provided")</f>
        <v>Transportation Equipment Manufacturing</v>
      </c>
      <c r="P589" s="91" t="str">
        <f>INDEX('11DCA Mapping'!$K:$K, MATCH('Processed Non-zero DMR Data'!I462,'11DCA Mapping'!$J:$J,0))</f>
        <v>POTW</v>
      </c>
      <c r="Q589" s="91" t="str">
        <f>INDEX('11DCA Mapping'!$L:$L, MATCH('Processed Non-zero DMR Data'!I462,'11DCA Mapping'!$J:$J,0))</f>
        <v>Assigned POTW per "Facility Type Indicator"</v>
      </c>
      <c r="R589" s="91" t="str">
        <f>VLOOKUP(I589,'DMR POTW Flag'!$A$2:$B$960,2,FALSE)</f>
        <v>FEDERAL</v>
      </c>
      <c r="S589" s="7" t="s">
        <v>72</v>
      </c>
      <c r="T589" s="244" t="s">
        <v>656</v>
      </c>
      <c r="U589" s="8">
        <f>COUNTIFS('Raw Non-zero DMR Data'!$A:$A, 'Processed Non-zero DMR Data'!A589, 'Raw Non-zero DMR Data'!$C:$C, X589, 'Raw Non-zero DMR Data'!$U:$U,'Processed Non-zero DMR Data'!Y589)</f>
        <v>1</v>
      </c>
      <c r="V589" s="8">
        <f>COUNTIFS('Raw Non-zero DMR Data'!$A:$A, 'Processed Non-zero DMR Data'!A589, 'Raw Non-zero DMR Data'!$C:$C, X589, 'Raw Non-zero DMR Data'!$U:$U,'Processed Non-zero DMR Data'!Y589,'Raw Non-zero DMR Data'!$Z:$Z,"Yes")</f>
        <v>1</v>
      </c>
      <c r="W589">
        <v>0.82891499999999996</v>
      </c>
      <c r="X589" t="s">
        <v>657</v>
      </c>
      <c r="Y589" t="s">
        <v>658</v>
      </c>
      <c r="Z589" s="257">
        <v>200600000401</v>
      </c>
    </row>
    <row r="590" spans="1:26" ht="15" customHeight="1" x14ac:dyDescent="0.25">
      <c r="A590">
        <v>2023</v>
      </c>
      <c r="B590" t="s">
        <v>231</v>
      </c>
      <c r="C590" t="s">
        <v>232</v>
      </c>
      <c r="D590" t="s">
        <v>659</v>
      </c>
      <c r="E590" t="s">
        <v>141</v>
      </c>
      <c r="F590">
        <v>38.2774</v>
      </c>
      <c r="G590">
        <v>-89.666899999999998</v>
      </c>
      <c r="I590" s="1">
        <v>110044852068</v>
      </c>
      <c r="J590">
        <v>4911</v>
      </c>
      <c r="K590" s="175" t="str">
        <f>INDEX('2022 SIC to NAICS'!B:B, MATCH('Processed Non-zero DMR Data'!$J590, '2022 SIC to NAICS'!$A:$A, 0))</f>
        <v>Electric Services</v>
      </c>
      <c r="L590" s="175">
        <f>INDEX('2022 SIC to NAICS'!C:C, MATCH('Processed Non-zero DMR Data'!$J590, '2022 SIC to NAICS'!$A:$A, 0))</f>
        <v>221111</v>
      </c>
      <c r="M590" s="175" t="str">
        <f>INDEX('2022 SIC to NAICS'!D:D, MATCH('Processed Non-zero DMR Data'!$J590, '2022 SIC to NAICS'!$A:$A, 0))</f>
        <v xml:space="preserve">Hydroelectric Power Generation </v>
      </c>
      <c r="N590" s="90" t="str">
        <f>IFERROR(INDEX('NAICS Code to IS CDR Code'!B:B, MATCH('Processed Non-zero DMR Data'!L590,'NAICS Code to IS CDR Code'!A:A,0)), "NAICS/SIC Not Provided")</f>
        <v>NAICS/SIC Not Provided</v>
      </c>
      <c r="O590" s="91" t="str">
        <f>IFERROR(INDEX('NAICS Code to IS CDR Code'!C:C, MATCH('Processed Non-zero DMR Data'!L590,'NAICS Code to IS CDR Code'!A:A,0)), "NAICS/SIC Not Provided")</f>
        <v>NAICS/SIC Not Provided</v>
      </c>
      <c r="P590" s="91" t="str">
        <f>INDEX('11DCA Mapping'!$K:$K, MATCH('Processed Non-zero DMR Data'!I475,'11DCA Mapping'!$J:$J,0))</f>
        <v>POTW</v>
      </c>
      <c r="Q590" s="91" t="str">
        <f>INDEX('11DCA Mapping'!$L:$L, MATCH('Processed Non-zero DMR Data'!I475,'11DCA Mapping'!$J:$J,0))</f>
        <v>Assigned POTW per "Facility Type Indicator"</v>
      </c>
      <c r="R590" s="91" t="str">
        <f>VLOOKUP(I590,'DMR POTW Flag'!$A$2:$B$960,2,FALSE)</f>
        <v>NON-POTW</v>
      </c>
      <c r="S590" s="7" t="s">
        <v>72</v>
      </c>
      <c r="T590" s="244" t="s">
        <v>660</v>
      </c>
      <c r="U590" s="8">
        <f>COUNTIFS('Raw Non-zero DMR Data'!$A:$A, 'Processed Non-zero DMR Data'!A590, 'Raw Non-zero DMR Data'!$C:$C, X590, 'Raw Non-zero DMR Data'!$U:$U,'Processed Non-zero DMR Data'!Y590)</f>
        <v>1</v>
      </c>
      <c r="V590" s="8">
        <f>COUNTIFS('Raw Non-zero DMR Data'!$A:$A, 'Processed Non-zero DMR Data'!A590, 'Raw Non-zero DMR Data'!$C:$C, X590, 'Raw Non-zero DMR Data'!$U:$U,'Processed Non-zero DMR Data'!Y590,'Raw Non-zero DMR Data'!$Z:$Z,"Yes")</f>
        <v>1</v>
      </c>
      <c r="W590">
        <v>2.4298261700000001</v>
      </c>
      <c r="X590" t="s">
        <v>661</v>
      </c>
      <c r="Y590" t="s">
        <v>662</v>
      </c>
      <c r="Z590" s="257">
        <v>71402040302</v>
      </c>
    </row>
    <row r="591" spans="1:26" ht="15" customHeight="1" x14ac:dyDescent="0.25">
      <c r="A591">
        <v>2023</v>
      </c>
      <c r="B591" t="s">
        <v>171</v>
      </c>
      <c r="C591" t="s">
        <v>157</v>
      </c>
      <c r="D591" t="s">
        <v>554</v>
      </c>
      <c r="E591" t="s">
        <v>158</v>
      </c>
      <c r="F591">
        <v>36.132570000000001</v>
      </c>
      <c r="G591">
        <v>-115.16477</v>
      </c>
      <c r="I591" s="1">
        <v>110041253256</v>
      </c>
      <c r="J591">
        <v>7011</v>
      </c>
      <c r="K591" s="175" t="str">
        <f>INDEX('2022 SIC to NAICS'!B:B, MATCH('Processed Non-zero DMR Data'!$J591, '2022 SIC to NAICS'!$A:$A, 0))</f>
        <v>Hotels and Motels</v>
      </c>
      <c r="L591" s="175">
        <f>INDEX('2022 SIC to NAICS'!C:C, MATCH('Processed Non-zero DMR Data'!$J591, '2022 SIC to NAICS'!$A:$A, 0))</f>
        <v>721110</v>
      </c>
      <c r="M591" s="175" t="str">
        <f>INDEX('2022 SIC to NAICS'!D:D, MATCH('Processed Non-zero DMR Data'!$J591, '2022 SIC to NAICS'!$A:$A, 0))</f>
        <v xml:space="preserve">Hotels (except Casino Hotels) and Motels </v>
      </c>
      <c r="N591" s="90" t="str">
        <f>IFERROR(INDEX('NAICS Code to IS CDR Code'!B:B, MATCH('Processed Non-zero DMR Data'!L591,'NAICS Code to IS CDR Code'!A:A,0)), "NAICS/SIC Not Provided")</f>
        <v>IS47</v>
      </c>
      <c r="O591" s="91" t="str">
        <f>IFERROR(INDEX('NAICS Code to IS CDR Code'!C:C, MATCH('Processed Non-zero DMR Data'!L591,'NAICS Code to IS CDR Code'!A:A,0)), "NAICS/SIC Not Provided")</f>
        <v>Services</v>
      </c>
      <c r="P591" s="91" t="e">
        <f>INDEX('11DCA Mapping'!$K:$K, MATCH('Processed Non-zero DMR Data'!I487,'11DCA Mapping'!$J:$J,0))</f>
        <v>#N/A</v>
      </c>
      <c r="Q591" s="91" t="e">
        <f>INDEX('11DCA Mapping'!$L:$L, MATCH('Processed Non-zero DMR Data'!I487,'11DCA Mapping'!$J:$J,0))</f>
        <v>#N/A</v>
      </c>
      <c r="R591" s="91" t="str">
        <f>VLOOKUP(I591,'DMR POTW Flag'!$A$2:$B$960,2,FALSE)</f>
        <v>NON-POTW</v>
      </c>
      <c r="S591" s="7" t="s">
        <v>72</v>
      </c>
      <c r="T591" s="244" t="s">
        <v>667</v>
      </c>
      <c r="U591" s="8">
        <f>COUNTIFS('Raw Non-zero DMR Data'!$A:$A, 'Processed Non-zero DMR Data'!A591, 'Raw Non-zero DMR Data'!$C:$C, X591, 'Raw Non-zero DMR Data'!$U:$U,'Processed Non-zero DMR Data'!Y591)</f>
        <v>1</v>
      </c>
      <c r="V591" s="8">
        <f>COUNTIFS('Raw Non-zero DMR Data'!$A:$A, 'Processed Non-zero DMR Data'!A591, 'Raw Non-zero DMR Data'!$C:$C, X591, 'Raw Non-zero DMR Data'!$U:$U,'Processed Non-zero DMR Data'!Y591,'Raw Non-zero DMR Data'!$Z:$Z,"Yes")</f>
        <v>1</v>
      </c>
      <c r="W591">
        <v>0.1271003</v>
      </c>
      <c r="X591" t="s">
        <v>668</v>
      </c>
      <c r="Y591" t="s">
        <v>578</v>
      </c>
      <c r="Z591" s="257">
        <v>150100150604</v>
      </c>
    </row>
    <row r="592" spans="1:26" ht="15" customHeight="1" x14ac:dyDescent="0.25">
      <c r="A592">
        <v>2020</v>
      </c>
      <c r="B592" t="s">
        <v>395</v>
      </c>
      <c r="C592" t="s">
        <v>396</v>
      </c>
      <c r="D592" t="s">
        <v>185</v>
      </c>
      <c r="E592" t="s">
        <v>186</v>
      </c>
      <c r="F592">
        <v>21.438638999999998</v>
      </c>
      <c r="G592">
        <v>-157.75847200000001</v>
      </c>
      <c r="I592" s="1">
        <v>110041973460</v>
      </c>
      <c r="J592">
        <v>4952</v>
      </c>
      <c r="K592" s="175" t="str">
        <f>INDEX('2022 SIC to NAICS'!B:B, MATCH('Processed Non-zero DMR Data'!$J592, '2022 SIC to NAICS'!$A:$A, 0))</f>
        <v>Sewerage Systems</v>
      </c>
      <c r="L592" s="175">
        <f>INDEX('2022 SIC to NAICS'!C:C, MATCH('Processed Non-zero DMR Data'!$J592, '2022 SIC to NAICS'!$A:$A, 0))</f>
        <v>221320</v>
      </c>
      <c r="M592" s="175" t="str">
        <f>INDEX('2022 SIC to NAICS'!D:D, MATCH('Processed Non-zero DMR Data'!$J592, '2022 SIC to NAICS'!$A:$A, 0))</f>
        <v xml:space="preserve">Sewage Treatment Facilities </v>
      </c>
      <c r="N592" s="90" t="str">
        <f>IFERROR(INDEX('NAICS Code to IS CDR Code'!B:B, MATCH('Processed Non-zero DMR Data'!L592,'NAICS Code to IS CDR Code'!A:A,0)), "NAICS/SIC Not Provided")</f>
        <v>IS4</v>
      </c>
      <c r="O592" s="91" t="str">
        <f>IFERROR(INDEX('NAICS Code to IS CDR Code'!C:C, MATCH('Processed Non-zero DMR Data'!L592,'NAICS Code to IS CDR Code'!A:A,0)), "NAICS/SIC Not Provided")</f>
        <v>Utilities</v>
      </c>
      <c r="P592" s="91" t="str">
        <f>INDEX('11DCA Mapping'!$K:$K, MATCH('Processed Non-zero DMR Data'!I599,'11DCA Mapping'!$J:$J,0))</f>
        <v>POTW</v>
      </c>
      <c r="Q592" s="91" t="str">
        <f>INDEX('11DCA Mapping'!$L:$L, MATCH('Processed Non-zero DMR Data'!I599,'11DCA Mapping'!$J:$J,0))</f>
        <v>Assigned POTW per "Facility Type Indicator"</v>
      </c>
      <c r="R592" s="250" t="str">
        <f>VLOOKUP(I592,'DMR POTW Flag'!$A$2:$B$960,2,FALSE)</f>
        <v>FEDERAL</v>
      </c>
      <c r="S592" s="7" t="s">
        <v>68</v>
      </c>
      <c r="T592" s="7" t="s">
        <v>958</v>
      </c>
      <c r="U592" s="8">
        <f>COUNTIFS('Raw Non-zero DMR Data'!$A:$A, 'Processed Non-zero DMR Data'!A592, 'Raw Non-zero DMR Data'!$C:$C, X592, 'Raw Non-zero DMR Data'!$U:$U,'Processed Non-zero DMR Data'!Y592)</f>
        <v>1</v>
      </c>
      <c r="V592" s="8">
        <f>COUNTIFS('Raw Non-zero DMR Data'!$A:$A, 'Processed Non-zero DMR Data'!A592, 'Raw Non-zero DMR Data'!$C:$C, X592, 'Raw Non-zero DMR Data'!$U:$U,'Processed Non-zero DMR Data'!Y592,'Raw Non-zero DMR Data'!$Z:$Z,"Yes")</f>
        <v>1</v>
      </c>
      <c r="W592">
        <v>0.99055342499999999</v>
      </c>
      <c r="X592" t="s">
        <v>1108</v>
      </c>
      <c r="Y592" t="s">
        <v>1109</v>
      </c>
      <c r="Z592" s="257">
        <v>200600000205</v>
      </c>
    </row>
    <row r="593" spans="1:26" ht="15" customHeight="1" x14ac:dyDescent="0.25">
      <c r="A593">
        <v>2021</v>
      </c>
      <c r="B593" t="s">
        <v>395</v>
      </c>
      <c r="C593" t="s">
        <v>396</v>
      </c>
      <c r="D593" t="s">
        <v>185</v>
      </c>
      <c r="E593" t="s">
        <v>186</v>
      </c>
      <c r="F593">
        <v>21.438638999999998</v>
      </c>
      <c r="G593">
        <v>-157.75847200000001</v>
      </c>
      <c r="I593" s="1">
        <v>110041973460</v>
      </c>
      <c r="J593">
        <v>4952</v>
      </c>
      <c r="K593" s="175" t="str">
        <f>INDEX('2022 SIC to NAICS'!B:B, MATCH('Processed Non-zero DMR Data'!$J593, '2022 SIC to NAICS'!$A:$A, 0))</f>
        <v>Sewerage Systems</v>
      </c>
      <c r="L593" s="175">
        <f>INDEX('2022 SIC to NAICS'!C:C, MATCH('Processed Non-zero DMR Data'!$J593, '2022 SIC to NAICS'!$A:$A, 0))</f>
        <v>221320</v>
      </c>
      <c r="M593" s="175" t="str">
        <f>INDEX('2022 SIC to NAICS'!D:D, MATCH('Processed Non-zero DMR Data'!$J593, '2022 SIC to NAICS'!$A:$A, 0))</f>
        <v xml:space="preserve">Sewage Treatment Facilities </v>
      </c>
      <c r="N593" s="90" t="str">
        <f>IFERROR(INDEX('NAICS Code to IS CDR Code'!B:B, MATCH('Processed Non-zero DMR Data'!L593,'NAICS Code to IS CDR Code'!A:A,0)), "NAICS/SIC Not Provided")</f>
        <v>IS4</v>
      </c>
      <c r="O593" s="91" t="str">
        <f>IFERROR(INDEX('NAICS Code to IS CDR Code'!C:C, MATCH('Processed Non-zero DMR Data'!L593,'NAICS Code to IS CDR Code'!A:A,0)), "NAICS/SIC Not Provided")</f>
        <v>Utilities</v>
      </c>
      <c r="P593" s="91" t="str">
        <f>INDEX('11DCA Mapping'!$K:$K, MATCH('Processed Non-zero DMR Data'!I600,'11DCA Mapping'!$J:$J,0))</f>
        <v>POTW</v>
      </c>
      <c r="Q593" s="91" t="str">
        <f>INDEX('11DCA Mapping'!$L:$L, MATCH('Processed Non-zero DMR Data'!I600,'11DCA Mapping'!$J:$J,0))</f>
        <v>Assigned POTW per "Facility Type Indicator"</v>
      </c>
      <c r="R593" s="250" t="str">
        <f>VLOOKUP(I593,'DMR POTW Flag'!$A$2:$B$960,2,FALSE)</f>
        <v>FEDERAL</v>
      </c>
      <c r="S593" s="7" t="s">
        <v>68</v>
      </c>
      <c r="T593" s="7" t="s">
        <v>958</v>
      </c>
      <c r="U593" s="8">
        <f>COUNTIFS('Raw Non-zero DMR Data'!$A:$A, 'Processed Non-zero DMR Data'!A593, 'Raw Non-zero DMR Data'!$C:$C, X593, 'Raw Non-zero DMR Data'!$U:$U,'Processed Non-zero DMR Data'!Y593)</f>
        <v>1</v>
      </c>
      <c r="V593" s="8">
        <f>COUNTIFS('Raw Non-zero DMR Data'!$A:$A, 'Processed Non-zero DMR Data'!A593, 'Raw Non-zero DMR Data'!$C:$C, X593, 'Raw Non-zero DMR Data'!$U:$U,'Processed Non-zero DMR Data'!Y593,'Raw Non-zero DMR Data'!$Z:$Z,"Yes")</f>
        <v>1</v>
      </c>
      <c r="W593">
        <v>1.747629125</v>
      </c>
      <c r="X593" t="s">
        <v>1108</v>
      </c>
      <c r="Y593" t="s">
        <v>1109</v>
      </c>
      <c r="Z593" s="257">
        <v>200600000205</v>
      </c>
    </row>
    <row r="594" spans="1:26" ht="15" customHeight="1" x14ac:dyDescent="0.25">
      <c r="A594">
        <v>2022</v>
      </c>
      <c r="B594" t="s">
        <v>395</v>
      </c>
      <c r="C594" t="s">
        <v>396</v>
      </c>
      <c r="D594" t="s">
        <v>185</v>
      </c>
      <c r="E594" t="s">
        <v>186</v>
      </c>
      <c r="F594">
        <v>21.438638999999998</v>
      </c>
      <c r="G594">
        <v>-157.75847200000001</v>
      </c>
      <c r="I594" s="1">
        <v>110041973460</v>
      </c>
      <c r="J594">
        <v>4952</v>
      </c>
      <c r="K594" s="175" t="str">
        <f>INDEX('2022 SIC to NAICS'!B:B, MATCH('Processed Non-zero DMR Data'!$J594, '2022 SIC to NAICS'!$A:$A, 0))</f>
        <v>Sewerage Systems</v>
      </c>
      <c r="L594" s="175">
        <f>INDEX('2022 SIC to NAICS'!C:C, MATCH('Processed Non-zero DMR Data'!$J594, '2022 SIC to NAICS'!$A:$A, 0))</f>
        <v>221320</v>
      </c>
      <c r="M594" s="175" t="str">
        <f>INDEX('2022 SIC to NAICS'!D:D, MATCH('Processed Non-zero DMR Data'!$J594, '2022 SIC to NAICS'!$A:$A, 0))</f>
        <v xml:space="preserve">Sewage Treatment Facilities </v>
      </c>
      <c r="N594" s="90" t="str">
        <f>IFERROR(INDEX('NAICS Code to IS CDR Code'!B:B, MATCH('Processed Non-zero DMR Data'!L594,'NAICS Code to IS CDR Code'!A:A,0)), "NAICS/SIC Not Provided")</f>
        <v>IS4</v>
      </c>
      <c r="O594" s="91" t="str">
        <f>IFERROR(INDEX('NAICS Code to IS CDR Code'!C:C, MATCH('Processed Non-zero DMR Data'!L594,'NAICS Code to IS CDR Code'!A:A,0)), "NAICS/SIC Not Provided")</f>
        <v>Utilities</v>
      </c>
      <c r="P594" s="91" t="str">
        <f>INDEX('11DCA Mapping'!$K:$K, MATCH('Processed Non-zero DMR Data'!I601,'11DCA Mapping'!$J:$J,0))</f>
        <v>POTW</v>
      </c>
      <c r="Q594" s="91" t="str">
        <f>INDEX('11DCA Mapping'!$L:$L, MATCH('Processed Non-zero DMR Data'!I601,'11DCA Mapping'!$J:$J,0))</f>
        <v>Assigned POTW per "Facility Type Indicator"</v>
      </c>
      <c r="R594" s="250" t="str">
        <f>VLOOKUP(I594,'DMR POTW Flag'!$A$2:$B$960,2,FALSE)</f>
        <v>FEDERAL</v>
      </c>
      <c r="S594" s="7" t="s">
        <v>68</v>
      </c>
      <c r="T594" s="7" t="s">
        <v>958</v>
      </c>
      <c r="U594" s="8">
        <f>COUNTIFS('Raw Non-zero DMR Data'!$A:$A, 'Processed Non-zero DMR Data'!A594, 'Raw Non-zero DMR Data'!$C:$C, X594, 'Raw Non-zero DMR Data'!$U:$U,'Processed Non-zero DMR Data'!Y594)</f>
        <v>1</v>
      </c>
      <c r="V594" s="8">
        <f>COUNTIFS('Raw Non-zero DMR Data'!$A:$A, 'Processed Non-zero DMR Data'!A594, 'Raw Non-zero DMR Data'!$C:$C, X594, 'Raw Non-zero DMR Data'!$U:$U,'Processed Non-zero DMR Data'!Y594,'Raw Non-zero DMR Data'!$Z:$Z,"Yes")</f>
        <v>1</v>
      </c>
      <c r="W594">
        <v>1.2924166374999999</v>
      </c>
      <c r="X594" t="s">
        <v>1108</v>
      </c>
      <c r="Y594" t="s">
        <v>1109</v>
      </c>
      <c r="Z594" s="257">
        <v>200600000205</v>
      </c>
    </row>
    <row r="595" spans="1:26" ht="15" customHeight="1" x14ac:dyDescent="0.25">
      <c r="A595">
        <v>2023</v>
      </c>
      <c r="B595" t="s">
        <v>395</v>
      </c>
      <c r="C595" t="s">
        <v>396</v>
      </c>
      <c r="D595" t="s">
        <v>185</v>
      </c>
      <c r="E595" t="s">
        <v>186</v>
      </c>
      <c r="F595">
        <v>21.438638999999998</v>
      </c>
      <c r="G595">
        <v>-157.75847200000001</v>
      </c>
      <c r="I595" s="1">
        <v>110041973460</v>
      </c>
      <c r="J595">
        <v>4952</v>
      </c>
      <c r="K595" s="175" t="str">
        <f>INDEX('2022 SIC to NAICS'!B:B, MATCH('Processed Non-zero DMR Data'!$J595, '2022 SIC to NAICS'!$A:$A, 0))</f>
        <v>Sewerage Systems</v>
      </c>
      <c r="L595" s="175">
        <f>INDEX('2022 SIC to NAICS'!C:C, MATCH('Processed Non-zero DMR Data'!$J595, '2022 SIC to NAICS'!$A:$A, 0))</f>
        <v>221320</v>
      </c>
      <c r="M595" s="175" t="str">
        <f>INDEX('2022 SIC to NAICS'!D:D, MATCH('Processed Non-zero DMR Data'!$J595, '2022 SIC to NAICS'!$A:$A, 0))</f>
        <v xml:space="preserve">Sewage Treatment Facilities </v>
      </c>
      <c r="N595" s="90" t="str">
        <f>IFERROR(INDEX('NAICS Code to IS CDR Code'!B:B, MATCH('Processed Non-zero DMR Data'!L595,'NAICS Code to IS CDR Code'!A:A,0)), "NAICS/SIC Not Provided")</f>
        <v>IS4</v>
      </c>
      <c r="O595" s="91" t="str">
        <f>IFERROR(INDEX('NAICS Code to IS CDR Code'!C:C, MATCH('Processed Non-zero DMR Data'!L595,'NAICS Code to IS CDR Code'!A:A,0)), "NAICS/SIC Not Provided")</f>
        <v>Utilities</v>
      </c>
      <c r="P595" s="91" t="str">
        <f>INDEX('11DCA Mapping'!$K:$K, MATCH('Processed Non-zero DMR Data'!I602,'11DCA Mapping'!$J:$J,0))</f>
        <v>Waste Handling, Disposal, Treatment, and Recycling</v>
      </c>
      <c r="Q595" s="91" t="str">
        <f>INDEX('11DCA Mapping'!$L:$L, MATCH('Processed Non-zero DMR Data'!I602,'11DCA Mapping'!$J:$J,0))</f>
        <v>Discharge of non-contact cooling water from facility, and general discharge (CH)</v>
      </c>
      <c r="R595" s="250" t="str">
        <f>VLOOKUP(I595,'DMR POTW Flag'!$A$2:$B$960,2,FALSE)</f>
        <v>FEDERAL</v>
      </c>
      <c r="S595" s="7" t="s">
        <v>68</v>
      </c>
      <c r="T595" s="7" t="s">
        <v>958</v>
      </c>
      <c r="U595" s="8">
        <f>COUNTIFS('Raw Non-zero DMR Data'!$A:$A, 'Processed Non-zero DMR Data'!A595, 'Raw Non-zero DMR Data'!$C:$C, X595, 'Raw Non-zero DMR Data'!$U:$U,'Processed Non-zero DMR Data'!Y595)</f>
        <v>1</v>
      </c>
      <c r="V595" s="8">
        <f>COUNTIFS('Raw Non-zero DMR Data'!$A:$A, 'Processed Non-zero DMR Data'!A595, 'Raw Non-zero DMR Data'!$C:$C, X595, 'Raw Non-zero DMR Data'!$U:$U,'Processed Non-zero DMR Data'!Y595,'Raw Non-zero DMR Data'!$Z:$Z,"Yes")</f>
        <v>1</v>
      </c>
      <c r="W595">
        <v>1.6523038999999999</v>
      </c>
      <c r="X595" t="s">
        <v>1108</v>
      </c>
      <c r="Y595" t="s">
        <v>1109</v>
      </c>
      <c r="Z595" s="257">
        <v>200600000205</v>
      </c>
    </row>
    <row r="596" spans="1:26" ht="15" customHeight="1" x14ac:dyDescent="0.25">
      <c r="A596">
        <v>2023</v>
      </c>
      <c r="B596" t="s">
        <v>530</v>
      </c>
      <c r="C596" t="s">
        <v>531</v>
      </c>
      <c r="D596" t="s">
        <v>1110</v>
      </c>
      <c r="E596" t="s">
        <v>146</v>
      </c>
      <c r="F596">
        <v>38.074433999999997</v>
      </c>
      <c r="G596">
        <v>-122.144397</v>
      </c>
      <c r="I596" s="1">
        <v>110033145353</v>
      </c>
      <c r="J596">
        <v>2911</v>
      </c>
      <c r="K596" s="175" t="str">
        <f>INDEX('2022 SIC to NAICS'!B:B, MATCH('Processed Non-zero DMR Data'!$J596, '2022 SIC to NAICS'!$A:$A, 0))</f>
        <v>Petroleum Refining</v>
      </c>
      <c r="L596" s="175">
        <f>INDEX('2022 SIC to NAICS'!C:C, MATCH('Processed Non-zero DMR Data'!$J596, '2022 SIC to NAICS'!$A:$A, 0))</f>
        <v>324110</v>
      </c>
      <c r="M596" s="175" t="str">
        <f>INDEX('2022 SIC to NAICS'!D:D, MATCH('Processed Non-zero DMR Data'!$J596, '2022 SIC to NAICS'!$A:$A, 0))</f>
        <v>Petroleum Refineries</v>
      </c>
      <c r="N596" s="90" t="str">
        <f>IFERROR(INDEX('NAICS Code to IS CDR Code'!B:B, MATCH('Processed Non-zero DMR Data'!L596,'NAICS Code to IS CDR Code'!A:A,0)), "NAICS/SIC Not Provided")</f>
        <v>IS11</v>
      </c>
      <c r="O596" s="91" t="str">
        <f>IFERROR(INDEX('NAICS Code to IS CDR Code'!C:C, MATCH('Processed Non-zero DMR Data'!L596,'NAICS Code to IS CDR Code'!A:A,0)), "NAICS/SIC Not Provided")</f>
        <v>Petroleum Refineries</v>
      </c>
      <c r="P596" s="91" t="str">
        <f>INDEX('11DCA Mapping'!$K:$K, MATCH('Processed Non-zero DMR Data'!I603,'11DCA Mapping'!$J:$J,0))</f>
        <v>Waste Handling, Disposal, Treatment, and Recycling</v>
      </c>
      <c r="Q596" s="91" t="str">
        <f>INDEX('11DCA Mapping'!$L:$L, MATCH('Processed Non-zero DMR Data'!I603,'11DCA Mapping'!$J:$J,0))</f>
        <v>Discharge of non-contact cooling water from facility, and general discharge (CH)</v>
      </c>
      <c r="R596" s="250" t="str">
        <f>VLOOKUP(I596,'DMR POTW Flag'!$A$2:$B$960,2,FALSE)</f>
        <v>NON-POTW</v>
      </c>
      <c r="S596" s="7" t="s">
        <v>62</v>
      </c>
      <c r="T596" s="7" t="s">
        <v>1111</v>
      </c>
      <c r="U596" s="8">
        <f>COUNTIFS('Raw Non-zero DMR Data'!$A:$A, 'Processed Non-zero DMR Data'!A596, 'Raw Non-zero DMR Data'!$C:$C, X596, 'Raw Non-zero DMR Data'!$U:$U,'Processed Non-zero DMR Data'!Y596)</f>
        <v>1</v>
      </c>
      <c r="V596" s="8">
        <f>COUNTIFS('Raw Non-zero DMR Data'!$A:$A, 'Processed Non-zero DMR Data'!A596, 'Raw Non-zero DMR Data'!$C:$C, X596, 'Raw Non-zero DMR Data'!$U:$U,'Processed Non-zero DMR Data'!Y596,'Raw Non-zero DMR Data'!$Z:$Z,"Yes")</f>
        <v>0</v>
      </c>
      <c r="W596">
        <v>0.27745942499999998</v>
      </c>
      <c r="X596" t="s">
        <v>1112</v>
      </c>
      <c r="Y596" t="s">
        <v>1113</v>
      </c>
      <c r="Z596" s="257">
        <v>180500010109</v>
      </c>
    </row>
    <row r="597" spans="1:26" ht="15" customHeight="1" x14ac:dyDescent="0.25">
      <c r="A597">
        <v>2019</v>
      </c>
      <c r="B597" t="s">
        <v>136</v>
      </c>
      <c r="C597" t="s">
        <v>137</v>
      </c>
      <c r="D597" t="s">
        <v>1020</v>
      </c>
      <c r="E597" t="s">
        <v>138</v>
      </c>
      <c r="F597">
        <v>37.642310000000002</v>
      </c>
      <c r="G597">
        <v>-85.903570000000002</v>
      </c>
      <c r="I597" s="1">
        <v>110000571373</v>
      </c>
      <c r="J597">
        <v>4952</v>
      </c>
      <c r="K597" s="175" t="str">
        <f>INDEX('2022 SIC to NAICS'!B:B, MATCH('Processed Non-zero DMR Data'!$J597, '2022 SIC to NAICS'!$A:$A, 0))</f>
        <v>Sewerage Systems</v>
      </c>
      <c r="L597" s="175">
        <f>INDEX('2022 SIC to NAICS'!C:C, MATCH('Processed Non-zero DMR Data'!$J597, '2022 SIC to NAICS'!$A:$A, 0))</f>
        <v>221320</v>
      </c>
      <c r="M597" s="175" t="str">
        <f>INDEX('2022 SIC to NAICS'!D:D, MATCH('Processed Non-zero DMR Data'!$J597, '2022 SIC to NAICS'!$A:$A, 0))</f>
        <v xml:space="preserve">Sewage Treatment Facilities </v>
      </c>
      <c r="N597" s="90" t="str">
        <f>IFERROR(INDEX('NAICS Code to IS CDR Code'!B:B, MATCH('Processed Non-zero DMR Data'!L597,'NAICS Code to IS CDR Code'!A:A,0)), "NAICS/SIC Not Provided")</f>
        <v>IS4</v>
      </c>
      <c r="O597" s="91" t="str">
        <f>IFERROR(INDEX('NAICS Code to IS CDR Code'!C:C, MATCH('Processed Non-zero DMR Data'!L597,'NAICS Code to IS CDR Code'!A:A,0)), "NAICS/SIC Not Provided")</f>
        <v>Utilities</v>
      </c>
      <c r="P597" s="91" t="str">
        <f>INDEX('11DCA Mapping'!$K:$K, MATCH('Processed Non-zero DMR Data'!I604,'11DCA Mapping'!$J:$J,0))</f>
        <v>Waste Handling, Disposal, Treatment, and Recycling</v>
      </c>
      <c r="Q597" s="91" t="str">
        <f>INDEX('11DCA Mapping'!$L:$L, MATCH('Processed Non-zero DMR Data'!I604,'11DCA Mapping'!$J:$J,0))</f>
        <v>Discharge of non-contact cooling water from facility, and general discharge (CH)</v>
      </c>
      <c r="R597" s="250" t="str">
        <f>VLOOKUP(I597,'DMR POTW Flag'!$A$2:$B$960,2,FALSE)</f>
        <v>POTW</v>
      </c>
      <c r="S597" s="7" t="s">
        <v>67</v>
      </c>
      <c r="T597" s="249" t="s">
        <v>586</v>
      </c>
      <c r="U597" s="8">
        <f>COUNTIFS('Raw Non-zero DMR Data'!$A:$A, 'Processed Non-zero DMR Data'!A597, 'Raw Non-zero DMR Data'!$C:$C, X597, 'Raw Non-zero DMR Data'!$U:$U,'Processed Non-zero DMR Data'!Y597)</f>
        <v>1</v>
      </c>
      <c r="V597" s="8">
        <f>COUNTIFS('Raw Non-zero DMR Data'!$A:$A, 'Processed Non-zero DMR Data'!A597, 'Raw Non-zero DMR Data'!$C:$C, X597, 'Raw Non-zero DMR Data'!$U:$U,'Processed Non-zero DMR Data'!Y597,'Raw Non-zero DMR Data'!$Z:$Z,"Yes")</f>
        <v>1</v>
      </c>
      <c r="W597">
        <v>33.847362500000003</v>
      </c>
      <c r="X597" t="s">
        <v>1114</v>
      </c>
      <c r="Y597" t="s">
        <v>1115</v>
      </c>
      <c r="Z597" s="257">
        <v>51100011004</v>
      </c>
    </row>
    <row r="598" spans="1:26" ht="15" customHeight="1" x14ac:dyDescent="0.25">
      <c r="A598">
        <v>2020</v>
      </c>
      <c r="B598" t="s">
        <v>136</v>
      </c>
      <c r="C598" t="s">
        <v>137</v>
      </c>
      <c r="D598" t="s">
        <v>1020</v>
      </c>
      <c r="E598" t="s">
        <v>138</v>
      </c>
      <c r="F598">
        <v>37.642310000000002</v>
      </c>
      <c r="G598">
        <v>-85.903570000000002</v>
      </c>
      <c r="I598" s="1">
        <v>110000571373</v>
      </c>
      <c r="J598">
        <v>4952</v>
      </c>
      <c r="K598" s="175" t="str">
        <f>INDEX('2022 SIC to NAICS'!B:B, MATCH('Processed Non-zero DMR Data'!$J598, '2022 SIC to NAICS'!$A:$A, 0))</f>
        <v>Sewerage Systems</v>
      </c>
      <c r="L598" s="175">
        <f>INDEX('2022 SIC to NAICS'!C:C, MATCH('Processed Non-zero DMR Data'!$J598, '2022 SIC to NAICS'!$A:$A, 0))</f>
        <v>221320</v>
      </c>
      <c r="M598" s="175" t="str">
        <f>INDEX('2022 SIC to NAICS'!D:D, MATCH('Processed Non-zero DMR Data'!$J598, '2022 SIC to NAICS'!$A:$A, 0))</f>
        <v xml:space="preserve">Sewage Treatment Facilities </v>
      </c>
      <c r="N598" s="90" t="str">
        <f>IFERROR(INDEX('NAICS Code to IS CDR Code'!B:B, MATCH('Processed Non-zero DMR Data'!L598,'NAICS Code to IS CDR Code'!A:A,0)), "NAICS/SIC Not Provided")</f>
        <v>IS4</v>
      </c>
      <c r="O598" s="91" t="str">
        <f>IFERROR(INDEX('NAICS Code to IS CDR Code'!C:C, MATCH('Processed Non-zero DMR Data'!L598,'NAICS Code to IS CDR Code'!A:A,0)), "NAICS/SIC Not Provided")</f>
        <v>Utilities</v>
      </c>
      <c r="P598" s="91" t="str">
        <f>INDEX('11DCA Mapping'!$K:$K, MATCH('Processed Non-zero DMR Data'!I605,'11DCA Mapping'!$J:$J,0))</f>
        <v>Waste Handling, Disposal, Treatment, and Recycling</v>
      </c>
      <c r="Q598" s="91" t="str">
        <f>INDEX('11DCA Mapping'!$L:$L, MATCH('Processed Non-zero DMR Data'!I605,'11DCA Mapping'!$J:$J,0))</f>
        <v>Discharge of non-contact cooling water from facility, and general discharge (CH)</v>
      </c>
      <c r="R598" s="250" t="str">
        <f>VLOOKUP(I598,'DMR POTW Flag'!$A$2:$B$960,2,FALSE)</f>
        <v>POTW</v>
      </c>
      <c r="S598" s="7" t="s">
        <v>67</v>
      </c>
      <c r="T598" s="249" t="s">
        <v>586</v>
      </c>
      <c r="U598" s="8">
        <f>COUNTIFS('Raw Non-zero DMR Data'!$A:$A, 'Processed Non-zero DMR Data'!A598, 'Raw Non-zero DMR Data'!$C:$C, X598, 'Raw Non-zero DMR Data'!$U:$U,'Processed Non-zero DMR Data'!Y598)</f>
        <v>1</v>
      </c>
      <c r="V598" s="8">
        <f>COUNTIFS('Raw Non-zero DMR Data'!$A:$A, 'Processed Non-zero DMR Data'!A598, 'Raw Non-zero DMR Data'!$C:$C, X598, 'Raw Non-zero DMR Data'!$U:$U,'Processed Non-zero DMR Data'!Y598,'Raw Non-zero DMR Data'!$Z:$Z,"Yes")</f>
        <v>1</v>
      </c>
      <c r="W598">
        <v>40.754987499999999</v>
      </c>
      <c r="X598" t="s">
        <v>1114</v>
      </c>
      <c r="Y598" t="s">
        <v>1115</v>
      </c>
      <c r="Z598" s="257">
        <v>51100011004</v>
      </c>
    </row>
    <row r="599" spans="1:26" ht="15" customHeight="1" x14ac:dyDescent="0.25">
      <c r="A599">
        <v>2021</v>
      </c>
      <c r="B599" t="s">
        <v>136</v>
      </c>
      <c r="C599" t="s">
        <v>137</v>
      </c>
      <c r="D599" t="s">
        <v>1020</v>
      </c>
      <c r="E599" t="s">
        <v>138</v>
      </c>
      <c r="F599">
        <v>37.642310000000002</v>
      </c>
      <c r="G599">
        <v>-85.903570000000002</v>
      </c>
      <c r="I599" s="1">
        <v>110000571373</v>
      </c>
      <c r="J599">
        <v>4952</v>
      </c>
      <c r="K599" s="175" t="str">
        <f>INDEX('2022 SIC to NAICS'!B:B, MATCH('Processed Non-zero DMR Data'!$J599, '2022 SIC to NAICS'!$A:$A, 0))</f>
        <v>Sewerage Systems</v>
      </c>
      <c r="L599" s="175">
        <f>INDEX('2022 SIC to NAICS'!C:C, MATCH('Processed Non-zero DMR Data'!$J599, '2022 SIC to NAICS'!$A:$A, 0))</f>
        <v>221320</v>
      </c>
      <c r="M599" s="175" t="str">
        <f>INDEX('2022 SIC to NAICS'!D:D, MATCH('Processed Non-zero DMR Data'!$J599, '2022 SIC to NAICS'!$A:$A, 0))</f>
        <v xml:space="preserve">Sewage Treatment Facilities </v>
      </c>
      <c r="N599" s="90" t="str">
        <f>IFERROR(INDEX('NAICS Code to IS CDR Code'!B:B, MATCH('Processed Non-zero DMR Data'!L599,'NAICS Code to IS CDR Code'!A:A,0)), "NAICS/SIC Not Provided")</f>
        <v>IS4</v>
      </c>
      <c r="O599" s="91" t="str">
        <f>IFERROR(INDEX('NAICS Code to IS CDR Code'!C:C, MATCH('Processed Non-zero DMR Data'!L599,'NAICS Code to IS CDR Code'!A:A,0)), "NAICS/SIC Not Provided")</f>
        <v>Utilities</v>
      </c>
      <c r="P599" s="91" t="str">
        <f>INDEX('11DCA Mapping'!$K:$K, MATCH('Processed Non-zero DMR Data'!I606,'11DCA Mapping'!$J:$J,0))</f>
        <v>Waste Handling, Disposal, Treatment, and Recycling</v>
      </c>
      <c r="Q599" s="91" t="str">
        <f>INDEX('11DCA Mapping'!$L:$L, MATCH('Processed Non-zero DMR Data'!I606,'11DCA Mapping'!$J:$J,0))</f>
        <v>Discharge of non-contact cooling water from facility, and general discharge (CH)</v>
      </c>
      <c r="R599" s="250" t="str">
        <f>VLOOKUP(I599,'DMR POTW Flag'!$A$2:$B$960,2,FALSE)</f>
        <v>POTW</v>
      </c>
      <c r="S599" s="7" t="s">
        <v>67</v>
      </c>
      <c r="T599" s="249" t="s">
        <v>586</v>
      </c>
      <c r="U599" s="8">
        <f>COUNTIFS('Raw Non-zero DMR Data'!$A:$A, 'Processed Non-zero DMR Data'!A599, 'Raw Non-zero DMR Data'!$C:$C, X599, 'Raw Non-zero DMR Data'!$U:$U,'Processed Non-zero DMR Data'!Y599)</f>
        <v>1</v>
      </c>
      <c r="V599" s="8">
        <f>COUNTIFS('Raw Non-zero DMR Data'!$A:$A, 'Processed Non-zero DMR Data'!A599, 'Raw Non-zero DMR Data'!$C:$C, X599, 'Raw Non-zero DMR Data'!$U:$U,'Processed Non-zero DMR Data'!Y599,'Raw Non-zero DMR Data'!$Z:$Z,"Yes")</f>
        <v>1</v>
      </c>
      <c r="W599">
        <v>22.7951625</v>
      </c>
      <c r="X599" t="s">
        <v>1114</v>
      </c>
      <c r="Y599" t="s">
        <v>1115</v>
      </c>
      <c r="Z599" s="257">
        <v>51100011004</v>
      </c>
    </row>
    <row r="600" spans="1:26" ht="15" customHeight="1" x14ac:dyDescent="0.25">
      <c r="A600">
        <v>2022</v>
      </c>
      <c r="B600" t="s">
        <v>136</v>
      </c>
      <c r="C600" t="s">
        <v>137</v>
      </c>
      <c r="D600" t="s">
        <v>1020</v>
      </c>
      <c r="E600" t="s">
        <v>138</v>
      </c>
      <c r="F600">
        <v>37.642310000000002</v>
      </c>
      <c r="G600">
        <v>-85.903570000000002</v>
      </c>
      <c r="I600" s="1">
        <v>110000571373</v>
      </c>
      <c r="J600">
        <v>4952</v>
      </c>
      <c r="K600" s="175" t="str">
        <f>INDEX('2022 SIC to NAICS'!B:B, MATCH('Processed Non-zero DMR Data'!$J600, '2022 SIC to NAICS'!$A:$A, 0))</f>
        <v>Sewerage Systems</v>
      </c>
      <c r="L600" s="175">
        <f>INDEX('2022 SIC to NAICS'!C:C, MATCH('Processed Non-zero DMR Data'!$J600, '2022 SIC to NAICS'!$A:$A, 0))</f>
        <v>221320</v>
      </c>
      <c r="M600" s="175" t="str">
        <f>INDEX('2022 SIC to NAICS'!D:D, MATCH('Processed Non-zero DMR Data'!$J600, '2022 SIC to NAICS'!$A:$A, 0))</f>
        <v xml:space="preserve">Sewage Treatment Facilities </v>
      </c>
      <c r="N600" s="90" t="str">
        <f>IFERROR(INDEX('NAICS Code to IS CDR Code'!B:B, MATCH('Processed Non-zero DMR Data'!L600,'NAICS Code to IS CDR Code'!A:A,0)), "NAICS/SIC Not Provided")</f>
        <v>IS4</v>
      </c>
      <c r="O600" s="91" t="str">
        <f>IFERROR(INDEX('NAICS Code to IS CDR Code'!C:C, MATCH('Processed Non-zero DMR Data'!L600,'NAICS Code to IS CDR Code'!A:A,0)), "NAICS/SIC Not Provided")</f>
        <v>Utilities</v>
      </c>
      <c r="P600" s="91" t="str">
        <f>INDEX('11DCA Mapping'!$K:$K, MATCH('Processed Non-zero DMR Data'!I607,'11DCA Mapping'!$J:$J,0))</f>
        <v>Waste Handling, Disposal, Treatment, and Recycling</v>
      </c>
      <c r="Q600" s="91" t="str">
        <f>INDEX('11DCA Mapping'!$L:$L, MATCH('Processed Non-zero DMR Data'!I607,'11DCA Mapping'!$J:$J,0))</f>
        <v>Discharge of non-contact cooling water from facility, and general discharge (CH)</v>
      </c>
      <c r="R600" s="250" t="str">
        <f>VLOOKUP(I600,'DMR POTW Flag'!$A$2:$B$960,2,FALSE)</f>
        <v>POTW</v>
      </c>
      <c r="S600" s="7" t="s">
        <v>67</v>
      </c>
      <c r="T600" s="249" t="s">
        <v>586</v>
      </c>
      <c r="U600" s="8">
        <f>COUNTIFS('Raw Non-zero DMR Data'!$A:$A, 'Processed Non-zero DMR Data'!A600, 'Raw Non-zero DMR Data'!$C:$C, X600, 'Raw Non-zero DMR Data'!$U:$U,'Processed Non-zero DMR Data'!Y600)</f>
        <v>1</v>
      </c>
      <c r="V600" s="8">
        <f>COUNTIFS('Raw Non-zero DMR Data'!$A:$A, 'Processed Non-zero DMR Data'!A600, 'Raw Non-zero DMR Data'!$C:$C, X600, 'Raw Non-zero DMR Data'!$U:$U,'Processed Non-zero DMR Data'!Y600,'Raw Non-zero DMR Data'!$Z:$Z,"Yes")</f>
        <v>1</v>
      </c>
      <c r="W600">
        <v>20.0321125</v>
      </c>
      <c r="X600" t="s">
        <v>1114</v>
      </c>
      <c r="Y600" t="s">
        <v>1115</v>
      </c>
      <c r="Z600" s="257">
        <v>51100011004</v>
      </c>
    </row>
    <row r="601" spans="1:26" ht="15" customHeight="1" x14ac:dyDescent="0.25">
      <c r="A601">
        <v>2023</v>
      </c>
      <c r="B601" t="s">
        <v>136</v>
      </c>
      <c r="C601" t="s">
        <v>137</v>
      </c>
      <c r="D601" t="s">
        <v>1020</v>
      </c>
      <c r="E601" t="s">
        <v>138</v>
      </c>
      <c r="F601">
        <v>37.642310000000002</v>
      </c>
      <c r="G601">
        <v>-85.903570000000002</v>
      </c>
      <c r="I601" s="1">
        <v>110000571373</v>
      </c>
      <c r="J601">
        <v>4952</v>
      </c>
      <c r="K601" s="175" t="str">
        <f>INDEX('2022 SIC to NAICS'!B:B, MATCH('Processed Non-zero DMR Data'!$J601, '2022 SIC to NAICS'!$A:$A, 0))</f>
        <v>Sewerage Systems</v>
      </c>
      <c r="L601" s="175">
        <f>INDEX('2022 SIC to NAICS'!C:C, MATCH('Processed Non-zero DMR Data'!$J601, '2022 SIC to NAICS'!$A:$A, 0))</f>
        <v>221320</v>
      </c>
      <c r="M601" s="175" t="str">
        <f>INDEX('2022 SIC to NAICS'!D:D, MATCH('Processed Non-zero DMR Data'!$J601, '2022 SIC to NAICS'!$A:$A, 0))</f>
        <v xml:space="preserve">Sewage Treatment Facilities </v>
      </c>
      <c r="N601" s="90" t="str">
        <f>IFERROR(INDEX('NAICS Code to IS CDR Code'!B:B, MATCH('Processed Non-zero DMR Data'!L601,'NAICS Code to IS CDR Code'!A:A,0)), "NAICS/SIC Not Provided")</f>
        <v>IS4</v>
      </c>
      <c r="O601" s="91" t="str">
        <f>IFERROR(INDEX('NAICS Code to IS CDR Code'!C:C, MATCH('Processed Non-zero DMR Data'!L601,'NAICS Code to IS CDR Code'!A:A,0)), "NAICS/SIC Not Provided")</f>
        <v>Utilities</v>
      </c>
      <c r="P601" s="91" t="str">
        <f>INDEX('11DCA Mapping'!$K:$K, MATCH('Processed Non-zero DMR Data'!I608,'11DCA Mapping'!$J:$J,0))</f>
        <v>Waste Handling, Disposal, Treatment, and Recycling</v>
      </c>
      <c r="Q601" s="91" t="str">
        <f>INDEX('11DCA Mapping'!$L:$L, MATCH('Processed Non-zero DMR Data'!I608,'11DCA Mapping'!$J:$J,0))</f>
        <v>Discharge of non-contact cooling water from facility, and general discharge (CH)</v>
      </c>
      <c r="R601" s="250" t="str">
        <f>VLOOKUP(I601,'DMR POTW Flag'!$A$2:$B$960,2,FALSE)</f>
        <v>POTW</v>
      </c>
      <c r="S601" s="7" t="s">
        <v>67</v>
      </c>
      <c r="T601" s="249" t="s">
        <v>586</v>
      </c>
      <c r="U601" s="8">
        <f>COUNTIFS('Raw Non-zero DMR Data'!$A:$A, 'Processed Non-zero DMR Data'!A601, 'Raw Non-zero DMR Data'!$C:$C, X601, 'Raw Non-zero DMR Data'!$U:$U,'Processed Non-zero DMR Data'!Y601)</f>
        <v>1</v>
      </c>
      <c r="V601" s="8">
        <f>COUNTIFS('Raw Non-zero DMR Data'!$A:$A, 'Processed Non-zero DMR Data'!A601, 'Raw Non-zero DMR Data'!$C:$C, X601, 'Raw Non-zero DMR Data'!$U:$U,'Processed Non-zero DMR Data'!Y601,'Raw Non-zero DMR Data'!$Z:$Z,"Yes")</f>
        <v>1</v>
      </c>
      <c r="W601">
        <v>3.3156599999999998</v>
      </c>
      <c r="X601" t="s">
        <v>1114</v>
      </c>
      <c r="Y601" t="s">
        <v>1115</v>
      </c>
      <c r="Z601" s="257">
        <v>51100011004</v>
      </c>
    </row>
    <row r="602" spans="1:26" ht="15" customHeight="1" x14ac:dyDescent="0.25">
      <c r="A602">
        <v>2019</v>
      </c>
      <c r="B602" t="s">
        <v>156</v>
      </c>
      <c r="C602" t="s">
        <v>157</v>
      </c>
      <c r="D602" t="s">
        <v>575</v>
      </c>
      <c r="E602" t="s">
        <v>158</v>
      </c>
      <c r="F602">
        <v>36.122100000000003</v>
      </c>
      <c r="G602">
        <v>-115.17139</v>
      </c>
      <c r="I602" s="1">
        <v>110004306938</v>
      </c>
      <c r="J602">
        <v>7011</v>
      </c>
      <c r="K602" s="175" t="str">
        <f>INDEX('2022 SIC to NAICS'!B:B, MATCH('Processed Non-zero DMR Data'!$J602, '2022 SIC to NAICS'!$A:$A, 0))</f>
        <v>Hotels and Motels</v>
      </c>
      <c r="L602" s="175">
        <f>INDEX('2022 SIC to NAICS'!C:C, MATCH('Processed Non-zero DMR Data'!$J602, '2022 SIC to NAICS'!$A:$A, 0))</f>
        <v>721110</v>
      </c>
      <c r="M602" s="175" t="str">
        <f>INDEX('2022 SIC to NAICS'!D:D, MATCH('Processed Non-zero DMR Data'!$J602, '2022 SIC to NAICS'!$A:$A, 0))</f>
        <v xml:space="preserve">Hotels (except Casino Hotels) and Motels </v>
      </c>
      <c r="N602" s="90" t="str">
        <f>IFERROR(INDEX('NAICS Code to IS CDR Code'!B:B, MATCH('Processed Non-zero DMR Data'!L602,'NAICS Code to IS CDR Code'!A:A,0)), "NAICS/SIC Not Provided")</f>
        <v>IS47</v>
      </c>
      <c r="O602" s="91" t="str">
        <f>IFERROR(INDEX('NAICS Code to IS CDR Code'!C:C, MATCH('Processed Non-zero DMR Data'!L602,'NAICS Code to IS CDR Code'!A:A,0)), "NAICS/SIC Not Provided")</f>
        <v>Services</v>
      </c>
      <c r="P602" s="91" t="str">
        <f>INDEX('11DCA Mapping'!$K:$K, MATCH('Processed Non-zero DMR Data'!I609,'11DCA Mapping'!$J:$J,0))</f>
        <v>Waste Handling, Disposal, Treatment, and Recycling</v>
      </c>
      <c r="Q602" s="91" t="str">
        <f>INDEX('11DCA Mapping'!$L:$L, MATCH('Processed Non-zero DMR Data'!I609,'11DCA Mapping'!$J:$J,0))</f>
        <v>Discharge of non-contact cooling water from facility, and general discharge (CH)</v>
      </c>
      <c r="R602" s="250" t="str">
        <f>VLOOKUP(I602,'DMR POTW Flag'!$A$2:$B$960,2,FALSE)</f>
        <v>NON-POTW</v>
      </c>
      <c r="S602" s="249" t="s">
        <v>68</v>
      </c>
      <c r="T602" s="249" t="s">
        <v>1116</v>
      </c>
      <c r="U602" s="8">
        <f>COUNTIFS('Raw Non-zero DMR Data'!$A:$A, 'Processed Non-zero DMR Data'!A602, 'Raw Non-zero DMR Data'!$C:$C, X602, 'Raw Non-zero DMR Data'!$U:$U,'Processed Non-zero DMR Data'!Y602)</f>
        <v>6</v>
      </c>
      <c r="V602" s="8">
        <f>COUNTIFS('Raw Non-zero DMR Data'!$A:$A, 'Processed Non-zero DMR Data'!A602, 'Raw Non-zero DMR Data'!$C:$C, X602, 'Raw Non-zero DMR Data'!$U:$U,'Processed Non-zero DMR Data'!Y602,'Raw Non-zero DMR Data'!$Z:$Z,"Yes")</f>
        <v>6</v>
      </c>
      <c r="W602">
        <v>0.1224687374375</v>
      </c>
      <c r="X602" t="s">
        <v>1117</v>
      </c>
      <c r="Y602" t="s">
        <v>578</v>
      </c>
      <c r="Z602" s="257">
        <v>150100150604</v>
      </c>
    </row>
    <row r="603" spans="1:26" ht="15" customHeight="1" x14ac:dyDescent="0.25">
      <c r="A603">
        <v>2019</v>
      </c>
      <c r="B603" t="s">
        <v>156</v>
      </c>
      <c r="C603" t="s">
        <v>157</v>
      </c>
      <c r="D603" t="s">
        <v>575</v>
      </c>
      <c r="E603" t="s">
        <v>158</v>
      </c>
      <c r="F603">
        <v>36.122100000000003</v>
      </c>
      <c r="G603">
        <v>-115.17139</v>
      </c>
      <c r="I603" s="1">
        <v>110004306938</v>
      </c>
      <c r="J603">
        <v>7011</v>
      </c>
      <c r="K603" s="175" t="str">
        <f>INDEX('2022 SIC to NAICS'!B:B, MATCH('Processed Non-zero DMR Data'!$J603, '2022 SIC to NAICS'!$A:$A, 0))</f>
        <v>Hotels and Motels</v>
      </c>
      <c r="L603" s="175">
        <f>INDEX('2022 SIC to NAICS'!C:C, MATCH('Processed Non-zero DMR Data'!$J603, '2022 SIC to NAICS'!$A:$A, 0))</f>
        <v>721110</v>
      </c>
      <c r="M603" s="175" t="str">
        <f>INDEX('2022 SIC to NAICS'!D:D, MATCH('Processed Non-zero DMR Data'!$J603, '2022 SIC to NAICS'!$A:$A, 0))</f>
        <v xml:space="preserve">Hotels (except Casino Hotels) and Motels </v>
      </c>
      <c r="N603" s="90" t="str">
        <f>IFERROR(INDEX('NAICS Code to IS CDR Code'!B:B, MATCH('Processed Non-zero DMR Data'!L603,'NAICS Code to IS CDR Code'!A:A,0)), "NAICS/SIC Not Provided")</f>
        <v>IS47</v>
      </c>
      <c r="O603" s="91" t="str">
        <f>IFERROR(INDEX('NAICS Code to IS CDR Code'!C:C, MATCH('Processed Non-zero DMR Data'!L603,'NAICS Code to IS CDR Code'!A:A,0)), "NAICS/SIC Not Provided")</f>
        <v>Services</v>
      </c>
      <c r="P603" s="91" t="str">
        <f>INDEX('11DCA Mapping'!$K:$K, MATCH('Processed Non-zero DMR Data'!I610,'11DCA Mapping'!$J:$J,0))</f>
        <v>Waste Handling, Disposal, Treatment, and Recycling</v>
      </c>
      <c r="Q603" s="91" t="str">
        <f>INDEX('11DCA Mapping'!$L:$L, MATCH('Processed Non-zero DMR Data'!I610,'11DCA Mapping'!$J:$J,0))</f>
        <v>Discharge of non-contact cooling water from facility, and general discharge (CH)</v>
      </c>
      <c r="R603" s="250" t="str">
        <f>VLOOKUP(I603,'DMR POTW Flag'!$A$2:$B$960,2,FALSE)</f>
        <v>NON-POTW</v>
      </c>
      <c r="S603" s="249" t="s">
        <v>68</v>
      </c>
      <c r="T603" s="249" t="s">
        <v>1116</v>
      </c>
      <c r="U603" s="8">
        <f>COUNTIFS('Raw Non-zero DMR Data'!$A:$A, 'Processed Non-zero DMR Data'!A603, 'Raw Non-zero DMR Data'!$C:$C, X603, 'Raw Non-zero DMR Data'!$U:$U,'Processed Non-zero DMR Data'!Y603)</f>
        <v>6</v>
      </c>
      <c r="V603" s="8">
        <f>COUNTIFS('Raw Non-zero DMR Data'!$A:$A, 'Processed Non-zero DMR Data'!A603, 'Raw Non-zero DMR Data'!$C:$C, X603, 'Raw Non-zero DMR Data'!$U:$U,'Processed Non-zero DMR Data'!Y603,'Raw Non-zero DMR Data'!$Z:$Z,"Yes")</f>
        <v>6</v>
      </c>
      <c r="W603">
        <v>3.61579630625E-2</v>
      </c>
      <c r="X603" t="s">
        <v>1117</v>
      </c>
      <c r="Y603" t="s">
        <v>578</v>
      </c>
      <c r="Z603" s="257">
        <v>150100150604</v>
      </c>
    </row>
    <row r="604" spans="1:26" ht="15" customHeight="1" x14ac:dyDescent="0.25">
      <c r="A604">
        <v>2019</v>
      </c>
      <c r="B604" t="s">
        <v>156</v>
      </c>
      <c r="C604" t="s">
        <v>157</v>
      </c>
      <c r="D604" t="s">
        <v>575</v>
      </c>
      <c r="E604" t="s">
        <v>158</v>
      </c>
      <c r="F604">
        <v>36.122100000000003</v>
      </c>
      <c r="G604">
        <v>-115.17139</v>
      </c>
      <c r="I604" s="1">
        <v>110004306938</v>
      </c>
      <c r="J604">
        <v>7011</v>
      </c>
      <c r="K604" s="175" t="str">
        <f>INDEX('2022 SIC to NAICS'!B:B, MATCH('Processed Non-zero DMR Data'!$J604, '2022 SIC to NAICS'!$A:$A, 0))</f>
        <v>Hotels and Motels</v>
      </c>
      <c r="L604" s="175">
        <f>INDEX('2022 SIC to NAICS'!C:C, MATCH('Processed Non-zero DMR Data'!$J604, '2022 SIC to NAICS'!$A:$A, 0))</f>
        <v>721110</v>
      </c>
      <c r="M604" s="175" t="str">
        <f>INDEX('2022 SIC to NAICS'!D:D, MATCH('Processed Non-zero DMR Data'!$J604, '2022 SIC to NAICS'!$A:$A, 0))</f>
        <v xml:space="preserve">Hotels (except Casino Hotels) and Motels </v>
      </c>
      <c r="N604" s="90" t="str">
        <f>IFERROR(INDEX('NAICS Code to IS CDR Code'!B:B, MATCH('Processed Non-zero DMR Data'!L604,'NAICS Code to IS CDR Code'!A:A,0)), "NAICS/SIC Not Provided")</f>
        <v>IS47</v>
      </c>
      <c r="O604" s="91" t="str">
        <f>IFERROR(INDEX('NAICS Code to IS CDR Code'!C:C, MATCH('Processed Non-zero DMR Data'!L604,'NAICS Code to IS CDR Code'!A:A,0)), "NAICS/SIC Not Provided")</f>
        <v>Services</v>
      </c>
      <c r="P604" s="91" t="str">
        <f>INDEX('11DCA Mapping'!$K:$K, MATCH('Processed Non-zero DMR Data'!I611,'11DCA Mapping'!$J:$J,0))</f>
        <v>Waste Handling, Disposal, Treatment, and Recycling</v>
      </c>
      <c r="Q604" s="91" t="str">
        <f>INDEX('11DCA Mapping'!$L:$L, MATCH('Processed Non-zero DMR Data'!I611,'11DCA Mapping'!$J:$J,0))</f>
        <v>Discharge of non-contact cooling water from facility, and general discharge (CH)</v>
      </c>
      <c r="R604" s="250" t="str">
        <f>VLOOKUP(I604,'DMR POTW Flag'!$A$2:$B$960,2,FALSE)</f>
        <v>NON-POTW</v>
      </c>
      <c r="S604" s="249" t="s">
        <v>68</v>
      </c>
      <c r="T604" s="249" t="s">
        <v>1116</v>
      </c>
      <c r="U604" s="8">
        <f>COUNTIFS('Raw Non-zero DMR Data'!$A:$A, 'Processed Non-zero DMR Data'!A604, 'Raw Non-zero DMR Data'!$C:$C, X604, 'Raw Non-zero DMR Data'!$U:$U,'Processed Non-zero DMR Data'!Y604)</f>
        <v>6</v>
      </c>
      <c r="V604" s="8">
        <f>COUNTIFS('Raw Non-zero DMR Data'!$A:$A, 'Processed Non-zero DMR Data'!A604, 'Raw Non-zero DMR Data'!$C:$C, X604, 'Raw Non-zero DMR Data'!$U:$U,'Processed Non-zero DMR Data'!Y604,'Raw Non-zero DMR Data'!$Z:$Z,"Yes")</f>
        <v>6</v>
      </c>
      <c r="W604">
        <v>4.2723660624999996E-3</v>
      </c>
      <c r="X604" t="s">
        <v>1117</v>
      </c>
      <c r="Y604" t="s">
        <v>578</v>
      </c>
      <c r="Z604" s="257">
        <v>150100150604</v>
      </c>
    </row>
    <row r="605" spans="1:26" ht="15" customHeight="1" x14ac:dyDescent="0.25">
      <c r="A605">
        <v>2019</v>
      </c>
      <c r="B605" t="s">
        <v>156</v>
      </c>
      <c r="C605" t="s">
        <v>157</v>
      </c>
      <c r="D605" t="s">
        <v>575</v>
      </c>
      <c r="E605" t="s">
        <v>158</v>
      </c>
      <c r="F605">
        <v>36.122100000000003</v>
      </c>
      <c r="G605">
        <v>-115.17139</v>
      </c>
      <c r="I605" s="1">
        <v>110004306938</v>
      </c>
      <c r="J605">
        <v>7011</v>
      </c>
      <c r="K605" s="175" t="str">
        <f>INDEX('2022 SIC to NAICS'!B:B, MATCH('Processed Non-zero DMR Data'!$J605, '2022 SIC to NAICS'!$A:$A, 0))</f>
        <v>Hotels and Motels</v>
      </c>
      <c r="L605" s="175">
        <f>INDEX('2022 SIC to NAICS'!C:C, MATCH('Processed Non-zero DMR Data'!$J605, '2022 SIC to NAICS'!$A:$A, 0))</f>
        <v>721110</v>
      </c>
      <c r="M605" s="175" t="str">
        <f>INDEX('2022 SIC to NAICS'!D:D, MATCH('Processed Non-zero DMR Data'!$J605, '2022 SIC to NAICS'!$A:$A, 0))</f>
        <v xml:space="preserve">Hotels (except Casino Hotels) and Motels </v>
      </c>
      <c r="N605" s="90" t="str">
        <f>IFERROR(INDEX('NAICS Code to IS CDR Code'!B:B, MATCH('Processed Non-zero DMR Data'!L605,'NAICS Code to IS CDR Code'!A:A,0)), "NAICS/SIC Not Provided")</f>
        <v>IS47</v>
      </c>
      <c r="O605" s="91" t="str">
        <f>IFERROR(INDEX('NAICS Code to IS CDR Code'!C:C, MATCH('Processed Non-zero DMR Data'!L605,'NAICS Code to IS CDR Code'!A:A,0)), "NAICS/SIC Not Provided")</f>
        <v>Services</v>
      </c>
      <c r="P605" s="91" t="str">
        <f>INDEX('11DCA Mapping'!$K:$K, MATCH('Processed Non-zero DMR Data'!I612,'11DCA Mapping'!$J:$J,0))</f>
        <v>Waste Handling, Disposal, Treatment, and Recycling</v>
      </c>
      <c r="Q605" s="91" t="str">
        <f>INDEX('11DCA Mapping'!$L:$L, MATCH('Processed Non-zero DMR Data'!I612,'11DCA Mapping'!$J:$J,0))</f>
        <v>Discharge of non-contact cooling water from facility, and general discharge (CH)</v>
      </c>
      <c r="R605" s="250" t="str">
        <f>VLOOKUP(I605,'DMR POTW Flag'!$A$2:$B$960,2,FALSE)</f>
        <v>NON-POTW</v>
      </c>
      <c r="S605" s="249" t="s">
        <v>68</v>
      </c>
      <c r="T605" s="249" t="s">
        <v>1116</v>
      </c>
      <c r="U605" s="8">
        <f>COUNTIFS('Raw Non-zero DMR Data'!$A:$A, 'Processed Non-zero DMR Data'!A605, 'Raw Non-zero DMR Data'!$C:$C, X605, 'Raw Non-zero DMR Data'!$U:$U,'Processed Non-zero DMR Data'!Y605)</f>
        <v>6</v>
      </c>
      <c r="V605" s="8">
        <f>COUNTIFS('Raw Non-zero DMR Data'!$A:$A, 'Processed Non-zero DMR Data'!A605, 'Raw Non-zero DMR Data'!$C:$C, X605, 'Raw Non-zero DMR Data'!$U:$U,'Processed Non-zero DMR Data'!Y605,'Raw Non-zero DMR Data'!$Z:$Z,"Yes")</f>
        <v>6</v>
      </c>
      <c r="W605">
        <v>1.34456920625E-2</v>
      </c>
      <c r="X605" t="s">
        <v>1117</v>
      </c>
      <c r="Y605" t="s">
        <v>578</v>
      </c>
      <c r="Z605" s="257">
        <v>150100150604</v>
      </c>
    </row>
    <row r="606" spans="1:26" ht="15" customHeight="1" x14ac:dyDescent="0.25">
      <c r="A606">
        <v>2019</v>
      </c>
      <c r="B606" t="s">
        <v>156</v>
      </c>
      <c r="C606" t="s">
        <v>157</v>
      </c>
      <c r="D606" t="s">
        <v>575</v>
      </c>
      <c r="E606" t="s">
        <v>158</v>
      </c>
      <c r="F606">
        <v>36.122100000000003</v>
      </c>
      <c r="G606">
        <v>-115.17139</v>
      </c>
      <c r="I606" s="1">
        <v>110004306938</v>
      </c>
      <c r="J606">
        <v>7011</v>
      </c>
      <c r="K606" s="175" t="str">
        <f>INDEX('2022 SIC to NAICS'!B:B, MATCH('Processed Non-zero DMR Data'!$J606, '2022 SIC to NAICS'!$A:$A, 0))</f>
        <v>Hotels and Motels</v>
      </c>
      <c r="L606" s="175">
        <f>INDEX('2022 SIC to NAICS'!C:C, MATCH('Processed Non-zero DMR Data'!$J606, '2022 SIC to NAICS'!$A:$A, 0))</f>
        <v>721110</v>
      </c>
      <c r="M606" s="175" t="str">
        <f>INDEX('2022 SIC to NAICS'!D:D, MATCH('Processed Non-zero DMR Data'!$J606, '2022 SIC to NAICS'!$A:$A, 0))</f>
        <v xml:space="preserve">Hotels (except Casino Hotels) and Motels </v>
      </c>
      <c r="N606" s="90" t="str">
        <f>IFERROR(INDEX('NAICS Code to IS CDR Code'!B:B, MATCH('Processed Non-zero DMR Data'!L606,'NAICS Code to IS CDR Code'!A:A,0)), "NAICS/SIC Not Provided")</f>
        <v>IS47</v>
      </c>
      <c r="O606" s="91" t="str">
        <f>IFERROR(INDEX('NAICS Code to IS CDR Code'!C:C, MATCH('Processed Non-zero DMR Data'!L606,'NAICS Code to IS CDR Code'!A:A,0)), "NAICS/SIC Not Provided")</f>
        <v>Services</v>
      </c>
      <c r="P606" s="91" t="str">
        <f>INDEX('11DCA Mapping'!$K:$K, MATCH('Processed Non-zero DMR Data'!I613,'11DCA Mapping'!$J:$J,0))</f>
        <v>Waste Handling, Disposal, Treatment, and Recycling</v>
      </c>
      <c r="Q606" s="91" t="str">
        <f>INDEX('11DCA Mapping'!$L:$L, MATCH('Processed Non-zero DMR Data'!I613,'11DCA Mapping'!$J:$J,0))</f>
        <v>Discharge of non-contact cooling water from facility, and general discharge (CH)</v>
      </c>
      <c r="R606" s="250" t="str">
        <f>VLOOKUP(I606,'DMR POTW Flag'!$A$2:$B$960,2,FALSE)</f>
        <v>NON-POTW</v>
      </c>
      <c r="S606" s="249" t="s">
        <v>68</v>
      </c>
      <c r="T606" s="249" t="s">
        <v>1116</v>
      </c>
      <c r="U606" s="8">
        <f>COUNTIFS('Raw Non-zero DMR Data'!$A:$A, 'Processed Non-zero DMR Data'!A606, 'Raw Non-zero DMR Data'!$C:$C, X606, 'Raw Non-zero DMR Data'!$U:$U,'Processed Non-zero DMR Data'!Y606)</f>
        <v>6</v>
      </c>
      <c r="V606" s="8">
        <f>COUNTIFS('Raw Non-zero DMR Data'!$A:$A, 'Processed Non-zero DMR Data'!A606, 'Raw Non-zero DMR Data'!$C:$C, X606, 'Raw Non-zero DMR Data'!$U:$U,'Processed Non-zero DMR Data'!Y606,'Raw Non-zero DMR Data'!$Z:$Z,"Yes")</f>
        <v>6</v>
      </c>
      <c r="W606">
        <v>1.5086253000000001E-2</v>
      </c>
      <c r="X606" t="s">
        <v>1117</v>
      </c>
      <c r="Y606" t="s">
        <v>578</v>
      </c>
      <c r="Z606" s="257">
        <v>150100150604</v>
      </c>
    </row>
    <row r="607" spans="1:26" ht="15" customHeight="1" x14ac:dyDescent="0.25">
      <c r="A607">
        <v>2019</v>
      </c>
      <c r="B607" t="s">
        <v>156</v>
      </c>
      <c r="C607" t="s">
        <v>157</v>
      </c>
      <c r="D607" t="s">
        <v>575</v>
      </c>
      <c r="E607" t="s">
        <v>158</v>
      </c>
      <c r="F607">
        <v>36.122100000000003</v>
      </c>
      <c r="G607">
        <v>-115.17139</v>
      </c>
      <c r="I607" s="1">
        <v>110004306938</v>
      </c>
      <c r="J607">
        <v>7011</v>
      </c>
      <c r="K607" s="175" t="str">
        <f>INDEX('2022 SIC to NAICS'!B:B, MATCH('Processed Non-zero DMR Data'!$J607, '2022 SIC to NAICS'!$A:$A, 0))</f>
        <v>Hotels and Motels</v>
      </c>
      <c r="L607" s="175">
        <f>INDEX('2022 SIC to NAICS'!C:C, MATCH('Processed Non-zero DMR Data'!$J607, '2022 SIC to NAICS'!$A:$A, 0))</f>
        <v>721110</v>
      </c>
      <c r="M607" s="175" t="str">
        <f>INDEX('2022 SIC to NAICS'!D:D, MATCH('Processed Non-zero DMR Data'!$J607, '2022 SIC to NAICS'!$A:$A, 0))</f>
        <v xml:space="preserve">Hotels (except Casino Hotels) and Motels </v>
      </c>
      <c r="N607" s="90" t="str">
        <f>IFERROR(INDEX('NAICS Code to IS CDR Code'!B:B, MATCH('Processed Non-zero DMR Data'!L607,'NAICS Code to IS CDR Code'!A:A,0)), "NAICS/SIC Not Provided")</f>
        <v>IS47</v>
      </c>
      <c r="O607" s="91" t="str">
        <f>IFERROR(INDEX('NAICS Code to IS CDR Code'!C:C, MATCH('Processed Non-zero DMR Data'!L607,'NAICS Code to IS CDR Code'!A:A,0)), "NAICS/SIC Not Provided")</f>
        <v>Services</v>
      </c>
      <c r="P607" s="91" t="str">
        <f>INDEX('11DCA Mapping'!$K:$K, MATCH('Processed Non-zero DMR Data'!I614,'11DCA Mapping'!$J:$J,0))</f>
        <v>Waste Handling, Disposal, Treatment, and Recycling</v>
      </c>
      <c r="Q607" s="91" t="str">
        <f>INDEX('11DCA Mapping'!$L:$L, MATCH('Processed Non-zero DMR Data'!I614,'11DCA Mapping'!$J:$J,0))</f>
        <v>Discharge of non-contact cooling water from facility, and general discharge (CH)</v>
      </c>
      <c r="R607" s="250" t="str">
        <f>VLOOKUP(I607,'DMR POTW Flag'!$A$2:$B$960,2,FALSE)</f>
        <v>NON-POTW</v>
      </c>
      <c r="S607" s="249" t="s">
        <v>68</v>
      </c>
      <c r="T607" s="249" t="s">
        <v>1116</v>
      </c>
      <c r="U607" s="8">
        <f>COUNTIFS('Raw Non-zero DMR Data'!$A:$A, 'Processed Non-zero DMR Data'!A607, 'Raw Non-zero DMR Data'!$C:$C, X607, 'Raw Non-zero DMR Data'!$U:$U,'Processed Non-zero DMR Data'!Y607)</f>
        <v>6</v>
      </c>
      <c r="V607" s="8">
        <f>COUNTIFS('Raw Non-zero DMR Data'!$A:$A, 'Processed Non-zero DMR Data'!A607, 'Raw Non-zero DMR Data'!$C:$C, X607, 'Raw Non-zero DMR Data'!$U:$U,'Processed Non-zero DMR Data'!Y607,'Raw Non-zero DMR Data'!$Z:$Z,"Yes")</f>
        <v>6</v>
      </c>
      <c r="W607">
        <v>7.4878655000000004E-3</v>
      </c>
      <c r="X607" t="s">
        <v>1117</v>
      </c>
      <c r="Y607" t="s">
        <v>578</v>
      </c>
      <c r="Z607" s="257">
        <v>150100150604</v>
      </c>
    </row>
    <row r="608" spans="1:26" ht="15" customHeight="1" x14ac:dyDescent="0.25">
      <c r="A608">
        <v>2020</v>
      </c>
      <c r="B608" t="s">
        <v>156</v>
      </c>
      <c r="C608" t="s">
        <v>157</v>
      </c>
      <c r="D608" t="s">
        <v>575</v>
      </c>
      <c r="E608" t="s">
        <v>158</v>
      </c>
      <c r="F608">
        <v>36.122100000000003</v>
      </c>
      <c r="G608">
        <v>-115.17139</v>
      </c>
      <c r="I608" s="1">
        <v>110004306938</v>
      </c>
      <c r="J608">
        <v>7011</v>
      </c>
      <c r="K608" s="175" t="str">
        <f>INDEX('2022 SIC to NAICS'!B:B, MATCH('Processed Non-zero DMR Data'!$J608, '2022 SIC to NAICS'!$A:$A, 0))</f>
        <v>Hotels and Motels</v>
      </c>
      <c r="L608" s="175">
        <f>INDEX('2022 SIC to NAICS'!C:C, MATCH('Processed Non-zero DMR Data'!$J608, '2022 SIC to NAICS'!$A:$A, 0))</f>
        <v>721110</v>
      </c>
      <c r="M608" s="175" t="str">
        <f>INDEX('2022 SIC to NAICS'!D:D, MATCH('Processed Non-zero DMR Data'!$J608, '2022 SIC to NAICS'!$A:$A, 0))</f>
        <v xml:space="preserve">Hotels (except Casino Hotels) and Motels </v>
      </c>
      <c r="N608" s="90" t="str">
        <f>IFERROR(INDEX('NAICS Code to IS CDR Code'!B:B, MATCH('Processed Non-zero DMR Data'!L608,'NAICS Code to IS CDR Code'!A:A,0)), "NAICS/SIC Not Provided")</f>
        <v>IS47</v>
      </c>
      <c r="O608" s="91" t="str">
        <f>IFERROR(INDEX('NAICS Code to IS CDR Code'!C:C, MATCH('Processed Non-zero DMR Data'!L608,'NAICS Code to IS CDR Code'!A:A,0)), "NAICS/SIC Not Provided")</f>
        <v>Services</v>
      </c>
      <c r="P608" s="91" t="str">
        <f>INDEX('11DCA Mapping'!$K:$K, MATCH('Processed Non-zero DMR Data'!I615,'11DCA Mapping'!$J:$J,0))</f>
        <v>Waste Handling, Disposal, Treatment, and Recycling</v>
      </c>
      <c r="Q608" s="91" t="str">
        <f>INDEX('11DCA Mapping'!$L:$L, MATCH('Processed Non-zero DMR Data'!I615,'11DCA Mapping'!$J:$J,0))</f>
        <v>Discharge of non-contact cooling water from facility, and general discharge (CH)</v>
      </c>
      <c r="R608" s="250" t="str">
        <f>VLOOKUP(I608,'DMR POTW Flag'!$A$2:$B$960,2,FALSE)</f>
        <v>NON-POTW</v>
      </c>
      <c r="S608" s="249" t="s">
        <v>68</v>
      </c>
      <c r="T608" s="249" t="s">
        <v>1116</v>
      </c>
      <c r="U608" s="8">
        <f>COUNTIFS('Raw Non-zero DMR Data'!$A:$A, 'Processed Non-zero DMR Data'!A608, 'Raw Non-zero DMR Data'!$C:$C, X608, 'Raw Non-zero DMR Data'!$U:$U,'Processed Non-zero DMR Data'!Y608)</f>
        <v>6</v>
      </c>
      <c r="V608" s="8">
        <f>COUNTIFS('Raw Non-zero DMR Data'!$A:$A, 'Processed Non-zero DMR Data'!A608, 'Raw Non-zero DMR Data'!$C:$C, X608, 'Raw Non-zero DMR Data'!$U:$U,'Processed Non-zero DMR Data'!Y608,'Raw Non-zero DMR Data'!$Z:$Z,"Yes")</f>
        <v>6</v>
      </c>
      <c r="W608">
        <v>3.2673066249999999E-3</v>
      </c>
      <c r="X608" t="s">
        <v>1117</v>
      </c>
      <c r="Y608" t="s">
        <v>578</v>
      </c>
      <c r="Z608" s="257">
        <v>150100150604</v>
      </c>
    </row>
    <row r="609" spans="1:26" ht="15" customHeight="1" x14ac:dyDescent="0.25">
      <c r="A609">
        <v>2020</v>
      </c>
      <c r="B609" t="s">
        <v>156</v>
      </c>
      <c r="C609" t="s">
        <v>157</v>
      </c>
      <c r="D609" t="s">
        <v>575</v>
      </c>
      <c r="E609" t="s">
        <v>158</v>
      </c>
      <c r="F609">
        <v>36.122100000000003</v>
      </c>
      <c r="G609">
        <v>-115.17139</v>
      </c>
      <c r="I609" s="1">
        <v>110004306938</v>
      </c>
      <c r="J609">
        <v>7011</v>
      </c>
      <c r="K609" s="175" t="str">
        <f>INDEX('2022 SIC to NAICS'!B:B, MATCH('Processed Non-zero DMR Data'!$J609, '2022 SIC to NAICS'!$A:$A, 0))</f>
        <v>Hotels and Motels</v>
      </c>
      <c r="L609" s="175">
        <f>INDEX('2022 SIC to NAICS'!C:C, MATCH('Processed Non-zero DMR Data'!$J609, '2022 SIC to NAICS'!$A:$A, 0))</f>
        <v>721110</v>
      </c>
      <c r="M609" s="175" t="str">
        <f>INDEX('2022 SIC to NAICS'!D:D, MATCH('Processed Non-zero DMR Data'!$J609, '2022 SIC to NAICS'!$A:$A, 0))</f>
        <v xml:space="preserve">Hotels (except Casino Hotels) and Motels </v>
      </c>
      <c r="N609" s="90" t="str">
        <f>IFERROR(INDEX('NAICS Code to IS CDR Code'!B:B, MATCH('Processed Non-zero DMR Data'!L609,'NAICS Code to IS CDR Code'!A:A,0)), "NAICS/SIC Not Provided")</f>
        <v>IS47</v>
      </c>
      <c r="O609" s="91" t="str">
        <f>IFERROR(INDEX('NAICS Code to IS CDR Code'!C:C, MATCH('Processed Non-zero DMR Data'!L609,'NAICS Code to IS CDR Code'!A:A,0)), "NAICS/SIC Not Provided")</f>
        <v>Services</v>
      </c>
      <c r="P609" s="91" t="str">
        <f>INDEX('11DCA Mapping'!$K:$K, MATCH('Processed Non-zero DMR Data'!I616,'11DCA Mapping'!$J:$J,0))</f>
        <v>Waste Handling, Disposal, Treatment, and Recycling</v>
      </c>
      <c r="Q609" s="91" t="str">
        <f>INDEX('11DCA Mapping'!$L:$L, MATCH('Processed Non-zero DMR Data'!I616,'11DCA Mapping'!$J:$J,0))</f>
        <v>Discharge of non-contact cooling water from facility, and general discharge (CH)</v>
      </c>
      <c r="R609" s="250" t="str">
        <f>VLOOKUP(I609,'DMR POTW Flag'!$A$2:$B$960,2,FALSE)</f>
        <v>NON-POTW</v>
      </c>
      <c r="S609" s="249" t="s">
        <v>68</v>
      </c>
      <c r="T609" s="249" t="s">
        <v>1116</v>
      </c>
      <c r="U609" s="8">
        <f>COUNTIFS('Raw Non-zero DMR Data'!$A:$A, 'Processed Non-zero DMR Data'!A609, 'Raw Non-zero DMR Data'!$C:$C, X609, 'Raw Non-zero DMR Data'!$U:$U,'Processed Non-zero DMR Data'!Y609)</f>
        <v>6</v>
      </c>
      <c r="V609" s="8">
        <f>COUNTIFS('Raw Non-zero DMR Data'!$A:$A, 'Processed Non-zero DMR Data'!A609, 'Raw Non-zero DMR Data'!$C:$C, X609, 'Raw Non-zero DMR Data'!$U:$U,'Processed Non-zero DMR Data'!Y609,'Raw Non-zero DMR Data'!$Z:$Z,"Yes")</f>
        <v>6</v>
      </c>
      <c r="W609">
        <v>4.2388640812500003E-2</v>
      </c>
      <c r="X609" t="s">
        <v>1117</v>
      </c>
      <c r="Y609" t="s">
        <v>578</v>
      </c>
      <c r="Z609" s="257">
        <v>150100150604</v>
      </c>
    </row>
    <row r="610" spans="1:26" ht="15" customHeight="1" x14ac:dyDescent="0.25">
      <c r="A610">
        <v>2020</v>
      </c>
      <c r="B610" t="s">
        <v>156</v>
      </c>
      <c r="C610" t="s">
        <v>157</v>
      </c>
      <c r="D610" t="s">
        <v>575</v>
      </c>
      <c r="E610" t="s">
        <v>158</v>
      </c>
      <c r="F610">
        <v>36.122100000000003</v>
      </c>
      <c r="G610">
        <v>-115.17139</v>
      </c>
      <c r="I610" s="1">
        <v>110004306938</v>
      </c>
      <c r="J610">
        <v>7011</v>
      </c>
      <c r="K610" s="175" t="str">
        <f>INDEX('2022 SIC to NAICS'!B:B, MATCH('Processed Non-zero DMR Data'!$J610, '2022 SIC to NAICS'!$A:$A, 0))</f>
        <v>Hotels and Motels</v>
      </c>
      <c r="L610" s="175">
        <f>INDEX('2022 SIC to NAICS'!C:C, MATCH('Processed Non-zero DMR Data'!$J610, '2022 SIC to NAICS'!$A:$A, 0))</f>
        <v>721110</v>
      </c>
      <c r="M610" s="175" t="str">
        <f>INDEX('2022 SIC to NAICS'!D:D, MATCH('Processed Non-zero DMR Data'!$J610, '2022 SIC to NAICS'!$A:$A, 0))</f>
        <v xml:space="preserve">Hotels (except Casino Hotels) and Motels </v>
      </c>
      <c r="N610" s="90" t="str">
        <f>IFERROR(INDEX('NAICS Code to IS CDR Code'!B:B, MATCH('Processed Non-zero DMR Data'!L610,'NAICS Code to IS CDR Code'!A:A,0)), "NAICS/SIC Not Provided")</f>
        <v>IS47</v>
      </c>
      <c r="O610" s="91" t="str">
        <f>IFERROR(INDEX('NAICS Code to IS CDR Code'!C:C, MATCH('Processed Non-zero DMR Data'!L610,'NAICS Code to IS CDR Code'!A:A,0)), "NAICS/SIC Not Provided")</f>
        <v>Services</v>
      </c>
      <c r="P610" s="91" t="str">
        <f>INDEX('11DCA Mapping'!$K:$K, MATCH('Processed Non-zero DMR Data'!I617,'11DCA Mapping'!$J:$J,0))</f>
        <v>Waste Handling, Disposal, Treatment, and Recycling</v>
      </c>
      <c r="Q610" s="91" t="str">
        <f>INDEX('11DCA Mapping'!$L:$L, MATCH('Processed Non-zero DMR Data'!I617,'11DCA Mapping'!$J:$J,0))</f>
        <v>Discharge of non-contact cooling water from facility, and general discharge (CH)</v>
      </c>
      <c r="R610" s="250" t="str">
        <f>VLOOKUP(I610,'DMR POTW Flag'!$A$2:$B$960,2,FALSE)</f>
        <v>NON-POTW</v>
      </c>
      <c r="S610" s="249" t="s">
        <v>68</v>
      </c>
      <c r="T610" s="249" t="s">
        <v>1116</v>
      </c>
      <c r="U610" s="8">
        <f>COUNTIFS('Raw Non-zero DMR Data'!$A:$A, 'Processed Non-zero DMR Data'!A610, 'Raw Non-zero DMR Data'!$C:$C, X610, 'Raw Non-zero DMR Data'!$U:$U,'Processed Non-zero DMR Data'!Y610)</f>
        <v>6</v>
      </c>
      <c r="V610" s="8">
        <f>COUNTIFS('Raw Non-zero DMR Data'!$A:$A, 'Processed Non-zero DMR Data'!A610, 'Raw Non-zero DMR Data'!$C:$C, X610, 'Raw Non-zero DMR Data'!$U:$U,'Processed Non-zero DMR Data'!Y610,'Raw Non-zero DMR Data'!$Z:$Z,"Yes")</f>
        <v>6</v>
      </c>
      <c r="W610">
        <v>6.6727657500000002E-3</v>
      </c>
      <c r="X610" t="s">
        <v>1117</v>
      </c>
      <c r="Y610" t="s">
        <v>578</v>
      </c>
      <c r="Z610" s="257">
        <v>150100150604</v>
      </c>
    </row>
    <row r="611" spans="1:26" ht="15" customHeight="1" x14ac:dyDescent="0.25">
      <c r="A611">
        <v>2020</v>
      </c>
      <c r="B611" t="s">
        <v>156</v>
      </c>
      <c r="C611" t="s">
        <v>157</v>
      </c>
      <c r="D611" t="s">
        <v>575</v>
      </c>
      <c r="E611" t="s">
        <v>158</v>
      </c>
      <c r="F611">
        <v>36.122100000000003</v>
      </c>
      <c r="G611">
        <v>-115.17139</v>
      </c>
      <c r="I611" s="1">
        <v>110004306938</v>
      </c>
      <c r="J611">
        <v>7011</v>
      </c>
      <c r="K611" s="175" t="str">
        <f>INDEX('2022 SIC to NAICS'!B:B, MATCH('Processed Non-zero DMR Data'!$J611, '2022 SIC to NAICS'!$A:$A, 0))</f>
        <v>Hotels and Motels</v>
      </c>
      <c r="L611" s="175">
        <f>INDEX('2022 SIC to NAICS'!C:C, MATCH('Processed Non-zero DMR Data'!$J611, '2022 SIC to NAICS'!$A:$A, 0))</f>
        <v>721110</v>
      </c>
      <c r="M611" s="175" t="str">
        <f>INDEX('2022 SIC to NAICS'!D:D, MATCH('Processed Non-zero DMR Data'!$J611, '2022 SIC to NAICS'!$A:$A, 0))</f>
        <v xml:space="preserve">Hotels (except Casino Hotels) and Motels </v>
      </c>
      <c r="N611" s="90" t="str">
        <f>IFERROR(INDEX('NAICS Code to IS CDR Code'!B:B, MATCH('Processed Non-zero DMR Data'!L611,'NAICS Code to IS CDR Code'!A:A,0)), "NAICS/SIC Not Provided")</f>
        <v>IS47</v>
      </c>
      <c r="O611" s="91" t="str">
        <f>IFERROR(INDEX('NAICS Code to IS CDR Code'!C:C, MATCH('Processed Non-zero DMR Data'!L611,'NAICS Code to IS CDR Code'!A:A,0)), "NAICS/SIC Not Provided")</f>
        <v>Services</v>
      </c>
      <c r="P611" s="91" t="str">
        <f>INDEX('11DCA Mapping'!$K:$K, MATCH('Processed Non-zero DMR Data'!I618,'11DCA Mapping'!$J:$J,0))</f>
        <v>Waste Handling, Disposal, Treatment, and Recycling</v>
      </c>
      <c r="Q611" s="91" t="str">
        <f>INDEX('11DCA Mapping'!$L:$L, MATCH('Processed Non-zero DMR Data'!I618,'11DCA Mapping'!$J:$J,0))</f>
        <v>Discharge of non-contact cooling water from facility, and general discharge (CH)</v>
      </c>
      <c r="R611" s="250" t="str">
        <f>VLOOKUP(I611,'DMR POTW Flag'!$A$2:$B$960,2,FALSE)</f>
        <v>NON-POTW</v>
      </c>
      <c r="S611" s="249" t="s">
        <v>68</v>
      </c>
      <c r="T611" s="249" t="s">
        <v>1116</v>
      </c>
      <c r="U611" s="8">
        <f>COUNTIFS('Raw Non-zero DMR Data'!$A:$A, 'Processed Non-zero DMR Data'!A611, 'Raw Non-zero DMR Data'!$C:$C, X611, 'Raw Non-zero DMR Data'!$U:$U,'Processed Non-zero DMR Data'!Y611)</f>
        <v>6</v>
      </c>
      <c r="V611" s="8">
        <f>COUNTIFS('Raw Non-zero DMR Data'!$A:$A, 'Processed Non-zero DMR Data'!A611, 'Raw Non-zero DMR Data'!$C:$C, X611, 'Raw Non-zero DMR Data'!$U:$U,'Processed Non-zero DMR Data'!Y611,'Raw Non-zero DMR Data'!$Z:$Z,"Yes")</f>
        <v>6</v>
      </c>
      <c r="W611">
        <v>8.7864989999999997E-3</v>
      </c>
      <c r="X611" t="s">
        <v>1117</v>
      </c>
      <c r="Y611" t="s">
        <v>578</v>
      </c>
      <c r="Z611" s="257">
        <v>150100150604</v>
      </c>
    </row>
    <row r="612" spans="1:26" ht="15" customHeight="1" x14ac:dyDescent="0.25">
      <c r="A612">
        <v>2021</v>
      </c>
      <c r="B612" t="s">
        <v>156</v>
      </c>
      <c r="C612" t="s">
        <v>157</v>
      </c>
      <c r="D612" t="s">
        <v>575</v>
      </c>
      <c r="E612" t="s">
        <v>158</v>
      </c>
      <c r="F612">
        <v>36.122100000000003</v>
      </c>
      <c r="G612">
        <v>-115.17139</v>
      </c>
      <c r="I612" s="1">
        <v>110004306938</v>
      </c>
      <c r="J612">
        <v>7011</v>
      </c>
      <c r="K612" s="175" t="str">
        <f>INDEX('2022 SIC to NAICS'!B:B, MATCH('Processed Non-zero DMR Data'!$J612, '2022 SIC to NAICS'!$A:$A, 0))</f>
        <v>Hotels and Motels</v>
      </c>
      <c r="L612" s="175">
        <f>INDEX('2022 SIC to NAICS'!C:C, MATCH('Processed Non-zero DMR Data'!$J612, '2022 SIC to NAICS'!$A:$A, 0))</f>
        <v>721110</v>
      </c>
      <c r="M612" s="175" t="str">
        <f>INDEX('2022 SIC to NAICS'!D:D, MATCH('Processed Non-zero DMR Data'!$J612, '2022 SIC to NAICS'!$A:$A, 0))</f>
        <v xml:space="preserve">Hotels (except Casino Hotels) and Motels </v>
      </c>
      <c r="N612" s="90" t="str">
        <f>IFERROR(INDEX('NAICS Code to IS CDR Code'!B:B, MATCH('Processed Non-zero DMR Data'!L612,'NAICS Code to IS CDR Code'!A:A,0)), "NAICS/SIC Not Provided")</f>
        <v>IS47</v>
      </c>
      <c r="O612" s="91" t="str">
        <f>IFERROR(INDEX('NAICS Code to IS CDR Code'!C:C, MATCH('Processed Non-zero DMR Data'!L612,'NAICS Code to IS CDR Code'!A:A,0)), "NAICS/SIC Not Provided")</f>
        <v>Services</v>
      </c>
      <c r="P612" s="91" t="str">
        <f>INDEX('11DCA Mapping'!$K:$K, MATCH('Processed Non-zero DMR Data'!I619,'11DCA Mapping'!$J:$J,0))</f>
        <v>Waste Handling, Disposal, Treatment, and Recycling</v>
      </c>
      <c r="Q612" s="91" t="str">
        <f>INDEX('11DCA Mapping'!$L:$L, MATCH('Processed Non-zero DMR Data'!I619,'11DCA Mapping'!$J:$J,0))</f>
        <v>Discharge of non-contact cooling water from facility, and general discharge (CH)</v>
      </c>
      <c r="R612" s="250" t="str">
        <f>VLOOKUP(I612,'DMR POTW Flag'!$A$2:$B$960,2,FALSE)</f>
        <v>NON-POTW</v>
      </c>
      <c r="S612" s="249" t="s">
        <v>68</v>
      </c>
      <c r="T612" s="249" t="s">
        <v>1116</v>
      </c>
      <c r="U612" s="8">
        <f>COUNTIFS('Raw Non-zero DMR Data'!$A:$A, 'Processed Non-zero DMR Data'!A612, 'Raw Non-zero DMR Data'!$C:$C, X612, 'Raw Non-zero DMR Data'!$U:$U,'Processed Non-zero DMR Data'!Y612)</f>
        <v>6</v>
      </c>
      <c r="V612" s="8">
        <f>COUNTIFS('Raw Non-zero DMR Data'!$A:$A, 'Processed Non-zero DMR Data'!A612, 'Raw Non-zero DMR Data'!$C:$C, X612, 'Raw Non-zero DMR Data'!$U:$U,'Processed Non-zero DMR Data'!Y612,'Raw Non-zero DMR Data'!$Z:$Z,"Yes")</f>
        <v>6</v>
      </c>
      <c r="W612">
        <v>2.3333957249999999E-2</v>
      </c>
      <c r="X612" t="s">
        <v>1117</v>
      </c>
      <c r="Y612" t="s">
        <v>578</v>
      </c>
      <c r="Z612" s="257">
        <v>150100150604</v>
      </c>
    </row>
    <row r="613" spans="1:26" ht="15" customHeight="1" x14ac:dyDescent="0.25">
      <c r="A613">
        <v>2021</v>
      </c>
      <c r="B613" t="s">
        <v>156</v>
      </c>
      <c r="C613" t="s">
        <v>157</v>
      </c>
      <c r="D613" t="s">
        <v>575</v>
      </c>
      <c r="E613" t="s">
        <v>158</v>
      </c>
      <c r="F613">
        <v>36.122100000000003</v>
      </c>
      <c r="G613">
        <v>-115.17139</v>
      </c>
      <c r="I613" s="1">
        <v>110004306938</v>
      </c>
      <c r="J613">
        <v>7011</v>
      </c>
      <c r="K613" s="175" t="str">
        <f>INDEX('2022 SIC to NAICS'!B:B, MATCH('Processed Non-zero DMR Data'!$J613, '2022 SIC to NAICS'!$A:$A, 0))</f>
        <v>Hotels and Motels</v>
      </c>
      <c r="L613" s="175">
        <f>INDEX('2022 SIC to NAICS'!C:C, MATCH('Processed Non-zero DMR Data'!$J613, '2022 SIC to NAICS'!$A:$A, 0))</f>
        <v>721110</v>
      </c>
      <c r="M613" s="175" t="str">
        <f>INDEX('2022 SIC to NAICS'!D:D, MATCH('Processed Non-zero DMR Data'!$J613, '2022 SIC to NAICS'!$A:$A, 0))</f>
        <v xml:space="preserve">Hotels (except Casino Hotels) and Motels </v>
      </c>
      <c r="N613" s="90" t="str">
        <f>IFERROR(INDEX('NAICS Code to IS CDR Code'!B:B, MATCH('Processed Non-zero DMR Data'!L613,'NAICS Code to IS CDR Code'!A:A,0)), "NAICS/SIC Not Provided")</f>
        <v>IS47</v>
      </c>
      <c r="O613" s="91" t="str">
        <f>IFERROR(INDEX('NAICS Code to IS CDR Code'!C:C, MATCH('Processed Non-zero DMR Data'!L613,'NAICS Code to IS CDR Code'!A:A,0)), "NAICS/SIC Not Provided")</f>
        <v>Services</v>
      </c>
      <c r="P613" s="91" t="str">
        <f>INDEX('11DCA Mapping'!$K:$K, MATCH('Processed Non-zero DMR Data'!I620,'11DCA Mapping'!$J:$J,0))</f>
        <v>Waste Handling, Disposal, Treatment, and Recycling</v>
      </c>
      <c r="Q613" s="91" t="str">
        <f>INDEX('11DCA Mapping'!$L:$L, MATCH('Processed Non-zero DMR Data'!I620,'11DCA Mapping'!$J:$J,0))</f>
        <v>Discharge of non-contact cooling water from facility, and general discharge (CH)</v>
      </c>
      <c r="R613" s="250" t="str">
        <f>VLOOKUP(I613,'DMR POTW Flag'!$A$2:$B$960,2,FALSE)</f>
        <v>NON-POTW</v>
      </c>
      <c r="S613" s="249" t="s">
        <v>68</v>
      </c>
      <c r="T613" s="249" t="s">
        <v>1116</v>
      </c>
      <c r="U613" s="8">
        <f>COUNTIFS('Raw Non-zero DMR Data'!$A:$A, 'Processed Non-zero DMR Data'!A613, 'Raw Non-zero DMR Data'!$C:$C, X613, 'Raw Non-zero DMR Data'!$U:$U,'Processed Non-zero DMR Data'!Y613)</f>
        <v>6</v>
      </c>
      <c r="V613" s="8">
        <f>COUNTIFS('Raw Non-zero DMR Data'!$A:$A, 'Processed Non-zero DMR Data'!A613, 'Raw Non-zero DMR Data'!$C:$C, X613, 'Raw Non-zero DMR Data'!$U:$U,'Processed Non-zero DMR Data'!Y613,'Raw Non-zero DMR Data'!$Z:$Z,"Yes")</f>
        <v>6</v>
      </c>
      <c r="W613">
        <v>1.53591041875E-2</v>
      </c>
      <c r="X613" t="s">
        <v>1117</v>
      </c>
      <c r="Y613" t="s">
        <v>578</v>
      </c>
      <c r="Z613" s="257">
        <v>150100150604</v>
      </c>
    </row>
    <row r="614" spans="1:26" ht="15" customHeight="1" x14ac:dyDescent="0.25">
      <c r="A614">
        <v>2021</v>
      </c>
      <c r="B614" t="s">
        <v>156</v>
      </c>
      <c r="C614" t="s">
        <v>157</v>
      </c>
      <c r="D614" t="s">
        <v>575</v>
      </c>
      <c r="E614" t="s">
        <v>158</v>
      </c>
      <c r="F614">
        <v>36.122100000000003</v>
      </c>
      <c r="G614">
        <v>-115.17139</v>
      </c>
      <c r="I614" s="1">
        <v>110004306938</v>
      </c>
      <c r="J614">
        <v>7011</v>
      </c>
      <c r="K614" s="175" t="str">
        <f>INDEX('2022 SIC to NAICS'!B:B, MATCH('Processed Non-zero DMR Data'!$J614, '2022 SIC to NAICS'!$A:$A, 0))</f>
        <v>Hotels and Motels</v>
      </c>
      <c r="L614" s="175">
        <f>INDEX('2022 SIC to NAICS'!C:C, MATCH('Processed Non-zero DMR Data'!$J614, '2022 SIC to NAICS'!$A:$A, 0))</f>
        <v>721110</v>
      </c>
      <c r="M614" s="175" t="str">
        <f>INDEX('2022 SIC to NAICS'!D:D, MATCH('Processed Non-zero DMR Data'!$J614, '2022 SIC to NAICS'!$A:$A, 0))</f>
        <v xml:space="preserve">Hotels (except Casino Hotels) and Motels </v>
      </c>
      <c r="N614" s="90" t="str">
        <f>IFERROR(INDEX('NAICS Code to IS CDR Code'!B:B, MATCH('Processed Non-zero DMR Data'!L614,'NAICS Code to IS CDR Code'!A:A,0)), "NAICS/SIC Not Provided")</f>
        <v>IS47</v>
      </c>
      <c r="O614" s="91" t="str">
        <f>IFERROR(INDEX('NAICS Code to IS CDR Code'!C:C, MATCH('Processed Non-zero DMR Data'!L614,'NAICS Code to IS CDR Code'!A:A,0)), "NAICS/SIC Not Provided")</f>
        <v>Services</v>
      </c>
      <c r="P614" s="91" t="str">
        <f>INDEX('11DCA Mapping'!$K:$K, MATCH('Processed Non-zero DMR Data'!I621,'11DCA Mapping'!$J:$J,0))</f>
        <v>Waste Handling, Disposal, Treatment, and Recycling</v>
      </c>
      <c r="Q614" s="91" t="str">
        <f>INDEX('11DCA Mapping'!$L:$L, MATCH('Processed Non-zero DMR Data'!I621,'11DCA Mapping'!$J:$J,0))</f>
        <v>Discharge of non-contact cooling water from facility, and general discharge (CH)</v>
      </c>
      <c r="R614" s="250" t="str">
        <f>VLOOKUP(I614,'DMR POTW Flag'!$A$2:$B$960,2,FALSE)</f>
        <v>NON-POTW</v>
      </c>
      <c r="S614" s="249" t="s">
        <v>68</v>
      </c>
      <c r="T614" s="249" t="s">
        <v>1116</v>
      </c>
      <c r="U614" s="8">
        <f>COUNTIFS('Raw Non-zero DMR Data'!$A:$A, 'Processed Non-zero DMR Data'!A614, 'Raw Non-zero DMR Data'!$C:$C, X614, 'Raw Non-zero DMR Data'!$U:$U,'Processed Non-zero DMR Data'!Y614)</f>
        <v>6</v>
      </c>
      <c r="V614" s="8">
        <f>COUNTIFS('Raw Non-zero DMR Data'!$A:$A, 'Processed Non-zero DMR Data'!A614, 'Raw Non-zero DMR Data'!$C:$C, X614, 'Raw Non-zero DMR Data'!$U:$U,'Processed Non-zero DMR Data'!Y614,'Raw Non-zero DMR Data'!$Z:$Z,"Yes")</f>
        <v>6</v>
      </c>
      <c r="W614">
        <v>7.2771829374999996E-3</v>
      </c>
      <c r="X614" t="s">
        <v>1117</v>
      </c>
      <c r="Y614" t="s">
        <v>578</v>
      </c>
      <c r="Z614" s="257">
        <v>150100150604</v>
      </c>
    </row>
    <row r="615" spans="1:26" ht="15" customHeight="1" x14ac:dyDescent="0.25">
      <c r="A615">
        <v>2021</v>
      </c>
      <c r="B615" t="s">
        <v>156</v>
      </c>
      <c r="C615" t="s">
        <v>157</v>
      </c>
      <c r="D615" t="s">
        <v>575</v>
      </c>
      <c r="E615" t="s">
        <v>158</v>
      </c>
      <c r="F615">
        <v>36.122100000000003</v>
      </c>
      <c r="G615">
        <v>-115.17139</v>
      </c>
      <c r="I615" s="1">
        <v>110004306938</v>
      </c>
      <c r="J615">
        <v>7011</v>
      </c>
      <c r="K615" s="175" t="str">
        <f>INDEX('2022 SIC to NAICS'!B:B, MATCH('Processed Non-zero DMR Data'!$J615, '2022 SIC to NAICS'!$A:$A, 0))</f>
        <v>Hotels and Motels</v>
      </c>
      <c r="L615" s="175">
        <f>INDEX('2022 SIC to NAICS'!C:C, MATCH('Processed Non-zero DMR Data'!$J615, '2022 SIC to NAICS'!$A:$A, 0))</f>
        <v>721110</v>
      </c>
      <c r="M615" s="175" t="str">
        <f>INDEX('2022 SIC to NAICS'!D:D, MATCH('Processed Non-zero DMR Data'!$J615, '2022 SIC to NAICS'!$A:$A, 0))</f>
        <v xml:space="preserve">Hotels (except Casino Hotels) and Motels </v>
      </c>
      <c r="N615" s="90" t="str">
        <f>IFERROR(INDEX('NAICS Code to IS CDR Code'!B:B, MATCH('Processed Non-zero DMR Data'!L615,'NAICS Code to IS CDR Code'!A:A,0)), "NAICS/SIC Not Provided")</f>
        <v>IS47</v>
      </c>
      <c r="O615" s="91" t="str">
        <f>IFERROR(INDEX('NAICS Code to IS CDR Code'!C:C, MATCH('Processed Non-zero DMR Data'!L615,'NAICS Code to IS CDR Code'!A:A,0)), "NAICS/SIC Not Provided")</f>
        <v>Services</v>
      </c>
      <c r="P615" s="91" t="str">
        <f>INDEX('11DCA Mapping'!$K:$K, MATCH('Processed Non-zero DMR Data'!I622,'11DCA Mapping'!$J:$J,0))</f>
        <v>Waste Handling, Disposal, Treatment, and Recycling</v>
      </c>
      <c r="Q615" s="91" t="str">
        <f>INDEX('11DCA Mapping'!$L:$L, MATCH('Processed Non-zero DMR Data'!I622,'11DCA Mapping'!$J:$J,0))</f>
        <v>Discharge of non-contact cooling water from facility, and general discharge (CH)</v>
      </c>
      <c r="R615" s="250" t="str">
        <f>VLOOKUP(I615,'DMR POTW Flag'!$A$2:$B$960,2,FALSE)</f>
        <v>NON-POTW</v>
      </c>
      <c r="S615" s="249" t="s">
        <v>68</v>
      </c>
      <c r="T615" s="249" t="s">
        <v>1116</v>
      </c>
      <c r="U615" s="8">
        <f>COUNTIFS('Raw Non-zero DMR Data'!$A:$A, 'Processed Non-zero DMR Data'!A615, 'Raw Non-zero DMR Data'!$C:$C, X615, 'Raw Non-zero DMR Data'!$U:$U,'Processed Non-zero DMR Data'!Y615)</f>
        <v>6</v>
      </c>
      <c r="V615" s="8">
        <f>COUNTIFS('Raw Non-zero DMR Data'!$A:$A, 'Processed Non-zero DMR Data'!A615, 'Raw Non-zero DMR Data'!$C:$C, X615, 'Raw Non-zero DMR Data'!$U:$U,'Processed Non-zero DMR Data'!Y615,'Raw Non-zero DMR Data'!$Z:$Z,"Yes")</f>
        <v>6</v>
      </c>
      <c r="W615">
        <v>4.4208799999999999E-2</v>
      </c>
      <c r="X615" t="s">
        <v>1117</v>
      </c>
      <c r="Y615" t="s">
        <v>578</v>
      </c>
      <c r="Z615" s="257">
        <v>150100150604</v>
      </c>
    </row>
    <row r="616" spans="1:26" ht="15" customHeight="1" x14ac:dyDescent="0.25">
      <c r="A616">
        <v>2021</v>
      </c>
      <c r="B616" t="s">
        <v>156</v>
      </c>
      <c r="C616" t="s">
        <v>157</v>
      </c>
      <c r="D616" t="s">
        <v>575</v>
      </c>
      <c r="E616" t="s">
        <v>158</v>
      </c>
      <c r="F616">
        <v>36.122100000000003</v>
      </c>
      <c r="G616">
        <v>-115.17139</v>
      </c>
      <c r="I616" s="1">
        <v>110004306938</v>
      </c>
      <c r="J616">
        <v>7011</v>
      </c>
      <c r="K616" s="175" t="str">
        <f>INDEX('2022 SIC to NAICS'!B:B, MATCH('Processed Non-zero DMR Data'!$J616, '2022 SIC to NAICS'!$A:$A, 0))</f>
        <v>Hotels and Motels</v>
      </c>
      <c r="L616" s="175">
        <f>INDEX('2022 SIC to NAICS'!C:C, MATCH('Processed Non-zero DMR Data'!$J616, '2022 SIC to NAICS'!$A:$A, 0))</f>
        <v>721110</v>
      </c>
      <c r="M616" s="175" t="str">
        <f>INDEX('2022 SIC to NAICS'!D:D, MATCH('Processed Non-zero DMR Data'!$J616, '2022 SIC to NAICS'!$A:$A, 0))</f>
        <v xml:space="preserve">Hotels (except Casino Hotels) and Motels </v>
      </c>
      <c r="N616" s="90" t="str">
        <f>IFERROR(INDEX('NAICS Code to IS CDR Code'!B:B, MATCH('Processed Non-zero DMR Data'!L616,'NAICS Code to IS CDR Code'!A:A,0)), "NAICS/SIC Not Provided")</f>
        <v>IS47</v>
      </c>
      <c r="O616" s="91" t="str">
        <f>IFERROR(INDEX('NAICS Code to IS CDR Code'!C:C, MATCH('Processed Non-zero DMR Data'!L616,'NAICS Code to IS CDR Code'!A:A,0)), "NAICS/SIC Not Provided")</f>
        <v>Services</v>
      </c>
      <c r="P616" s="91" t="str">
        <f>INDEX('11DCA Mapping'!$K:$K, MATCH('Processed Non-zero DMR Data'!I623,'11DCA Mapping'!$J:$J,0))</f>
        <v>Waste Handling, Disposal, Treatment, and Recycling</v>
      </c>
      <c r="Q616" s="91" t="str">
        <f>INDEX('11DCA Mapping'!$L:$L, MATCH('Processed Non-zero DMR Data'!I623,'11DCA Mapping'!$J:$J,0))</f>
        <v>Discharge of non-contact cooling water from facility, and general discharge (CH)</v>
      </c>
      <c r="R616" s="250" t="str">
        <f>VLOOKUP(I616,'DMR POTW Flag'!$A$2:$B$960,2,FALSE)</f>
        <v>NON-POTW</v>
      </c>
      <c r="S616" s="249" t="s">
        <v>68</v>
      </c>
      <c r="T616" s="249" t="s">
        <v>1116</v>
      </c>
      <c r="U616" s="8">
        <f>COUNTIFS('Raw Non-zero DMR Data'!$A:$A, 'Processed Non-zero DMR Data'!A616, 'Raw Non-zero DMR Data'!$C:$C, X616, 'Raw Non-zero DMR Data'!$U:$U,'Processed Non-zero DMR Data'!Y616)</f>
        <v>6</v>
      </c>
      <c r="V616" s="8">
        <f>COUNTIFS('Raw Non-zero DMR Data'!$A:$A, 'Processed Non-zero DMR Data'!A616, 'Raw Non-zero DMR Data'!$C:$C, X616, 'Raw Non-zero DMR Data'!$U:$U,'Processed Non-zero DMR Data'!Y616,'Raw Non-zero DMR Data'!$Z:$Z,"Yes")</f>
        <v>6</v>
      </c>
      <c r="W616">
        <v>7.8228853124999997E-3</v>
      </c>
      <c r="X616" t="s">
        <v>1117</v>
      </c>
      <c r="Y616" t="s">
        <v>578</v>
      </c>
      <c r="Z616" s="257">
        <v>150100150604</v>
      </c>
    </row>
    <row r="617" spans="1:26" ht="15" customHeight="1" x14ac:dyDescent="0.25">
      <c r="A617">
        <v>2021</v>
      </c>
      <c r="B617" t="s">
        <v>156</v>
      </c>
      <c r="C617" t="s">
        <v>157</v>
      </c>
      <c r="D617" t="s">
        <v>575</v>
      </c>
      <c r="E617" t="s">
        <v>158</v>
      </c>
      <c r="F617">
        <v>36.122100000000003</v>
      </c>
      <c r="G617">
        <v>-115.17139</v>
      </c>
      <c r="I617" s="1">
        <v>110004306938</v>
      </c>
      <c r="J617">
        <v>7011</v>
      </c>
      <c r="K617" s="175" t="str">
        <f>INDEX('2022 SIC to NAICS'!B:B, MATCH('Processed Non-zero DMR Data'!$J617, '2022 SIC to NAICS'!$A:$A, 0))</f>
        <v>Hotels and Motels</v>
      </c>
      <c r="L617" s="175">
        <f>INDEX('2022 SIC to NAICS'!C:C, MATCH('Processed Non-zero DMR Data'!$J617, '2022 SIC to NAICS'!$A:$A, 0))</f>
        <v>721110</v>
      </c>
      <c r="M617" s="175" t="str">
        <f>INDEX('2022 SIC to NAICS'!D:D, MATCH('Processed Non-zero DMR Data'!$J617, '2022 SIC to NAICS'!$A:$A, 0))</f>
        <v xml:space="preserve">Hotels (except Casino Hotels) and Motels </v>
      </c>
      <c r="N617" s="90" t="str">
        <f>IFERROR(INDEX('NAICS Code to IS CDR Code'!B:B, MATCH('Processed Non-zero DMR Data'!L617,'NAICS Code to IS CDR Code'!A:A,0)), "NAICS/SIC Not Provided")</f>
        <v>IS47</v>
      </c>
      <c r="O617" s="91" t="str">
        <f>IFERROR(INDEX('NAICS Code to IS CDR Code'!C:C, MATCH('Processed Non-zero DMR Data'!L617,'NAICS Code to IS CDR Code'!A:A,0)), "NAICS/SIC Not Provided")</f>
        <v>Services</v>
      </c>
      <c r="P617" s="91" t="str">
        <f>INDEX('11DCA Mapping'!$K:$K, MATCH('Processed Non-zero DMR Data'!I624,'11DCA Mapping'!$J:$J,0))</f>
        <v>Waste Handling, Disposal, Treatment, and Recycling</v>
      </c>
      <c r="Q617" s="91" t="str">
        <f>INDEX('11DCA Mapping'!$L:$L, MATCH('Processed Non-zero DMR Data'!I624,'11DCA Mapping'!$J:$J,0))</f>
        <v>Discharge of non-contact cooling water from facility, and general discharge (CH)</v>
      </c>
      <c r="R617" s="250" t="str">
        <f>VLOOKUP(I617,'DMR POTW Flag'!$A$2:$B$960,2,FALSE)</f>
        <v>NON-POTW</v>
      </c>
      <c r="S617" s="249" t="s">
        <v>68</v>
      </c>
      <c r="T617" s="249" t="s">
        <v>1116</v>
      </c>
      <c r="U617" s="8">
        <f>COUNTIFS('Raw Non-zero DMR Data'!$A:$A, 'Processed Non-zero DMR Data'!A617, 'Raw Non-zero DMR Data'!$C:$C, X617, 'Raw Non-zero DMR Data'!$U:$U,'Processed Non-zero DMR Data'!Y617)</f>
        <v>6</v>
      </c>
      <c r="V617" s="8">
        <f>COUNTIFS('Raw Non-zero DMR Data'!$A:$A, 'Processed Non-zero DMR Data'!A617, 'Raw Non-zero DMR Data'!$C:$C, X617, 'Raw Non-zero DMR Data'!$U:$U,'Processed Non-zero DMR Data'!Y617,'Raw Non-zero DMR Data'!$Z:$Z,"Yes")</f>
        <v>6</v>
      </c>
      <c r="W617">
        <v>0.16635633287500001</v>
      </c>
      <c r="X617" t="s">
        <v>1117</v>
      </c>
      <c r="Y617" t="s">
        <v>578</v>
      </c>
      <c r="Z617" s="257">
        <v>150100150604</v>
      </c>
    </row>
    <row r="618" spans="1:26" ht="15" customHeight="1" x14ac:dyDescent="0.25">
      <c r="A618">
        <v>2022</v>
      </c>
      <c r="B618" t="s">
        <v>156</v>
      </c>
      <c r="C618" t="s">
        <v>157</v>
      </c>
      <c r="D618" t="s">
        <v>575</v>
      </c>
      <c r="E618" t="s">
        <v>158</v>
      </c>
      <c r="F618">
        <v>36.122100000000003</v>
      </c>
      <c r="G618">
        <v>-115.17139</v>
      </c>
      <c r="I618" s="1">
        <v>110004306938</v>
      </c>
      <c r="J618">
        <v>7011</v>
      </c>
      <c r="K618" s="175" t="str">
        <f>INDEX('2022 SIC to NAICS'!B:B, MATCH('Processed Non-zero DMR Data'!$J618, '2022 SIC to NAICS'!$A:$A, 0))</f>
        <v>Hotels and Motels</v>
      </c>
      <c r="L618" s="175">
        <f>INDEX('2022 SIC to NAICS'!C:C, MATCH('Processed Non-zero DMR Data'!$J618, '2022 SIC to NAICS'!$A:$A, 0))</f>
        <v>721110</v>
      </c>
      <c r="M618" s="175" t="str">
        <f>INDEX('2022 SIC to NAICS'!D:D, MATCH('Processed Non-zero DMR Data'!$J618, '2022 SIC to NAICS'!$A:$A, 0))</f>
        <v xml:space="preserve">Hotels (except Casino Hotels) and Motels </v>
      </c>
      <c r="N618" s="90" t="str">
        <f>IFERROR(INDEX('NAICS Code to IS CDR Code'!B:B, MATCH('Processed Non-zero DMR Data'!L618,'NAICS Code to IS CDR Code'!A:A,0)), "NAICS/SIC Not Provided")</f>
        <v>IS47</v>
      </c>
      <c r="O618" s="91" t="str">
        <f>IFERROR(INDEX('NAICS Code to IS CDR Code'!C:C, MATCH('Processed Non-zero DMR Data'!L618,'NAICS Code to IS CDR Code'!A:A,0)), "NAICS/SIC Not Provided")</f>
        <v>Services</v>
      </c>
      <c r="P618" s="91" t="str">
        <f>INDEX('11DCA Mapping'!$K:$K, MATCH('Processed Non-zero DMR Data'!I625,'11DCA Mapping'!$J:$J,0))</f>
        <v>Waste Handling, Disposal, Treatment, and Recycling</v>
      </c>
      <c r="Q618" s="91" t="str">
        <f>INDEX('11DCA Mapping'!$L:$L, MATCH('Processed Non-zero DMR Data'!I625,'11DCA Mapping'!$J:$J,0))</f>
        <v>Discharge of non-contact cooling water from facility, and general discharge (CH)</v>
      </c>
      <c r="R618" s="250" t="str">
        <f>VLOOKUP(I618,'DMR POTW Flag'!$A$2:$B$960,2,FALSE)</f>
        <v>NON-POTW</v>
      </c>
      <c r="S618" s="249" t="s">
        <v>68</v>
      </c>
      <c r="T618" s="249" t="s">
        <v>1116</v>
      </c>
      <c r="U618" s="8">
        <f>COUNTIFS('Raw Non-zero DMR Data'!$A:$A, 'Processed Non-zero DMR Data'!A618, 'Raw Non-zero DMR Data'!$C:$C, X618, 'Raw Non-zero DMR Data'!$U:$U,'Processed Non-zero DMR Data'!Y618)</f>
        <v>5</v>
      </c>
      <c r="V618" s="8">
        <f>COUNTIFS('Raw Non-zero DMR Data'!$A:$A, 'Processed Non-zero DMR Data'!A618, 'Raw Non-zero DMR Data'!$C:$C, X618, 'Raw Non-zero DMR Data'!$U:$U,'Processed Non-zero DMR Data'!Y618,'Raw Non-zero DMR Data'!$Z:$Z,"Yes")</f>
        <v>5</v>
      </c>
      <c r="W618">
        <v>0.145080847875</v>
      </c>
      <c r="X618" t="s">
        <v>1117</v>
      </c>
      <c r="Y618" t="s">
        <v>578</v>
      </c>
      <c r="Z618" s="257">
        <v>150100150604</v>
      </c>
    </row>
    <row r="619" spans="1:26" ht="15" customHeight="1" x14ac:dyDescent="0.25">
      <c r="A619">
        <v>2022</v>
      </c>
      <c r="B619" t="s">
        <v>156</v>
      </c>
      <c r="C619" t="s">
        <v>157</v>
      </c>
      <c r="D619" t="s">
        <v>575</v>
      </c>
      <c r="E619" t="s">
        <v>158</v>
      </c>
      <c r="F619">
        <v>36.122100000000003</v>
      </c>
      <c r="G619">
        <v>-115.17139</v>
      </c>
      <c r="I619" s="1">
        <v>110004306938</v>
      </c>
      <c r="J619">
        <v>7011</v>
      </c>
      <c r="K619" s="175" t="str">
        <f>INDEX('2022 SIC to NAICS'!B:B, MATCH('Processed Non-zero DMR Data'!$J619, '2022 SIC to NAICS'!$A:$A, 0))</f>
        <v>Hotels and Motels</v>
      </c>
      <c r="L619" s="175">
        <f>INDEX('2022 SIC to NAICS'!C:C, MATCH('Processed Non-zero DMR Data'!$J619, '2022 SIC to NAICS'!$A:$A, 0))</f>
        <v>721110</v>
      </c>
      <c r="M619" s="175" t="str">
        <f>INDEX('2022 SIC to NAICS'!D:D, MATCH('Processed Non-zero DMR Data'!$J619, '2022 SIC to NAICS'!$A:$A, 0))</f>
        <v xml:space="preserve">Hotels (except Casino Hotels) and Motels </v>
      </c>
      <c r="N619" s="90" t="str">
        <f>IFERROR(INDEX('NAICS Code to IS CDR Code'!B:B, MATCH('Processed Non-zero DMR Data'!L619,'NAICS Code to IS CDR Code'!A:A,0)), "NAICS/SIC Not Provided")</f>
        <v>IS47</v>
      </c>
      <c r="O619" s="91" t="str">
        <f>IFERROR(INDEX('NAICS Code to IS CDR Code'!C:C, MATCH('Processed Non-zero DMR Data'!L619,'NAICS Code to IS CDR Code'!A:A,0)), "NAICS/SIC Not Provided")</f>
        <v>Services</v>
      </c>
      <c r="P619" s="91" t="str">
        <f>INDEX('11DCA Mapping'!$K:$K, MATCH('Processed Non-zero DMR Data'!I626,'11DCA Mapping'!$J:$J,0))</f>
        <v>POTW</v>
      </c>
      <c r="Q619" s="91" t="str">
        <f>INDEX('11DCA Mapping'!$L:$L, MATCH('Processed Non-zero DMR Data'!I626,'11DCA Mapping'!$J:$J,0))</f>
        <v>Assigned POTW per "Facility Type Indicator"</v>
      </c>
      <c r="R619" s="250" t="str">
        <f>VLOOKUP(I619,'DMR POTW Flag'!$A$2:$B$960,2,FALSE)</f>
        <v>NON-POTW</v>
      </c>
      <c r="S619" s="249" t="s">
        <v>68</v>
      </c>
      <c r="T619" s="249" t="s">
        <v>1116</v>
      </c>
      <c r="U619" s="8">
        <f>COUNTIFS('Raw Non-zero DMR Data'!$A:$A, 'Processed Non-zero DMR Data'!A619, 'Raw Non-zero DMR Data'!$C:$C, X619, 'Raw Non-zero DMR Data'!$U:$U,'Processed Non-zero DMR Data'!Y619)</f>
        <v>5</v>
      </c>
      <c r="V619" s="8">
        <f>COUNTIFS('Raw Non-zero DMR Data'!$A:$A, 'Processed Non-zero DMR Data'!A619, 'Raw Non-zero DMR Data'!$C:$C, X619, 'Raw Non-zero DMR Data'!$U:$U,'Processed Non-zero DMR Data'!Y619,'Raw Non-zero DMR Data'!$Z:$Z,"Yes")</f>
        <v>5</v>
      </c>
      <c r="W619">
        <v>9.1149565687500003E-2</v>
      </c>
      <c r="X619" t="s">
        <v>1117</v>
      </c>
      <c r="Y619" t="s">
        <v>578</v>
      </c>
      <c r="Z619" s="257">
        <v>150100150604</v>
      </c>
    </row>
    <row r="620" spans="1:26" ht="15" customHeight="1" x14ac:dyDescent="0.25">
      <c r="A620">
        <v>2022</v>
      </c>
      <c r="B620" t="s">
        <v>156</v>
      </c>
      <c r="C620" t="s">
        <v>157</v>
      </c>
      <c r="D620" t="s">
        <v>575</v>
      </c>
      <c r="E620" t="s">
        <v>158</v>
      </c>
      <c r="F620">
        <v>36.122100000000003</v>
      </c>
      <c r="G620">
        <v>-115.17139</v>
      </c>
      <c r="I620" s="1">
        <v>110004306938</v>
      </c>
      <c r="J620">
        <v>7011</v>
      </c>
      <c r="K620" s="175" t="str">
        <f>INDEX('2022 SIC to NAICS'!B:B, MATCH('Processed Non-zero DMR Data'!$J620, '2022 SIC to NAICS'!$A:$A, 0))</f>
        <v>Hotels and Motels</v>
      </c>
      <c r="L620" s="175">
        <f>INDEX('2022 SIC to NAICS'!C:C, MATCH('Processed Non-zero DMR Data'!$J620, '2022 SIC to NAICS'!$A:$A, 0))</f>
        <v>721110</v>
      </c>
      <c r="M620" s="175" t="str">
        <f>INDEX('2022 SIC to NAICS'!D:D, MATCH('Processed Non-zero DMR Data'!$J620, '2022 SIC to NAICS'!$A:$A, 0))</f>
        <v xml:space="preserve">Hotels (except Casino Hotels) and Motels </v>
      </c>
      <c r="N620" s="90" t="str">
        <f>IFERROR(INDEX('NAICS Code to IS CDR Code'!B:B, MATCH('Processed Non-zero DMR Data'!L620,'NAICS Code to IS CDR Code'!A:A,0)), "NAICS/SIC Not Provided")</f>
        <v>IS47</v>
      </c>
      <c r="O620" s="91" t="str">
        <f>IFERROR(INDEX('NAICS Code to IS CDR Code'!C:C, MATCH('Processed Non-zero DMR Data'!L620,'NAICS Code to IS CDR Code'!A:A,0)), "NAICS/SIC Not Provided")</f>
        <v>Services</v>
      </c>
      <c r="P620" s="91" t="str">
        <f>INDEX('11DCA Mapping'!$K:$K, MATCH('Processed Non-zero DMR Data'!I627,'11DCA Mapping'!$J:$J,0))</f>
        <v>POTW</v>
      </c>
      <c r="Q620" s="91" t="str">
        <f>INDEX('11DCA Mapping'!$L:$L, MATCH('Processed Non-zero DMR Data'!I627,'11DCA Mapping'!$J:$J,0))</f>
        <v>Assigned POTW per "Facility Type Indicator"</v>
      </c>
      <c r="R620" s="250" t="str">
        <f>VLOOKUP(I620,'DMR POTW Flag'!$A$2:$B$960,2,FALSE)</f>
        <v>NON-POTW</v>
      </c>
      <c r="S620" s="249" t="s">
        <v>68</v>
      </c>
      <c r="T620" s="249" t="s">
        <v>1116</v>
      </c>
      <c r="U620" s="8">
        <f>COUNTIFS('Raw Non-zero DMR Data'!$A:$A, 'Processed Non-zero DMR Data'!A620, 'Raw Non-zero DMR Data'!$C:$C, X620, 'Raw Non-zero DMR Data'!$U:$U,'Processed Non-zero DMR Data'!Y620)</f>
        <v>5</v>
      </c>
      <c r="V620" s="8">
        <f>COUNTIFS('Raw Non-zero DMR Data'!$A:$A, 'Processed Non-zero DMR Data'!A620, 'Raw Non-zero DMR Data'!$C:$C, X620, 'Raw Non-zero DMR Data'!$U:$U,'Processed Non-zero DMR Data'!Y620,'Raw Non-zero DMR Data'!$Z:$Z,"Yes")</f>
        <v>5</v>
      </c>
      <c r="W620">
        <v>6.6845087124999994E-2</v>
      </c>
      <c r="X620" t="s">
        <v>1117</v>
      </c>
      <c r="Y620" t="s">
        <v>578</v>
      </c>
      <c r="Z620" s="257">
        <v>150100150604</v>
      </c>
    </row>
    <row r="621" spans="1:26" ht="15" customHeight="1" x14ac:dyDescent="0.25">
      <c r="A621">
        <v>2022</v>
      </c>
      <c r="B621" t="s">
        <v>156</v>
      </c>
      <c r="C621" t="s">
        <v>157</v>
      </c>
      <c r="D621" t="s">
        <v>575</v>
      </c>
      <c r="E621" t="s">
        <v>158</v>
      </c>
      <c r="F621">
        <v>36.122100000000003</v>
      </c>
      <c r="G621">
        <v>-115.17139</v>
      </c>
      <c r="I621" s="1">
        <v>110004306938</v>
      </c>
      <c r="J621">
        <v>7011</v>
      </c>
      <c r="K621" s="175" t="str">
        <f>INDEX('2022 SIC to NAICS'!B:B, MATCH('Processed Non-zero DMR Data'!$J621, '2022 SIC to NAICS'!$A:$A, 0))</f>
        <v>Hotels and Motels</v>
      </c>
      <c r="L621" s="175">
        <f>INDEX('2022 SIC to NAICS'!C:C, MATCH('Processed Non-zero DMR Data'!$J621, '2022 SIC to NAICS'!$A:$A, 0))</f>
        <v>721110</v>
      </c>
      <c r="M621" s="175" t="str">
        <f>INDEX('2022 SIC to NAICS'!D:D, MATCH('Processed Non-zero DMR Data'!$J621, '2022 SIC to NAICS'!$A:$A, 0))</f>
        <v xml:space="preserve">Hotels (except Casino Hotels) and Motels </v>
      </c>
      <c r="N621" s="90" t="str">
        <f>IFERROR(INDEX('NAICS Code to IS CDR Code'!B:B, MATCH('Processed Non-zero DMR Data'!L621,'NAICS Code to IS CDR Code'!A:A,0)), "NAICS/SIC Not Provided")</f>
        <v>IS47</v>
      </c>
      <c r="O621" s="91" t="str">
        <f>IFERROR(INDEX('NAICS Code to IS CDR Code'!C:C, MATCH('Processed Non-zero DMR Data'!L621,'NAICS Code to IS CDR Code'!A:A,0)), "NAICS/SIC Not Provided")</f>
        <v>Services</v>
      </c>
      <c r="P621" s="91" t="str">
        <f>INDEX('11DCA Mapping'!$K:$K, MATCH('Processed Non-zero DMR Data'!I628,'11DCA Mapping'!$J:$J,0))</f>
        <v>Unknown</v>
      </c>
      <c r="Q621" s="91" t="str">
        <f>INDEX('11DCA Mapping'!$L:$L, MATCH('Processed Non-zero DMR Data'!I628,'11DCA Mapping'!$J:$J,0))</f>
        <v>Discharge collected groundwater and stormwater and dewatering system (CH)</v>
      </c>
      <c r="R621" s="250" t="str">
        <f>VLOOKUP(I621,'DMR POTW Flag'!$A$2:$B$960,2,FALSE)</f>
        <v>NON-POTW</v>
      </c>
      <c r="S621" s="249" t="s">
        <v>68</v>
      </c>
      <c r="T621" s="249" t="s">
        <v>1116</v>
      </c>
      <c r="U621" s="8">
        <f>COUNTIFS('Raw Non-zero DMR Data'!$A:$A, 'Processed Non-zero DMR Data'!A621, 'Raw Non-zero DMR Data'!$C:$C, X621, 'Raw Non-zero DMR Data'!$U:$U,'Processed Non-zero DMR Data'!Y621)</f>
        <v>5</v>
      </c>
      <c r="V621" s="8">
        <f>COUNTIFS('Raw Non-zero DMR Data'!$A:$A, 'Processed Non-zero DMR Data'!A621, 'Raw Non-zero DMR Data'!$C:$C, X621, 'Raw Non-zero DMR Data'!$U:$U,'Processed Non-zero DMR Data'!Y621,'Raw Non-zero DMR Data'!$Z:$Z,"Yes")</f>
        <v>5</v>
      </c>
      <c r="W621">
        <v>0.32990817</v>
      </c>
      <c r="X621" t="s">
        <v>1117</v>
      </c>
      <c r="Y621" t="s">
        <v>578</v>
      </c>
      <c r="Z621" s="257">
        <v>150100150604</v>
      </c>
    </row>
    <row r="622" spans="1:26" ht="15" customHeight="1" x14ac:dyDescent="0.25">
      <c r="A622">
        <v>2023</v>
      </c>
      <c r="B622" t="s">
        <v>156</v>
      </c>
      <c r="C622" t="s">
        <v>157</v>
      </c>
      <c r="D622" t="s">
        <v>575</v>
      </c>
      <c r="E622" t="s">
        <v>158</v>
      </c>
      <c r="F622">
        <v>36.122100000000003</v>
      </c>
      <c r="G622">
        <v>-115.17139</v>
      </c>
      <c r="I622" s="1">
        <v>110004306938</v>
      </c>
      <c r="J622">
        <v>7011</v>
      </c>
      <c r="K622" s="175" t="str">
        <f>INDEX('2022 SIC to NAICS'!B:B, MATCH('Processed Non-zero DMR Data'!$J622, '2022 SIC to NAICS'!$A:$A, 0))</f>
        <v>Hotels and Motels</v>
      </c>
      <c r="L622" s="175">
        <f>INDEX('2022 SIC to NAICS'!C:C, MATCH('Processed Non-zero DMR Data'!$J622, '2022 SIC to NAICS'!$A:$A, 0))</f>
        <v>721110</v>
      </c>
      <c r="M622" s="175" t="str">
        <f>INDEX('2022 SIC to NAICS'!D:D, MATCH('Processed Non-zero DMR Data'!$J622, '2022 SIC to NAICS'!$A:$A, 0))</f>
        <v xml:space="preserve">Hotels (except Casino Hotels) and Motels </v>
      </c>
      <c r="N622" s="90" t="str">
        <f>IFERROR(INDEX('NAICS Code to IS CDR Code'!B:B, MATCH('Processed Non-zero DMR Data'!L622,'NAICS Code to IS CDR Code'!A:A,0)), "NAICS/SIC Not Provided")</f>
        <v>IS47</v>
      </c>
      <c r="O622" s="91" t="str">
        <f>IFERROR(INDEX('NAICS Code to IS CDR Code'!C:C, MATCH('Processed Non-zero DMR Data'!L622,'NAICS Code to IS CDR Code'!A:A,0)), "NAICS/SIC Not Provided")</f>
        <v>Services</v>
      </c>
      <c r="P622" s="91" t="e">
        <f>INDEX('11DCA Mapping'!$K:$K, MATCH('Processed Non-zero DMR Data'!I629,'11DCA Mapping'!$J:$J,0))</f>
        <v>#N/A</v>
      </c>
      <c r="Q622" s="91" t="e">
        <f>INDEX('11DCA Mapping'!$L:$L, MATCH('Processed Non-zero DMR Data'!I629,'11DCA Mapping'!$J:$J,0))</f>
        <v>#N/A</v>
      </c>
      <c r="R622" s="250" t="str">
        <f>VLOOKUP(I622,'DMR POTW Flag'!$A$2:$B$960,2,FALSE)</f>
        <v>NON-POTW</v>
      </c>
      <c r="S622" s="249" t="s">
        <v>68</v>
      </c>
      <c r="T622" s="249" t="s">
        <v>1116</v>
      </c>
      <c r="U622" s="8">
        <f>COUNTIFS('Raw Non-zero DMR Data'!$A:$A, 'Processed Non-zero DMR Data'!A622, 'Raw Non-zero DMR Data'!$C:$C, X622, 'Raw Non-zero DMR Data'!$U:$U,'Processed Non-zero DMR Data'!Y622)</f>
        <v>4</v>
      </c>
      <c r="V622" s="8">
        <f>COUNTIFS('Raw Non-zero DMR Data'!$A:$A, 'Processed Non-zero DMR Data'!A622, 'Raw Non-zero DMR Data'!$C:$C, X622, 'Raw Non-zero DMR Data'!$U:$U,'Processed Non-zero DMR Data'!Y622,'Raw Non-zero DMR Data'!$Z:$Z,"Yes")</f>
        <v>4</v>
      </c>
      <c r="W622">
        <v>1.94138800625E-2</v>
      </c>
      <c r="X622" t="s">
        <v>1117</v>
      </c>
      <c r="Y622" t="s">
        <v>578</v>
      </c>
      <c r="Z622" s="257">
        <v>150100150604</v>
      </c>
    </row>
    <row r="623" spans="1:26" ht="15" customHeight="1" x14ac:dyDescent="0.25">
      <c r="A623">
        <v>2023</v>
      </c>
      <c r="B623" t="s">
        <v>156</v>
      </c>
      <c r="C623" t="s">
        <v>157</v>
      </c>
      <c r="D623" t="s">
        <v>575</v>
      </c>
      <c r="E623" t="s">
        <v>158</v>
      </c>
      <c r="F623">
        <v>36.122100000000003</v>
      </c>
      <c r="G623">
        <v>-115.17139</v>
      </c>
      <c r="I623" s="1">
        <v>110004306938</v>
      </c>
      <c r="J623">
        <v>7011</v>
      </c>
      <c r="K623" s="175" t="str">
        <f>INDEX('2022 SIC to NAICS'!B:B, MATCH('Processed Non-zero DMR Data'!$J623, '2022 SIC to NAICS'!$A:$A, 0))</f>
        <v>Hotels and Motels</v>
      </c>
      <c r="L623" s="175">
        <f>INDEX('2022 SIC to NAICS'!C:C, MATCH('Processed Non-zero DMR Data'!$J623, '2022 SIC to NAICS'!$A:$A, 0))</f>
        <v>721110</v>
      </c>
      <c r="M623" s="175" t="str">
        <f>INDEX('2022 SIC to NAICS'!D:D, MATCH('Processed Non-zero DMR Data'!$J623, '2022 SIC to NAICS'!$A:$A, 0))</f>
        <v xml:space="preserve">Hotels (except Casino Hotels) and Motels </v>
      </c>
      <c r="N623" s="90" t="str">
        <f>IFERROR(INDEX('NAICS Code to IS CDR Code'!B:B, MATCH('Processed Non-zero DMR Data'!L623,'NAICS Code to IS CDR Code'!A:A,0)), "NAICS/SIC Not Provided")</f>
        <v>IS47</v>
      </c>
      <c r="O623" s="91" t="str">
        <f>IFERROR(INDEX('NAICS Code to IS CDR Code'!C:C, MATCH('Processed Non-zero DMR Data'!L623,'NAICS Code to IS CDR Code'!A:A,0)), "NAICS/SIC Not Provided")</f>
        <v>Services</v>
      </c>
      <c r="P623" s="91" t="str">
        <f>INDEX('11DCA Mapping'!$K:$K, MATCH('Processed Non-zero DMR Data'!I630,'11DCA Mapping'!$J:$J,0))</f>
        <v>Processing as a Reactant</v>
      </c>
      <c r="Q623" s="91" t="str">
        <f>INDEX('11DCA Mapping'!$L:$L, MATCH('Processed Non-zero DMR Data'!I630,'11DCA Mapping'!$J:$J,0))</f>
        <v>Assumed processing as a reactant based on SIC description</v>
      </c>
      <c r="R623" s="250" t="str">
        <f>VLOOKUP(I623,'DMR POTW Flag'!$A$2:$B$960,2,FALSE)</f>
        <v>NON-POTW</v>
      </c>
      <c r="S623" s="249" t="s">
        <v>68</v>
      </c>
      <c r="T623" s="249" t="s">
        <v>1116</v>
      </c>
      <c r="U623" s="8">
        <f>COUNTIFS('Raw Non-zero DMR Data'!$A:$A, 'Processed Non-zero DMR Data'!A623, 'Raw Non-zero DMR Data'!$C:$C, X623, 'Raw Non-zero DMR Data'!$U:$U,'Processed Non-zero DMR Data'!Y623)</f>
        <v>4</v>
      </c>
      <c r="V623" s="8">
        <f>COUNTIFS('Raw Non-zero DMR Data'!$A:$A, 'Processed Non-zero DMR Data'!A623, 'Raw Non-zero DMR Data'!$C:$C, X623, 'Raw Non-zero DMR Data'!$U:$U,'Processed Non-zero DMR Data'!Y623,'Raw Non-zero DMR Data'!$Z:$Z,"Yes")</f>
        <v>4</v>
      </c>
      <c r="W623">
        <v>2.5347529937499998E-2</v>
      </c>
      <c r="X623" t="s">
        <v>1117</v>
      </c>
      <c r="Y623" t="s">
        <v>578</v>
      </c>
      <c r="Z623" s="257">
        <v>150100150604</v>
      </c>
    </row>
    <row r="624" spans="1:26" ht="15" customHeight="1" x14ac:dyDescent="0.25">
      <c r="A624">
        <v>2023</v>
      </c>
      <c r="B624" t="s">
        <v>156</v>
      </c>
      <c r="C624" t="s">
        <v>157</v>
      </c>
      <c r="D624" t="s">
        <v>575</v>
      </c>
      <c r="E624" t="s">
        <v>158</v>
      </c>
      <c r="F624">
        <v>36.122100000000003</v>
      </c>
      <c r="G624">
        <v>-115.17139</v>
      </c>
      <c r="I624" s="1">
        <v>110004306938</v>
      </c>
      <c r="J624">
        <v>7011</v>
      </c>
      <c r="K624" s="175" t="str">
        <f>INDEX('2022 SIC to NAICS'!B:B, MATCH('Processed Non-zero DMR Data'!$J624, '2022 SIC to NAICS'!$A:$A, 0))</f>
        <v>Hotels and Motels</v>
      </c>
      <c r="L624" s="175">
        <f>INDEX('2022 SIC to NAICS'!C:C, MATCH('Processed Non-zero DMR Data'!$J624, '2022 SIC to NAICS'!$A:$A, 0))</f>
        <v>721110</v>
      </c>
      <c r="M624" s="175" t="str">
        <f>INDEX('2022 SIC to NAICS'!D:D, MATCH('Processed Non-zero DMR Data'!$J624, '2022 SIC to NAICS'!$A:$A, 0))</f>
        <v xml:space="preserve">Hotels (except Casino Hotels) and Motels </v>
      </c>
      <c r="N624" s="90" t="str">
        <f>IFERROR(INDEX('NAICS Code to IS CDR Code'!B:B, MATCH('Processed Non-zero DMR Data'!L624,'NAICS Code to IS CDR Code'!A:A,0)), "NAICS/SIC Not Provided")</f>
        <v>IS47</v>
      </c>
      <c r="O624" s="91" t="str">
        <f>IFERROR(INDEX('NAICS Code to IS CDR Code'!C:C, MATCH('Processed Non-zero DMR Data'!L624,'NAICS Code to IS CDR Code'!A:A,0)), "NAICS/SIC Not Provided")</f>
        <v>Services</v>
      </c>
      <c r="P624" s="91" t="str">
        <f>INDEX('11DCA Mapping'!$K:$K, MATCH('Processed Non-zero DMR Data'!I631,'11DCA Mapping'!$J:$J,0))</f>
        <v>Natural Gas Engines</v>
      </c>
      <c r="Q624" s="91" t="str">
        <f>INDEX('11DCA Mapping'!$L:$L, MATCH('Processed Non-zero DMR Data'!I631,'11DCA Mapping'!$J:$J,0))</f>
        <v xml:space="preserve">The source of 1,1 DCA contamination likely stems from the use of petroleum products to power equipment onsite, and the storage of petroleum products and chemicals onsite (https://www.vopak.com/terminals/vopak-terminal-long-beach?language_content_entity=en). Petroleum product terminals have been previously mapped to “Natural Gas Engines” OES. </v>
      </c>
      <c r="R624" s="250" t="str">
        <f>VLOOKUP(I624,'DMR POTW Flag'!$A$2:$B$960,2,FALSE)</f>
        <v>NON-POTW</v>
      </c>
      <c r="S624" s="249" t="s">
        <v>68</v>
      </c>
      <c r="T624" s="249" t="s">
        <v>1116</v>
      </c>
      <c r="U624" s="8">
        <f>COUNTIFS('Raw Non-zero DMR Data'!$A:$A, 'Processed Non-zero DMR Data'!A624, 'Raw Non-zero DMR Data'!$C:$C, X624, 'Raw Non-zero DMR Data'!$U:$U,'Processed Non-zero DMR Data'!Y624)</f>
        <v>4</v>
      </c>
      <c r="V624" s="8">
        <f>COUNTIFS('Raw Non-zero DMR Data'!$A:$A, 'Processed Non-zero DMR Data'!A624, 'Raw Non-zero DMR Data'!$C:$C, X624, 'Raw Non-zero DMR Data'!$U:$U,'Processed Non-zero DMR Data'!Y624,'Raw Non-zero DMR Data'!$Z:$Z,"Yes")</f>
        <v>4</v>
      </c>
      <c r="W624">
        <v>3.9787919999999997E-2</v>
      </c>
      <c r="X624" t="s">
        <v>1117</v>
      </c>
      <c r="Y624" t="s">
        <v>578</v>
      </c>
      <c r="Z624" s="257">
        <v>150100150604</v>
      </c>
    </row>
    <row r="625" spans="1:26" ht="15" customHeight="1" x14ac:dyDescent="0.25">
      <c r="A625">
        <v>2023</v>
      </c>
      <c r="B625" t="s">
        <v>156</v>
      </c>
      <c r="C625" t="s">
        <v>157</v>
      </c>
      <c r="D625" t="s">
        <v>575</v>
      </c>
      <c r="E625" t="s">
        <v>158</v>
      </c>
      <c r="F625">
        <v>36.122100000000003</v>
      </c>
      <c r="G625">
        <v>-115.17139</v>
      </c>
      <c r="I625" s="1">
        <v>110004306938</v>
      </c>
      <c r="J625">
        <v>7011</v>
      </c>
      <c r="K625" s="175" t="str">
        <f>INDEX('2022 SIC to NAICS'!B:B, MATCH('Processed Non-zero DMR Data'!$J625, '2022 SIC to NAICS'!$A:$A, 0))</f>
        <v>Hotels and Motels</v>
      </c>
      <c r="L625" s="175">
        <f>INDEX('2022 SIC to NAICS'!C:C, MATCH('Processed Non-zero DMR Data'!$J625, '2022 SIC to NAICS'!$A:$A, 0))</f>
        <v>721110</v>
      </c>
      <c r="M625" s="175" t="str">
        <f>INDEX('2022 SIC to NAICS'!D:D, MATCH('Processed Non-zero DMR Data'!$J625, '2022 SIC to NAICS'!$A:$A, 0))</f>
        <v xml:space="preserve">Hotels (except Casino Hotels) and Motels </v>
      </c>
      <c r="N625" s="90" t="str">
        <f>IFERROR(INDEX('NAICS Code to IS CDR Code'!B:B, MATCH('Processed Non-zero DMR Data'!L625,'NAICS Code to IS CDR Code'!A:A,0)), "NAICS/SIC Not Provided")</f>
        <v>IS47</v>
      </c>
      <c r="O625" s="91" t="str">
        <f>IFERROR(INDEX('NAICS Code to IS CDR Code'!C:C, MATCH('Processed Non-zero DMR Data'!L625,'NAICS Code to IS CDR Code'!A:A,0)), "NAICS/SIC Not Provided")</f>
        <v>Services</v>
      </c>
      <c r="P625" s="91" t="str">
        <f>INDEX('11DCA Mapping'!$K:$K, MATCH('Processed Non-zero DMR Data'!I632,'11DCA Mapping'!$J:$J,0))</f>
        <v>Natural Gas Engines</v>
      </c>
      <c r="Q625" s="91" t="str">
        <f>INDEX('11DCA Mapping'!$L:$L, MATCH('Processed Non-zero DMR Data'!I632,'11DCA Mapping'!$J:$J,0))</f>
        <v xml:space="preserve">The source of 1,1 DCA contamination likely stems from the use of petroleum products to power equipment onsite, and the storage of petroleum products and chemicals onsite (https://www.vopak.com/terminals/vopak-terminal-los-angeles?language_content_entity=en). Petroleum product terminals have been previously mapped to “Natural Gas Engines” OES. </v>
      </c>
      <c r="R625" s="250" t="str">
        <f>VLOOKUP(I625,'DMR POTW Flag'!$A$2:$B$960,2,FALSE)</f>
        <v>NON-POTW</v>
      </c>
      <c r="S625" s="249" t="s">
        <v>68</v>
      </c>
      <c r="T625" s="249" t="s">
        <v>1116</v>
      </c>
      <c r="U625" s="8">
        <f>COUNTIFS('Raw Non-zero DMR Data'!$A:$A, 'Processed Non-zero DMR Data'!A625, 'Raw Non-zero DMR Data'!$C:$C, X625, 'Raw Non-zero DMR Data'!$U:$U,'Processed Non-zero DMR Data'!Y625)</f>
        <v>4</v>
      </c>
      <c r="V625" s="8">
        <f>COUNTIFS('Raw Non-zero DMR Data'!$A:$A, 'Processed Non-zero DMR Data'!A625, 'Raw Non-zero DMR Data'!$C:$C, X625, 'Raw Non-zero DMR Data'!$U:$U,'Processed Non-zero DMR Data'!Y625,'Raw Non-zero DMR Data'!$Z:$Z,"Yes")</f>
        <v>4</v>
      </c>
      <c r="W625">
        <v>0.67112412212500006</v>
      </c>
      <c r="X625" t="s">
        <v>1117</v>
      </c>
      <c r="Y625" t="s">
        <v>578</v>
      </c>
      <c r="Z625" s="257">
        <v>150100150604</v>
      </c>
    </row>
    <row r="626" spans="1:26" ht="15" customHeight="1" x14ac:dyDescent="0.25">
      <c r="A626">
        <v>2020</v>
      </c>
      <c r="B626" t="s">
        <v>391</v>
      </c>
      <c r="C626" t="s">
        <v>392</v>
      </c>
      <c r="D626" t="s">
        <v>1118</v>
      </c>
      <c r="E626" t="s">
        <v>138</v>
      </c>
      <c r="F626">
        <v>38.057777999999999</v>
      </c>
      <c r="G626">
        <v>-84.743888999999996</v>
      </c>
      <c r="I626" s="1">
        <v>110000732226</v>
      </c>
      <c r="J626">
        <v>4952</v>
      </c>
      <c r="K626" s="175" t="str">
        <f>INDEX('2022 SIC to NAICS'!B:B, MATCH('Processed Non-zero DMR Data'!$J626, '2022 SIC to NAICS'!$A:$A, 0))</f>
        <v>Sewerage Systems</v>
      </c>
      <c r="L626" s="175">
        <f>INDEX('2022 SIC to NAICS'!C:C, MATCH('Processed Non-zero DMR Data'!$J626, '2022 SIC to NAICS'!$A:$A, 0))</f>
        <v>221320</v>
      </c>
      <c r="M626" s="175" t="str">
        <f>INDEX('2022 SIC to NAICS'!D:D, MATCH('Processed Non-zero DMR Data'!$J626, '2022 SIC to NAICS'!$A:$A, 0))</f>
        <v xml:space="preserve">Sewage Treatment Facilities </v>
      </c>
      <c r="N626" s="90" t="str">
        <f>IFERROR(INDEX('NAICS Code to IS CDR Code'!B:B, MATCH('Processed Non-zero DMR Data'!L626,'NAICS Code to IS CDR Code'!A:A,0)), "NAICS/SIC Not Provided")</f>
        <v>IS4</v>
      </c>
      <c r="O626" s="91" t="str">
        <f>IFERROR(INDEX('NAICS Code to IS CDR Code'!C:C, MATCH('Processed Non-zero DMR Data'!L626,'NAICS Code to IS CDR Code'!A:A,0)), "NAICS/SIC Not Provided")</f>
        <v>Utilities</v>
      </c>
      <c r="P626" s="91" t="str">
        <f>INDEX('11DCA Mapping'!$K:$K, MATCH('Processed Non-zero DMR Data'!I633,'11DCA Mapping'!$J:$J,0))</f>
        <v>POTW</v>
      </c>
      <c r="Q626" s="91" t="str">
        <f>INDEX('11DCA Mapping'!$L:$L, MATCH('Processed Non-zero DMR Data'!I633,'11DCA Mapping'!$J:$J,0))</f>
        <v>Assigned POTW per "Facility Type Indicator"</v>
      </c>
      <c r="R626" s="250" t="str">
        <f>VLOOKUP(I626,'DMR POTW Flag'!$A$2:$B$960,2,FALSE)</f>
        <v>POTW</v>
      </c>
      <c r="S626" s="7" t="s">
        <v>67</v>
      </c>
      <c r="T626" s="249" t="s">
        <v>586</v>
      </c>
      <c r="U626" s="8">
        <f>COUNTIFS('Raw Non-zero DMR Data'!$A:$A, 'Processed Non-zero DMR Data'!A626, 'Raw Non-zero DMR Data'!$C:$C, X626, 'Raw Non-zero DMR Data'!$U:$U,'Processed Non-zero DMR Data'!Y626)</f>
        <v>1</v>
      </c>
      <c r="V626" s="8">
        <f>COUNTIFS('Raw Non-zero DMR Data'!$A:$A, 'Processed Non-zero DMR Data'!A626, 'Raw Non-zero DMR Data'!$C:$C, X626, 'Raw Non-zero DMR Data'!$U:$U,'Processed Non-zero DMR Data'!Y626,'Raw Non-zero DMR Data'!$Z:$Z,"Yes")</f>
        <v>1</v>
      </c>
      <c r="W626">
        <v>5.636622</v>
      </c>
      <c r="X626" t="s">
        <v>1119</v>
      </c>
      <c r="Y626" t="s">
        <v>1120</v>
      </c>
      <c r="Z626" s="257">
        <v>51002050709</v>
      </c>
    </row>
    <row r="627" spans="1:26" ht="15" customHeight="1" x14ac:dyDescent="0.25">
      <c r="A627">
        <v>2019</v>
      </c>
      <c r="B627" t="s">
        <v>269</v>
      </c>
      <c r="C627" t="s">
        <v>270</v>
      </c>
      <c r="D627" t="s">
        <v>1029</v>
      </c>
      <c r="E627" t="s">
        <v>146</v>
      </c>
      <c r="F627">
        <v>34.616678999999998</v>
      </c>
      <c r="G627">
        <v>-117.355046</v>
      </c>
      <c r="I627" s="1">
        <v>110000517637</v>
      </c>
      <c r="J627">
        <v>4952</v>
      </c>
      <c r="K627" s="175" t="str">
        <f>INDEX('2022 SIC to NAICS'!B:B, MATCH('Processed Non-zero DMR Data'!$J627, '2022 SIC to NAICS'!$A:$A, 0))</f>
        <v>Sewerage Systems</v>
      </c>
      <c r="L627" s="175">
        <f>INDEX('2022 SIC to NAICS'!C:C, MATCH('Processed Non-zero DMR Data'!$J627, '2022 SIC to NAICS'!$A:$A, 0))</f>
        <v>221320</v>
      </c>
      <c r="M627" s="175" t="str">
        <f>INDEX('2022 SIC to NAICS'!D:D, MATCH('Processed Non-zero DMR Data'!$J627, '2022 SIC to NAICS'!$A:$A, 0))</f>
        <v xml:space="preserve">Sewage Treatment Facilities </v>
      </c>
      <c r="N627" s="90" t="str">
        <f>IFERROR(INDEX('NAICS Code to IS CDR Code'!B:B, MATCH('Processed Non-zero DMR Data'!L627,'NAICS Code to IS CDR Code'!A:A,0)), "NAICS/SIC Not Provided")</f>
        <v>IS4</v>
      </c>
      <c r="O627" s="91" t="str">
        <f>IFERROR(INDEX('NAICS Code to IS CDR Code'!C:C, MATCH('Processed Non-zero DMR Data'!L627,'NAICS Code to IS CDR Code'!A:A,0)), "NAICS/SIC Not Provided")</f>
        <v>Utilities</v>
      </c>
      <c r="P627" s="91" t="str">
        <f>INDEX('11DCA Mapping'!$K:$K, MATCH('Processed Non-zero DMR Data'!I634,'11DCA Mapping'!$J:$J,0))</f>
        <v>POTW</v>
      </c>
      <c r="Q627" s="91" t="str">
        <f>INDEX('11DCA Mapping'!$L:$L, MATCH('Processed Non-zero DMR Data'!I634,'11DCA Mapping'!$J:$J,0))</f>
        <v>Assigned POTW per "Facility Type Indicator"</v>
      </c>
      <c r="R627" s="250" t="str">
        <f>VLOOKUP(I627,'DMR POTW Flag'!$A$2:$B$960,2,FALSE)</f>
        <v>POTW</v>
      </c>
      <c r="S627" s="7" t="s">
        <v>67</v>
      </c>
      <c r="T627" s="249" t="s">
        <v>586</v>
      </c>
      <c r="U627" s="8">
        <f>COUNTIFS('Raw Non-zero DMR Data'!$A:$A, 'Processed Non-zero DMR Data'!A627, 'Raw Non-zero DMR Data'!$C:$C, X627, 'Raw Non-zero DMR Data'!$U:$U,'Processed Non-zero DMR Data'!Y627)</f>
        <v>1</v>
      </c>
      <c r="V627" s="8">
        <f>COUNTIFS('Raw Non-zero DMR Data'!$A:$A, 'Processed Non-zero DMR Data'!A627, 'Raw Non-zero DMR Data'!$C:$C, X627, 'Raw Non-zero DMR Data'!$U:$U,'Processed Non-zero DMR Data'!Y627,'Raw Non-zero DMR Data'!$Z:$Z,"Yes")</f>
        <v>1</v>
      </c>
      <c r="W627">
        <v>0.49044137500000001</v>
      </c>
      <c r="X627" t="s">
        <v>1121</v>
      </c>
      <c r="Y627" t="s">
        <v>1122</v>
      </c>
      <c r="Z627" s="257">
        <v>180902080706</v>
      </c>
    </row>
    <row r="628" spans="1:26" ht="15" customHeight="1" x14ac:dyDescent="0.25">
      <c r="A628">
        <v>2023</v>
      </c>
      <c r="B628" t="s">
        <v>470</v>
      </c>
      <c r="C628" t="s">
        <v>157</v>
      </c>
      <c r="D628" t="s">
        <v>554</v>
      </c>
      <c r="E628" t="s">
        <v>158</v>
      </c>
      <c r="F628">
        <v>36.137529999999998</v>
      </c>
      <c r="G628">
        <v>-115.15479000000001</v>
      </c>
      <c r="I628" s="1">
        <v>110020039402</v>
      </c>
      <c r="J628">
        <v>7011</v>
      </c>
      <c r="K628" s="175" t="str">
        <f>INDEX('2022 SIC to NAICS'!B:B, MATCH('Processed Non-zero DMR Data'!$J628, '2022 SIC to NAICS'!$A:$A, 0))</f>
        <v>Hotels and Motels</v>
      </c>
      <c r="L628" s="175">
        <f>INDEX('2022 SIC to NAICS'!C:C, MATCH('Processed Non-zero DMR Data'!$J628, '2022 SIC to NAICS'!$A:$A, 0))</f>
        <v>721110</v>
      </c>
      <c r="M628" s="175" t="str">
        <f>INDEX('2022 SIC to NAICS'!D:D, MATCH('Processed Non-zero DMR Data'!$J628, '2022 SIC to NAICS'!$A:$A, 0))</f>
        <v xml:space="preserve">Hotels (except Casino Hotels) and Motels </v>
      </c>
      <c r="N628" s="90" t="str">
        <f>IFERROR(INDEX('NAICS Code to IS CDR Code'!B:B, MATCH('Processed Non-zero DMR Data'!L628,'NAICS Code to IS CDR Code'!A:A,0)), "NAICS/SIC Not Provided")</f>
        <v>IS47</v>
      </c>
      <c r="O628" s="91" t="str">
        <f>IFERROR(INDEX('NAICS Code to IS CDR Code'!C:C, MATCH('Processed Non-zero DMR Data'!L628,'NAICS Code to IS CDR Code'!A:A,0)), "NAICS/SIC Not Provided")</f>
        <v>Services</v>
      </c>
      <c r="P628" s="91" t="str">
        <f>INDEX('11DCA Mapping'!$K:$K, MATCH('Processed Non-zero DMR Data'!I585,'11DCA Mapping'!$J:$J,0))</f>
        <v>POTW</v>
      </c>
      <c r="Q628" s="91" t="str">
        <f>INDEX('11DCA Mapping'!$L:$L, MATCH('Processed Non-zero DMR Data'!I585,'11DCA Mapping'!$J:$J,0))</f>
        <v>Assigned POTW per "Facility Type Indicator"</v>
      </c>
      <c r="R628" s="91" t="str">
        <f>VLOOKUP(I628,'DMR POTW Flag'!$A$2:$B$960,2,FALSE)</f>
        <v>NON-POTW</v>
      </c>
      <c r="S628" s="7" t="s">
        <v>72</v>
      </c>
      <c r="T628" s="244" t="s">
        <v>909</v>
      </c>
      <c r="U628" s="8">
        <f>COUNTIFS('Raw Non-zero DMR Data'!$A:$A, 'Processed Non-zero DMR Data'!A628, 'Raw Non-zero DMR Data'!$C:$C, X628, 'Raw Non-zero DMR Data'!$U:$U,'Processed Non-zero DMR Data'!Y628)</f>
        <v>1</v>
      </c>
      <c r="V628" s="8">
        <f>COUNTIFS('Raw Non-zero DMR Data'!$A:$A, 'Processed Non-zero DMR Data'!A628, 'Raw Non-zero DMR Data'!$C:$C, X628, 'Raw Non-zero DMR Data'!$U:$U,'Processed Non-zero DMR Data'!Y628,'Raw Non-zero DMR Data'!$Z:$Z,"Yes")</f>
        <v>1</v>
      </c>
      <c r="W628">
        <v>1.9505063768887501E-3</v>
      </c>
      <c r="X628" t="s">
        <v>910</v>
      </c>
      <c r="Y628" t="s">
        <v>578</v>
      </c>
      <c r="Z628" s="257">
        <v>150100150604</v>
      </c>
    </row>
    <row r="629" spans="1:26" ht="15" customHeight="1" x14ac:dyDescent="0.25">
      <c r="A629">
        <v>2023</v>
      </c>
      <c r="B629" t="s">
        <v>240</v>
      </c>
      <c r="C629" t="s">
        <v>241</v>
      </c>
      <c r="D629" t="s">
        <v>669</v>
      </c>
      <c r="E629" t="s">
        <v>114</v>
      </c>
      <c r="F629">
        <v>29.378699999999998</v>
      </c>
      <c r="G629">
        <v>-98.551670000000001</v>
      </c>
      <c r="I629" s="1">
        <v>110042004915</v>
      </c>
      <c r="J629">
        <v>9711</v>
      </c>
      <c r="K629" s="175" t="str">
        <f>INDEX('2022 SIC to NAICS'!B:B, MATCH('Processed Non-zero DMR Data'!$J629, '2022 SIC to NAICS'!$A:$A, 0))</f>
        <v>National Security</v>
      </c>
      <c r="L629" s="175">
        <f>INDEX('2022 SIC to NAICS'!C:C, MATCH('Processed Non-zero DMR Data'!$J629, '2022 SIC to NAICS'!$A:$A, 0))</f>
        <v>928110</v>
      </c>
      <c r="M629" s="175" t="str">
        <f>INDEX('2022 SIC to NAICS'!D:D, MATCH('Processed Non-zero DMR Data'!$J629, '2022 SIC to NAICS'!$A:$A, 0))</f>
        <v xml:space="preserve">National Security </v>
      </c>
      <c r="N629" s="90" t="str">
        <f>IFERROR(INDEX('NAICS Code to IS CDR Code'!B:B, MATCH('Processed Non-zero DMR Data'!L629,'NAICS Code to IS CDR Code'!A:A,0)), "NAICS/SIC Not Provided")</f>
        <v>IS47</v>
      </c>
      <c r="O629" s="91" t="str">
        <f>IFERROR(INDEX('NAICS Code to IS CDR Code'!C:C, MATCH('Processed Non-zero DMR Data'!L629,'NAICS Code to IS CDR Code'!A:A,0)), "NAICS/SIC Not Provided")</f>
        <v>Services</v>
      </c>
      <c r="P629" s="91" t="str">
        <f>INDEX('11DCA Mapping'!$K:$K, MATCH('Processed Non-zero DMR Data'!I598,'11DCA Mapping'!$J:$J,0))</f>
        <v>POTW</v>
      </c>
      <c r="Q629" s="91" t="str">
        <f>INDEX('11DCA Mapping'!$L:$L, MATCH('Processed Non-zero DMR Data'!I598,'11DCA Mapping'!$J:$J,0))</f>
        <v>Assigned POTW per "Facility Type Indicator"</v>
      </c>
      <c r="R629" s="91" t="str">
        <f>VLOOKUP(I629,'DMR POTW Flag'!$A$2:$B$960,2,FALSE)</f>
        <v>FEDERAL</v>
      </c>
      <c r="S629" s="7" t="s">
        <v>72</v>
      </c>
      <c r="T629" s="7" t="s">
        <v>670</v>
      </c>
      <c r="U629" s="8">
        <f>COUNTIFS('Raw Non-zero DMR Data'!$A:$A, 'Processed Non-zero DMR Data'!A629, 'Raw Non-zero DMR Data'!$C:$C, X629, 'Raw Non-zero DMR Data'!$U:$U,'Processed Non-zero DMR Data'!Y629)</f>
        <v>1</v>
      </c>
      <c r="V629" s="8">
        <f>COUNTIFS('Raw Non-zero DMR Data'!$A:$A, 'Processed Non-zero DMR Data'!A629, 'Raw Non-zero DMR Data'!$C:$C, X629, 'Raw Non-zero DMR Data'!$U:$U,'Processed Non-zero DMR Data'!Y629,'Raw Non-zero DMR Data'!$Z:$Z,"Yes")</f>
        <v>1</v>
      </c>
      <c r="W629">
        <v>3.4654466437500003E-2</v>
      </c>
      <c r="X629" t="s">
        <v>671</v>
      </c>
      <c r="Y629" t="s">
        <v>672</v>
      </c>
      <c r="Z629" s="257">
        <v>121003010203</v>
      </c>
    </row>
    <row r="630" spans="1:26" ht="15" customHeight="1" x14ac:dyDescent="0.25">
      <c r="A630">
        <v>2019</v>
      </c>
      <c r="B630" t="s">
        <v>334</v>
      </c>
      <c r="C630" t="s">
        <v>335</v>
      </c>
      <c r="D630" t="s">
        <v>1123</v>
      </c>
      <c r="E630" t="s">
        <v>336</v>
      </c>
      <c r="F630">
        <v>41.424084999999998</v>
      </c>
      <c r="G630">
        <v>-97.286036999999993</v>
      </c>
      <c r="I630" s="1">
        <v>110070246981</v>
      </c>
      <c r="J630">
        <v>2899</v>
      </c>
      <c r="K630" s="175" t="str">
        <f>INDEX('2022 SIC to NAICS'!B:B, MATCH('Processed Non-zero DMR Data'!$J630, '2022 SIC to NAICS'!$A:$A, 0))</f>
        <v>Chemical Preparations, Nec</v>
      </c>
      <c r="L630" s="175">
        <f>INDEX('2022 SIC to NAICS'!C:C, MATCH('Processed Non-zero DMR Data'!$J630, '2022 SIC to NAICS'!$A:$A, 0))</f>
        <v>311942</v>
      </c>
      <c r="M630" s="175" t="str">
        <f>INDEX('2022 SIC to NAICS'!D:D, MATCH('Processed Non-zero DMR Data'!$J630, '2022 SIC to NAICS'!$A:$A, 0))</f>
        <v xml:space="preserve">Spice and Extract Manufacturing </v>
      </c>
      <c r="N630" s="90" t="str">
        <f>IFERROR(INDEX('NAICS Code to IS CDR Code'!B:B, MATCH('Processed Non-zero DMR Data'!L630,'NAICS Code to IS CDR Code'!A:A,0)), "NAICS/SIC Not Provided")</f>
        <v>IS6</v>
      </c>
      <c r="O630" s="91" t="str">
        <f>IFERROR(INDEX('NAICS Code to IS CDR Code'!C:C, MATCH('Processed Non-zero DMR Data'!L630,'NAICS Code to IS CDR Code'!A:A,0)), "NAICS/SIC Not Provided")</f>
        <v>Food, beverage, and tobacco product manufacturing</v>
      </c>
      <c r="P630" s="91" t="str">
        <f>INDEX('11DCA Mapping'!$K:$K, MATCH('Processed Non-zero DMR Data'!I637,'11DCA Mapping'!$J:$J,0))</f>
        <v>POTW</v>
      </c>
      <c r="Q630" s="91" t="str">
        <f>INDEX('11DCA Mapping'!$L:$L, MATCH('Processed Non-zero DMR Data'!I637,'11DCA Mapping'!$J:$J,0))</f>
        <v>Assigned POTW per "Facility Type Indicator"</v>
      </c>
      <c r="R630" s="250" t="e">
        <f>VLOOKUP(I630,'DMR POTW Flag'!$A$2:$B$960,2,FALSE)</f>
        <v>#N/A</v>
      </c>
      <c r="S630" s="7" t="s">
        <v>62</v>
      </c>
      <c r="T630" s="7" t="s">
        <v>1124</v>
      </c>
      <c r="U630" s="8">
        <f>COUNTIFS('Raw Non-zero DMR Data'!$A:$A, 'Processed Non-zero DMR Data'!A630, 'Raw Non-zero DMR Data'!$C:$C, X630, 'Raw Non-zero DMR Data'!$U:$U,'Processed Non-zero DMR Data'!Y630)</f>
        <v>1</v>
      </c>
      <c r="V630" s="8">
        <f>COUNTIFS('Raw Non-zero DMR Data'!$A:$A, 'Processed Non-zero DMR Data'!A630, 'Raw Non-zero DMR Data'!$C:$C, X630, 'Raw Non-zero DMR Data'!$U:$U,'Processed Non-zero DMR Data'!Y630,'Raw Non-zero DMR Data'!$Z:$Z,"Yes")</f>
        <v>1</v>
      </c>
      <c r="W630">
        <v>0.27600000000000002</v>
      </c>
      <c r="X630" t="s">
        <v>1125</v>
      </c>
      <c r="Y630" t="s">
        <v>1126</v>
      </c>
      <c r="Z630" s="257">
        <v>102002010302</v>
      </c>
    </row>
    <row r="631" spans="1:26" ht="15" customHeight="1" x14ac:dyDescent="0.25">
      <c r="A631">
        <v>2019</v>
      </c>
      <c r="B631" t="s">
        <v>210</v>
      </c>
      <c r="C631" t="s">
        <v>211</v>
      </c>
      <c r="D631" t="s">
        <v>446</v>
      </c>
      <c r="E631" t="s">
        <v>146</v>
      </c>
      <c r="F631">
        <v>33.762349999999998</v>
      </c>
      <c r="G631">
        <v>-118.241775</v>
      </c>
      <c r="I631" s="1">
        <v>110017217545</v>
      </c>
      <c r="J631">
        <v>5171</v>
      </c>
      <c r="K631" s="175" t="str">
        <f>INDEX('2022 SIC to NAICS'!B:B, MATCH('Processed Non-zero DMR Data'!$J631, '2022 SIC to NAICS'!$A:$A, 0))</f>
        <v>Petroleum Bulk Stations and Terminals</v>
      </c>
      <c r="L631" s="175">
        <f>INDEX('2022 SIC to NAICS'!C:C, MATCH('Processed Non-zero DMR Data'!$J631, '2022 SIC to NAICS'!$A:$A, 0))</f>
        <v>424710</v>
      </c>
      <c r="M631" s="175" t="str">
        <f>INDEX('2022 SIC to NAICS'!D:D, MATCH('Processed Non-zero DMR Data'!$J631, '2022 SIC to NAICS'!$A:$A, 0))</f>
        <v xml:space="preserve">Petroleum Bulk Stations and Terminals </v>
      </c>
      <c r="N631" s="90" t="str">
        <f>IFERROR(INDEX('NAICS Code to IS CDR Code'!B:B, MATCH('Processed Non-zero DMR Data'!L631,'NAICS Code to IS CDR Code'!A:A,0)), "NAICS/SIC Not Provided")</f>
        <v>IS46</v>
      </c>
      <c r="O631" s="91" t="str">
        <f>IFERROR(INDEX('NAICS Code to IS CDR Code'!C:C, MATCH('Processed Non-zero DMR Data'!L631,'NAICS Code to IS CDR Code'!A:A,0)), "NAICS/SIC Not Provided")</f>
        <v>Wholesale and Retail Trade</v>
      </c>
      <c r="P631" s="91" t="str">
        <f>INDEX('11DCA Mapping'!$K:$K, MATCH('Processed Non-zero DMR Data'!I638,'11DCA Mapping'!$J:$J,0))</f>
        <v>POTW</v>
      </c>
      <c r="Q631" s="91" t="str">
        <f>INDEX('11DCA Mapping'!$L:$L, MATCH('Processed Non-zero DMR Data'!I638,'11DCA Mapping'!$J:$J,0))</f>
        <v>Assigned POTW per "Facility Type Indicator"</v>
      </c>
      <c r="R631" s="250" t="str">
        <f>VLOOKUP(I631,'DMR POTW Flag'!$A$2:$B$960,2,FALSE)</f>
        <v>NON-POTW</v>
      </c>
      <c r="S631" s="7" t="s">
        <v>61</v>
      </c>
      <c r="T631" s="7" t="s">
        <v>1127</v>
      </c>
      <c r="U631" s="8">
        <f>COUNTIFS('Raw Non-zero DMR Data'!$A:$A, 'Processed Non-zero DMR Data'!A631, 'Raw Non-zero DMR Data'!$C:$C, X631, 'Raw Non-zero DMR Data'!$U:$U,'Processed Non-zero DMR Data'!Y631)</f>
        <v>1</v>
      </c>
      <c r="V631" s="8">
        <f>COUNTIFS('Raw Non-zero DMR Data'!$A:$A, 'Processed Non-zero DMR Data'!A631, 'Raw Non-zero DMR Data'!$C:$C, X631, 'Raw Non-zero DMR Data'!$U:$U,'Processed Non-zero DMR Data'!Y631,'Raw Non-zero DMR Data'!$Z:$Z,"Yes")</f>
        <v>1</v>
      </c>
      <c r="W631">
        <v>8.5171016250000006E-3</v>
      </c>
      <c r="X631" t="s">
        <v>1128</v>
      </c>
      <c r="Y631" t="s">
        <v>1129</v>
      </c>
      <c r="Z631" s="257">
        <v>180701060701</v>
      </c>
    </row>
    <row r="632" spans="1:26" ht="15" customHeight="1" x14ac:dyDescent="0.25">
      <c r="A632">
        <v>2019</v>
      </c>
      <c r="B632" t="s">
        <v>360</v>
      </c>
      <c r="C632" t="s">
        <v>361</v>
      </c>
      <c r="D632" t="s">
        <v>446</v>
      </c>
      <c r="E632" t="s">
        <v>146</v>
      </c>
      <c r="F632">
        <v>33.791108999999999</v>
      </c>
      <c r="G632">
        <v>-118.244609</v>
      </c>
      <c r="I632" s="1">
        <v>110028243791</v>
      </c>
      <c r="J632">
        <v>5171</v>
      </c>
      <c r="K632" s="175" t="str">
        <f>INDEX('2022 SIC to NAICS'!B:B, MATCH('Processed Non-zero DMR Data'!$J632, '2022 SIC to NAICS'!$A:$A, 0))</f>
        <v>Petroleum Bulk Stations and Terminals</v>
      </c>
      <c r="L632" s="175">
        <f>INDEX('2022 SIC to NAICS'!C:C, MATCH('Processed Non-zero DMR Data'!$J632, '2022 SIC to NAICS'!$A:$A, 0))</f>
        <v>424710</v>
      </c>
      <c r="M632" s="175" t="str">
        <f>INDEX('2022 SIC to NAICS'!D:D, MATCH('Processed Non-zero DMR Data'!$J632, '2022 SIC to NAICS'!$A:$A, 0))</f>
        <v xml:space="preserve">Petroleum Bulk Stations and Terminals </v>
      </c>
      <c r="N632" s="90" t="str">
        <f>IFERROR(INDEX('NAICS Code to IS CDR Code'!B:B, MATCH('Processed Non-zero DMR Data'!L632,'NAICS Code to IS CDR Code'!A:A,0)), "NAICS/SIC Not Provided")</f>
        <v>IS46</v>
      </c>
      <c r="O632" s="91" t="str">
        <f>IFERROR(INDEX('NAICS Code to IS CDR Code'!C:C, MATCH('Processed Non-zero DMR Data'!L632,'NAICS Code to IS CDR Code'!A:A,0)), "NAICS/SIC Not Provided")</f>
        <v>Wholesale and Retail Trade</v>
      </c>
      <c r="P632" s="91" t="str">
        <f>INDEX('11DCA Mapping'!$K:$K, MATCH('Processed Non-zero DMR Data'!I639,'11DCA Mapping'!$J:$J,0))</f>
        <v>POTW</v>
      </c>
      <c r="Q632" s="91" t="str">
        <f>INDEX('11DCA Mapping'!$L:$L, MATCH('Processed Non-zero DMR Data'!I639,'11DCA Mapping'!$J:$J,0))</f>
        <v>Assigned POTW per "Facility Type Indicator"</v>
      </c>
      <c r="R632" s="250" t="str">
        <f>VLOOKUP(I632,'DMR POTW Flag'!$A$2:$B$960,2,FALSE)</f>
        <v>NON-POTW</v>
      </c>
      <c r="S632" s="7" t="s">
        <v>61</v>
      </c>
      <c r="T632" s="7" t="s">
        <v>1127</v>
      </c>
      <c r="U632" s="8">
        <f>COUNTIFS('Raw Non-zero DMR Data'!$A:$A, 'Processed Non-zero DMR Data'!A632, 'Raw Non-zero DMR Data'!$C:$C, X632, 'Raw Non-zero DMR Data'!$U:$U,'Processed Non-zero DMR Data'!Y632)</f>
        <v>1</v>
      </c>
      <c r="V632" s="8">
        <f>COUNTIFS('Raw Non-zero DMR Data'!$A:$A, 'Processed Non-zero DMR Data'!A632, 'Raw Non-zero DMR Data'!$C:$C, X632, 'Raw Non-zero DMR Data'!$U:$U,'Processed Non-zero DMR Data'!Y632,'Raw Non-zero DMR Data'!$Z:$Z,"Yes")</f>
        <v>1</v>
      </c>
      <c r="W632">
        <v>2.02980560625E-2</v>
      </c>
      <c r="X632" t="s">
        <v>1130</v>
      </c>
      <c r="Y632" t="s">
        <v>1129</v>
      </c>
      <c r="Z632" s="257">
        <v>180701060701</v>
      </c>
    </row>
    <row r="633" spans="1:26" ht="15" customHeight="1" x14ac:dyDescent="0.25">
      <c r="A633">
        <v>2020</v>
      </c>
      <c r="B633" t="s">
        <v>423</v>
      </c>
      <c r="C633" t="s">
        <v>424</v>
      </c>
      <c r="D633" t="s">
        <v>752</v>
      </c>
      <c r="E633" t="s">
        <v>186</v>
      </c>
      <c r="F633">
        <v>22.079093</v>
      </c>
      <c r="G633">
        <v>-159.35138900000001</v>
      </c>
      <c r="I633" s="1">
        <v>110010731262</v>
      </c>
      <c r="J633">
        <v>4952</v>
      </c>
      <c r="K633" s="175" t="str">
        <f>INDEX('2022 SIC to NAICS'!B:B, MATCH('Processed Non-zero DMR Data'!$J633, '2022 SIC to NAICS'!$A:$A, 0))</f>
        <v>Sewerage Systems</v>
      </c>
      <c r="L633" s="175">
        <f>INDEX('2022 SIC to NAICS'!C:C, MATCH('Processed Non-zero DMR Data'!$J633, '2022 SIC to NAICS'!$A:$A, 0))</f>
        <v>221320</v>
      </c>
      <c r="M633" s="175" t="str">
        <f>INDEX('2022 SIC to NAICS'!D:D, MATCH('Processed Non-zero DMR Data'!$J633, '2022 SIC to NAICS'!$A:$A, 0))</f>
        <v xml:space="preserve">Sewage Treatment Facilities </v>
      </c>
      <c r="N633" s="90" t="str">
        <f>IFERROR(INDEX('NAICS Code to IS CDR Code'!B:B, MATCH('Processed Non-zero DMR Data'!L633,'NAICS Code to IS CDR Code'!A:A,0)), "NAICS/SIC Not Provided")</f>
        <v>IS4</v>
      </c>
      <c r="O633" s="91" t="str">
        <f>IFERROR(INDEX('NAICS Code to IS CDR Code'!C:C, MATCH('Processed Non-zero DMR Data'!L633,'NAICS Code to IS CDR Code'!A:A,0)), "NAICS/SIC Not Provided")</f>
        <v>Utilities</v>
      </c>
      <c r="P633" s="91" t="str">
        <f>INDEX('11DCA Mapping'!$K:$K, MATCH('Processed Non-zero DMR Data'!I640,'11DCA Mapping'!$J:$J,0))</f>
        <v>POTW</v>
      </c>
      <c r="Q633" s="91" t="str">
        <f>INDEX('11DCA Mapping'!$L:$L, MATCH('Processed Non-zero DMR Data'!I640,'11DCA Mapping'!$J:$J,0))</f>
        <v>Assigned POTW per "Facility Type Indicator"</v>
      </c>
      <c r="R633" s="250" t="str">
        <f>VLOOKUP(I633,'DMR POTW Flag'!$A$2:$B$960,2,FALSE)</f>
        <v>POTW</v>
      </c>
      <c r="S633" s="7" t="s">
        <v>67</v>
      </c>
      <c r="T633" s="249" t="s">
        <v>586</v>
      </c>
      <c r="U633" s="8">
        <f>COUNTIFS('Raw Non-zero DMR Data'!$A:$A, 'Processed Non-zero DMR Data'!A633, 'Raw Non-zero DMR Data'!$C:$C, X633, 'Raw Non-zero DMR Data'!$U:$U,'Processed Non-zero DMR Data'!Y633)</f>
        <v>1</v>
      </c>
      <c r="V633" s="8">
        <f>COUNTIFS('Raw Non-zero DMR Data'!$A:$A, 'Processed Non-zero DMR Data'!A633, 'Raw Non-zero DMR Data'!$C:$C, X633, 'Raw Non-zero DMR Data'!$U:$U,'Processed Non-zero DMR Data'!Y633,'Raw Non-zero DMR Data'!$Z:$Z,"Yes")</f>
        <v>1</v>
      </c>
      <c r="W633">
        <v>0.1692368125</v>
      </c>
      <c r="X633" t="s">
        <v>1131</v>
      </c>
      <c r="Y633" t="s">
        <v>1132</v>
      </c>
      <c r="Z633" s="257">
        <v>200700000202</v>
      </c>
    </row>
    <row r="634" spans="1:26" ht="15" customHeight="1" x14ac:dyDescent="0.25">
      <c r="A634">
        <v>2021</v>
      </c>
      <c r="B634" t="s">
        <v>423</v>
      </c>
      <c r="C634" t="s">
        <v>424</v>
      </c>
      <c r="D634" t="s">
        <v>752</v>
      </c>
      <c r="E634" t="s">
        <v>186</v>
      </c>
      <c r="F634">
        <v>22.079093</v>
      </c>
      <c r="G634">
        <v>-159.35138900000001</v>
      </c>
      <c r="I634" s="1">
        <v>110010731262</v>
      </c>
      <c r="J634">
        <v>4952</v>
      </c>
      <c r="K634" s="175" t="str">
        <f>INDEX('2022 SIC to NAICS'!B:B, MATCH('Processed Non-zero DMR Data'!$J634, '2022 SIC to NAICS'!$A:$A, 0))</f>
        <v>Sewerage Systems</v>
      </c>
      <c r="L634" s="175">
        <f>INDEX('2022 SIC to NAICS'!C:C, MATCH('Processed Non-zero DMR Data'!$J634, '2022 SIC to NAICS'!$A:$A, 0))</f>
        <v>221320</v>
      </c>
      <c r="M634" s="175" t="str">
        <f>INDEX('2022 SIC to NAICS'!D:D, MATCH('Processed Non-zero DMR Data'!$J634, '2022 SIC to NAICS'!$A:$A, 0))</f>
        <v xml:space="preserve">Sewage Treatment Facilities </v>
      </c>
      <c r="N634" s="90" t="str">
        <f>IFERROR(INDEX('NAICS Code to IS CDR Code'!B:B, MATCH('Processed Non-zero DMR Data'!L634,'NAICS Code to IS CDR Code'!A:A,0)), "NAICS/SIC Not Provided")</f>
        <v>IS4</v>
      </c>
      <c r="O634" s="91" t="str">
        <f>IFERROR(INDEX('NAICS Code to IS CDR Code'!C:C, MATCH('Processed Non-zero DMR Data'!L634,'NAICS Code to IS CDR Code'!A:A,0)), "NAICS/SIC Not Provided")</f>
        <v>Utilities</v>
      </c>
      <c r="P634" s="91" t="str">
        <f>INDEX('11DCA Mapping'!$K:$K, MATCH('Processed Non-zero DMR Data'!I641,'11DCA Mapping'!$J:$J,0))</f>
        <v>POTW</v>
      </c>
      <c r="Q634" s="91" t="str">
        <f>INDEX('11DCA Mapping'!$L:$L, MATCH('Processed Non-zero DMR Data'!I641,'11DCA Mapping'!$J:$J,0))</f>
        <v>Assigned POTW per "Facility Type Indicator"</v>
      </c>
      <c r="R634" s="250" t="str">
        <f>VLOOKUP(I634,'DMR POTW Flag'!$A$2:$B$960,2,FALSE)</f>
        <v>POTW</v>
      </c>
      <c r="S634" s="7" t="s">
        <v>67</v>
      </c>
      <c r="T634" s="249" t="s">
        <v>586</v>
      </c>
      <c r="U634" s="8">
        <f>COUNTIFS('Raw Non-zero DMR Data'!$A:$A, 'Processed Non-zero DMR Data'!A634, 'Raw Non-zero DMR Data'!$C:$C, X634, 'Raw Non-zero DMR Data'!$U:$U,'Processed Non-zero DMR Data'!Y634)</f>
        <v>1</v>
      </c>
      <c r="V634" s="8">
        <f>COUNTIFS('Raw Non-zero DMR Data'!$A:$A, 'Processed Non-zero DMR Data'!A634, 'Raw Non-zero DMR Data'!$C:$C, X634, 'Raw Non-zero DMR Data'!$U:$U,'Processed Non-zero DMR Data'!Y634,'Raw Non-zero DMR Data'!$Z:$Z,"Yes")</f>
        <v>1</v>
      </c>
      <c r="W634">
        <v>0.16474685624999999</v>
      </c>
      <c r="X634" t="s">
        <v>1131</v>
      </c>
      <c r="Y634" t="s">
        <v>1132</v>
      </c>
      <c r="Z634" s="257">
        <v>200700000202</v>
      </c>
    </row>
    <row r="635" spans="1:26" ht="15" customHeight="1" x14ac:dyDescent="0.25">
      <c r="A635">
        <v>2022</v>
      </c>
      <c r="B635" t="s">
        <v>423</v>
      </c>
      <c r="C635" t="s">
        <v>424</v>
      </c>
      <c r="D635" t="s">
        <v>752</v>
      </c>
      <c r="E635" t="s">
        <v>186</v>
      </c>
      <c r="F635">
        <v>22.079093</v>
      </c>
      <c r="G635">
        <v>-159.35138900000001</v>
      </c>
      <c r="I635" s="1">
        <v>110010731262</v>
      </c>
      <c r="J635">
        <v>4952</v>
      </c>
      <c r="K635" s="175" t="str">
        <f>INDEX('2022 SIC to NAICS'!B:B, MATCH('Processed Non-zero DMR Data'!$J635, '2022 SIC to NAICS'!$A:$A, 0))</f>
        <v>Sewerage Systems</v>
      </c>
      <c r="L635" s="175">
        <f>INDEX('2022 SIC to NAICS'!C:C, MATCH('Processed Non-zero DMR Data'!$J635, '2022 SIC to NAICS'!$A:$A, 0))</f>
        <v>221320</v>
      </c>
      <c r="M635" s="175" t="str">
        <f>INDEX('2022 SIC to NAICS'!D:D, MATCH('Processed Non-zero DMR Data'!$J635, '2022 SIC to NAICS'!$A:$A, 0))</f>
        <v xml:space="preserve">Sewage Treatment Facilities </v>
      </c>
      <c r="N635" s="90" t="str">
        <f>IFERROR(INDEX('NAICS Code to IS CDR Code'!B:B, MATCH('Processed Non-zero DMR Data'!L635,'NAICS Code to IS CDR Code'!A:A,0)), "NAICS/SIC Not Provided")</f>
        <v>IS4</v>
      </c>
      <c r="O635" s="91" t="str">
        <f>IFERROR(INDEX('NAICS Code to IS CDR Code'!C:C, MATCH('Processed Non-zero DMR Data'!L635,'NAICS Code to IS CDR Code'!A:A,0)), "NAICS/SIC Not Provided")</f>
        <v>Utilities</v>
      </c>
      <c r="P635" s="91" t="str">
        <f>INDEX('11DCA Mapping'!$K:$K, MATCH('Processed Non-zero DMR Data'!I642,'11DCA Mapping'!$J:$J,0))</f>
        <v>POTW</v>
      </c>
      <c r="Q635" s="91" t="str">
        <f>INDEX('11DCA Mapping'!$L:$L, MATCH('Processed Non-zero DMR Data'!I642,'11DCA Mapping'!$J:$J,0))</f>
        <v>Assigned POTW per "Facility Type Indicator"</v>
      </c>
      <c r="R635" s="250" t="str">
        <f>VLOOKUP(I635,'DMR POTW Flag'!$A$2:$B$960,2,FALSE)</f>
        <v>POTW</v>
      </c>
      <c r="S635" s="7" t="s">
        <v>67</v>
      </c>
      <c r="T635" s="249" t="s">
        <v>586</v>
      </c>
      <c r="U635" s="8">
        <f>COUNTIFS('Raw Non-zero DMR Data'!$A:$A, 'Processed Non-zero DMR Data'!A635, 'Raw Non-zero DMR Data'!$C:$C, X635, 'Raw Non-zero DMR Data'!$U:$U,'Processed Non-zero DMR Data'!Y635)</f>
        <v>1</v>
      </c>
      <c r="V635" s="8">
        <f>COUNTIFS('Raw Non-zero DMR Data'!$A:$A, 'Processed Non-zero DMR Data'!A635, 'Raw Non-zero DMR Data'!$C:$C, X635, 'Raw Non-zero DMR Data'!$U:$U,'Processed Non-zero DMR Data'!Y635,'Raw Non-zero DMR Data'!$Z:$Z,"Yes")</f>
        <v>1</v>
      </c>
      <c r="W635">
        <v>0.21862633125</v>
      </c>
      <c r="X635" t="s">
        <v>1131</v>
      </c>
      <c r="Y635" t="s">
        <v>1132</v>
      </c>
      <c r="Z635" s="257">
        <v>200700000202</v>
      </c>
    </row>
    <row r="636" spans="1:26" ht="15" customHeight="1" x14ac:dyDescent="0.25">
      <c r="A636">
        <v>2023</v>
      </c>
      <c r="B636" t="s">
        <v>423</v>
      </c>
      <c r="C636" t="s">
        <v>424</v>
      </c>
      <c r="D636" t="s">
        <v>752</v>
      </c>
      <c r="E636" t="s">
        <v>186</v>
      </c>
      <c r="F636">
        <v>22.079093</v>
      </c>
      <c r="G636">
        <v>-159.35138900000001</v>
      </c>
      <c r="I636" s="1">
        <v>110010731262</v>
      </c>
      <c r="J636">
        <v>4952</v>
      </c>
      <c r="K636" s="175" t="str">
        <f>INDEX('2022 SIC to NAICS'!B:B, MATCH('Processed Non-zero DMR Data'!$J636, '2022 SIC to NAICS'!$A:$A, 0))</f>
        <v>Sewerage Systems</v>
      </c>
      <c r="L636" s="175">
        <f>INDEX('2022 SIC to NAICS'!C:C, MATCH('Processed Non-zero DMR Data'!$J636, '2022 SIC to NAICS'!$A:$A, 0))</f>
        <v>221320</v>
      </c>
      <c r="M636" s="175" t="str">
        <f>INDEX('2022 SIC to NAICS'!D:D, MATCH('Processed Non-zero DMR Data'!$J636, '2022 SIC to NAICS'!$A:$A, 0))</f>
        <v xml:space="preserve">Sewage Treatment Facilities </v>
      </c>
      <c r="N636" s="90" t="str">
        <f>IFERROR(INDEX('NAICS Code to IS CDR Code'!B:B, MATCH('Processed Non-zero DMR Data'!L636,'NAICS Code to IS CDR Code'!A:A,0)), "NAICS/SIC Not Provided")</f>
        <v>IS4</v>
      </c>
      <c r="O636" s="91" t="str">
        <f>IFERROR(INDEX('NAICS Code to IS CDR Code'!C:C, MATCH('Processed Non-zero DMR Data'!L636,'NAICS Code to IS CDR Code'!A:A,0)), "NAICS/SIC Not Provided")</f>
        <v>Utilities</v>
      </c>
      <c r="P636" s="91" t="str">
        <f>INDEX('11DCA Mapping'!$K:$K, MATCH('Processed Non-zero DMR Data'!I643,'11DCA Mapping'!$J:$J,0))</f>
        <v>POTW</v>
      </c>
      <c r="Q636" s="91" t="str">
        <f>INDEX('11DCA Mapping'!$L:$L, MATCH('Processed Non-zero DMR Data'!I643,'11DCA Mapping'!$J:$J,0))</f>
        <v>Assigned POTW per "Facility Type Indicator"</v>
      </c>
      <c r="R636" s="250" t="str">
        <f>VLOOKUP(I636,'DMR POTW Flag'!$A$2:$B$960,2,FALSE)</f>
        <v>POTW</v>
      </c>
      <c r="S636" s="7" t="s">
        <v>67</v>
      </c>
      <c r="T636" s="249" t="s">
        <v>586</v>
      </c>
      <c r="U636" s="8">
        <f>COUNTIFS('Raw Non-zero DMR Data'!$A:$A, 'Processed Non-zero DMR Data'!A636, 'Raw Non-zero DMR Data'!$C:$C, X636, 'Raw Non-zero DMR Data'!$U:$U,'Processed Non-zero DMR Data'!Y636)</f>
        <v>1</v>
      </c>
      <c r="V636" s="8">
        <f>COUNTIFS('Raw Non-zero DMR Data'!$A:$A, 'Processed Non-zero DMR Data'!A636, 'Raw Non-zero DMR Data'!$C:$C, X636, 'Raw Non-zero DMR Data'!$U:$U,'Processed Non-zero DMR Data'!Y636,'Raw Non-zero DMR Data'!$Z:$Z,"Yes")</f>
        <v>1</v>
      </c>
      <c r="W636">
        <v>3.2829178575E-2</v>
      </c>
      <c r="X636" t="s">
        <v>1131</v>
      </c>
      <c r="Y636" t="s">
        <v>1132</v>
      </c>
      <c r="Z636" s="257">
        <v>200700000202</v>
      </c>
    </row>
    <row r="637" spans="1:26" ht="15" customHeight="1" x14ac:dyDescent="0.25">
      <c r="A637">
        <v>2019</v>
      </c>
      <c r="B637" t="s">
        <v>306</v>
      </c>
      <c r="C637" t="s">
        <v>183</v>
      </c>
      <c r="D637" t="s">
        <v>736</v>
      </c>
      <c r="E637" t="s">
        <v>146</v>
      </c>
      <c r="F637">
        <v>37.977150000000002</v>
      </c>
      <c r="G637">
        <v>-122.33269</v>
      </c>
      <c r="I637" s="1">
        <v>110064252419</v>
      </c>
      <c r="J637">
        <v>4952</v>
      </c>
      <c r="K637" s="175" t="str">
        <f>INDEX('2022 SIC to NAICS'!B:B, MATCH('Processed Non-zero DMR Data'!$J637, '2022 SIC to NAICS'!$A:$A, 0))</f>
        <v>Sewerage Systems</v>
      </c>
      <c r="L637" s="175">
        <f>INDEX('2022 SIC to NAICS'!C:C, MATCH('Processed Non-zero DMR Data'!$J637, '2022 SIC to NAICS'!$A:$A, 0))</f>
        <v>221320</v>
      </c>
      <c r="M637" s="175" t="str">
        <f>INDEX('2022 SIC to NAICS'!D:D, MATCH('Processed Non-zero DMR Data'!$J637, '2022 SIC to NAICS'!$A:$A, 0))</f>
        <v xml:space="preserve">Sewage Treatment Facilities </v>
      </c>
      <c r="N637" s="90" t="str">
        <f>IFERROR(INDEX('NAICS Code to IS CDR Code'!B:B, MATCH('Processed Non-zero DMR Data'!L637,'NAICS Code to IS CDR Code'!A:A,0)), "NAICS/SIC Not Provided")</f>
        <v>IS4</v>
      </c>
      <c r="O637" s="91" t="str">
        <f>IFERROR(INDEX('NAICS Code to IS CDR Code'!C:C, MATCH('Processed Non-zero DMR Data'!L637,'NAICS Code to IS CDR Code'!A:A,0)), "NAICS/SIC Not Provided")</f>
        <v>Utilities</v>
      </c>
      <c r="P637" s="91" t="str">
        <f>INDEX('11DCA Mapping'!$K:$K, MATCH('Processed Non-zero DMR Data'!I644,'11DCA Mapping'!$J:$J,0))</f>
        <v>POTW</v>
      </c>
      <c r="Q637" s="91" t="str">
        <f>INDEX('11DCA Mapping'!$L:$L, MATCH('Processed Non-zero DMR Data'!I644,'11DCA Mapping'!$J:$J,0))</f>
        <v>Assigned POTW per "Facility Type Indicator"</v>
      </c>
      <c r="R637" s="250" t="str">
        <f>VLOOKUP(I637,'DMR POTW Flag'!$A$2:$B$960,2,FALSE)</f>
        <v>POTW</v>
      </c>
      <c r="S637" s="7" t="s">
        <v>67</v>
      </c>
      <c r="T637" s="249" t="s">
        <v>586</v>
      </c>
      <c r="U637" s="8">
        <f>COUNTIFS('Raw Non-zero DMR Data'!$A:$A, 'Processed Non-zero DMR Data'!A637, 'Raw Non-zero DMR Data'!$C:$C, X637, 'Raw Non-zero DMR Data'!$U:$U,'Processed Non-zero DMR Data'!Y637)</f>
        <v>1</v>
      </c>
      <c r="V637" s="8">
        <f>COUNTIFS('Raw Non-zero DMR Data'!$A:$A, 'Processed Non-zero DMR Data'!A637, 'Raw Non-zero DMR Data'!$C:$C, X637, 'Raw Non-zero DMR Data'!$U:$U,'Processed Non-zero DMR Data'!Y637,'Raw Non-zero DMR Data'!$Z:$Z,"Yes")</f>
        <v>1</v>
      </c>
      <c r="W637">
        <v>3.7646556250000001</v>
      </c>
      <c r="X637" t="s">
        <v>1133</v>
      </c>
      <c r="Y637" t="s">
        <v>1134</v>
      </c>
      <c r="Z637" s="257">
        <v>180500020702</v>
      </c>
    </row>
    <row r="638" spans="1:26" ht="15" customHeight="1" x14ac:dyDescent="0.25">
      <c r="A638">
        <v>2022</v>
      </c>
      <c r="B638" t="s">
        <v>306</v>
      </c>
      <c r="C638" t="s">
        <v>183</v>
      </c>
      <c r="D638" t="s">
        <v>736</v>
      </c>
      <c r="E638" t="s">
        <v>146</v>
      </c>
      <c r="F638">
        <v>37.977150000000002</v>
      </c>
      <c r="G638">
        <v>-122.33269</v>
      </c>
      <c r="I638" s="1">
        <v>110064252419</v>
      </c>
      <c r="J638">
        <v>4952</v>
      </c>
      <c r="K638" s="175" t="str">
        <f>INDEX('2022 SIC to NAICS'!B:B, MATCH('Processed Non-zero DMR Data'!$J638, '2022 SIC to NAICS'!$A:$A, 0))</f>
        <v>Sewerage Systems</v>
      </c>
      <c r="L638" s="175">
        <f>INDEX('2022 SIC to NAICS'!C:C, MATCH('Processed Non-zero DMR Data'!$J638, '2022 SIC to NAICS'!$A:$A, 0))</f>
        <v>221320</v>
      </c>
      <c r="M638" s="175" t="str">
        <f>INDEX('2022 SIC to NAICS'!D:D, MATCH('Processed Non-zero DMR Data'!$J638, '2022 SIC to NAICS'!$A:$A, 0))</f>
        <v xml:space="preserve">Sewage Treatment Facilities </v>
      </c>
      <c r="N638" s="90" t="str">
        <f>IFERROR(INDEX('NAICS Code to IS CDR Code'!B:B, MATCH('Processed Non-zero DMR Data'!L638,'NAICS Code to IS CDR Code'!A:A,0)), "NAICS/SIC Not Provided")</f>
        <v>IS4</v>
      </c>
      <c r="O638" s="91" t="str">
        <f>IFERROR(INDEX('NAICS Code to IS CDR Code'!C:C, MATCH('Processed Non-zero DMR Data'!L638,'NAICS Code to IS CDR Code'!A:A,0)), "NAICS/SIC Not Provided")</f>
        <v>Utilities</v>
      </c>
      <c r="P638" s="91" t="str">
        <f>INDEX('11DCA Mapping'!$K:$K, MATCH('Processed Non-zero DMR Data'!I645,'11DCA Mapping'!$J:$J,0))</f>
        <v>POTW</v>
      </c>
      <c r="Q638" s="91" t="str">
        <f>INDEX('11DCA Mapping'!$L:$L, MATCH('Processed Non-zero DMR Data'!I645,'11DCA Mapping'!$J:$J,0))</f>
        <v>Assigned POTW per "Facility Type Indicator"</v>
      </c>
      <c r="R638" s="250" t="str">
        <f>VLOOKUP(I638,'DMR POTW Flag'!$A$2:$B$960,2,FALSE)</f>
        <v>POTW</v>
      </c>
      <c r="S638" s="7" t="s">
        <v>67</v>
      </c>
      <c r="T638" s="249" t="s">
        <v>586</v>
      </c>
      <c r="U638" s="8">
        <f>COUNTIFS('Raw Non-zero DMR Data'!$A:$A, 'Processed Non-zero DMR Data'!A638, 'Raw Non-zero DMR Data'!$C:$C, X638, 'Raw Non-zero DMR Data'!$U:$U,'Processed Non-zero DMR Data'!Y638)</f>
        <v>1</v>
      </c>
      <c r="V638" s="8">
        <f>COUNTIFS('Raw Non-zero DMR Data'!$A:$A, 'Processed Non-zero DMR Data'!A638, 'Raw Non-zero DMR Data'!$C:$C, X638, 'Raw Non-zero DMR Data'!$U:$U,'Processed Non-zero DMR Data'!Y638,'Raw Non-zero DMR Data'!$Z:$Z,"Yes")</f>
        <v>1</v>
      </c>
      <c r="W638">
        <v>3.1705998750000002</v>
      </c>
      <c r="X638" t="s">
        <v>1133</v>
      </c>
      <c r="Y638" t="s">
        <v>1134</v>
      </c>
      <c r="Z638" s="257">
        <v>180500020702</v>
      </c>
    </row>
    <row r="639" spans="1:26" ht="15" customHeight="1" x14ac:dyDescent="0.25">
      <c r="A639">
        <v>2020</v>
      </c>
      <c r="B639" t="s">
        <v>413</v>
      </c>
      <c r="C639" t="s">
        <v>414</v>
      </c>
      <c r="D639" t="s">
        <v>1135</v>
      </c>
      <c r="E639" t="s">
        <v>138</v>
      </c>
      <c r="F639">
        <v>39.00703</v>
      </c>
      <c r="G639">
        <v>-84.841210000000004</v>
      </c>
      <c r="I639" s="1">
        <v>110055043705</v>
      </c>
      <c r="J639">
        <v>4952</v>
      </c>
      <c r="K639" s="175" t="str">
        <f>INDEX('2022 SIC to NAICS'!B:B, MATCH('Processed Non-zero DMR Data'!$J639, '2022 SIC to NAICS'!$A:$A, 0))</f>
        <v>Sewerage Systems</v>
      </c>
      <c r="L639" s="175">
        <f>INDEX('2022 SIC to NAICS'!C:C, MATCH('Processed Non-zero DMR Data'!$J639, '2022 SIC to NAICS'!$A:$A, 0))</f>
        <v>221320</v>
      </c>
      <c r="M639" s="175" t="str">
        <f>INDEX('2022 SIC to NAICS'!D:D, MATCH('Processed Non-zero DMR Data'!$J639, '2022 SIC to NAICS'!$A:$A, 0))</f>
        <v xml:space="preserve">Sewage Treatment Facilities </v>
      </c>
      <c r="N639" s="90" t="str">
        <f>IFERROR(INDEX('NAICS Code to IS CDR Code'!B:B, MATCH('Processed Non-zero DMR Data'!L639,'NAICS Code to IS CDR Code'!A:A,0)), "NAICS/SIC Not Provided")</f>
        <v>IS4</v>
      </c>
      <c r="O639" s="91" t="str">
        <f>IFERROR(INDEX('NAICS Code to IS CDR Code'!C:C, MATCH('Processed Non-zero DMR Data'!L639,'NAICS Code to IS CDR Code'!A:A,0)), "NAICS/SIC Not Provided")</f>
        <v>Utilities</v>
      </c>
      <c r="P639" s="91" t="str">
        <f>INDEX('11DCA Mapping'!$K:$K, MATCH('Processed Non-zero DMR Data'!I646,'11DCA Mapping'!$J:$J,0))</f>
        <v>POTW</v>
      </c>
      <c r="Q639" s="91" t="str">
        <f>INDEX('11DCA Mapping'!$L:$L, MATCH('Processed Non-zero DMR Data'!I646,'11DCA Mapping'!$J:$J,0))</f>
        <v>Assigned POTW per "Facility Type Indicator"</v>
      </c>
      <c r="R639" s="250" t="str">
        <f>VLOOKUP(I639,'DMR POTW Flag'!$A$2:$B$960,2,FALSE)</f>
        <v>POTW</v>
      </c>
      <c r="S639" s="7" t="s">
        <v>67</v>
      </c>
      <c r="T639" s="249" t="s">
        <v>586</v>
      </c>
      <c r="U639" s="8">
        <f>COUNTIFS('Raw Non-zero DMR Data'!$A:$A, 'Processed Non-zero DMR Data'!A639, 'Raw Non-zero DMR Data'!$C:$C, X639, 'Raw Non-zero DMR Data'!$U:$U,'Processed Non-zero DMR Data'!Y639)</f>
        <v>1</v>
      </c>
      <c r="V639" s="8">
        <f>COUNTIFS('Raw Non-zero DMR Data'!$A:$A, 'Processed Non-zero DMR Data'!A639, 'Raw Non-zero DMR Data'!$C:$C, X639, 'Raw Non-zero DMR Data'!$U:$U,'Processed Non-zero DMR Data'!Y639,'Raw Non-zero DMR Data'!$Z:$Z,"Yes")</f>
        <v>1</v>
      </c>
      <c r="W639">
        <v>5.7747744999999996E-3</v>
      </c>
      <c r="X639" t="s">
        <v>1136</v>
      </c>
      <c r="Y639" t="s">
        <v>1137</v>
      </c>
      <c r="Z639" s="257">
        <v>50902030804</v>
      </c>
    </row>
    <row r="640" spans="1:26" ht="15" customHeight="1" x14ac:dyDescent="0.25">
      <c r="A640">
        <v>2019</v>
      </c>
      <c r="B640" t="s">
        <v>317</v>
      </c>
      <c r="C640" t="s">
        <v>318</v>
      </c>
      <c r="D640" t="s">
        <v>1138</v>
      </c>
      <c r="E640" t="s">
        <v>138</v>
      </c>
      <c r="F640">
        <v>36.747222000000001</v>
      </c>
      <c r="G640">
        <v>-84.171943999999996</v>
      </c>
      <c r="I640" s="1">
        <v>110006751737</v>
      </c>
      <c r="J640">
        <v>4952</v>
      </c>
      <c r="K640" s="175" t="str">
        <f>INDEX('2022 SIC to NAICS'!B:B, MATCH('Processed Non-zero DMR Data'!$J640, '2022 SIC to NAICS'!$A:$A, 0))</f>
        <v>Sewerage Systems</v>
      </c>
      <c r="L640" s="175">
        <f>INDEX('2022 SIC to NAICS'!C:C, MATCH('Processed Non-zero DMR Data'!$J640, '2022 SIC to NAICS'!$A:$A, 0))</f>
        <v>221320</v>
      </c>
      <c r="M640" s="175" t="str">
        <f>INDEX('2022 SIC to NAICS'!D:D, MATCH('Processed Non-zero DMR Data'!$J640, '2022 SIC to NAICS'!$A:$A, 0))</f>
        <v xml:space="preserve">Sewage Treatment Facilities </v>
      </c>
      <c r="N640" s="90" t="str">
        <f>IFERROR(INDEX('NAICS Code to IS CDR Code'!B:B, MATCH('Processed Non-zero DMR Data'!L640,'NAICS Code to IS CDR Code'!A:A,0)), "NAICS/SIC Not Provided")</f>
        <v>IS4</v>
      </c>
      <c r="O640" s="91" t="str">
        <f>IFERROR(INDEX('NAICS Code to IS CDR Code'!C:C, MATCH('Processed Non-zero DMR Data'!L640,'NAICS Code to IS CDR Code'!A:A,0)), "NAICS/SIC Not Provided")</f>
        <v>Utilities</v>
      </c>
      <c r="P640" s="91" t="str">
        <f>INDEX('11DCA Mapping'!$K:$K, MATCH('Processed Non-zero DMR Data'!I647,'11DCA Mapping'!$J:$J,0))</f>
        <v>POTW</v>
      </c>
      <c r="Q640" s="91" t="str">
        <f>INDEX('11DCA Mapping'!$L:$L, MATCH('Processed Non-zero DMR Data'!I647,'11DCA Mapping'!$J:$J,0))</f>
        <v>Assigned POTW per "Facility Type Indicator"</v>
      </c>
      <c r="R640" s="250" t="str">
        <f>VLOOKUP(I640,'DMR POTW Flag'!$A$2:$B$960,2,FALSE)</f>
        <v>POTW</v>
      </c>
      <c r="S640" s="7" t="s">
        <v>67</v>
      </c>
      <c r="T640" s="249" t="s">
        <v>586</v>
      </c>
      <c r="U640" s="8">
        <f>COUNTIFS('Raw Non-zero DMR Data'!$A:$A, 'Processed Non-zero DMR Data'!A640, 'Raw Non-zero DMR Data'!$C:$C, X640, 'Raw Non-zero DMR Data'!$U:$U,'Processed Non-zero DMR Data'!Y640)</f>
        <v>1</v>
      </c>
      <c r="V640" s="8">
        <f>COUNTIFS('Raw Non-zero DMR Data'!$A:$A, 'Processed Non-zero DMR Data'!A640, 'Raw Non-zero DMR Data'!$C:$C, X640, 'Raw Non-zero DMR Data'!$U:$U,'Processed Non-zero DMR Data'!Y640,'Raw Non-zero DMR Data'!$Z:$Z,"Yes")</f>
        <v>1</v>
      </c>
      <c r="W640">
        <v>5.1530882499999997</v>
      </c>
      <c r="X640" t="s">
        <v>1139</v>
      </c>
      <c r="Y640" t="s">
        <v>1140</v>
      </c>
      <c r="Z640" s="257">
        <v>51301010704</v>
      </c>
    </row>
    <row r="641" spans="1:26" ht="15" customHeight="1" x14ac:dyDescent="0.25">
      <c r="A641">
        <v>2020</v>
      </c>
      <c r="B641" t="s">
        <v>317</v>
      </c>
      <c r="C641" t="s">
        <v>318</v>
      </c>
      <c r="D641" t="s">
        <v>1138</v>
      </c>
      <c r="E641" t="s">
        <v>138</v>
      </c>
      <c r="F641">
        <v>36.747222000000001</v>
      </c>
      <c r="G641">
        <v>-84.171943999999996</v>
      </c>
      <c r="I641" s="1">
        <v>110006751737</v>
      </c>
      <c r="J641">
        <v>4952</v>
      </c>
      <c r="K641" s="175" t="str">
        <f>INDEX('2022 SIC to NAICS'!B:B, MATCH('Processed Non-zero DMR Data'!$J641, '2022 SIC to NAICS'!$A:$A, 0))</f>
        <v>Sewerage Systems</v>
      </c>
      <c r="L641" s="175">
        <f>INDEX('2022 SIC to NAICS'!C:C, MATCH('Processed Non-zero DMR Data'!$J641, '2022 SIC to NAICS'!$A:$A, 0))</f>
        <v>221320</v>
      </c>
      <c r="M641" s="175" t="str">
        <f>INDEX('2022 SIC to NAICS'!D:D, MATCH('Processed Non-zero DMR Data'!$J641, '2022 SIC to NAICS'!$A:$A, 0))</f>
        <v xml:space="preserve">Sewage Treatment Facilities </v>
      </c>
      <c r="N641" s="90" t="str">
        <f>IFERROR(INDEX('NAICS Code to IS CDR Code'!B:B, MATCH('Processed Non-zero DMR Data'!L641,'NAICS Code to IS CDR Code'!A:A,0)), "NAICS/SIC Not Provided")</f>
        <v>IS4</v>
      </c>
      <c r="O641" s="91" t="str">
        <f>IFERROR(INDEX('NAICS Code to IS CDR Code'!C:C, MATCH('Processed Non-zero DMR Data'!L641,'NAICS Code to IS CDR Code'!A:A,0)), "NAICS/SIC Not Provided")</f>
        <v>Utilities</v>
      </c>
      <c r="P641" s="91" t="str">
        <f>INDEX('11DCA Mapping'!$K:$K, MATCH('Processed Non-zero DMR Data'!I648,'11DCA Mapping'!$J:$J,0))</f>
        <v>POTW</v>
      </c>
      <c r="Q641" s="91" t="str">
        <f>INDEX('11DCA Mapping'!$L:$L, MATCH('Processed Non-zero DMR Data'!I648,'11DCA Mapping'!$J:$J,0))</f>
        <v>Assigned POTW per "Facility Type Indicator"</v>
      </c>
      <c r="R641" s="250" t="str">
        <f>VLOOKUP(I641,'DMR POTW Flag'!$A$2:$B$960,2,FALSE)</f>
        <v>POTW</v>
      </c>
      <c r="S641" s="7" t="s">
        <v>67</v>
      </c>
      <c r="T641" s="249" t="s">
        <v>586</v>
      </c>
      <c r="U641" s="8">
        <f>COUNTIFS('Raw Non-zero DMR Data'!$A:$A, 'Processed Non-zero DMR Data'!A641, 'Raw Non-zero DMR Data'!$C:$C, X641, 'Raw Non-zero DMR Data'!$U:$U,'Processed Non-zero DMR Data'!Y641)</f>
        <v>1</v>
      </c>
      <c r="V641" s="8">
        <f>COUNTIFS('Raw Non-zero DMR Data'!$A:$A, 'Processed Non-zero DMR Data'!A641, 'Raw Non-zero DMR Data'!$C:$C, X641, 'Raw Non-zero DMR Data'!$U:$U,'Processed Non-zero DMR Data'!Y641,'Raw Non-zero DMR Data'!$Z:$Z,"Yes")</f>
        <v>1</v>
      </c>
      <c r="W641">
        <v>5.4673851874999997</v>
      </c>
      <c r="X641" t="s">
        <v>1139</v>
      </c>
      <c r="Y641" t="s">
        <v>1140</v>
      </c>
      <c r="Z641" s="257">
        <v>51301010704</v>
      </c>
    </row>
    <row r="642" spans="1:26" ht="15" customHeight="1" x14ac:dyDescent="0.25">
      <c r="A642">
        <v>2021</v>
      </c>
      <c r="B642" t="s">
        <v>317</v>
      </c>
      <c r="C642" t="s">
        <v>318</v>
      </c>
      <c r="D642" t="s">
        <v>1138</v>
      </c>
      <c r="E642" t="s">
        <v>138</v>
      </c>
      <c r="F642">
        <v>36.747222000000001</v>
      </c>
      <c r="G642">
        <v>-84.171943999999996</v>
      </c>
      <c r="I642" s="1">
        <v>110006751737</v>
      </c>
      <c r="J642">
        <v>4952</v>
      </c>
      <c r="K642" s="175" t="str">
        <f>INDEX('2022 SIC to NAICS'!B:B, MATCH('Processed Non-zero DMR Data'!$J642, '2022 SIC to NAICS'!$A:$A, 0))</f>
        <v>Sewerage Systems</v>
      </c>
      <c r="L642" s="175">
        <f>INDEX('2022 SIC to NAICS'!C:C, MATCH('Processed Non-zero DMR Data'!$J642, '2022 SIC to NAICS'!$A:$A, 0))</f>
        <v>221320</v>
      </c>
      <c r="M642" s="175" t="str">
        <f>INDEX('2022 SIC to NAICS'!D:D, MATCH('Processed Non-zero DMR Data'!$J642, '2022 SIC to NAICS'!$A:$A, 0))</f>
        <v xml:space="preserve">Sewage Treatment Facilities </v>
      </c>
      <c r="N642" s="90" t="str">
        <f>IFERROR(INDEX('NAICS Code to IS CDR Code'!B:B, MATCH('Processed Non-zero DMR Data'!L642,'NAICS Code to IS CDR Code'!A:A,0)), "NAICS/SIC Not Provided")</f>
        <v>IS4</v>
      </c>
      <c r="O642" s="91" t="str">
        <f>IFERROR(INDEX('NAICS Code to IS CDR Code'!C:C, MATCH('Processed Non-zero DMR Data'!L642,'NAICS Code to IS CDR Code'!A:A,0)), "NAICS/SIC Not Provided")</f>
        <v>Utilities</v>
      </c>
      <c r="P642" s="91" t="str">
        <f>INDEX('11DCA Mapping'!$K:$K, MATCH('Processed Non-zero DMR Data'!I649,'11DCA Mapping'!$J:$J,0))</f>
        <v>POTW</v>
      </c>
      <c r="Q642" s="91" t="str">
        <f>INDEX('11DCA Mapping'!$L:$L, MATCH('Processed Non-zero DMR Data'!I649,'11DCA Mapping'!$J:$J,0))</f>
        <v>Assigned POTW per "Facility Type Indicator"</v>
      </c>
      <c r="R642" s="250" t="str">
        <f>VLOOKUP(I642,'DMR POTW Flag'!$A$2:$B$960,2,FALSE)</f>
        <v>POTW</v>
      </c>
      <c r="S642" s="7" t="s">
        <v>67</v>
      </c>
      <c r="T642" s="249" t="s">
        <v>586</v>
      </c>
      <c r="U642" s="8">
        <f>COUNTIFS('Raw Non-zero DMR Data'!$A:$A, 'Processed Non-zero DMR Data'!A642, 'Raw Non-zero DMR Data'!$C:$C, X642, 'Raw Non-zero DMR Data'!$U:$U,'Processed Non-zero DMR Data'!Y642)</f>
        <v>1</v>
      </c>
      <c r="V642" s="8">
        <f>COUNTIFS('Raw Non-zero DMR Data'!$A:$A, 'Processed Non-zero DMR Data'!A642, 'Raw Non-zero DMR Data'!$C:$C, X642, 'Raw Non-zero DMR Data'!$U:$U,'Processed Non-zero DMR Data'!Y642,'Raw Non-zero DMR Data'!$Z:$Z,"Yes")</f>
        <v>1</v>
      </c>
      <c r="W642">
        <v>4.3379884999999998</v>
      </c>
      <c r="X642" t="s">
        <v>1139</v>
      </c>
      <c r="Y642" t="s">
        <v>1140</v>
      </c>
      <c r="Z642" s="257">
        <v>51301010704</v>
      </c>
    </row>
    <row r="643" spans="1:26" ht="15" customHeight="1" x14ac:dyDescent="0.25">
      <c r="A643">
        <v>2020</v>
      </c>
      <c r="B643" t="s">
        <v>427</v>
      </c>
      <c r="C643" t="s">
        <v>428</v>
      </c>
      <c r="D643" t="s">
        <v>1141</v>
      </c>
      <c r="E643" t="s">
        <v>138</v>
      </c>
      <c r="F643">
        <v>38.631208000000001</v>
      </c>
      <c r="G643">
        <v>-84.618809999999996</v>
      </c>
      <c r="I643" s="1">
        <v>110045091379</v>
      </c>
      <c r="J643">
        <v>4952</v>
      </c>
      <c r="K643" s="175" t="str">
        <f>INDEX('2022 SIC to NAICS'!B:B, MATCH('Processed Non-zero DMR Data'!$J643, '2022 SIC to NAICS'!$A:$A, 0))</f>
        <v>Sewerage Systems</v>
      </c>
      <c r="L643" s="175">
        <f>INDEX('2022 SIC to NAICS'!C:C, MATCH('Processed Non-zero DMR Data'!$J643, '2022 SIC to NAICS'!$A:$A, 0))</f>
        <v>221320</v>
      </c>
      <c r="M643" s="175" t="str">
        <f>INDEX('2022 SIC to NAICS'!D:D, MATCH('Processed Non-zero DMR Data'!$J643, '2022 SIC to NAICS'!$A:$A, 0))</f>
        <v xml:space="preserve">Sewage Treatment Facilities </v>
      </c>
      <c r="N643" s="90" t="str">
        <f>IFERROR(INDEX('NAICS Code to IS CDR Code'!B:B, MATCH('Processed Non-zero DMR Data'!L643,'NAICS Code to IS CDR Code'!A:A,0)), "NAICS/SIC Not Provided")</f>
        <v>IS4</v>
      </c>
      <c r="O643" s="91" t="str">
        <f>IFERROR(INDEX('NAICS Code to IS CDR Code'!C:C, MATCH('Processed Non-zero DMR Data'!L643,'NAICS Code to IS CDR Code'!A:A,0)), "NAICS/SIC Not Provided")</f>
        <v>Utilities</v>
      </c>
      <c r="P643" s="91" t="str">
        <f>INDEX('11DCA Mapping'!$K:$K, MATCH('Processed Non-zero DMR Data'!I650,'11DCA Mapping'!$J:$J,0))</f>
        <v>POTW</v>
      </c>
      <c r="Q643" s="91" t="str">
        <f>INDEX('11DCA Mapping'!$L:$L, MATCH('Processed Non-zero DMR Data'!I650,'11DCA Mapping'!$J:$J,0))</f>
        <v>Assigned POTW per "Facility Type Indicator"</v>
      </c>
      <c r="R643" s="250" t="str">
        <f>VLOOKUP(I643,'DMR POTW Flag'!$A$2:$B$960,2,FALSE)</f>
        <v>POTW</v>
      </c>
      <c r="S643" s="7" t="s">
        <v>67</v>
      </c>
      <c r="T643" s="249" t="s">
        <v>586</v>
      </c>
      <c r="U643" s="8">
        <f>COUNTIFS('Raw Non-zero DMR Data'!$A:$A, 'Processed Non-zero DMR Data'!A643, 'Raw Non-zero DMR Data'!$C:$C, X643, 'Raw Non-zero DMR Data'!$U:$U,'Processed Non-zero DMR Data'!Y643)</f>
        <v>1</v>
      </c>
      <c r="V643" s="8">
        <f>COUNTIFS('Raw Non-zero DMR Data'!$A:$A, 'Processed Non-zero DMR Data'!A643, 'Raw Non-zero DMR Data'!$C:$C, X643, 'Raw Non-zero DMR Data'!$U:$U,'Processed Non-zero DMR Data'!Y643,'Raw Non-zero DMR Data'!$Z:$Z,"Yes")</f>
        <v>1</v>
      </c>
      <c r="W643">
        <v>4.1445749999999997</v>
      </c>
      <c r="X643" t="s">
        <v>1142</v>
      </c>
      <c r="Y643" t="s">
        <v>1143</v>
      </c>
      <c r="Z643" s="257">
        <v>51002051308</v>
      </c>
    </row>
    <row r="644" spans="1:26" ht="15" customHeight="1" x14ac:dyDescent="0.25">
      <c r="A644">
        <v>2021</v>
      </c>
      <c r="B644" t="s">
        <v>427</v>
      </c>
      <c r="C644" t="s">
        <v>428</v>
      </c>
      <c r="D644" t="s">
        <v>1141</v>
      </c>
      <c r="E644" t="s">
        <v>138</v>
      </c>
      <c r="F644">
        <v>38.631208000000001</v>
      </c>
      <c r="G644">
        <v>-84.618809999999996</v>
      </c>
      <c r="I644" s="1">
        <v>110045091379</v>
      </c>
      <c r="J644">
        <v>4952</v>
      </c>
      <c r="K644" s="175" t="str">
        <f>INDEX('2022 SIC to NAICS'!B:B, MATCH('Processed Non-zero DMR Data'!$J644, '2022 SIC to NAICS'!$A:$A, 0))</f>
        <v>Sewerage Systems</v>
      </c>
      <c r="L644" s="175">
        <f>INDEX('2022 SIC to NAICS'!C:C, MATCH('Processed Non-zero DMR Data'!$J644, '2022 SIC to NAICS'!$A:$A, 0))</f>
        <v>221320</v>
      </c>
      <c r="M644" s="175" t="str">
        <f>INDEX('2022 SIC to NAICS'!D:D, MATCH('Processed Non-zero DMR Data'!$J644, '2022 SIC to NAICS'!$A:$A, 0))</f>
        <v xml:space="preserve">Sewage Treatment Facilities </v>
      </c>
      <c r="N644" s="90" t="str">
        <f>IFERROR(INDEX('NAICS Code to IS CDR Code'!B:B, MATCH('Processed Non-zero DMR Data'!L644,'NAICS Code to IS CDR Code'!A:A,0)), "NAICS/SIC Not Provided")</f>
        <v>IS4</v>
      </c>
      <c r="O644" s="91" t="str">
        <f>IFERROR(INDEX('NAICS Code to IS CDR Code'!C:C, MATCH('Processed Non-zero DMR Data'!L644,'NAICS Code to IS CDR Code'!A:A,0)), "NAICS/SIC Not Provided")</f>
        <v>Utilities</v>
      </c>
      <c r="P644" s="91" t="str">
        <f>INDEX('11DCA Mapping'!$K:$K, MATCH('Processed Non-zero DMR Data'!I651,'11DCA Mapping'!$J:$J,0))</f>
        <v>POTW</v>
      </c>
      <c r="Q644" s="91" t="str">
        <f>INDEX('11DCA Mapping'!$L:$L, MATCH('Processed Non-zero DMR Data'!I651,'11DCA Mapping'!$J:$J,0))</f>
        <v>Assigned POTW per "Facility Type Indicator"</v>
      </c>
      <c r="R644" s="250" t="str">
        <f>VLOOKUP(I644,'DMR POTW Flag'!$A$2:$B$960,2,FALSE)</f>
        <v>POTW</v>
      </c>
      <c r="S644" s="7" t="s">
        <v>67</v>
      </c>
      <c r="T644" s="249" t="s">
        <v>586</v>
      </c>
      <c r="U644" s="8">
        <f>COUNTIFS('Raw Non-zero DMR Data'!$A:$A, 'Processed Non-zero DMR Data'!A644, 'Raw Non-zero DMR Data'!$C:$C, X644, 'Raw Non-zero DMR Data'!$U:$U,'Processed Non-zero DMR Data'!Y644)</f>
        <v>1</v>
      </c>
      <c r="V644" s="8">
        <f>COUNTIFS('Raw Non-zero DMR Data'!$A:$A, 'Processed Non-zero DMR Data'!A644, 'Raw Non-zero DMR Data'!$C:$C, X644, 'Raw Non-zero DMR Data'!$U:$U,'Processed Non-zero DMR Data'!Y644,'Raw Non-zero DMR Data'!$Z:$Z,"Yes")</f>
        <v>1</v>
      </c>
      <c r="W644">
        <v>4.5452172500000003</v>
      </c>
      <c r="X644" t="s">
        <v>1142</v>
      </c>
      <c r="Y644" t="s">
        <v>1143</v>
      </c>
      <c r="Z644" s="257">
        <v>51002051308</v>
      </c>
    </row>
    <row r="645" spans="1:26" ht="15" customHeight="1" x14ac:dyDescent="0.25">
      <c r="A645">
        <v>2019</v>
      </c>
      <c r="B645" t="s">
        <v>314</v>
      </c>
      <c r="C645" t="s">
        <v>315</v>
      </c>
      <c r="D645" t="s">
        <v>554</v>
      </c>
      <c r="E645" t="s">
        <v>138</v>
      </c>
      <c r="F645">
        <v>37.915556000000002</v>
      </c>
      <c r="G645">
        <v>-84.268332999999998</v>
      </c>
      <c r="I645" s="1">
        <v>110064596361</v>
      </c>
      <c r="J645">
        <v>4952</v>
      </c>
      <c r="K645" s="175" t="str">
        <f>INDEX('2022 SIC to NAICS'!B:B, MATCH('Processed Non-zero DMR Data'!$J645, '2022 SIC to NAICS'!$A:$A, 0))</f>
        <v>Sewerage Systems</v>
      </c>
      <c r="L645" s="175">
        <f>INDEX('2022 SIC to NAICS'!C:C, MATCH('Processed Non-zero DMR Data'!$J645, '2022 SIC to NAICS'!$A:$A, 0))</f>
        <v>221320</v>
      </c>
      <c r="M645" s="175" t="str">
        <f>INDEX('2022 SIC to NAICS'!D:D, MATCH('Processed Non-zero DMR Data'!$J645, '2022 SIC to NAICS'!$A:$A, 0))</f>
        <v xml:space="preserve">Sewage Treatment Facilities </v>
      </c>
      <c r="N645" s="90" t="str">
        <f>IFERROR(INDEX('NAICS Code to IS CDR Code'!B:B, MATCH('Processed Non-zero DMR Data'!L645,'NAICS Code to IS CDR Code'!A:A,0)), "NAICS/SIC Not Provided")</f>
        <v>IS4</v>
      </c>
      <c r="O645" s="91" t="str">
        <f>IFERROR(INDEX('NAICS Code to IS CDR Code'!C:C, MATCH('Processed Non-zero DMR Data'!L645,'NAICS Code to IS CDR Code'!A:A,0)), "NAICS/SIC Not Provided")</f>
        <v>Utilities</v>
      </c>
      <c r="P645" s="91" t="e">
        <f>INDEX('11DCA Mapping'!$K:$K, MATCH('Processed Non-zero DMR Data'!I652,'11DCA Mapping'!$J:$J,0))</f>
        <v>#N/A</v>
      </c>
      <c r="Q645" s="91" t="e">
        <f>INDEX('11DCA Mapping'!$L:$L, MATCH('Processed Non-zero DMR Data'!I652,'11DCA Mapping'!$J:$J,0))</f>
        <v>#N/A</v>
      </c>
      <c r="R645" s="250" t="str">
        <f>VLOOKUP(I645,'DMR POTW Flag'!$A$2:$B$960,2,FALSE)</f>
        <v>POTW</v>
      </c>
      <c r="S645" s="7" t="s">
        <v>67</v>
      </c>
      <c r="T645" s="249" t="s">
        <v>586</v>
      </c>
      <c r="U645" s="8">
        <f>COUNTIFS('Raw Non-zero DMR Data'!$A:$A, 'Processed Non-zero DMR Data'!A645, 'Raw Non-zero DMR Data'!$C:$C, X645, 'Raw Non-zero DMR Data'!$U:$U,'Processed Non-zero DMR Data'!Y645)</f>
        <v>1</v>
      </c>
      <c r="V645" s="8">
        <f>COUNTIFS('Raw Non-zero DMR Data'!$A:$A, 'Processed Non-zero DMR Data'!A645, 'Raw Non-zero DMR Data'!$C:$C, X645, 'Raw Non-zero DMR Data'!$U:$U,'Processed Non-zero DMR Data'!Y645,'Raw Non-zero DMR Data'!$Z:$Z,"Yes")</f>
        <v>1</v>
      </c>
      <c r="W645">
        <v>6.9836088749999998</v>
      </c>
      <c r="X645" t="s">
        <v>1144</v>
      </c>
      <c r="Y645" t="s">
        <v>1145</v>
      </c>
      <c r="Z645" s="257">
        <v>51002050107</v>
      </c>
    </row>
    <row r="646" spans="1:26" ht="15" customHeight="1" x14ac:dyDescent="0.25">
      <c r="A646">
        <v>2020</v>
      </c>
      <c r="B646" t="s">
        <v>314</v>
      </c>
      <c r="C646" t="s">
        <v>315</v>
      </c>
      <c r="D646" t="s">
        <v>554</v>
      </c>
      <c r="E646" t="s">
        <v>138</v>
      </c>
      <c r="F646">
        <v>37.915556000000002</v>
      </c>
      <c r="G646">
        <v>-84.268332999999998</v>
      </c>
      <c r="I646" s="1">
        <v>110064596361</v>
      </c>
      <c r="J646">
        <v>4952</v>
      </c>
      <c r="K646" s="175" t="str">
        <f>INDEX('2022 SIC to NAICS'!B:B, MATCH('Processed Non-zero DMR Data'!$J646, '2022 SIC to NAICS'!$A:$A, 0))</f>
        <v>Sewerage Systems</v>
      </c>
      <c r="L646" s="175">
        <f>INDEX('2022 SIC to NAICS'!C:C, MATCH('Processed Non-zero DMR Data'!$J646, '2022 SIC to NAICS'!$A:$A, 0))</f>
        <v>221320</v>
      </c>
      <c r="M646" s="175" t="str">
        <f>INDEX('2022 SIC to NAICS'!D:D, MATCH('Processed Non-zero DMR Data'!$J646, '2022 SIC to NAICS'!$A:$A, 0))</f>
        <v xml:space="preserve">Sewage Treatment Facilities </v>
      </c>
      <c r="N646" s="90" t="str">
        <f>IFERROR(INDEX('NAICS Code to IS CDR Code'!B:B, MATCH('Processed Non-zero DMR Data'!L646,'NAICS Code to IS CDR Code'!A:A,0)), "NAICS/SIC Not Provided")</f>
        <v>IS4</v>
      </c>
      <c r="O646" s="91" t="str">
        <f>IFERROR(INDEX('NAICS Code to IS CDR Code'!C:C, MATCH('Processed Non-zero DMR Data'!L646,'NAICS Code to IS CDR Code'!A:A,0)), "NAICS/SIC Not Provided")</f>
        <v>Utilities</v>
      </c>
      <c r="P646" s="91" t="e">
        <f>INDEX('11DCA Mapping'!$K:$K, MATCH('Processed Non-zero DMR Data'!I653,'11DCA Mapping'!$J:$J,0))</f>
        <v>#N/A</v>
      </c>
      <c r="Q646" s="91" t="e">
        <f>INDEX('11DCA Mapping'!$L:$L, MATCH('Processed Non-zero DMR Data'!I653,'11DCA Mapping'!$J:$J,0))</f>
        <v>#N/A</v>
      </c>
      <c r="R646" s="250" t="str">
        <f>VLOOKUP(I646,'DMR POTW Flag'!$A$2:$B$960,2,FALSE)</f>
        <v>POTW</v>
      </c>
      <c r="S646" s="7" t="s">
        <v>67</v>
      </c>
      <c r="T646" s="249" t="s">
        <v>586</v>
      </c>
      <c r="U646" s="8">
        <f>COUNTIFS('Raw Non-zero DMR Data'!$A:$A, 'Processed Non-zero DMR Data'!A646, 'Raw Non-zero DMR Data'!$C:$C, X646, 'Raw Non-zero DMR Data'!$U:$U,'Processed Non-zero DMR Data'!Y646)</f>
        <v>1</v>
      </c>
      <c r="V646" s="8">
        <f>COUNTIFS('Raw Non-zero DMR Data'!$A:$A, 'Processed Non-zero DMR Data'!A646, 'Raw Non-zero DMR Data'!$C:$C, X646, 'Raw Non-zero DMR Data'!$U:$U,'Processed Non-zero DMR Data'!Y646,'Raw Non-zero DMR Data'!$Z:$Z,"Yes")</f>
        <v>1</v>
      </c>
      <c r="W646">
        <v>9.3943700000000003</v>
      </c>
      <c r="X646" t="s">
        <v>1144</v>
      </c>
      <c r="Y646" t="s">
        <v>1145</v>
      </c>
      <c r="Z646" s="257">
        <v>51002050107</v>
      </c>
    </row>
    <row r="647" spans="1:26" ht="15" customHeight="1" x14ac:dyDescent="0.25">
      <c r="A647">
        <v>2020</v>
      </c>
      <c r="B647" t="s">
        <v>379</v>
      </c>
      <c r="C647" t="s">
        <v>380</v>
      </c>
      <c r="D647" t="s">
        <v>1146</v>
      </c>
      <c r="E647" t="s">
        <v>367</v>
      </c>
      <c r="F647">
        <v>35.639485000000001</v>
      </c>
      <c r="G647">
        <v>-109.080939</v>
      </c>
      <c r="I647" s="1">
        <v>110024409433</v>
      </c>
      <c r="J647">
        <v>4952</v>
      </c>
      <c r="K647" s="175" t="str">
        <f>INDEX('2022 SIC to NAICS'!B:B, MATCH('Processed Non-zero DMR Data'!$J647, '2022 SIC to NAICS'!$A:$A, 0))</f>
        <v>Sewerage Systems</v>
      </c>
      <c r="L647" s="175">
        <f>INDEX('2022 SIC to NAICS'!C:C, MATCH('Processed Non-zero DMR Data'!$J647, '2022 SIC to NAICS'!$A:$A, 0))</f>
        <v>221320</v>
      </c>
      <c r="M647" s="175" t="str">
        <f>INDEX('2022 SIC to NAICS'!D:D, MATCH('Processed Non-zero DMR Data'!$J647, '2022 SIC to NAICS'!$A:$A, 0))</f>
        <v xml:space="preserve">Sewage Treatment Facilities </v>
      </c>
      <c r="N647" s="90" t="str">
        <f>IFERROR(INDEX('NAICS Code to IS CDR Code'!B:B, MATCH('Processed Non-zero DMR Data'!L647,'NAICS Code to IS CDR Code'!A:A,0)), "NAICS/SIC Not Provided")</f>
        <v>IS4</v>
      </c>
      <c r="O647" s="91" t="str">
        <f>IFERROR(INDEX('NAICS Code to IS CDR Code'!C:C, MATCH('Processed Non-zero DMR Data'!L647,'NAICS Code to IS CDR Code'!A:A,0)), "NAICS/SIC Not Provided")</f>
        <v>Utilities</v>
      </c>
      <c r="P647" s="91" t="e">
        <f>INDEX('11DCA Mapping'!$K:$K, MATCH('Processed Non-zero DMR Data'!I654,'11DCA Mapping'!$J:$J,0))</f>
        <v>#N/A</v>
      </c>
      <c r="Q647" s="91" t="e">
        <f>INDEX('11DCA Mapping'!$L:$L, MATCH('Processed Non-zero DMR Data'!I654,'11DCA Mapping'!$J:$J,0))</f>
        <v>#N/A</v>
      </c>
      <c r="R647" s="250" t="str">
        <f>VLOOKUP(I647,'DMR POTW Flag'!$A$2:$B$960,2,FALSE)</f>
        <v>POTW</v>
      </c>
      <c r="S647" s="7" t="s">
        <v>67</v>
      </c>
      <c r="T647" s="249" t="s">
        <v>586</v>
      </c>
      <c r="U647" s="8">
        <f>COUNTIFS('Raw Non-zero DMR Data'!$A:$A, 'Processed Non-zero DMR Data'!A647, 'Raw Non-zero DMR Data'!$C:$C, X647, 'Raw Non-zero DMR Data'!$U:$U,'Processed Non-zero DMR Data'!Y647)</f>
        <v>1</v>
      </c>
      <c r="V647" s="8">
        <f>COUNTIFS('Raw Non-zero DMR Data'!$A:$A, 'Processed Non-zero DMR Data'!A647, 'Raw Non-zero DMR Data'!$C:$C, X647, 'Raw Non-zero DMR Data'!$U:$U,'Processed Non-zero DMR Data'!Y647,'Raw Non-zero DMR Data'!$Z:$Z,"Yes")</f>
        <v>1</v>
      </c>
      <c r="W647">
        <v>0.899316</v>
      </c>
      <c r="X647" t="s">
        <v>1147</v>
      </c>
      <c r="Y647" t="s">
        <v>1148</v>
      </c>
      <c r="Z647" s="257">
        <v>150200060604</v>
      </c>
    </row>
    <row r="648" spans="1:26" ht="15" customHeight="1" x14ac:dyDescent="0.25">
      <c r="A648">
        <v>2022</v>
      </c>
      <c r="B648" t="s">
        <v>379</v>
      </c>
      <c r="C648" t="s">
        <v>380</v>
      </c>
      <c r="D648" t="s">
        <v>1146</v>
      </c>
      <c r="E648" t="s">
        <v>367</v>
      </c>
      <c r="F648">
        <v>35.639485000000001</v>
      </c>
      <c r="G648">
        <v>-109.080939</v>
      </c>
      <c r="I648" s="1">
        <v>110024409433</v>
      </c>
      <c r="J648">
        <v>4952</v>
      </c>
      <c r="K648" s="175" t="str">
        <f>INDEX('2022 SIC to NAICS'!B:B, MATCH('Processed Non-zero DMR Data'!$J648, '2022 SIC to NAICS'!$A:$A, 0))</f>
        <v>Sewerage Systems</v>
      </c>
      <c r="L648" s="175">
        <f>INDEX('2022 SIC to NAICS'!C:C, MATCH('Processed Non-zero DMR Data'!$J648, '2022 SIC to NAICS'!$A:$A, 0))</f>
        <v>221320</v>
      </c>
      <c r="M648" s="175" t="str">
        <f>INDEX('2022 SIC to NAICS'!D:D, MATCH('Processed Non-zero DMR Data'!$J648, '2022 SIC to NAICS'!$A:$A, 0))</f>
        <v xml:space="preserve">Sewage Treatment Facilities </v>
      </c>
      <c r="N648" s="90" t="str">
        <f>IFERROR(INDEX('NAICS Code to IS CDR Code'!B:B, MATCH('Processed Non-zero DMR Data'!L648,'NAICS Code to IS CDR Code'!A:A,0)), "NAICS/SIC Not Provided")</f>
        <v>IS4</v>
      </c>
      <c r="O648" s="91" t="str">
        <f>IFERROR(INDEX('NAICS Code to IS CDR Code'!C:C, MATCH('Processed Non-zero DMR Data'!L648,'NAICS Code to IS CDR Code'!A:A,0)), "NAICS/SIC Not Provided")</f>
        <v>Utilities</v>
      </c>
      <c r="P648" s="91" t="e">
        <f>INDEX('11DCA Mapping'!$K:$K, MATCH('Processed Non-zero DMR Data'!I655,'11DCA Mapping'!$J:$J,0))</f>
        <v>#N/A</v>
      </c>
      <c r="Q648" s="91" t="e">
        <f>INDEX('11DCA Mapping'!$L:$L, MATCH('Processed Non-zero DMR Data'!I655,'11DCA Mapping'!$J:$J,0))</f>
        <v>#N/A</v>
      </c>
      <c r="R648" s="250" t="str">
        <f>VLOOKUP(I648,'DMR POTW Flag'!$A$2:$B$960,2,FALSE)</f>
        <v>POTW</v>
      </c>
      <c r="S648" s="7" t="s">
        <v>67</v>
      </c>
      <c r="T648" s="249" t="s">
        <v>586</v>
      </c>
      <c r="U648" s="8">
        <f>COUNTIFS('Raw Non-zero DMR Data'!$A:$A, 'Processed Non-zero DMR Data'!A648, 'Raw Non-zero DMR Data'!$C:$C, X648, 'Raw Non-zero DMR Data'!$U:$U,'Processed Non-zero DMR Data'!Y648)</f>
        <v>1</v>
      </c>
      <c r="V648" s="8">
        <f>COUNTIFS('Raw Non-zero DMR Data'!$A:$A, 'Processed Non-zero DMR Data'!A648, 'Raw Non-zero DMR Data'!$C:$C, X648, 'Raw Non-zero DMR Data'!$U:$U,'Processed Non-zero DMR Data'!Y648,'Raw Non-zero DMR Data'!$Z:$Z,"Yes")</f>
        <v>1</v>
      </c>
      <c r="W648">
        <v>1.1604810000000001</v>
      </c>
      <c r="X648" t="s">
        <v>1147</v>
      </c>
      <c r="Y648" t="s">
        <v>1148</v>
      </c>
      <c r="Z648" s="257">
        <v>150200060604</v>
      </c>
    </row>
    <row r="649" spans="1:26" ht="15" customHeight="1" x14ac:dyDescent="0.25">
      <c r="A649">
        <v>2023</v>
      </c>
      <c r="B649" t="s">
        <v>379</v>
      </c>
      <c r="C649" t="s">
        <v>380</v>
      </c>
      <c r="D649" t="s">
        <v>1146</v>
      </c>
      <c r="E649" t="s">
        <v>367</v>
      </c>
      <c r="F649">
        <v>35.639485000000001</v>
      </c>
      <c r="G649">
        <v>-109.080939</v>
      </c>
      <c r="I649" s="1">
        <v>110024409433</v>
      </c>
      <c r="J649">
        <v>4952</v>
      </c>
      <c r="K649" s="175" t="str">
        <f>INDEX('2022 SIC to NAICS'!B:B, MATCH('Processed Non-zero DMR Data'!$J649, '2022 SIC to NAICS'!$A:$A, 0))</f>
        <v>Sewerage Systems</v>
      </c>
      <c r="L649" s="175">
        <f>INDEX('2022 SIC to NAICS'!C:C, MATCH('Processed Non-zero DMR Data'!$J649, '2022 SIC to NAICS'!$A:$A, 0))</f>
        <v>221320</v>
      </c>
      <c r="M649" s="175" t="str">
        <f>INDEX('2022 SIC to NAICS'!D:D, MATCH('Processed Non-zero DMR Data'!$J649, '2022 SIC to NAICS'!$A:$A, 0))</f>
        <v xml:space="preserve">Sewage Treatment Facilities </v>
      </c>
      <c r="N649" s="90" t="str">
        <f>IFERROR(INDEX('NAICS Code to IS CDR Code'!B:B, MATCH('Processed Non-zero DMR Data'!L649,'NAICS Code to IS CDR Code'!A:A,0)), "NAICS/SIC Not Provided")</f>
        <v>IS4</v>
      </c>
      <c r="O649" s="91" t="str">
        <f>IFERROR(INDEX('NAICS Code to IS CDR Code'!C:C, MATCH('Processed Non-zero DMR Data'!L649,'NAICS Code to IS CDR Code'!A:A,0)), "NAICS/SIC Not Provided")</f>
        <v>Utilities</v>
      </c>
      <c r="P649" s="91" t="e">
        <f>INDEX('11DCA Mapping'!$K:$K, MATCH('Processed Non-zero DMR Data'!I656,'11DCA Mapping'!$J:$J,0))</f>
        <v>#N/A</v>
      </c>
      <c r="Q649" s="91" t="e">
        <f>INDEX('11DCA Mapping'!$L:$L, MATCH('Processed Non-zero DMR Data'!I656,'11DCA Mapping'!$J:$J,0))</f>
        <v>#N/A</v>
      </c>
      <c r="R649" s="250" t="str">
        <f>VLOOKUP(I649,'DMR POTW Flag'!$A$2:$B$960,2,FALSE)</f>
        <v>POTW</v>
      </c>
      <c r="S649" s="7" t="s">
        <v>67</v>
      </c>
      <c r="T649" s="249" t="s">
        <v>586</v>
      </c>
      <c r="U649" s="8">
        <f>COUNTIFS('Raw Non-zero DMR Data'!$A:$A, 'Processed Non-zero DMR Data'!A649, 'Raw Non-zero DMR Data'!$C:$C, X649, 'Raw Non-zero DMR Data'!$U:$U,'Processed Non-zero DMR Data'!Y649)</f>
        <v>1</v>
      </c>
      <c r="V649" s="8">
        <f>COUNTIFS('Raw Non-zero DMR Data'!$A:$A, 'Processed Non-zero DMR Data'!A649, 'Raw Non-zero DMR Data'!$C:$C, X649, 'Raw Non-zero DMR Data'!$U:$U,'Processed Non-zero DMR Data'!Y649,'Raw Non-zero DMR Data'!$Z:$Z,"Yes")</f>
        <v>1</v>
      </c>
      <c r="W649">
        <v>0.45590324999999998</v>
      </c>
      <c r="X649" t="s">
        <v>1147</v>
      </c>
      <c r="Y649" t="s">
        <v>1148</v>
      </c>
      <c r="Z649" s="257">
        <v>150200060604</v>
      </c>
    </row>
    <row r="650" spans="1:26" ht="15" customHeight="1" x14ac:dyDescent="0.25">
      <c r="A650">
        <v>2021</v>
      </c>
      <c r="B650" t="s">
        <v>464</v>
      </c>
      <c r="C650" t="s">
        <v>465</v>
      </c>
      <c r="D650" t="s">
        <v>1149</v>
      </c>
      <c r="E650" t="s">
        <v>146</v>
      </c>
      <c r="F650">
        <v>38.662149999999997</v>
      </c>
      <c r="G650">
        <v>-121.71407000000001</v>
      </c>
      <c r="I650" s="1">
        <v>110039782349</v>
      </c>
      <c r="J650">
        <v>4952</v>
      </c>
      <c r="K650" s="175" t="str">
        <f>INDEX('2022 SIC to NAICS'!B:B, MATCH('Processed Non-zero DMR Data'!$J650, '2022 SIC to NAICS'!$A:$A, 0))</f>
        <v>Sewerage Systems</v>
      </c>
      <c r="L650" s="175">
        <f>INDEX('2022 SIC to NAICS'!C:C, MATCH('Processed Non-zero DMR Data'!$J650, '2022 SIC to NAICS'!$A:$A, 0))</f>
        <v>221320</v>
      </c>
      <c r="M650" s="175" t="str">
        <f>INDEX('2022 SIC to NAICS'!D:D, MATCH('Processed Non-zero DMR Data'!$J650, '2022 SIC to NAICS'!$A:$A, 0))</f>
        <v xml:space="preserve">Sewage Treatment Facilities </v>
      </c>
      <c r="N650" s="90" t="str">
        <f>IFERROR(INDEX('NAICS Code to IS CDR Code'!B:B, MATCH('Processed Non-zero DMR Data'!L650,'NAICS Code to IS CDR Code'!A:A,0)), "NAICS/SIC Not Provided")</f>
        <v>IS4</v>
      </c>
      <c r="O650" s="91" t="str">
        <f>IFERROR(INDEX('NAICS Code to IS CDR Code'!C:C, MATCH('Processed Non-zero DMR Data'!L650,'NAICS Code to IS CDR Code'!A:A,0)), "NAICS/SIC Not Provided")</f>
        <v>Utilities</v>
      </c>
      <c r="P650" s="91" t="e">
        <f>INDEX('11DCA Mapping'!$K:$K, MATCH('Processed Non-zero DMR Data'!I657,'11DCA Mapping'!$J:$J,0))</f>
        <v>#N/A</v>
      </c>
      <c r="Q650" s="91" t="e">
        <f>INDEX('11DCA Mapping'!$L:$L, MATCH('Processed Non-zero DMR Data'!I657,'11DCA Mapping'!$J:$J,0))</f>
        <v>#N/A</v>
      </c>
      <c r="R650" s="250" t="str">
        <f>VLOOKUP(I650,'DMR POTW Flag'!$A$2:$B$960,2,FALSE)</f>
        <v>POTW</v>
      </c>
      <c r="S650" s="7" t="s">
        <v>67</v>
      </c>
      <c r="T650" s="249" t="s">
        <v>586</v>
      </c>
      <c r="U650" s="8">
        <f>COUNTIFS('Raw Non-zero DMR Data'!$A:$A, 'Processed Non-zero DMR Data'!A650, 'Raw Non-zero DMR Data'!$C:$C, X650, 'Raw Non-zero DMR Data'!$U:$U,'Processed Non-zero DMR Data'!Y650)</f>
        <v>1</v>
      </c>
      <c r="V650" s="8">
        <f>COUNTIFS('Raw Non-zero DMR Data'!$A:$A, 'Processed Non-zero DMR Data'!A650, 'Raw Non-zero DMR Data'!$C:$C, X650, 'Raw Non-zero DMR Data'!$U:$U,'Processed Non-zero DMR Data'!Y650,'Raw Non-zero DMR Data'!$Z:$Z,"Yes")</f>
        <v>1</v>
      </c>
      <c r="W650">
        <v>0.32078026399999998</v>
      </c>
      <c r="X650" t="s">
        <v>1150</v>
      </c>
      <c r="Y650" t="s">
        <v>1151</v>
      </c>
      <c r="Z650" s="257">
        <v>180201630302</v>
      </c>
    </row>
    <row r="651" spans="1:26" ht="15" customHeight="1" x14ac:dyDescent="0.25">
      <c r="A651">
        <v>2022</v>
      </c>
      <c r="B651" t="s">
        <v>464</v>
      </c>
      <c r="C651" t="s">
        <v>465</v>
      </c>
      <c r="D651" t="s">
        <v>1149</v>
      </c>
      <c r="E651" t="s">
        <v>146</v>
      </c>
      <c r="F651">
        <v>38.662149999999997</v>
      </c>
      <c r="G651">
        <v>-121.71407000000001</v>
      </c>
      <c r="I651" s="1">
        <v>110039782349</v>
      </c>
      <c r="J651">
        <v>4952</v>
      </c>
      <c r="K651" s="175" t="str">
        <f>INDEX('2022 SIC to NAICS'!B:B, MATCH('Processed Non-zero DMR Data'!$J651, '2022 SIC to NAICS'!$A:$A, 0))</f>
        <v>Sewerage Systems</v>
      </c>
      <c r="L651" s="175">
        <f>INDEX('2022 SIC to NAICS'!C:C, MATCH('Processed Non-zero DMR Data'!$J651, '2022 SIC to NAICS'!$A:$A, 0))</f>
        <v>221320</v>
      </c>
      <c r="M651" s="175" t="str">
        <f>INDEX('2022 SIC to NAICS'!D:D, MATCH('Processed Non-zero DMR Data'!$J651, '2022 SIC to NAICS'!$A:$A, 0))</f>
        <v xml:space="preserve">Sewage Treatment Facilities </v>
      </c>
      <c r="N651" s="90" t="str">
        <f>IFERROR(INDEX('NAICS Code to IS CDR Code'!B:B, MATCH('Processed Non-zero DMR Data'!L651,'NAICS Code to IS CDR Code'!A:A,0)), "NAICS/SIC Not Provided")</f>
        <v>IS4</v>
      </c>
      <c r="O651" s="91" t="str">
        <f>IFERROR(INDEX('NAICS Code to IS CDR Code'!C:C, MATCH('Processed Non-zero DMR Data'!L651,'NAICS Code to IS CDR Code'!A:A,0)), "NAICS/SIC Not Provided")</f>
        <v>Utilities</v>
      </c>
      <c r="P651" s="91" t="e">
        <f>INDEX('11DCA Mapping'!$K:$K, MATCH('Processed Non-zero DMR Data'!I658,'11DCA Mapping'!$J:$J,0))</f>
        <v>#N/A</v>
      </c>
      <c r="Q651" s="91" t="e">
        <f>INDEX('11DCA Mapping'!$L:$L, MATCH('Processed Non-zero DMR Data'!I658,'11DCA Mapping'!$J:$J,0))</f>
        <v>#N/A</v>
      </c>
      <c r="R651" s="250" t="str">
        <f>VLOOKUP(I651,'DMR POTW Flag'!$A$2:$B$960,2,FALSE)</f>
        <v>POTW</v>
      </c>
      <c r="S651" s="7" t="s">
        <v>67</v>
      </c>
      <c r="T651" s="249" t="s">
        <v>586</v>
      </c>
      <c r="U651" s="8">
        <f>COUNTIFS('Raw Non-zero DMR Data'!$A:$A, 'Processed Non-zero DMR Data'!A651, 'Raw Non-zero DMR Data'!$C:$C, X651, 'Raw Non-zero DMR Data'!$U:$U,'Processed Non-zero DMR Data'!Y651)</f>
        <v>1</v>
      </c>
      <c r="V651" s="8">
        <f>COUNTIFS('Raw Non-zero DMR Data'!$A:$A, 'Processed Non-zero DMR Data'!A651, 'Raw Non-zero DMR Data'!$C:$C, X651, 'Raw Non-zero DMR Data'!$U:$U,'Processed Non-zero DMR Data'!Y651,'Raw Non-zero DMR Data'!$Z:$Z,"Yes")</f>
        <v>1</v>
      </c>
      <c r="W651">
        <v>0.199443762</v>
      </c>
      <c r="X651" t="s">
        <v>1150</v>
      </c>
      <c r="Y651" t="s">
        <v>1151</v>
      </c>
      <c r="Z651" s="257">
        <v>180201630302</v>
      </c>
    </row>
    <row r="652" spans="1:26" ht="15" customHeight="1" x14ac:dyDescent="0.25">
      <c r="A652"/>
      <c r="I652"/>
      <c r="J652"/>
      <c r="L652"/>
      <c r="M652"/>
      <c r="O652"/>
      <c r="P652"/>
      <c r="Q652"/>
      <c r="R652"/>
      <c r="S652"/>
      <c r="T652"/>
      <c r="W652"/>
      <c r="X652"/>
      <c r="Z652"/>
    </row>
    <row r="653" spans="1:26" ht="15" customHeight="1" x14ac:dyDescent="0.25">
      <c r="A653"/>
      <c r="I653"/>
      <c r="J653"/>
      <c r="L653"/>
      <c r="M653"/>
      <c r="O653"/>
      <c r="P653"/>
      <c r="Q653"/>
      <c r="R653"/>
      <c r="S653"/>
      <c r="T653"/>
      <c r="W653"/>
      <c r="X653"/>
      <c r="Z653"/>
    </row>
    <row r="654" spans="1:26" ht="15" customHeight="1" x14ac:dyDescent="0.25">
      <c r="A654"/>
      <c r="I654"/>
      <c r="J654"/>
      <c r="L654"/>
      <c r="M654"/>
      <c r="O654"/>
      <c r="P654"/>
      <c r="Q654"/>
      <c r="R654"/>
      <c r="S654"/>
      <c r="T654"/>
      <c r="W654"/>
      <c r="X654"/>
      <c r="Z654"/>
    </row>
    <row r="655" spans="1:26" ht="15" customHeight="1" x14ac:dyDescent="0.25">
      <c r="A655"/>
      <c r="I655"/>
      <c r="J655"/>
      <c r="L655"/>
      <c r="M655"/>
      <c r="O655"/>
      <c r="P655"/>
      <c r="Q655"/>
      <c r="R655"/>
      <c r="S655"/>
      <c r="T655"/>
      <c r="W655"/>
      <c r="X655"/>
      <c r="Z655"/>
    </row>
    <row r="656" spans="1:26" ht="15" customHeight="1" x14ac:dyDescent="0.25">
      <c r="A656"/>
      <c r="I656"/>
      <c r="J656"/>
      <c r="L656"/>
      <c r="M656"/>
      <c r="O656"/>
      <c r="P656"/>
      <c r="Q656"/>
      <c r="R656"/>
      <c r="S656"/>
      <c r="T656"/>
      <c r="W656"/>
      <c r="X656"/>
      <c r="Z656"/>
    </row>
    <row r="657" spans="1:26" ht="15" customHeight="1" x14ac:dyDescent="0.25">
      <c r="A657"/>
      <c r="I657"/>
      <c r="J657"/>
      <c r="L657"/>
      <c r="M657"/>
      <c r="O657"/>
      <c r="P657"/>
      <c r="Q657"/>
      <c r="R657"/>
      <c r="S657"/>
      <c r="T657"/>
      <c r="W657"/>
      <c r="X657"/>
      <c r="Z657"/>
    </row>
    <row r="658" spans="1:26" ht="15" customHeight="1" x14ac:dyDescent="0.25">
      <c r="A658"/>
      <c r="I658"/>
      <c r="J658"/>
      <c r="L658"/>
      <c r="M658"/>
      <c r="O658"/>
      <c r="P658"/>
      <c r="Q658"/>
      <c r="R658"/>
      <c r="S658"/>
      <c r="T658"/>
      <c r="W658"/>
      <c r="X658"/>
      <c r="Z658"/>
    </row>
  </sheetData>
  <sheetProtection sheet="1" objects="1" scenarios="1" formatCells="0" formatColumns="0" formatRows="0" sort="0" autoFilter="0"/>
  <autoFilter ref="A1:AA658" xr:uid="{7B806EB5-5E51-4FEE-9367-C5C64547AAE5}"/>
  <phoneticPr fontId="7"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B992E7F-4854-4204-99B0-C7C2959DC2FB}">
          <x14:formula1>
            <xm:f>'TRI and DMR OES Summary'!$A$3:$A$15</xm:f>
          </x14:formula1>
          <xm:sqref>S2:S651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AF2C4-2ABC-4237-826F-DC92C80DF1CE}">
  <sheetPr codeName="Sheet8">
    <tabColor theme="7"/>
  </sheetPr>
  <dimension ref="A1:X23"/>
  <sheetViews>
    <sheetView workbookViewId="0"/>
  </sheetViews>
  <sheetFormatPr defaultRowHeight="15" x14ac:dyDescent="0.25"/>
  <cols>
    <col min="1" max="1" width="12.140625" customWidth="1"/>
    <col min="2" max="2" width="53.7109375" bestFit="1" customWidth="1"/>
    <col min="3" max="3" width="21.85546875" bestFit="1" customWidth="1"/>
    <col min="4" max="4" width="15.5703125" bestFit="1" customWidth="1"/>
    <col min="7" max="7" width="11.42578125" customWidth="1"/>
    <col min="8" max="8" width="13.85546875" customWidth="1"/>
    <col min="9" max="9" width="21.42578125" customWidth="1"/>
    <col min="10" max="10" width="15.85546875" bestFit="1" customWidth="1"/>
    <col min="11" max="11" width="12.140625" customWidth="1"/>
    <col min="12" max="12" width="10.5703125" customWidth="1"/>
    <col min="13" max="13" width="81.140625" bestFit="1" customWidth="1"/>
    <col min="14" max="16" width="65.28515625" customWidth="1"/>
    <col min="17" max="17" width="26.140625" bestFit="1" customWidth="1"/>
    <col min="18" max="18" width="26.140625" customWidth="1"/>
    <col min="19" max="20" width="16.42578125" customWidth="1"/>
    <col min="21" max="22" width="20.42578125" customWidth="1"/>
    <col min="23" max="24" width="16.85546875" customWidth="1"/>
  </cols>
  <sheetData>
    <row r="1" spans="1:24" s="99" customFormat="1" ht="60.75" thickBot="1" x14ac:dyDescent="0.3">
      <c r="A1" s="187" t="s">
        <v>539</v>
      </c>
      <c r="B1" s="188" t="s">
        <v>83</v>
      </c>
      <c r="C1" s="188" t="s">
        <v>1152</v>
      </c>
      <c r="D1" s="188" t="s">
        <v>1153</v>
      </c>
      <c r="E1" s="188" t="s">
        <v>1154</v>
      </c>
      <c r="F1" s="188" t="s">
        <v>1155</v>
      </c>
      <c r="G1" s="188" t="s">
        <v>5464</v>
      </c>
      <c r="H1" s="188" t="s">
        <v>1156</v>
      </c>
      <c r="I1" s="188" t="s">
        <v>1157</v>
      </c>
      <c r="J1" s="189" t="s">
        <v>1158</v>
      </c>
      <c r="K1" s="188" t="s">
        <v>1159</v>
      </c>
      <c r="L1" s="188" t="s">
        <v>1160</v>
      </c>
      <c r="M1" s="253" t="s">
        <v>1161</v>
      </c>
      <c r="N1" s="253" t="s">
        <v>1162</v>
      </c>
      <c r="O1" s="254" t="s">
        <v>51</v>
      </c>
      <c r="P1" s="254" t="s">
        <v>82</v>
      </c>
      <c r="Q1" s="255" t="s">
        <v>130</v>
      </c>
      <c r="R1" s="254" t="s">
        <v>131</v>
      </c>
      <c r="S1" s="188" t="s">
        <v>1163</v>
      </c>
      <c r="T1" s="256" t="s">
        <v>1164</v>
      </c>
      <c r="U1" s="188" t="s">
        <v>1165</v>
      </c>
      <c r="V1" s="256" t="s">
        <v>1166</v>
      </c>
      <c r="W1" s="188" t="s">
        <v>1167</v>
      </c>
      <c r="X1" s="256" t="s">
        <v>1168</v>
      </c>
    </row>
    <row r="2" spans="1:24" x14ac:dyDescent="0.25">
      <c r="A2" s="9">
        <v>2019</v>
      </c>
      <c r="B2" s="9" t="s">
        <v>112</v>
      </c>
      <c r="C2" s="9" t="s">
        <v>1169</v>
      </c>
      <c r="D2" s="9" t="s">
        <v>113</v>
      </c>
      <c r="E2" s="9" t="s">
        <v>114</v>
      </c>
      <c r="F2" s="9">
        <v>775413257</v>
      </c>
      <c r="G2" s="9">
        <v>28.980146999999999</v>
      </c>
      <c r="H2" s="9">
        <v>-95.342271999999994</v>
      </c>
      <c r="I2" s="9" t="s">
        <v>115</v>
      </c>
      <c r="J2" s="13">
        <v>110008170237</v>
      </c>
      <c r="K2" s="9" t="s">
        <v>1170</v>
      </c>
      <c r="L2" s="13">
        <v>325199</v>
      </c>
      <c r="M2" s="9" t="s">
        <v>1171</v>
      </c>
      <c r="N2" s="9" t="str">
        <f>VLOOKUP(L2,'NAICS Code to IS CDR Code'!A:C,3, FALSE)</f>
        <v>All Other Basic Organic Chemical Manufacturing</v>
      </c>
      <c r="O2" s="9" t="s">
        <v>5459</v>
      </c>
      <c r="P2" s="9" t="s">
        <v>1172</v>
      </c>
      <c r="Q2" s="9" t="str">
        <f t="shared" ref="Q2:Q23" si="0">IF(AND(S2 = 500, U2 = 500), "Direct and/or Indirect", IF(AND(T2 &gt; 0, V2 &gt; 0), "Direct and Indirect", IF(T2 &gt; 0, "Direct", "Indirect")))</f>
        <v>Direct</v>
      </c>
      <c r="R2" s="9" t="s">
        <v>72</v>
      </c>
      <c r="S2" s="9">
        <v>115</v>
      </c>
      <c r="T2" s="9">
        <f t="shared" ref="T2:T23" si="1">CONVERT(S2,"lbm","g")/1000</f>
        <v>52.163122549999997</v>
      </c>
      <c r="U2" s="9"/>
      <c r="V2" s="9">
        <f t="shared" ref="V2:V23" si="2">CONVERT(U2,"lbm","g")/1000</f>
        <v>0</v>
      </c>
      <c r="W2" s="9"/>
      <c r="X2" s="9">
        <f t="shared" ref="X2:X23" si="3">CONVERT(W2,"lbm","g")/1000</f>
        <v>0</v>
      </c>
    </row>
    <row r="3" spans="1:24" x14ac:dyDescent="0.25">
      <c r="A3" s="9">
        <v>2020</v>
      </c>
      <c r="B3" s="9" t="s">
        <v>112</v>
      </c>
      <c r="C3" s="9" t="s">
        <v>1169</v>
      </c>
      <c r="D3" s="9" t="s">
        <v>113</v>
      </c>
      <c r="E3" s="9" t="s">
        <v>114</v>
      </c>
      <c r="F3" s="9">
        <v>775413257</v>
      </c>
      <c r="G3" s="9">
        <v>28.980146999999999</v>
      </c>
      <c r="H3" s="9">
        <v>-95.342271999999994</v>
      </c>
      <c r="I3" s="9" t="s">
        <v>115</v>
      </c>
      <c r="J3" s="13">
        <v>110008170237</v>
      </c>
      <c r="K3" s="9" t="s">
        <v>1170</v>
      </c>
      <c r="L3" s="9">
        <v>325199</v>
      </c>
      <c r="M3" s="9" t="s">
        <v>1171</v>
      </c>
      <c r="N3" s="9" t="str">
        <f>VLOOKUP(L3,'NAICS Code to IS CDR Code'!A:C,3, FALSE)</f>
        <v>All Other Basic Organic Chemical Manufacturing</v>
      </c>
      <c r="O3" s="9" t="s">
        <v>5459</v>
      </c>
      <c r="P3" s="9" t="s">
        <v>1172</v>
      </c>
      <c r="Q3" s="9" t="str">
        <f t="shared" si="0"/>
        <v>Direct</v>
      </c>
      <c r="R3" s="9" t="s">
        <v>72</v>
      </c>
      <c r="S3" s="9">
        <v>97</v>
      </c>
      <c r="T3" s="9">
        <f t="shared" si="1"/>
        <v>43.998459889999999</v>
      </c>
      <c r="U3" s="9"/>
      <c r="V3" s="9">
        <f t="shared" si="2"/>
        <v>0</v>
      </c>
      <c r="W3" s="13"/>
      <c r="X3" s="9">
        <f t="shared" si="3"/>
        <v>0</v>
      </c>
    </row>
    <row r="4" spans="1:24" x14ac:dyDescent="0.25">
      <c r="A4" s="9">
        <v>2021</v>
      </c>
      <c r="B4" s="9" t="s">
        <v>112</v>
      </c>
      <c r="C4" s="9" t="s">
        <v>1169</v>
      </c>
      <c r="D4" s="9" t="s">
        <v>113</v>
      </c>
      <c r="E4" s="9" t="s">
        <v>114</v>
      </c>
      <c r="F4" s="9">
        <v>775413257</v>
      </c>
      <c r="G4" s="9">
        <v>28.980146999999999</v>
      </c>
      <c r="H4" s="9">
        <v>-95.342271999999994</v>
      </c>
      <c r="I4" s="9" t="s">
        <v>115</v>
      </c>
      <c r="J4" s="13">
        <v>110008170237</v>
      </c>
      <c r="K4" s="9" t="s">
        <v>1170</v>
      </c>
      <c r="L4" s="9">
        <v>325199</v>
      </c>
      <c r="M4" s="9" t="s">
        <v>1171</v>
      </c>
      <c r="N4" s="9" t="str">
        <f>VLOOKUP(L4,'NAICS Code to IS CDR Code'!A:C,3, FALSE)</f>
        <v>All Other Basic Organic Chemical Manufacturing</v>
      </c>
      <c r="O4" s="9" t="s">
        <v>5459</v>
      </c>
      <c r="P4" s="9" t="s">
        <v>1172</v>
      </c>
      <c r="Q4" s="9" t="str">
        <f t="shared" si="0"/>
        <v>Direct</v>
      </c>
      <c r="R4" s="9" t="s">
        <v>72</v>
      </c>
      <c r="S4" s="9">
        <v>218</v>
      </c>
      <c r="T4" s="9">
        <f t="shared" si="1"/>
        <v>98.883136660000005</v>
      </c>
      <c r="U4" s="9"/>
      <c r="V4" s="9">
        <f t="shared" si="2"/>
        <v>0</v>
      </c>
      <c r="W4" s="13"/>
      <c r="X4" s="9">
        <f t="shared" si="3"/>
        <v>0</v>
      </c>
    </row>
    <row r="5" spans="1:24" x14ac:dyDescent="0.25">
      <c r="A5" s="9">
        <v>2022</v>
      </c>
      <c r="B5" s="9" t="s">
        <v>112</v>
      </c>
      <c r="C5" s="9" t="s">
        <v>1169</v>
      </c>
      <c r="D5" s="9" t="s">
        <v>113</v>
      </c>
      <c r="E5" s="9" t="s">
        <v>114</v>
      </c>
      <c r="F5" s="9">
        <v>775413257</v>
      </c>
      <c r="G5" s="9">
        <v>28.980146999999999</v>
      </c>
      <c r="H5" s="9">
        <v>-95.342271999999994</v>
      </c>
      <c r="I5" s="9" t="s">
        <v>115</v>
      </c>
      <c r="J5" s="13">
        <v>110008170237</v>
      </c>
      <c r="K5" s="9" t="s">
        <v>1170</v>
      </c>
      <c r="L5" s="9">
        <v>325199</v>
      </c>
      <c r="M5" s="9" t="s">
        <v>1171</v>
      </c>
      <c r="N5" s="9" t="str">
        <f>VLOOKUP(L5,'NAICS Code to IS CDR Code'!A:C,3, FALSE)</f>
        <v>All Other Basic Organic Chemical Manufacturing</v>
      </c>
      <c r="O5" s="9" t="s">
        <v>5459</v>
      </c>
      <c r="P5" s="9" t="s">
        <v>1172</v>
      </c>
      <c r="Q5" s="9" t="str">
        <f t="shared" si="0"/>
        <v>Direct</v>
      </c>
      <c r="R5" s="9" t="s">
        <v>72</v>
      </c>
      <c r="S5" s="9">
        <v>188</v>
      </c>
      <c r="T5" s="9">
        <f t="shared" si="1"/>
        <v>85.275365560000012</v>
      </c>
      <c r="U5" s="9"/>
      <c r="V5" s="9">
        <f t="shared" si="2"/>
        <v>0</v>
      </c>
      <c r="W5" s="9"/>
      <c r="X5" s="9">
        <f t="shared" si="3"/>
        <v>0</v>
      </c>
    </row>
    <row r="6" spans="1:24" x14ac:dyDescent="0.25">
      <c r="A6" s="9">
        <v>2019</v>
      </c>
      <c r="B6" s="9" t="s">
        <v>120</v>
      </c>
      <c r="C6" s="9" t="s">
        <v>1169</v>
      </c>
      <c r="D6" s="9" t="s">
        <v>113</v>
      </c>
      <c r="E6" s="9" t="s">
        <v>114</v>
      </c>
      <c r="F6" s="9">
        <v>77541</v>
      </c>
      <c r="G6" s="9">
        <v>28.969389</v>
      </c>
      <c r="H6" s="9">
        <v>-95.379527999999993</v>
      </c>
      <c r="I6" s="9" t="s">
        <v>121</v>
      </c>
      <c r="J6" s="13">
        <v>110066943605</v>
      </c>
      <c r="K6" s="9" t="s">
        <v>1170</v>
      </c>
      <c r="L6" s="13">
        <v>325199</v>
      </c>
      <c r="M6" s="9" t="s">
        <v>1171</v>
      </c>
      <c r="N6" s="9" t="str">
        <f>VLOOKUP(L6,'NAICS Code to IS CDR Code'!A:C,3, FALSE)</f>
        <v>All Other Basic Organic Chemical Manufacturing</v>
      </c>
      <c r="O6" s="9" t="s">
        <v>5459</v>
      </c>
      <c r="P6" s="9" t="s">
        <v>1172</v>
      </c>
      <c r="Q6" s="9" t="str">
        <f t="shared" si="0"/>
        <v>Direct</v>
      </c>
      <c r="R6" s="9" t="s">
        <v>72</v>
      </c>
      <c r="S6" s="9">
        <v>1076</v>
      </c>
      <c r="T6" s="9">
        <f t="shared" si="1"/>
        <v>488.06539012000002</v>
      </c>
      <c r="U6" s="9"/>
      <c r="V6" s="9">
        <f t="shared" si="2"/>
        <v>0</v>
      </c>
      <c r="W6" s="13">
        <v>1076</v>
      </c>
      <c r="X6" s="9">
        <f t="shared" si="3"/>
        <v>488.06539012000002</v>
      </c>
    </row>
    <row r="7" spans="1:24" x14ac:dyDescent="0.25">
      <c r="A7" s="9">
        <v>2020</v>
      </c>
      <c r="B7" s="9" t="s">
        <v>120</v>
      </c>
      <c r="C7" s="9" t="s">
        <v>1169</v>
      </c>
      <c r="D7" s="9" t="s">
        <v>113</v>
      </c>
      <c r="E7" s="9" t="s">
        <v>114</v>
      </c>
      <c r="F7" s="9">
        <v>77541</v>
      </c>
      <c r="G7" s="9">
        <v>28.969389</v>
      </c>
      <c r="H7" s="9">
        <v>-95.379527999999993</v>
      </c>
      <c r="I7" s="9" t="s">
        <v>121</v>
      </c>
      <c r="J7" s="13">
        <v>110066943605</v>
      </c>
      <c r="K7" s="9" t="s">
        <v>1170</v>
      </c>
      <c r="L7" s="9">
        <v>325180</v>
      </c>
      <c r="M7" s="9" t="s">
        <v>1173</v>
      </c>
      <c r="N7" s="9" t="str">
        <f>VLOOKUP(L7,'NAICS Code to IS CDR Code'!A:C,3, FALSE)</f>
        <v>All Other Basic Inorganic Chemical Manufacturing</v>
      </c>
      <c r="O7" s="9" t="s">
        <v>5459</v>
      </c>
      <c r="P7" s="9" t="s">
        <v>1172</v>
      </c>
      <c r="Q7" s="9" t="str">
        <f t="shared" si="0"/>
        <v>Direct</v>
      </c>
      <c r="R7" s="9" t="s">
        <v>72</v>
      </c>
      <c r="S7" s="9">
        <v>7288</v>
      </c>
      <c r="T7" s="9">
        <f t="shared" si="1"/>
        <v>3305.7811925600004</v>
      </c>
      <c r="U7" s="9"/>
      <c r="V7" s="9">
        <f t="shared" si="2"/>
        <v>0</v>
      </c>
      <c r="W7" s="13">
        <v>7288</v>
      </c>
      <c r="X7" s="9">
        <f t="shared" si="3"/>
        <v>3305.7811925600004</v>
      </c>
    </row>
    <row r="8" spans="1:24" x14ac:dyDescent="0.25">
      <c r="A8" s="9">
        <v>2021</v>
      </c>
      <c r="B8" s="9" t="s">
        <v>120</v>
      </c>
      <c r="C8" s="9" t="s">
        <v>1169</v>
      </c>
      <c r="D8" s="9" t="s">
        <v>113</v>
      </c>
      <c r="E8" s="9" t="s">
        <v>114</v>
      </c>
      <c r="F8" s="9">
        <v>77541</v>
      </c>
      <c r="G8" s="9">
        <v>28.969389</v>
      </c>
      <c r="H8" s="9">
        <v>-95.379527999999993</v>
      </c>
      <c r="I8" s="9" t="s">
        <v>121</v>
      </c>
      <c r="J8" s="13">
        <v>110066943605</v>
      </c>
      <c r="K8" s="9" t="s">
        <v>1170</v>
      </c>
      <c r="L8" s="9">
        <v>325199</v>
      </c>
      <c r="M8" s="9" t="s">
        <v>1171</v>
      </c>
      <c r="N8" s="9" t="str">
        <f>VLOOKUP(L8,'NAICS Code to IS CDR Code'!A:C,3, FALSE)</f>
        <v>All Other Basic Organic Chemical Manufacturing</v>
      </c>
      <c r="O8" s="9" t="s">
        <v>5459</v>
      </c>
      <c r="P8" s="9" t="s">
        <v>1172</v>
      </c>
      <c r="Q8" s="9" t="str">
        <f t="shared" si="0"/>
        <v>Direct</v>
      </c>
      <c r="R8" s="9" t="s">
        <v>72</v>
      </c>
      <c r="S8" s="9">
        <v>1263</v>
      </c>
      <c r="T8" s="9">
        <f t="shared" si="1"/>
        <v>572.88716331000001</v>
      </c>
      <c r="U8" s="9"/>
      <c r="V8" s="9">
        <f t="shared" si="2"/>
        <v>0</v>
      </c>
      <c r="W8" s="13">
        <v>1263</v>
      </c>
      <c r="X8" s="9">
        <f t="shared" si="3"/>
        <v>572.88716331000001</v>
      </c>
    </row>
    <row r="9" spans="1:24" x14ac:dyDescent="0.25">
      <c r="A9" s="9">
        <v>2022</v>
      </c>
      <c r="B9" s="9" t="s">
        <v>120</v>
      </c>
      <c r="C9" s="9" t="s">
        <v>1169</v>
      </c>
      <c r="D9" s="9" t="s">
        <v>113</v>
      </c>
      <c r="E9" s="9" t="s">
        <v>114</v>
      </c>
      <c r="F9" s="9">
        <v>77541</v>
      </c>
      <c r="G9" s="9">
        <v>28.969389</v>
      </c>
      <c r="H9" s="9">
        <v>-95.379527999999993</v>
      </c>
      <c r="I9" s="9" t="s">
        <v>121</v>
      </c>
      <c r="J9" s="13">
        <v>110066943605</v>
      </c>
      <c r="K9" s="9" t="s">
        <v>1170</v>
      </c>
      <c r="L9" s="9">
        <v>325199</v>
      </c>
      <c r="M9" s="9" t="s">
        <v>1171</v>
      </c>
      <c r="N9" s="9" t="str">
        <f>VLOOKUP(L9,'NAICS Code to IS CDR Code'!A:C,3, FALSE)</f>
        <v>All Other Basic Organic Chemical Manufacturing</v>
      </c>
      <c r="O9" s="9" t="s">
        <v>5459</v>
      </c>
      <c r="P9" s="9" t="s">
        <v>1172</v>
      </c>
      <c r="Q9" s="9" t="str">
        <f t="shared" si="0"/>
        <v>Direct</v>
      </c>
      <c r="R9" s="9" t="s">
        <v>72</v>
      </c>
      <c r="S9" s="9">
        <v>4156</v>
      </c>
      <c r="T9" s="9">
        <f t="shared" si="1"/>
        <v>1885.1298897200002</v>
      </c>
      <c r="U9" s="9"/>
      <c r="V9" s="9">
        <f t="shared" si="2"/>
        <v>0</v>
      </c>
      <c r="W9" s="13">
        <v>4156</v>
      </c>
      <c r="X9" s="9">
        <f t="shared" si="3"/>
        <v>1885.1298897200002</v>
      </c>
    </row>
    <row r="10" spans="1:24" x14ac:dyDescent="0.25">
      <c r="A10" s="9">
        <v>2023</v>
      </c>
      <c r="B10" s="9" t="s">
        <v>120</v>
      </c>
      <c r="C10" s="9" t="s">
        <v>1169</v>
      </c>
      <c r="D10" s="9" t="s">
        <v>113</v>
      </c>
      <c r="E10" s="9" t="s">
        <v>114</v>
      </c>
      <c r="F10" s="9">
        <v>77541</v>
      </c>
      <c r="G10" s="9">
        <v>28.969389</v>
      </c>
      <c r="H10" s="9">
        <v>-95.379527999999993</v>
      </c>
      <c r="I10" s="9" t="s">
        <v>121</v>
      </c>
      <c r="J10" s="13">
        <v>110066943605</v>
      </c>
      <c r="K10" s="9" t="s">
        <v>1170</v>
      </c>
      <c r="L10" s="9">
        <v>325199</v>
      </c>
      <c r="M10" s="9" t="s">
        <v>1171</v>
      </c>
      <c r="N10" s="9" t="str">
        <f>VLOOKUP(L10,'NAICS Code to IS CDR Code'!A:C,3, FALSE)</f>
        <v>All Other Basic Organic Chemical Manufacturing</v>
      </c>
      <c r="O10" s="9" t="s">
        <v>5459</v>
      </c>
      <c r="P10" s="9" t="s">
        <v>1172</v>
      </c>
      <c r="Q10" s="9" t="str">
        <f t="shared" si="0"/>
        <v>Direct</v>
      </c>
      <c r="R10" s="9" t="s">
        <v>72</v>
      </c>
      <c r="S10" s="9">
        <v>2479</v>
      </c>
      <c r="T10" s="9">
        <f t="shared" si="1"/>
        <v>1124.45548523</v>
      </c>
      <c r="U10" s="9"/>
      <c r="V10" s="9">
        <f t="shared" si="2"/>
        <v>0</v>
      </c>
      <c r="W10" s="13">
        <v>2479</v>
      </c>
      <c r="X10" s="9">
        <f t="shared" si="3"/>
        <v>1124.45548523</v>
      </c>
    </row>
    <row r="11" spans="1:24" x14ac:dyDescent="0.25">
      <c r="A11" s="9">
        <v>2019</v>
      </c>
      <c r="B11" s="9" t="s">
        <v>1174</v>
      </c>
      <c r="C11" s="9" t="s">
        <v>1175</v>
      </c>
      <c r="D11" s="9" t="s">
        <v>134</v>
      </c>
      <c r="E11" s="9" t="s">
        <v>135</v>
      </c>
      <c r="F11" s="9">
        <v>25515</v>
      </c>
      <c r="G11" s="9">
        <v>38.772219999999997</v>
      </c>
      <c r="H11" s="9">
        <v>-82.205560000000006</v>
      </c>
      <c r="I11" s="9" t="s">
        <v>103</v>
      </c>
      <c r="J11" s="13">
        <v>110000607772</v>
      </c>
      <c r="K11" s="9" t="s">
        <v>1170</v>
      </c>
      <c r="L11" s="9">
        <v>325998</v>
      </c>
      <c r="M11" s="9" t="s">
        <v>1176</v>
      </c>
      <c r="N11" s="9" t="str">
        <f>VLOOKUP(L11,'NAICS Code to IS CDR Code'!A:C,3, FALSE)</f>
        <v>All Other Chemical Product and Preparation Manufacturing</v>
      </c>
      <c r="O11" s="9" t="s">
        <v>5459</v>
      </c>
      <c r="P11" s="9" t="s">
        <v>867</v>
      </c>
      <c r="Q11" s="9" t="str">
        <f t="shared" si="0"/>
        <v>Direct</v>
      </c>
      <c r="R11" s="9" t="s">
        <v>72</v>
      </c>
      <c r="S11" s="9">
        <v>3.6930000000000001</v>
      </c>
      <c r="T11" s="9">
        <f t="shared" si="1"/>
        <v>1.67511662241</v>
      </c>
      <c r="U11" s="9"/>
      <c r="V11" s="9">
        <f t="shared" si="2"/>
        <v>0</v>
      </c>
      <c r="W11" s="13"/>
      <c r="X11" s="9">
        <f>CONVERT(W11,"lbm","g")/1000</f>
        <v>0</v>
      </c>
    </row>
    <row r="12" spans="1:24" x14ac:dyDescent="0.25">
      <c r="A12" s="9">
        <v>2020</v>
      </c>
      <c r="B12" s="9" t="s">
        <v>1174</v>
      </c>
      <c r="C12" s="9" t="s">
        <v>1175</v>
      </c>
      <c r="D12" s="9" t="s">
        <v>134</v>
      </c>
      <c r="E12" s="9" t="s">
        <v>135</v>
      </c>
      <c r="F12" s="9">
        <v>25515</v>
      </c>
      <c r="G12" s="9">
        <v>38.772219999999997</v>
      </c>
      <c r="H12" s="9">
        <v>-82.205560000000006</v>
      </c>
      <c r="I12" s="9" t="s">
        <v>103</v>
      </c>
      <c r="J12" s="13">
        <v>110000607772</v>
      </c>
      <c r="K12" s="9" t="s">
        <v>1170</v>
      </c>
      <c r="L12" s="9">
        <v>325998</v>
      </c>
      <c r="M12" s="9" t="s">
        <v>1176</v>
      </c>
      <c r="N12" s="9" t="str">
        <f>VLOOKUP(L12,'NAICS Code to IS CDR Code'!A:C,3, FALSE)</f>
        <v>All Other Chemical Product and Preparation Manufacturing</v>
      </c>
      <c r="O12" s="9" t="s">
        <v>5459</v>
      </c>
      <c r="P12" s="9" t="s">
        <v>867</v>
      </c>
      <c r="Q12" s="9" t="str">
        <f t="shared" si="0"/>
        <v>Direct</v>
      </c>
      <c r="R12" s="9" t="s">
        <v>72</v>
      </c>
      <c r="S12" s="9">
        <v>3.69</v>
      </c>
      <c r="T12" s="9">
        <f t="shared" si="1"/>
        <v>1.6737558453000001</v>
      </c>
      <c r="U12" s="9"/>
      <c r="V12" s="9">
        <f t="shared" si="2"/>
        <v>0</v>
      </c>
      <c r="W12" s="13"/>
      <c r="X12" s="9">
        <f t="shared" si="3"/>
        <v>0</v>
      </c>
    </row>
    <row r="13" spans="1:24" x14ac:dyDescent="0.25">
      <c r="A13" s="9">
        <v>2021</v>
      </c>
      <c r="B13" s="9" t="s">
        <v>1174</v>
      </c>
      <c r="C13" s="9" t="s">
        <v>1175</v>
      </c>
      <c r="D13" s="9" t="s">
        <v>134</v>
      </c>
      <c r="E13" s="9" t="s">
        <v>135</v>
      </c>
      <c r="F13" s="9">
        <v>25515</v>
      </c>
      <c r="G13" s="9">
        <v>38.772219999999997</v>
      </c>
      <c r="H13" s="9">
        <v>-82.205560000000006</v>
      </c>
      <c r="I13" s="9" t="s">
        <v>103</v>
      </c>
      <c r="J13" s="13">
        <v>110000607772</v>
      </c>
      <c r="K13" s="9" t="s">
        <v>1170</v>
      </c>
      <c r="L13" s="9">
        <v>325998</v>
      </c>
      <c r="M13" s="9" t="s">
        <v>1176</v>
      </c>
      <c r="N13" s="9" t="str">
        <f>VLOOKUP(L13,'NAICS Code to IS CDR Code'!A:C,3, FALSE)</f>
        <v>All Other Chemical Product and Preparation Manufacturing</v>
      </c>
      <c r="O13" s="9" t="s">
        <v>5459</v>
      </c>
      <c r="P13" s="9" t="s">
        <v>867</v>
      </c>
      <c r="Q13" s="9" t="str">
        <f t="shared" si="0"/>
        <v>Direct</v>
      </c>
      <c r="R13" s="9" t="s">
        <v>72</v>
      </c>
      <c r="S13" s="9">
        <v>11.951000000000001</v>
      </c>
      <c r="T13" s="9">
        <f t="shared" si="1"/>
        <v>5.4208824138700002</v>
      </c>
      <c r="U13" s="9"/>
      <c r="V13" s="9">
        <f t="shared" si="2"/>
        <v>0</v>
      </c>
      <c r="W13" s="13"/>
      <c r="X13" s="9">
        <f t="shared" si="3"/>
        <v>0</v>
      </c>
    </row>
    <row r="14" spans="1:24" x14ac:dyDescent="0.25">
      <c r="A14" s="9">
        <v>2022</v>
      </c>
      <c r="B14" s="9" t="s">
        <v>1174</v>
      </c>
      <c r="C14" s="9" t="s">
        <v>1175</v>
      </c>
      <c r="D14" s="9" t="s">
        <v>134</v>
      </c>
      <c r="E14" s="9" t="s">
        <v>135</v>
      </c>
      <c r="F14" s="9">
        <v>25515</v>
      </c>
      <c r="G14" s="9">
        <v>38.772219999999997</v>
      </c>
      <c r="H14" s="9">
        <v>-82.205560000000006</v>
      </c>
      <c r="I14" s="9" t="s">
        <v>103</v>
      </c>
      <c r="J14" s="13">
        <v>110000607772</v>
      </c>
      <c r="K14" s="9" t="s">
        <v>1170</v>
      </c>
      <c r="L14" s="9">
        <v>325998</v>
      </c>
      <c r="M14" s="9" t="s">
        <v>1176</v>
      </c>
      <c r="N14" s="9" t="str">
        <f>VLOOKUP(L14,'NAICS Code to IS CDR Code'!A:C,3, FALSE)</f>
        <v>All Other Chemical Product and Preparation Manufacturing</v>
      </c>
      <c r="O14" s="9" t="s">
        <v>5459</v>
      </c>
      <c r="P14" s="9" t="s">
        <v>867</v>
      </c>
      <c r="Q14" s="9" t="str">
        <f t="shared" si="0"/>
        <v>Direct</v>
      </c>
      <c r="R14" s="9" t="s">
        <v>72</v>
      </c>
      <c r="S14" s="9">
        <v>4.4409999999999998</v>
      </c>
      <c r="T14" s="9">
        <f t="shared" si="1"/>
        <v>2.0144037151699998</v>
      </c>
      <c r="U14" s="9"/>
      <c r="V14" s="9">
        <f t="shared" si="2"/>
        <v>0</v>
      </c>
      <c r="W14" s="9"/>
      <c r="X14" s="9">
        <f t="shared" si="3"/>
        <v>0</v>
      </c>
    </row>
    <row r="15" spans="1:24" x14ac:dyDescent="0.25">
      <c r="A15" s="9">
        <v>2023</v>
      </c>
      <c r="B15" s="9" t="s">
        <v>1174</v>
      </c>
      <c r="C15" s="9" t="s">
        <v>1175</v>
      </c>
      <c r="D15" s="9" t="s">
        <v>134</v>
      </c>
      <c r="E15" s="9" t="s">
        <v>135</v>
      </c>
      <c r="F15" s="9">
        <v>25515</v>
      </c>
      <c r="G15" s="9">
        <v>38.772219999999997</v>
      </c>
      <c r="H15" s="9">
        <v>-82.205560000000006</v>
      </c>
      <c r="I15" s="9" t="s">
        <v>103</v>
      </c>
      <c r="J15" s="13">
        <v>110000607772</v>
      </c>
      <c r="K15" s="9" t="s">
        <v>1170</v>
      </c>
      <c r="L15" s="9">
        <v>325998</v>
      </c>
      <c r="M15" s="9" t="s">
        <v>1176</v>
      </c>
      <c r="N15" s="9" t="str">
        <f>VLOOKUP(L15,'NAICS Code to IS CDR Code'!A:C,3, FALSE)</f>
        <v>All Other Chemical Product and Preparation Manufacturing</v>
      </c>
      <c r="O15" s="9" t="s">
        <v>5459</v>
      </c>
      <c r="P15" s="9" t="s">
        <v>867</v>
      </c>
      <c r="Q15" s="9" t="str">
        <f t="shared" si="0"/>
        <v>Direct</v>
      </c>
      <c r="R15" s="9" t="s">
        <v>72</v>
      </c>
      <c r="S15" s="9">
        <v>1.7989999999999999</v>
      </c>
      <c r="T15" s="9">
        <f t="shared" si="1"/>
        <v>0.81601267362999996</v>
      </c>
      <c r="U15" s="9"/>
      <c r="V15" s="9">
        <f t="shared" si="2"/>
        <v>0</v>
      </c>
      <c r="W15" s="13"/>
      <c r="X15" s="9">
        <f t="shared" si="3"/>
        <v>0</v>
      </c>
    </row>
    <row r="16" spans="1:24" x14ac:dyDescent="0.25">
      <c r="A16" s="9">
        <v>2019</v>
      </c>
      <c r="B16" s="9" t="s">
        <v>108</v>
      </c>
      <c r="C16" s="9" t="s">
        <v>1177</v>
      </c>
      <c r="D16" s="9" t="s">
        <v>109</v>
      </c>
      <c r="E16" s="9" t="s">
        <v>110</v>
      </c>
      <c r="F16" s="9">
        <v>23837</v>
      </c>
      <c r="G16" s="9">
        <v>36.651200000000003</v>
      </c>
      <c r="H16" s="9">
        <v>-76.999044999999995</v>
      </c>
      <c r="I16" s="9" t="s">
        <v>111</v>
      </c>
      <c r="J16" s="13">
        <v>110000499611</v>
      </c>
      <c r="K16" s="9" t="s">
        <v>1170</v>
      </c>
      <c r="L16" s="13">
        <v>325199</v>
      </c>
      <c r="M16" s="9" t="s">
        <v>1171</v>
      </c>
      <c r="N16" s="9" t="str">
        <f>VLOOKUP(L16,'NAICS Code to IS CDR Code'!A:C,3, FALSE)</f>
        <v>All Other Basic Organic Chemical Manufacturing</v>
      </c>
      <c r="O16" s="9" t="s">
        <v>1178</v>
      </c>
      <c r="P16" s="9" t="str">
        <f>INDEX('TRIFD-OES Crosswalk'!$C:$C,MATCH('Processed Non-zero TRI Data'!J16,'TRIFD-OES Crosswalk'!$A:$A,0))</f>
        <v>TRI Use: Chemical Processing Aid</v>
      </c>
      <c r="Q16" s="9" t="str">
        <f t="shared" si="0"/>
        <v>Direct</v>
      </c>
      <c r="R16" s="9" t="s">
        <v>72</v>
      </c>
      <c r="S16" s="9">
        <v>90.45</v>
      </c>
      <c r="T16" s="9">
        <f t="shared" si="1"/>
        <v>41.0274298665</v>
      </c>
      <c r="U16" s="9"/>
      <c r="V16" s="9">
        <f t="shared" si="2"/>
        <v>0</v>
      </c>
      <c r="W16" s="9"/>
      <c r="X16" s="9">
        <f t="shared" si="3"/>
        <v>0</v>
      </c>
    </row>
    <row r="17" spans="1:24" x14ac:dyDescent="0.25">
      <c r="A17" s="9">
        <v>2020</v>
      </c>
      <c r="B17" s="9" t="s">
        <v>108</v>
      </c>
      <c r="C17" s="9" t="s">
        <v>1177</v>
      </c>
      <c r="D17" s="9" t="s">
        <v>109</v>
      </c>
      <c r="E17" s="9" t="s">
        <v>110</v>
      </c>
      <c r="F17" s="9">
        <v>23837</v>
      </c>
      <c r="G17" s="9">
        <v>36.651200000000003</v>
      </c>
      <c r="H17" s="9">
        <v>-76.999044999999995</v>
      </c>
      <c r="I17" s="9" t="s">
        <v>111</v>
      </c>
      <c r="J17" s="13">
        <v>110000499611</v>
      </c>
      <c r="K17" s="9" t="s">
        <v>1170</v>
      </c>
      <c r="L17" s="9">
        <v>325199</v>
      </c>
      <c r="M17" s="9" t="s">
        <v>1171</v>
      </c>
      <c r="N17" s="9" t="str">
        <f>VLOOKUP(L17,'NAICS Code to IS CDR Code'!A:C,3, FALSE)</f>
        <v>All Other Basic Organic Chemical Manufacturing</v>
      </c>
      <c r="O17" s="9" t="s">
        <v>1178</v>
      </c>
      <c r="P17" s="9" t="str">
        <f>INDEX('TRIFD-OES Crosswalk'!$C:$C,MATCH('Processed Non-zero TRI Data'!J17,'TRIFD-OES Crosswalk'!$A:$A,0))</f>
        <v>TRI Use: Chemical Processing Aid</v>
      </c>
      <c r="Q17" s="9" t="str">
        <f t="shared" si="0"/>
        <v>Direct</v>
      </c>
      <c r="R17" s="9" t="s">
        <v>72</v>
      </c>
      <c r="S17" s="9">
        <v>23.55</v>
      </c>
      <c r="T17" s="9">
        <f t="shared" si="1"/>
        <v>10.682100313500001</v>
      </c>
      <c r="U17" s="9"/>
      <c r="V17" s="9">
        <f t="shared" si="2"/>
        <v>0</v>
      </c>
      <c r="W17" s="13"/>
      <c r="X17" s="9">
        <f t="shared" si="3"/>
        <v>0</v>
      </c>
    </row>
    <row r="18" spans="1:24" x14ac:dyDescent="0.25">
      <c r="A18" s="9">
        <v>2021</v>
      </c>
      <c r="B18" s="9" t="s">
        <v>108</v>
      </c>
      <c r="C18" s="9" t="s">
        <v>1177</v>
      </c>
      <c r="D18" s="9" t="s">
        <v>109</v>
      </c>
      <c r="E18" s="9" t="s">
        <v>110</v>
      </c>
      <c r="F18" s="9">
        <v>23837</v>
      </c>
      <c r="G18" s="9">
        <v>36.651200000000003</v>
      </c>
      <c r="H18" s="9">
        <v>-76.999044999999995</v>
      </c>
      <c r="I18" s="9" t="s">
        <v>111</v>
      </c>
      <c r="J18" s="13">
        <v>110000499611</v>
      </c>
      <c r="K18" s="9" t="s">
        <v>1170</v>
      </c>
      <c r="L18" s="9">
        <v>325199</v>
      </c>
      <c r="M18" s="9" t="s">
        <v>1171</v>
      </c>
      <c r="N18" s="9" t="str">
        <f>VLOOKUP(L18,'NAICS Code to IS CDR Code'!A:C,3, FALSE)</f>
        <v>All Other Basic Organic Chemical Manufacturing</v>
      </c>
      <c r="O18" s="9" t="s">
        <v>1178</v>
      </c>
      <c r="P18" s="9" t="str">
        <f>INDEX('TRIFD-OES Crosswalk'!$C:$C,MATCH('Processed Non-zero TRI Data'!J18,'TRIFD-OES Crosswalk'!$A:$A,0))</f>
        <v>TRI Use: Chemical Processing Aid</v>
      </c>
      <c r="Q18" s="9" t="str">
        <f t="shared" si="0"/>
        <v>Direct</v>
      </c>
      <c r="R18" s="9" t="s">
        <v>72</v>
      </c>
      <c r="S18" s="9">
        <v>61.74</v>
      </c>
      <c r="T18" s="9">
        <f t="shared" si="1"/>
        <v>28.004792923800004</v>
      </c>
      <c r="U18" s="9"/>
      <c r="V18" s="9">
        <f t="shared" si="2"/>
        <v>0</v>
      </c>
      <c r="W18" s="13"/>
      <c r="X18" s="9">
        <f t="shared" si="3"/>
        <v>0</v>
      </c>
    </row>
    <row r="19" spans="1:24" x14ac:dyDescent="0.25">
      <c r="A19" s="9">
        <v>2022</v>
      </c>
      <c r="B19" s="9" t="s">
        <v>108</v>
      </c>
      <c r="C19" s="9" t="s">
        <v>1177</v>
      </c>
      <c r="D19" s="9" t="s">
        <v>109</v>
      </c>
      <c r="E19" s="9" t="s">
        <v>110</v>
      </c>
      <c r="F19" s="9">
        <v>23837</v>
      </c>
      <c r="G19" s="9">
        <v>36.651200000000003</v>
      </c>
      <c r="H19" s="9">
        <v>-76.999044999999995</v>
      </c>
      <c r="I19" s="9" t="s">
        <v>111</v>
      </c>
      <c r="J19" s="13">
        <v>110000499611</v>
      </c>
      <c r="K19" s="9" t="s">
        <v>1170</v>
      </c>
      <c r="L19" s="9">
        <v>325199</v>
      </c>
      <c r="M19" s="9" t="s">
        <v>1171</v>
      </c>
      <c r="N19" s="9" t="str">
        <f>VLOOKUP(L19,'NAICS Code to IS CDR Code'!A:C,3, FALSE)</f>
        <v>All Other Basic Organic Chemical Manufacturing</v>
      </c>
      <c r="O19" s="9" t="s">
        <v>1178</v>
      </c>
      <c r="P19" s="9" t="str">
        <f>INDEX('TRIFD-OES Crosswalk'!$C:$C,MATCH('Processed Non-zero TRI Data'!J19,'TRIFD-OES Crosswalk'!$A:$A,0))</f>
        <v>TRI Use: Chemical Processing Aid</v>
      </c>
      <c r="Q19" s="9" t="str">
        <f t="shared" si="0"/>
        <v>Direct</v>
      </c>
      <c r="R19" s="9" t="s">
        <v>72</v>
      </c>
      <c r="S19" s="9">
        <v>66.23</v>
      </c>
      <c r="T19" s="9">
        <f t="shared" si="1"/>
        <v>30.041422665100004</v>
      </c>
      <c r="U19" s="9"/>
      <c r="V19" s="9">
        <f t="shared" si="2"/>
        <v>0</v>
      </c>
      <c r="W19" s="13"/>
      <c r="X19" s="9">
        <f t="shared" si="3"/>
        <v>0</v>
      </c>
    </row>
    <row r="20" spans="1:24" x14ac:dyDescent="0.25">
      <c r="A20" s="9">
        <v>2023</v>
      </c>
      <c r="B20" s="9" t="s">
        <v>108</v>
      </c>
      <c r="C20" s="9" t="s">
        <v>1177</v>
      </c>
      <c r="D20" s="9" t="s">
        <v>109</v>
      </c>
      <c r="E20" s="9" t="s">
        <v>110</v>
      </c>
      <c r="F20" s="9">
        <v>23837</v>
      </c>
      <c r="G20" s="9">
        <v>36.651200000000003</v>
      </c>
      <c r="H20" s="9">
        <v>-76.999044999999995</v>
      </c>
      <c r="I20" s="9" t="s">
        <v>111</v>
      </c>
      <c r="J20" s="13">
        <v>110000499611</v>
      </c>
      <c r="K20" s="9" t="s">
        <v>1170</v>
      </c>
      <c r="L20" s="9">
        <v>325199</v>
      </c>
      <c r="M20" s="9" t="s">
        <v>1171</v>
      </c>
      <c r="N20" s="9" t="str">
        <f>VLOOKUP(L20,'NAICS Code to IS CDR Code'!A:C,3, FALSE)</f>
        <v>All Other Basic Organic Chemical Manufacturing</v>
      </c>
      <c r="O20" s="9" t="s">
        <v>1178</v>
      </c>
      <c r="P20" s="9" t="str">
        <f>INDEX('TRIFD-OES Crosswalk'!$C:$C,MATCH('Processed Non-zero TRI Data'!J20,'TRIFD-OES Crosswalk'!$A:$A,0))</f>
        <v>TRI Use: Chemical Processing Aid</v>
      </c>
      <c r="Q20" s="9" t="str">
        <f t="shared" si="0"/>
        <v>Direct</v>
      </c>
      <c r="R20" s="9" t="s">
        <v>72</v>
      </c>
      <c r="S20" s="9">
        <v>60.03</v>
      </c>
      <c r="T20" s="9">
        <f t="shared" si="1"/>
        <v>27.229149971100004</v>
      </c>
      <c r="U20" s="9"/>
      <c r="V20" s="9">
        <f t="shared" si="2"/>
        <v>0</v>
      </c>
      <c r="W20" s="13"/>
      <c r="X20" s="9">
        <f t="shared" si="3"/>
        <v>0</v>
      </c>
    </row>
    <row r="21" spans="1:24" x14ac:dyDescent="0.25">
      <c r="A21" s="9">
        <v>2019</v>
      </c>
      <c r="B21" s="9" t="s">
        <v>116</v>
      </c>
      <c r="C21" s="9" t="s">
        <v>1179</v>
      </c>
      <c r="D21" s="9" t="s">
        <v>117</v>
      </c>
      <c r="E21" s="9" t="s">
        <v>118</v>
      </c>
      <c r="F21" s="9">
        <v>48667</v>
      </c>
      <c r="G21" s="9">
        <v>43.600299999999997</v>
      </c>
      <c r="H21" s="9">
        <v>-84.223399999999998</v>
      </c>
      <c r="I21" s="9" t="s">
        <v>119</v>
      </c>
      <c r="J21" s="13">
        <v>110043787408</v>
      </c>
      <c r="K21" s="9" t="s">
        <v>1170</v>
      </c>
      <c r="L21" s="13">
        <v>325211</v>
      </c>
      <c r="M21" s="9" t="s">
        <v>1180</v>
      </c>
      <c r="N21" s="9" t="str">
        <f>VLOOKUP(L21,'NAICS Code to IS CDR Code'!A:C,3, FALSE)</f>
        <v>Plastic Material and Resin Manufacturing</v>
      </c>
      <c r="O21" s="9" t="str">
        <f>INDEX('TRIFD-OES Crosswalk'!$B:$B,MATCH('Processed Non-zero TRI Data'!J21,'TRIFD-OES Crosswalk'!$A:$A,0))</f>
        <v>Impurity in Plastics</v>
      </c>
      <c r="P21" s="9" t="str">
        <f>INDEX('TRIFD-OES Crosswalk'!$C:$C,MATCH('Processed Non-zero TRI Data'!J21,'TRIFD-OES Crosswalk'!$A:$A,0))</f>
        <v>2020 CDR; Import and Processing as a Reactant</v>
      </c>
      <c r="Q21" s="9" t="str">
        <f t="shared" si="0"/>
        <v>Direct</v>
      </c>
      <c r="R21" s="9" t="s">
        <v>72</v>
      </c>
      <c r="S21" s="9">
        <v>25</v>
      </c>
      <c r="T21" s="9">
        <f t="shared" si="1"/>
        <v>11.33980925</v>
      </c>
      <c r="U21" s="9"/>
      <c r="V21" s="9">
        <f t="shared" si="2"/>
        <v>0</v>
      </c>
      <c r="W21" s="9"/>
      <c r="X21" s="9">
        <f t="shared" si="3"/>
        <v>0</v>
      </c>
    </row>
    <row r="22" spans="1:24" x14ac:dyDescent="0.25">
      <c r="A22" s="9">
        <v>2019</v>
      </c>
      <c r="B22" s="9" t="s">
        <v>104</v>
      </c>
      <c r="C22" s="9" t="s">
        <v>1181</v>
      </c>
      <c r="D22" s="9" t="s">
        <v>105</v>
      </c>
      <c r="E22" s="9" t="s">
        <v>106</v>
      </c>
      <c r="F22" s="9">
        <v>70764</v>
      </c>
      <c r="G22" s="9">
        <v>30.320903000000001</v>
      </c>
      <c r="H22" s="9">
        <v>-91.239014999999995</v>
      </c>
      <c r="I22" s="9" t="s">
        <v>107</v>
      </c>
      <c r="J22" s="13">
        <v>110001244724</v>
      </c>
      <c r="K22" s="9" t="s">
        <v>1170</v>
      </c>
      <c r="L22" s="13">
        <v>325199</v>
      </c>
      <c r="M22" s="9" t="s">
        <v>1171</v>
      </c>
      <c r="N22" s="9" t="str">
        <f>VLOOKUP(L22,'NAICS Code to IS CDR Code'!A:C,3, FALSE)</f>
        <v>All Other Basic Organic Chemical Manufacturing</v>
      </c>
      <c r="O22" s="9" t="s">
        <v>5459</v>
      </c>
      <c r="P22" s="9" t="s">
        <v>1172</v>
      </c>
      <c r="Q22" s="9" t="str">
        <f t="shared" si="0"/>
        <v>Direct</v>
      </c>
      <c r="R22" s="9" t="s">
        <v>72</v>
      </c>
      <c r="S22" s="9">
        <v>454</v>
      </c>
      <c r="T22" s="9">
        <f t="shared" si="1"/>
        <v>205.93093598000002</v>
      </c>
      <c r="U22" s="9"/>
      <c r="V22" s="9">
        <f>CONVERT(U22,"lbm","g")/1000</f>
        <v>0</v>
      </c>
      <c r="W22" s="9"/>
      <c r="X22" s="9">
        <f t="shared" si="3"/>
        <v>0</v>
      </c>
    </row>
    <row r="23" spans="1:24" x14ac:dyDescent="0.25">
      <c r="A23" s="9">
        <v>2023</v>
      </c>
      <c r="B23" s="9" t="s">
        <v>104</v>
      </c>
      <c r="C23" s="9" t="s">
        <v>1181</v>
      </c>
      <c r="D23" s="9" t="s">
        <v>105</v>
      </c>
      <c r="E23" s="9" t="s">
        <v>106</v>
      </c>
      <c r="F23" s="9">
        <v>70764</v>
      </c>
      <c r="G23" s="9">
        <v>30.320903000000001</v>
      </c>
      <c r="H23" s="9">
        <v>-91.239014999999995</v>
      </c>
      <c r="I23" s="9" t="s">
        <v>107</v>
      </c>
      <c r="J23" s="13">
        <v>110001244724</v>
      </c>
      <c r="K23" s="9" t="s">
        <v>1170</v>
      </c>
      <c r="L23" s="9">
        <v>325199</v>
      </c>
      <c r="M23" s="9" t="s">
        <v>1171</v>
      </c>
      <c r="N23" s="9" t="str">
        <f>VLOOKUP(L23,'NAICS Code to IS CDR Code'!A:C,3, FALSE)</f>
        <v>All Other Basic Organic Chemical Manufacturing</v>
      </c>
      <c r="O23" s="9" t="s">
        <v>5459</v>
      </c>
      <c r="P23" s="9" t="s">
        <v>1172</v>
      </c>
      <c r="Q23" s="9" t="str">
        <f t="shared" si="0"/>
        <v>Direct</v>
      </c>
      <c r="R23" s="9" t="s">
        <v>72</v>
      </c>
      <c r="S23" s="9">
        <v>666</v>
      </c>
      <c r="T23" s="9">
        <f t="shared" si="1"/>
        <v>302.09251842000003</v>
      </c>
      <c r="U23" s="9"/>
      <c r="V23" s="9">
        <f t="shared" si="2"/>
        <v>0</v>
      </c>
      <c r="W23" s="13"/>
      <c r="X23" s="9">
        <f t="shared" si="3"/>
        <v>0</v>
      </c>
    </row>
  </sheetData>
  <sheetProtection sheet="1" objects="1" scenarios="1" formatCells="0" formatColumns="0" formatRows="0" sort="0" autoFilter="0"/>
  <autoFilter ref="A1:X1593" xr:uid="{33FAF2C4-2ABC-4237-826F-DC92C80DF1C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FBDDF-04D5-478F-92FA-5209FFD5A596}">
  <sheetPr codeName="Sheet9">
    <tabColor theme="9"/>
  </sheetPr>
  <dimension ref="A1:Y62"/>
  <sheetViews>
    <sheetView workbookViewId="0"/>
  </sheetViews>
  <sheetFormatPr defaultRowHeight="15" x14ac:dyDescent="0.25"/>
  <cols>
    <col min="2" max="2" width="13.85546875" customWidth="1"/>
    <col min="3" max="3" width="19.42578125" bestFit="1" customWidth="1"/>
    <col min="4" max="4" width="66.42578125" customWidth="1"/>
    <col min="7" max="7" width="14.5703125" customWidth="1"/>
    <col min="10" max="10" width="9.140625" style="175"/>
    <col min="11" max="11" width="11.140625" style="1" customWidth="1"/>
    <col min="12" max="12" width="62.85546875" style="185" customWidth="1"/>
    <col min="13" max="13" width="14.5703125" style="185" customWidth="1"/>
    <col min="14" max="14" width="10.5703125" customWidth="1"/>
    <col min="15" max="15" width="12.42578125" customWidth="1"/>
    <col min="16" max="16" width="13.140625" bestFit="1" customWidth="1"/>
    <col min="17" max="17" width="15.7109375" customWidth="1"/>
    <col min="19" max="19" width="13.28515625" customWidth="1"/>
    <col min="20" max="20" width="22.28515625" style="1" customWidth="1"/>
    <col min="21" max="21" width="72.28515625" style="7" bestFit="1" customWidth="1"/>
    <col min="22" max="22" width="36.85546875" bestFit="1" customWidth="1"/>
    <col min="23" max="23" width="26.42578125" bestFit="1" customWidth="1"/>
    <col min="24" max="24" width="77.42578125" bestFit="1" customWidth="1"/>
    <col min="25" max="25" width="31" bestFit="1" customWidth="1"/>
  </cols>
  <sheetData>
    <row r="1" spans="1:25" ht="39.75" customHeight="1" x14ac:dyDescent="0.25">
      <c r="A1" s="92" t="s">
        <v>1294</v>
      </c>
      <c r="B1" s="92" t="s">
        <v>1295</v>
      </c>
      <c r="C1" s="92" t="s">
        <v>1296</v>
      </c>
      <c r="D1" s="92" t="s">
        <v>1297</v>
      </c>
      <c r="E1" s="92" t="s">
        <v>1298</v>
      </c>
      <c r="F1" s="92" t="s">
        <v>1299</v>
      </c>
      <c r="G1" s="92" t="s">
        <v>1300</v>
      </c>
      <c r="H1" s="92" t="s">
        <v>1301</v>
      </c>
      <c r="I1" s="92" t="s">
        <v>1302</v>
      </c>
      <c r="J1" s="200" t="s">
        <v>1303</v>
      </c>
      <c r="K1" s="95" t="s">
        <v>1304</v>
      </c>
      <c r="L1" s="200" t="s">
        <v>1305</v>
      </c>
      <c r="M1" s="215" t="s">
        <v>1306</v>
      </c>
      <c r="N1" s="93" t="s">
        <v>1307</v>
      </c>
      <c r="O1" s="93" t="s">
        <v>1308</v>
      </c>
      <c r="P1" s="93" t="s">
        <v>1309</v>
      </c>
      <c r="Q1" s="93" t="s">
        <v>1310</v>
      </c>
      <c r="R1" s="93" t="s">
        <v>1311</v>
      </c>
      <c r="S1" s="93" t="s">
        <v>1312</v>
      </c>
      <c r="T1" s="96" t="s">
        <v>1313</v>
      </c>
      <c r="U1" s="206" t="s">
        <v>1314</v>
      </c>
      <c r="V1" s="207" t="s">
        <v>1315</v>
      </c>
      <c r="W1" s="207" t="s">
        <v>1316</v>
      </c>
      <c r="X1" s="207" t="s">
        <v>1317</v>
      </c>
      <c r="Y1" s="208" t="s">
        <v>1318</v>
      </c>
    </row>
    <row r="2" spans="1:25" x14ac:dyDescent="0.25">
      <c r="A2" t="s">
        <v>1170</v>
      </c>
      <c r="B2">
        <v>2020</v>
      </c>
      <c r="C2" t="s">
        <v>1319</v>
      </c>
      <c r="D2" t="s">
        <v>1320</v>
      </c>
      <c r="E2" t="s">
        <v>1321</v>
      </c>
      <c r="F2" t="s">
        <v>1322</v>
      </c>
      <c r="G2" t="s">
        <v>1323</v>
      </c>
      <c r="H2" t="s">
        <v>205</v>
      </c>
      <c r="I2">
        <v>71836</v>
      </c>
      <c r="J2" s="175">
        <v>6</v>
      </c>
      <c r="K2">
        <v>327310</v>
      </c>
      <c r="L2" s="185" t="s">
        <v>1324</v>
      </c>
      <c r="N2">
        <v>33.693600000000004</v>
      </c>
      <c r="O2">
        <v>-94.416600000000003</v>
      </c>
      <c r="P2" s="1">
        <v>110000597729</v>
      </c>
      <c r="Q2" s="1">
        <v>1320219148261</v>
      </c>
      <c r="R2" t="s">
        <v>1325</v>
      </c>
      <c r="S2" t="s">
        <v>1326</v>
      </c>
      <c r="T2" s="94" t="s">
        <v>1327</v>
      </c>
      <c r="U2" s="185" t="s">
        <v>1328</v>
      </c>
      <c r="V2">
        <v>0</v>
      </c>
      <c r="W2">
        <v>0</v>
      </c>
      <c r="X2">
        <v>0</v>
      </c>
      <c r="Y2">
        <f t="shared" ref="Y2:Y33" si="0">SUM(V2+W2+X2)</f>
        <v>0</v>
      </c>
    </row>
    <row r="3" spans="1:25" x14ac:dyDescent="0.25">
      <c r="A3" t="s">
        <v>1170</v>
      </c>
      <c r="B3">
        <v>2019</v>
      </c>
      <c r="C3" t="s">
        <v>1329</v>
      </c>
      <c r="D3" t="s">
        <v>1330</v>
      </c>
      <c r="E3" t="s">
        <v>1331</v>
      </c>
      <c r="F3" t="s">
        <v>105</v>
      </c>
      <c r="G3" t="s">
        <v>1332</v>
      </c>
      <c r="H3" t="s">
        <v>106</v>
      </c>
      <c r="I3">
        <v>70764</v>
      </c>
      <c r="J3" s="175">
        <v>6</v>
      </c>
      <c r="K3">
        <v>325199</v>
      </c>
      <c r="L3" s="185" t="s">
        <v>1171</v>
      </c>
      <c r="N3">
        <v>30.313897000000001</v>
      </c>
      <c r="O3">
        <v>-91.240605000000002</v>
      </c>
      <c r="P3" s="1">
        <v>110070828281</v>
      </c>
      <c r="Q3" s="1">
        <v>1319218459295</v>
      </c>
      <c r="R3" t="s">
        <v>1325</v>
      </c>
      <c r="S3" t="s">
        <v>1326</v>
      </c>
      <c r="T3" s="186" t="s">
        <v>1333</v>
      </c>
      <c r="U3" s="185" t="s">
        <v>1334</v>
      </c>
      <c r="V3">
        <v>0</v>
      </c>
      <c r="W3">
        <v>0</v>
      </c>
      <c r="X3">
        <v>0</v>
      </c>
      <c r="Y3">
        <f t="shared" si="0"/>
        <v>0</v>
      </c>
    </row>
    <row r="4" spans="1:25" x14ac:dyDescent="0.25">
      <c r="A4" t="s">
        <v>1170</v>
      </c>
      <c r="B4">
        <v>2020</v>
      </c>
      <c r="C4" t="s">
        <v>1329</v>
      </c>
      <c r="D4" t="s">
        <v>1330</v>
      </c>
      <c r="E4" t="s">
        <v>1331</v>
      </c>
      <c r="F4" t="s">
        <v>105</v>
      </c>
      <c r="G4" t="s">
        <v>1332</v>
      </c>
      <c r="H4" t="s">
        <v>106</v>
      </c>
      <c r="I4">
        <v>70764</v>
      </c>
      <c r="J4" s="175">
        <v>6</v>
      </c>
      <c r="K4">
        <v>325199</v>
      </c>
      <c r="L4" s="185" t="s">
        <v>1171</v>
      </c>
      <c r="N4">
        <v>30.313897000000001</v>
      </c>
      <c r="O4">
        <v>-91.240605000000002</v>
      </c>
      <c r="P4" s="1">
        <v>110070828281</v>
      </c>
      <c r="Q4" s="1">
        <v>1320219127608</v>
      </c>
      <c r="R4" t="s">
        <v>1325</v>
      </c>
      <c r="S4" t="s">
        <v>1326</v>
      </c>
      <c r="T4" s="186" t="s">
        <v>1333</v>
      </c>
      <c r="U4" s="185" t="s">
        <v>1334</v>
      </c>
      <c r="V4">
        <v>0</v>
      </c>
      <c r="W4">
        <v>0</v>
      </c>
      <c r="X4">
        <v>0</v>
      </c>
      <c r="Y4">
        <f t="shared" si="0"/>
        <v>0</v>
      </c>
    </row>
    <row r="5" spans="1:25" x14ac:dyDescent="0.25">
      <c r="A5" t="s">
        <v>1170</v>
      </c>
      <c r="B5">
        <v>2021</v>
      </c>
      <c r="C5" t="s">
        <v>1329</v>
      </c>
      <c r="D5" t="s">
        <v>1330</v>
      </c>
      <c r="E5" t="s">
        <v>1331</v>
      </c>
      <c r="F5" t="s">
        <v>105</v>
      </c>
      <c r="G5" t="s">
        <v>1332</v>
      </c>
      <c r="H5" t="s">
        <v>106</v>
      </c>
      <c r="I5">
        <v>70764</v>
      </c>
      <c r="J5" s="175">
        <v>6</v>
      </c>
      <c r="K5">
        <v>325199</v>
      </c>
      <c r="L5" s="185" t="s">
        <v>1171</v>
      </c>
      <c r="N5">
        <v>30.313897000000001</v>
      </c>
      <c r="O5">
        <v>-91.240605000000002</v>
      </c>
      <c r="P5" s="1">
        <v>110070828281</v>
      </c>
      <c r="Q5" s="1">
        <v>1321220366621</v>
      </c>
      <c r="R5" t="s">
        <v>1325</v>
      </c>
      <c r="S5" t="s">
        <v>1326</v>
      </c>
      <c r="T5" s="186" t="s">
        <v>1333</v>
      </c>
      <c r="U5" s="185" t="s">
        <v>1334</v>
      </c>
      <c r="V5">
        <v>0</v>
      </c>
      <c r="W5">
        <v>0</v>
      </c>
      <c r="X5">
        <v>0</v>
      </c>
      <c r="Y5">
        <f t="shared" si="0"/>
        <v>0</v>
      </c>
    </row>
    <row r="6" spans="1:25" ht="45" x14ac:dyDescent="0.25">
      <c r="A6" t="s">
        <v>1170</v>
      </c>
      <c r="B6">
        <v>2022</v>
      </c>
      <c r="C6" t="s">
        <v>1329</v>
      </c>
      <c r="D6" t="s">
        <v>1330</v>
      </c>
      <c r="E6" t="s">
        <v>1331</v>
      </c>
      <c r="F6" t="s">
        <v>105</v>
      </c>
      <c r="G6" t="s">
        <v>1332</v>
      </c>
      <c r="H6" t="s">
        <v>106</v>
      </c>
      <c r="I6">
        <v>70764</v>
      </c>
      <c r="J6" s="175">
        <v>6</v>
      </c>
      <c r="K6">
        <v>325199</v>
      </c>
      <c r="L6" s="185" t="s">
        <v>1171</v>
      </c>
      <c r="N6">
        <v>30.313897000000001</v>
      </c>
      <c r="O6">
        <v>-91.240605000000002</v>
      </c>
      <c r="P6" s="1">
        <v>110070828281</v>
      </c>
      <c r="Q6" s="1">
        <v>1322221399785</v>
      </c>
      <c r="R6" t="s">
        <v>1325</v>
      </c>
      <c r="S6" t="s">
        <v>1326</v>
      </c>
      <c r="T6" s="186" t="s">
        <v>1333</v>
      </c>
      <c r="U6" s="185" t="s">
        <v>1335</v>
      </c>
      <c r="V6">
        <v>0</v>
      </c>
      <c r="W6">
        <v>0</v>
      </c>
      <c r="X6">
        <v>0</v>
      </c>
      <c r="Y6">
        <f t="shared" si="0"/>
        <v>0</v>
      </c>
    </row>
    <row r="7" spans="1:25" ht="45" x14ac:dyDescent="0.25">
      <c r="A7" t="s">
        <v>1170</v>
      </c>
      <c r="B7">
        <v>2023</v>
      </c>
      <c r="C7" t="s">
        <v>1329</v>
      </c>
      <c r="D7" t="s">
        <v>1330</v>
      </c>
      <c r="E7" t="s">
        <v>1331</v>
      </c>
      <c r="F7" t="s">
        <v>105</v>
      </c>
      <c r="G7" t="s">
        <v>1332</v>
      </c>
      <c r="H7" t="s">
        <v>106</v>
      </c>
      <c r="I7">
        <v>70764</v>
      </c>
      <c r="J7" s="175">
        <v>6</v>
      </c>
      <c r="K7">
        <v>325199</v>
      </c>
      <c r="L7" s="185" t="s">
        <v>1171</v>
      </c>
      <c r="N7">
        <v>30.313897000000001</v>
      </c>
      <c r="O7">
        <v>-91.240605000000002</v>
      </c>
      <c r="P7" s="1">
        <v>110070828281</v>
      </c>
      <c r="Q7" s="1">
        <v>1323222226983</v>
      </c>
      <c r="R7" t="s">
        <v>1325</v>
      </c>
      <c r="S7" t="s">
        <v>1326</v>
      </c>
      <c r="T7" s="186" t="s">
        <v>1333</v>
      </c>
      <c r="U7" s="185" t="s">
        <v>1335</v>
      </c>
      <c r="V7">
        <v>0</v>
      </c>
      <c r="W7">
        <v>0</v>
      </c>
      <c r="X7">
        <v>0</v>
      </c>
      <c r="Y7">
        <f t="shared" si="0"/>
        <v>0</v>
      </c>
    </row>
    <row r="8" spans="1:25" ht="30" x14ac:dyDescent="0.25">
      <c r="A8" t="s">
        <v>1170</v>
      </c>
      <c r="B8">
        <v>2019</v>
      </c>
      <c r="C8" t="s">
        <v>1336</v>
      </c>
      <c r="D8" t="s">
        <v>1337</v>
      </c>
      <c r="E8" t="s">
        <v>1338</v>
      </c>
      <c r="F8" t="s">
        <v>1339</v>
      </c>
      <c r="G8" t="s">
        <v>585</v>
      </c>
      <c r="H8" t="s">
        <v>138</v>
      </c>
      <c r="I8">
        <v>41129</v>
      </c>
      <c r="J8" s="175">
        <v>4</v>
      </c>
      <c r="K8">
        <v>325998</v>
      </c>
      <c r="L8" s="185" t="s">
        <v>1176</v>
      </c>
      <c r="N8">
        <v>38.337209999999999</v>
      </c>
      <c r="O8">
        <v>-82.589250000000007</v>
      </c>
      <c r="P8" s="1">
        <v>110008459578</v>
      </c>
      <c r="Q8" s="1">
        <v>1319217926450</v>
      </c>
      <c r="R8" t="s">
        <v>1325</v>
      </c>
      <c r="S8" t="s">
        <v>1326</v>
      </c>
      <c r="T8" s="186" t="s">
        <v>1340</v>
      </c>
      <c r="U8" s="185" t="s">
        <v>1341</v>
      </c>
      <c r="V8">
        <v>0</v>
      </c>
      <c r="W8">
        <v>0</v>
      </c>
      <c r="X8">
        <v>0</v>
      </c>
      <c r="Y8">
        <f t="shared" si="0"/>
        <v>0</v>
      </c>
    </row>
    <row r="9" spans="1:25" ht="30" x14ac:dyDescent="0.25">
      <c r="A9" t="s">
        <v>1170</v>
      </c>
      <c r="B9">
        <v>2020</v>
      </c>
      <c r="C9" t="s">
        <v>1336</v>
      </c>
      <c r="D9" t="s">
        <v>1337</v>
      </c>
      <c r="E9" t="s">
        <v>1338</v>
      </c>
      <c r="F9" t="s">
        <v>1339</v>
      </c>
      <c r="G9" t="s">
        <v>585</v>
      </c>
      <c r="H9" t="s">
        <v>138</v>
      </c>
      <c r="I9">
        <v>41129</v>
      </c>
      <c r="J9" s="175">
        <v>4</v>
      </c>
      <c r="K9">
        <v>325998</v>
      </c>
      <c r="L9" s="185" t="s">
        <v>1176</v>
      </c>
      <c r="N9">
        <v>38.337209999999999</v>
      </c>
      <c r="O9">
        <v>-82.589250000000007</v>
      </c>
      <c r="P9" s="1">
        <v>110008459578</v>
      </c>
      <c r="Q9" s="1">
        <v>1320219043256</v>
      </c>
      <c r="R9" t="s">
        <v>1325</v>
      </c>
      <c r="S9" t="s">
        <v>1326</v>
      </c>
      <c r="T9" s="186" t="s">
        <v>1340</v>
      </c>
      <c r="U9" s="185" t="s">
        <v>1341</v>
      </c>
      <c r="V9">
        <v>0</v>
      </c>
      <c r="W9">
        <v>0</v>
      </c>
      <c r="X9">
        <v>0</v>
      </c>
      <c r="Y9">
        <f t="shared" si="0"/>
        <v>0</v>
      </c>
    </row>
    <row r="10" spans="1:25" ht="30" x14ac:dyDescent="0.25">
      <c r="A10" t="s">
        <v>1170</v>
      </c>
      <c r="B10">
        <v>2021</v>
      </c>
      <c r="C10" t="s">
        <v>1336</v>
      </c>
      <c r="D10" t="s">
        <v>1337</v>
      </c>
      <c r="E10" t="s">
        <v>1338</v>
      </c>
      <c r="F10" t="s">
        <v>1339</v>
      </c>
      <c r="G10" t="s">
        <v>585</v>
      </c>
      <c r="H10" t="s">
        <v>138</v>
      </c>
      <c r="I10">
        <v>41129</v>
      </c>
      <c r="J10" s="175">
        <v>4</v>
      </c>
      <c r="K10">
        <v>325998</v>
      </c>
      <c r="L10" s="185" t="s">
        <v>1176</v>
      </c>
      <c r="N10">
        <v>38.337209999999999</v>
      </c>
      <c r="O10">
        <v>-82.589250000000007</v>
      </c>
      <c r="P10" s="1">
        <v>110008459578</v>
      </c>
      <c r="Q10" s="1">
        <v>1321219795438</v>
      </c>
      <c r="R10" t="s">
        <v>1325</v>
      </c>
      <c r="S10" t="s">
        <v>1326</v>
      </c>
      <c r="T10" s="186" t="s">
        <v>1342</v>
      </c>
      <c r="U10" s="185" t="s">
        <v>1341</v>
      </c>
      <c r="V10">
        <v>0</v>
      </c>
      <c r="W10">
        <v>0</v>
      </c>
      <c r="X10">
        <v>0</v>
      </c>
      <c r="Y10">
        <f t="shared" si="0"/>
        <v>0</v>
      </c>
    </row>
    <row r="11" spans="1:25" ht="30" x14ac:dyDescent="0.25">
      <c r="A11" t="s">
        <v>1170</v>
      </c>
      <c r="B11">
        <v>2022</v>
      </c>
      <c r="C11" t="s">
        <v>1336</v>
      </c>
      <c r="D11" t="s">
        <v>1337</v>
      </c>
      <c r="E11" t="s">
        <v>1338</v>
      </c>
      <c r="F11" t="s">
        <v>1339</v>
      </c>
      <c r="G11" t="s">
        <v>585</v>
      </c>
      <c r="H11" t="s">
        <v>138</v>
      </c>
      <c r="I11">
        <v>41129</v>
      </c>
      <c r="J11" s="175">
        <v>4</v>
      </c>
      <c r="K11">
        <v>325998</v>
      </c>
      <c r="L11" s="185" t="s">
        <v>1176</v>
      </c>
      <c r="N11">
        <v>38.337209999999999</v>
      </c>
      <c r="O11">
        <v>-82.589250000000007</v>
      </c>
      <c r="P11" s="1">
        <v>110008459578</v>
      </c>
      <c r="Q11" s="1">
        <v>1322221333572</v>
      </c>
      <c r="R11" t="s">
        <v>1325</v>
      </c>
      <c r="S11" t="s">
        <v>1326</v>
      </c>
      <c r="T11" s="94" t="s">
        <v>1340</v>
      </c>
      <c r="U11" s="185" t="s">
        <v>1341</v>
      </c>
      <c r="V11">
        <v>0</v>
      </c>
      <c r="W11">
        <v>0</v>
      </c>
      <c r="X11">
        <v>0</v>
      </c>
      <c r="Y11">
        <f t="shared" si="0"/>
        <v>0</v>
      </c>
    </row>
    <row r="12" spans="1:25" ht="30" x14ac:dyDescent="0.25">
      <c r="A12" t="s">
        <v>1170</v>
      </c>
      <c r="B12">
        <v>2023</v>
      </c>
      <c r="C12" t="s">
        <v>1336</v>
      </c>
      <c r="D12" t="s">
        <v>1337</v>
      </c>
      <c r="E12" t="s">
        <v>1338</v>
      </c>
      <c r="F12" t="s">
        <v>1339</v>
      </c>
      <c r="G12" t="s">
        <v>585</v>
      </c>
      <c r="H12" t="s">
        <v>138</v>
      </c>
      <c r="I12">
        <v>41129</v>
      </c>
      <c r="J12" s="175">
        <v>4</v>
      </c>
      <c r="K12">
        <v>325998</v>
      </c>
      <c r="L12" s="185" t="s">
        <v>1176</v>
      </c>
      <c r="N12">
        <v>38.337209999999999</v>
      </c>
      <c r="O12">
        <v>-82.589250000000007</v>
      </c>
      <c r="P12" s="1">
        <v>110008459578</v>
      </c>
      <c r="Q12" s="1">
        <v>1323222129999</v>
      </c>
      <c r="R12" t="s">
        <v>1325</v>
      </c>
      <c r="S12" t="s">
        <v>1326</v>
      </c>
      <c r="T12" s="186" t="s">
        <v>1342</v>
      </c>
      <c r="U12" s="185" t="s">
        <v>1341</v>
      </c>
      <c r="V12">
        <v>0</v>
      </c>
      <c r="W12">
        <v>0</v>
      </c>
      <c r="X12">
        <v>0</v>
      </c>
      <c r="Y12">
        <f t="shared" si="0"/>
        <v>0</v>
      </c>
    </row>
    <row r="13" spans="1:25" x14ac:dyDescent="0.25">
      <c r="A13" t="s">
        <v>1170</v>
      </c>
      <c r="B13">
        <v>2019</v>
      </c>
      <c r="C13" t="s">
        <v>1343</v>
      </c>
      <c r="D13" t="s">
        <v>1344</v>
      </c>
      <c r="E13" t="s">
        <v>1345</v>
      </c>
      <c r="F13" t="s">
        <v>372</v>
      </c>
      <c r="G13" t="s">
        <v>638</v>
      </c>
      <c r="H13" t="s">
        <v>114</v>
      </c>
      <c r="I13">
        <v>77571</v>
      </c>
      <c r="J13" s="175">
        <v>6</v>
      </c>
      <c r="K13">
        <v>562211</v>
      </c>
      <c r="L13" s="185" t="s">
        <v>1346</v>
      </c>
      <c r="N13">
        <v>29.73028</v>
      </c>
      <c r="O13">
        <v>-95.08981</v>
      </c>
      <c r="P13" s="1">
        <v>110000463365</v>
      </c>
      <c r="Q13" s="1">
        <v>1319218392672</v>
      </c>
      <c r="R13" t="s">
        <v>1325</v>
      </c>
      <c r="S13" t="s">
        <v>1326</v>
      </c>
      <c r="T13" s="186" t="s">
        <v>1342</v>
      </c>
      <c r="U13" s="185" t="s">
        <v>1347</v>
      </c>
      <c r="V13">
        <v>0</v>
      </c>
      <c r="W13">
        <v>0</v>
      </c>
      <c r="X13">
        <v>0</v>
      </c>
      <c r="Y13">
        <f t="shared" si="0"/>
        <v>0</v>
      </c>
    </row>
    <row r="14" spans="1:25" x14ac:dyDescent="0.25">
      <c r="A14" t="s">
        <v>1170</v>
      </c>
      <c r="B14">
        <v>2020</v>
      </c>
      <c r="C14" t="s">
        <v>1343</v>
      </c>
      <c r="D14" t="s">
        <v>1344</v>
      </c>
      <c r="E14" t="s">
        <v>1345</v>
      </c>
      <c r="F14" t="s">
        <v>372</v>
      </c>
      <c r="G14" t="s">
        <v>638</v>
      </c>
      <c r="H14" t="s">
        <v>114</v>
      </c>
      <c r="I14">
        <v>77571</v>
      </c>
      <c r="J14" s="175">
        <v>6</v>
      </c>
      <c r="K14">
        <v>562211</v>
      </c>
      <c r="L14" s="185" t="s">
        <v>1346</v>
      </c>
      <c r="N14">
        <v>29.73028</v>
      </c>
      <c r="O14">
        <v>-95.08981</v>
      </c>
      <c r="P14" s="1">
        <v>110000463365</v>
      </c>
      <c r="Q14" s="1">
        <v>1320219365259</v>
      </c>
      <c r="R14" t="s">
        <v>1325</v>
      </c>
      <c r="S14" t="s">
        <v>1326</v>
      </c>
      <c r="T14" s="186" t="s">
        <v>1340</v>
      </c>
      <c r="U14" s="185" t="s">
        <v>1347</v>
      </c>
      <c r="V14">
        <v>0</v>
      </c>
      <c r="W14">
        <v>0</v>
      </c>
      <c r="X14">
        <v>0</v>
      </c>
      <c r="Y14">
        <f t="shared" si="0"/>
        <v>0</v>
      </c>
    </row>
    <row r="15" spans="1:25" ht="30" x14ac:dyDescent="0.25">
      <c r="A15" t="s">
        <v>1170</v>
      </c>
      <c r="B15">
        <v>2021</v>
      </c>
      <c r="C15" t="s">
        <v>1343</v>
      </c>
      <c r="D15" t="s">
        <v>1344</v>
      </c>
      <c r="E15" t="s">
        <v>1345</v>
      </c>
      <c r="F15" t="s">
        <v>372</v>
      </c>
      <c r="G15" t="s">
        <v>638</v>
      </c>
      <c r="H15" t="s">
        <v>114</v>
      </c>
      <c r="I15">
        <v>77571</v>
      </c>
      <c r="J15" s="175">
        <v>6</v>
      </c>
      <c r="K15">
        <v>562211</v>
      </c>
      <c r="L15" s="185" t="s">
        <v>1346</v>
      </c>
      <c r="N15">
        <v>29.73028</v>
      </c>
      <c r="O15">
        <v>-95.08981</v>
      </c>
      <c r="P15" s="1">
        <v>110000463365</v>
      </c>
      <c r="Q15" s="1">
        <v>1321220581805</v>
      </c>
      <c r="R15" t="s">
        <v>1325</v>
      </c>
      <c r="S15" t="s">
        <v>1326</v>
      </c>
      <c r="T15" s="186" t="s">
        <v>1340</v>
      </c>
      <c r="U15" s="185" t="s">
        <v>1348</v>
      </c>
      <c r="V15">
        <v>0</v>
      </c>
      <c r="W15">
        <v>0</v>
      </c>
      <c r="X15">
        <v>0</v>
      </c>
      <c r="Y15">
        <f t="shared" si="0"/>
        <v>0</v>
      </c>
    </row>
    <row r="16" spans="1:25" x14ac:dyDescent="0.25">
      <c r="A16" t="s">
        <v>1170</v>
      </c>
      <c r="B16">
        <v>2022</v>
      </c>
      <c r="C16" t="s">
        <v>1343</v>
      </c>
      <c r="D16" t="s">
        <v>1344</v>
      </c>
      <c r="E16" t="s">
        <v>1345</v>
      </c>
      <c r="F16" t="s">
        <v>372</v>
      </c>
      <c r="G16" t="s">
        <v>638</v>
      </c>
      <c r="H16" t="s">
        <v>114</v>
      </c>
      <c r="I16">
        <v>77571</v>
      </c>
      <c r="J16" s="175">
        <v>6</v>
      </c>
      <c r="K16">
        <v>562211</v>
      </c>
      <c r="L16" s="185" t="s">
        <v>1346</v>
      </c>
      <c r="N16">
        <v>29.73028</v>
      </c>
      <c r="O16">
        <v>-95.08981</v>
      </c>
      <c r="P16" s="1">
        <v>110000463365</v>
      </c>
      <c r="Q16" s="1">
        <v>1322220933636</v>
      </c>
      <c r="R16" t="s">
        <v>1325</v>
      </c>
      <c r="S16" t="s">
        <v>1326</v>
      </c>
      <c r="T16" s="186" t="s">
        <v>1340</v>
      </c>
      <c r="U16" s="185" t="s">
        <v>1347</v>
      </c>
      <c r="V16">
        <v>0</v>
      </c>
      <c r="W16">
        <v>0</v>
      </c>
      <c r="X16">
        <v>0</v>
      </c>
      <c r="Y16">
        <f t="shared" si="0"/>
        <v>0</v>
      </c>
    </row>
    <row r="17" spans="1:25" x14ac:dyDescent="0.25">
      <c r="A17" t="s">
        <v>1170</v>
      </c>
      <c r="B17">
        <v>2023</v>
      </c>
      <c r="C17" t="s">
        <v>1343</v>
      </c>
      <c r="D17" t="s">
        <v>1344</v>
      </c>
      <c r="E17" t="s">
        <v>1345</v>
      </c>
      <c r="F17" t="s">
        <v>372</v>
      </c>
      <c r="G17" t="s">
        <v>638</v>
      </c>
      <c r="H17" t="s">
        <v>114</v>
      </c>
      <c r="I17">
        <v>77571</v>
      </c>
      <c r="J17" s="175">
        <v>6</v>
      </c>
      <c r="K17">
        <v>562211</v>
      </c>
      <c r="L17" s="185" t="s">
        <v>1346</v>
      </c>
      <c r="N17">
        <v>29.73028</v>
      </c>
      <c r="O17">
        <v>-95.08981</v>
      </c>
      <c r="P17" s="1">
        <v>110000463365</v>
      </c>
      <c r="Q17" s="1">
        <v>1323221966310</v>
      </c>
      <c r="R17" t="s">
        <v>1325</v>
      </c>
      <c r="S17" t="s">
        <v>1326</v>
      </c>
      <c r="T17" s="186" t="s">
        <v>1342</v>
      </c>
      <c r="U17" s="185" t="s">
        <v>1347</v>
      </c>
      <c r="V17">
        <v>0</v>
      </c>
      <c r="W17">
        <v>0</v>
      </c>
      <c r="X17">
        <v>0</v>
      </c>
      <c r="Y17">
        <f t="shared" si="0"/>
        <v>0</v>
      </c>
    </row>
    <row r="18" spans="1:25" ht="30" x14ac:dyDescent="0.25">
      <c r="A18" t="s">
        <v>1170</v>
      </c>
      <c r="B18">
        <v>2022</v>
      </c>
      <c r="C18" t="s">
        <v>1349</v>
      </c>
      <c r="D18" t="s">
        <v>1350</v>
      </c>
      <c r="E18" t="s">
        <v>1351</v>
      </c>
      <c r="F18" t="s">
        <v>728</v>
      </c>
      <c r="G18" t="s">
        <v>950</v>
      </c>
      <c r="H18" t="s">
        <v>205</v>
      </c>
      <c r="I18">
        <v>71730</v>
      </c>
      <c r="J18" s="175">
        <v>6</v>
      </c>
      <c r="K18">
        <v>562211</v>
      </c>
      <c r="L18" s="185" t="s">
        <v>1346</v>
      </c>
      <c r="N18">
        <v>33.2044</v>
      </c>
      <c r="O18">
        <v>-92.630799999999994</v>
      </c>
      <c r="P18" s="1">
        <v>110000521221</v>
      </c>
      <c r="Q18" s="1">
        <v>1322220924118</v>
      </c>
      <c r="R18" t="s">
        <v>1325</v>
      </c>
      <c r="S18" t="s">
        <v>1326</v>
      </c>
      <c r="T18" s="186" t="s">
        <v>1340</v>
      </c>
      <c r="U18" s="185" t="s">
        <v>1348</v>
      </c>
      <c r="V18">
        <v>0</v>
      </c>
      <c r="W18">
        <v>0</v>
      </c>
      <c r="X18">
        <v>0</v>
      </c>
      <c r="Y18">
        <f t="shared" si="0"/>
        <v>0</v>
      </c>
    </row>
    <row r="19" spans="1:25" x14ac:dyDescent="0.25">
      <c r="A19" t="s">
        <v>1170</v>
      </c>
      <c r="B19">
        <v>2019</v>
      </c>
      <c r="C19" t="s">
        <v>115</v>
      </c>
      <c r="D19" t="s">
        <v>112</v>
      </c>
      <c r="E19" t="s">
        <v>1169</v>
      </c>
      <c r="F19" t="s">
        <v>113</v>
      </c>
      <c r="G19" t="s">
        <v>888</v>
      </c>
      <c r="H19" t="s">
        <v>114</v>
      </c>
      <c r="I19">
        <v>775413257</v>
      </c>
      <c r="J19" s="175">
        <v>6</v>
      </c>
      <c r="K19">
        <v>486990</v>
      </c>
      <c r="L19" s="185" t="s">
        <v>1352</v>
      </c>
      <c r="N19">
        <v>28.980146999999999</v>
      </c>
      <c r="O19">
        <v>-95.342271999999994</v>
      </c>
      <c r="P19" s="1">
        <v>110008170237</v>
      </c>
      <c r="Q19" s="1">
        <v>1319218250049</v>
      </c>
      <c r="R19" t="s">
        <v>1325</v>
      </c>
      <c r="S19" t="s">
        <v>1326</v>
      </c>
      <c r="T19" s="186" t="s">
        <v>1353</v>
      </c>
      <c r="U19" s="185" t="s">
        <v>1341</v>
      </c>
      <c r="V19">
        <v>0</v>
      </c>
      <c r="W19">
        <v>0</v>
      </c>
      <c r="X19">
        <v>0</v>
      </c>
      <c r="Y19">
        <f t="shared" si="0"/>
        <v>0</v>
      </c>
    </row>
    <row r="20" spans="1:25" ht="75" x14ac:dyDescent="0.25">
      <c r="A20" t="s">
        <v>1170</v>
      </c>
      <c r="B20">
        <v>2019</v>
      </c>
      <c r="C20" t="s">
        <v>115</v>
      </c>
      <c r="D20" t="s">
        <v>112</v>
      </c>
      <c r="E20" t="s">
        <v>1169</v>
      </c>
      <c r="F20" t="s">
        <v>113</v>
      </c>
      <c r="G20" t="s">
        <v>888</v>
      </c>
      <c r="H20" t="s">
        <v>114</v>
      </c>
      <c r="I20">
        <v>775413257</v>
      </c>
      <c r="J20" s="175">
        <v>6</v>
      </c>
      <c r="K20">
        <v>325199</v>
      </c>
      <c r="L20" s="185" t="s">
        <v>1171</v>
      </c>
      <c r="N20">
        <v>28.980146999999999</v>
      </c>
      <c r="O20">
        <v>-95.342271999999994</v>
      </c>
      <c r="P20" s="1">
        <v>110008170237</v>
      </c>
      <c r="Q20" s="1">
        <v>1319218250987</v>
      </c>
      <c r="R20" t="s">
        <v>1325</v>
      </c>
      <c r="S20" t="s">
        <v>1326</v>
      </c>
      <c r="T20" s="186" t="s">
        <v>1354</v>
      </c>
      <c r="U20" s="185" t="s">
        <v>1355</v>
      </c>
      <c r="V20">
        <v>115</v>
      </c>
      <c r="W20">
        <v>0</v>
      </c>
      <c r="X20">
        <v>0</v>
      </c>
      <c r="Y20">
        <f t="shared" si="0"/>
        <v>115</v>
      </c>
    </row>
    <row r="21" spans="1:25" x14ac:dyDescent="0.25">
      <c r="A21" t="s">
        <v>1170</v>
      </c>
      <c r="B21">
        <v>2020</v>
      </c>
      <c r="C21" t="s">
        <v>115</v>
      </c>
      <c r="D21" t="s">
        <v>112</v>
      </c>
      <c r="E21" t="s">
        <v>1169</v>
      </c>
      <c r="F21" t="s">
        <v>113</v>
      </c>
      <c r="G21" t="s">
        <v>888</v>
      </c>
      <c r="H21" t="s">
        <v>114</v>
      </c>
      <c r="I21">
        <v>775413257</v>
      </c>
      <c r="J21" s="175">
        <v>6</v>
      </c>
      <c r="K21">
        <v>486990</v>
      </c>
      <c r="L21" s="185" t="s">
        <v>1352</v>
      </c>
      <c r="N21">
        <v>28.980146999999999</v>
      </c>
      <c r="O21">
        <v>-95.342271999999994</v>
      </c>
      <c r="P21" s="1">
        <v>110008170237</v>
      </c>
      <c r="Q21" s="1">
        <v>1320219311887</v>
      </c>
      <c r="R21" t="s">
        <v>1325</v>
      </c>
      <c r="S21" t="s">
        <v>1326</v>
      </c>
      <c r="T21" s="186" t="s">
        <v>1353</v>
      </c>
      <c r="U21" s="185" t="s">
        <v>1341</v>
      </c>
      <c r="V21">
        <v>0</v>
      </c>
      <c r="W21">
        <v>0</v>
      </c>
      <c r="X21">
        <v>0</v>
      </c>
      <c r="Y21">
        <f t="shared" si="0"/>
        <v>0</v>
      </c>
    </row>
    <row r="22" spans="1:25" ht="75" x14ac:dyDescent="0.25">
      <c r="A22" t="s">
        <v>1170</v>
      </c>
      <c r="B22">
        <v>2020</v>
      </c>
      <c r="C22" t="s">
        <v>115</v>
      </c>
      <c r="D22" t="s">
        <v>112</v>
      </c>
      <c r="E22" t="s">
        <v>1169</v>
      </c>
      <c r="F22" t="s">
        <v>113</v>
      </c>
      <c r="G22" t="s">
        <v>888</v>
      </c>
      <c r="H22" t="s">
        <v>114</v>
      </c>
      <c r="I22">
        <v>775413257</v>
      </c>
      <c r="J22" s="175">
        <v>6</v>
      </c>
      <c r="K22">
        <v>325199</v>
      </c>
      <c r="L22" s="185" t="s">
        <v>1171</v>
      </c>
      <c r="N22">
        <v>28.980146999999999</v>
      </c>
      <c r="O22">
        <v>-95.342271999999994</v>
      </c>
      <c r="P22" s="1">
        <v>110008170237</v>
      </c>
      <c r="Q22" s="1">
        <v>1320220606483</v>
      </c>
      <c r="R22" t="s">
        <v>1325</v>
      </c>
      <c r="S22" t="s">
        <v>1326</v>
      </c>
      <c r="T22" s="186" t="s">
        <v>1354</v>
      </c>
      <c r="U22" s="185" t="s">
        <v>1355</v>
      </c>
      <c r="V22">
        <v>97</v>
      </c>
      <c r="W22">
        <v>0</v>
      </c>
      <c r="X22">
        <v>0</v>
      </c>
      <c r="Y22">
        <f t="shared" si="0"/>
        <v>97</v>
      </c>
    </row>
    <row r="23" spans="1:25" x14ac:dyDescent="0.25">
      <c r="A23" t="s">
        <v>1170</v>
      </c>
      <c r="B23">
        <v>2021</v>
      </c>
      <c r="C23" t="s">
        <v>115</v>
      </c>
      <c r="D23" t="s">
        <v>112</v>
      </c>
      <c r="E23" t="s">
        <v>1169</v>
      </c>
      <c r="F23" t="s">
        <v>113</v>
      </c>
      <c r="G23" t="s">
        <v>888</v>
      </c>
      <c r="H23" t="s">
        <v>114</v>
      </c>
      <c r="I23">
        <v>775413257</v>
      </c>
      <c r="J23" s="175">
        <v>6</v>
      </c>
      <c r="K23">
        <v>325199</v>
      </c>
      <c r="L23" s="185" t="s">
        <v>1171</v>
      </c>
      <c r="N23">
        <v>28.980146999999999</v>
      </c>
      <c r="O23">
        <v>-95.342271999999994</v>
      </c>
      <c r="P23" s="1">
        <v>110008170237</v>
      </c>
      <c r="Q23" s="1">
        <v>1321220216143</v>
      </c>
      <c r="R23" t="s">
        <v>1325</v>
      </c>
      <c r="S23" t="s">
        <v>1326</v>
      </c>
      <c r="T23" s="186" t="s">
        <v>1353</v>
      </c>
      <c r="U23" s="185" t="s">
        <v>1341</v>
      </c>
      <c r="V23">
        <v>0</v>
      </c>
      <c r="W23">
        <v>0</v>
      </c>
      <c r="X23">
        <v>0</v>
      </c>
      <c r="Y23">
        <f t="shared" si="0"/>
        <v>0</v>
      </c>
    </row>
    <row r="24" spans="1:25" ht="60" x14ac:dyDescent="0.25">
      <c r="A24" t="s">
        <v>1170</v>
      </c>
      <c r="B24">
        <v>2021</v>
      </c>
      <c r="C24" t="s">
        <v>115</v>
      </c>
      <c r="D24" t="s">
        <v>112</v>
      </c>
      <c r="E24" t="s">
        <v>1169</v>
      </c>
      <c r="F24" t="s">
        <v>113</v>
      </c>
      <c r="G24" t="s">
        <v>888</v>
      </c>
      <c r="H24" t="s">
        <v>114</v>
      </c>
      <c r="I24">
        <v>775413257</v>
      </c>
      <c r="J24" s="175">
        <v>6</v>
      </c>
      <c r="K24">
        <v>325199</v>
      </c>
      <c r="L24" s="185" t="s">
        <v>1171</v>
      </c>
      <c r="N24">
        <v>28.980146999999999</v>
      </c>
      <c r="O24">
        <v>-95.342271999999994</v>
      </c>
      <c r="P24" s="1">
        <v>110008170237</v>
      </c>
      <c r="Q24" s="1">
        <v>1321220569065</v>
      </c>
      <c r="R24" t="s">
        <v>1325</v>
      </c>
      <c r="S24" t="s">
        <v>1326</v>
      </c>
      <c r="T24" s="186" t="s">
        <v>1354</v>
      </c>
      <c r="U24" s="185" t="s">
        <v>1356</v>
      </c>
      <c r="V24">
        <v>218</v>
      </c>
      <c r="W24">
        <v>0</v>
      </c>
      <c r="X24">
        <v>0</v>
      </c>
      <c r="Y24">
        <f t="shared" si="0"/>
        <v>218</v>
      </c>
    </row>
    <row r="25" spans="1:25" x14ac:dyDescent="0.25">
      <c r="A25" t="s">
        <v>1170</v>
      </c>
      <c r="B25">
        <v>2022</v>
      </c>
      <c r="C25" t="s">
        <v>115</v>
      </c>
      <c r="D25" t="s">
        <v>112</v>
      </c>
      <c r="E25" t="s">
        <v>1169</v>
      </c>
      <c r="F25" t="s">
        <v>113</v>
      </c>
      <c r="G25" t="s">
        <v>888</v>
      </c>
      <c r="H25" t="s">
        <v>114</v>
      </c>
      <c r="I25">
        <v>775413257</v>
      </c>
      <c r="J25" s="175">
        <v>6</v>
      </c>
      <c r="K25">
        <v>325199</v>
      </c>
      <c r="L25" s="185" t="s">
        <v>1171</v>
      </c>
      <c r="N25">
        <v>28.980146999999999</v>
      </c>
      <c r="O25">
        <v>-95.342271999999994</v>
      </c>
      <c r="P25" s="1">
        <v>110008170237</v>
      </c>
      <c r="Q25" s="1">
        <v>1322221237668</v>
      </c>
      <c r="R25" t="s">
        <v>1325</v>
      </c>
      <c r="S25" t="s">
        <v>1326</v>
      </c>
      <c r="T25" s="186" t="s">
        <v>1353</v>
      </c>
      <c r="U25" s="185" t="s">
        <v>1341</v>
      </c>
      <c r="V25">
        <v>0</v>
      </c>
      <c r="W25">
        <v>0</v>
      </c>
      <c r="X25">
        <v>0</v>
      </c>
      <c r="Y25">
        <f t="shared" si="0"/>
        <v>0</v>
      </c>
    </row>
    <row r="26" spans="1:25" ht="60" x14ac:dyDescent="0.25">
      <c r="A26" t="s">
        <v>1170</v>
      </c>
      <c r="B26">
        <v>2022</v>
      </c>
      <c r="C26" t="s">
        <v>115</v>
      </c>
      <c r="D26" t="s">
        <v>112</v>
      </c>
      <c r="E26" t="s">
        <v>1169</v>
      </c>
      <c r="F26" t="s">
        <v>113</v>
      </c>
      <c r="G26" t="s">
        <v>888</v>
      </c>
      <c r="H26" t="s">
        <v>114</v>
      </c>
      <c r="I26">
        <v>775413257</v>
      </c>
      <c r="J26" s="175">
        <v>6</v>
      </c>
      <c r="K26">
        <v>325199</v>
      </c>
      <c r="L26" s="185" t="s">
        <v>1171</v>
      </c>
      <c r="N26">
        <v>28.980146999999999</v>
      </c>
      <c r="O26">
        <v>-95.342271999999994</v>
      </c>
      <c r="P26" s="1">
        <v>110008170237</v>
      </c>
      <c r="Q26" s="1">
        <v>1322221240346</v>
      </c>
      <c r="R26" t="s">
        <v>1325</v>
      </c>
      <c r="S26" t="s">
        <v>1326</v>
      </c>
      <c r="T26" s="186" t="s">
        <v>1354</v>
      </c>
      <c r="U26" s="185" t="s">
        <v>1356</v>
      </c>
      <c r="V26">
        <v>188</v>
      </c>
      <c r="W26">
        <v>0</v>
      </c>
      <c r="X26">
        <v>0</v>
      </c>
      <c r="Y26">
        <f t="shared" si="0"/>
        <v>188</v>
      </c>
    </row>
    <row r="27" spans="1:25" x14ac:dyDescent="0.25">
      <c r="A27" t="s">
        <v>1170</v>
      </c>
      <c r="B27">
        <v>2023</v>
      </c>
      <c r="C27" t="s">
        <v>115</v>
      </c>
      <c r="D27" t="s">
        <v>112</v>
      </c>
      <c r="E27" t="s">
        <v>1169</v>
      </c>
      <c r="F27" t="s">
        <v>113</v>
      </c>
      <c r="G27" t="s">
        <v>888</v>
      </c>
      <c r="H27" t="s">
        <v>114</v>
      </c>
      <c r="I27">
        <v>775413257</v>
      </c>
      <c r="J27" s="175">
        <v>6</v>
      </c>
      <c r="K27">
        <v>325199</v>
      </c>
      <c r="L27" s="185" t="s">
        <v>1171</v>
      </c>
      <c r="N27">
        <v>28.980146999999999</v>
      </c>
      <c r="O27">
        <v>-95.342271999999994</v>
      </c>
      <c r="P27" s="1">
        <v>110008170237</v>
      </c>
      <c r="Q27" s="1">
        <v>1323222252518</v>
      </c>
      <c r="R27" t="s">
        <v>1325</v>
      </c>
      <c r="S27" t="s">
        <v>1326</v>
      </c>
      <c r="T27" s="186" t="s">
        <v>1353</v>
      </c>
      <c r="U27" s="185" t="s">
        <v>1341</v>
      </c>
      <c r="V27">
        <v>0</v>
      </c>
      <c r="W27">
        <v>0</v>
      </c>
      <c r="X27">
        <v>0</v>
      </c>
      <c r="Y27">
        <f t="shared" si="0"/>
        <v>0</v>
      </c>
    </row>
    <row r="28" spans="1:25" ht="60" x14ac:dyDescent="0.25">
      <c r="A28" t="s">
        <v>1170</v>
      </c>
      <c r="B28">
        <v>2023</v>
      </c>
      <c r="C28" t="s">
        <v>115</v>
      </c>
      <c r="D28" t="s">
        <v>112</v>
      </c>
      <c r="E28" t="s">
        <v>1169</v>
      </c>
      <c r="F28" t="s">
        <v>113</v>
      </c>
      <c r="G28" t="s">
        <v>888</v>
      </c>
      <c r="H28" t="s">
        <v>114</v>
      </c>
      <c r="I28">
        <v>775413257</v>
      </c>
      <c r="J28" s="175">
        <v>6</v>
      </c>
      <c r="K28">
        <v>325199</v>
      </c>
      <c r="L28" s="185" t="s">
        <v>1171</v>
      </c>
      <c r="N28">
        <v>28.980146999999999</v>
      </c>
      <c r="O28">
        <v>-95.342271999999994</v>
      </c>
      <c r="P28" s="1">
        <v>110008170237</v>
      </c>
      <c r="Q28" s="1">
        <v>1323222253522</v>
      </c>
      <c r="R28" t="s">
        <v>1325</v>
      </c>
      <c r="S28" t="s">
        <v>1326</v>
      </c>
      <c r="T28" s="186" t="s">
        <v>1354</v>
      </c>
      <c r="U28" s="185" t="s">
        <v>1356</v>
      </c>
      <c r="V28">
        <v>0</v>
      </c>
      <c r="W28">
        <v>0</v>
      </c>
      <c r="X28">
        <v>0</v>
      </c>
      <c r="Y28">
        <f t="shared" si="0"/>
        <v>0</v>
      </c>
    </row>
    <row r="29" spans="1:25" ht="45" x14ac:dyDescent="0.25">
      <c r="A29" t="s">
        <v>1170</v>
      </c>
      <c r="B29">
        <v>2019</v>
      </c>
      <c r="C29" t="s">
        <v>121</v>
      </c>
      <c r="D29" t="s">
        <v>120</v>
      </c>
      <c r="E29" t="s">
        <v>1169</v>
      </c>
      <c r="F29" t="s">
        <v>113</v>
      </c>
      <c r="G29" t="s">
        <v>888</v>
      </c>
      <c r="H29" t="s">
        <v>114</v>
      </c>
      <c r="I29">
        <v>77541</v>
      </c>
      <c r="J29" s="175">
        <v>6</v>
      </c>
      <c r="K29">
        <v>325199</v>
      </c>
      <c r="L29" s="185" t="s">
        <v>1171</v>
      </c>
      <c r="N29">
        <v>28.969389</v>
      </c>
      <c r="O29">
        <v>-95.379527999999993</v>
      </c>
      <c r="P29" s="1">
        <v>110066943605</v>
      </c>
      <c r="Q29" s="1">
        <v>1319218302418</v>
      </c>
      <c r="R29" t="s">
        <v>1325</v>
      </c>
      <c r="S29" t="s">
        <v>1326</v>
      </c>
      <c r="T29" s="186" t="s">
        <v>1354</v>
      </c>
      <c r="U29" s="185" t="s">
        <v>1357</v>
      </c>
      <c r="V29">
        <v>0</v>
      </c>
      <c r="W29">
        <v>0</v>
      </c>
      <c r="X29">
        <v>1076</v>
      </c>
      <c r="Y29">
        <f t="shared" si="0"/>
        <v>1076</v>
      </c>
    </row>
    <row r="30" spans="1:25" ht="60" x14ac:dyDescent="0.25">
      <c r="A30" t="s">
        <v>1170</v>
      </c>
      <c r="B30">
        <v>2020</v>
      </c>
      <c r="C30" t="s">
        <v>121</v>
      </c>
      <c r="D30" t="s">
        <v>120</v>
      </c>
      <c r="E30" t="s">
        <v>1169</v>
      </c>
      <c r="F30" t="s">
        <v>113</v>
      </c>
      <c r="G30" t="s">
        <v>888</v>
      </c>
      <c r="H30" t="s">
        <v>114</v>
      </c>
      <c r="I30">
        <v>77541</v>
      </c>
      <c r="J30" s="175">
        <v>6</v>
      </c>
      <c r="K30">
        <v>325180</v>
      </c>
      <c r="L30" s="185" t="s">
        <v>1173</v>
      </c>
      <c r="N30">
        <v>28.969389</v>
      </c>
      <c r="O30">
        <v>-95.379527999999993</v>
      </c>
      <c r="P30" s="1">
        <v>110066943605</v>
      </c>
      <c r="Q30" s="1">
        <v>1320220597645</v>
      </c>
      <c r="R30" t="s">
        <v>1325</v>
      </c>
      <c r="S30" t="s">
        <v>1326</v>
      </c>
      <c r="T30" s="186" t="s">
        <v>1354</v>
      </c>
      <c r="U30" s="185" t="s">
        <v>1358</v>
      </c>
      <c r="V30">
        <v>0</v>
      </c>
      <c r="W30">
        <v>0</v>
      </c>
      <c r="X30">
        <v>7288</v>
      </c>
      <c r="Y30">
        <f t="shared" si="0"/>
        <v>7288</v>
      </c>
    </row>
    <row r="31" spans="1:25" ht="45" x14ac:dyDescent="0.25">
      <c r="A31" t="s">
        <v>1170</v>
      </c>
      <c r="B31">
        <v>2021</v>
      </c>
      <c r="C31" t="s">
        <v>121</v>
      </c>
      <c r="D31" t="s">
        <v>120</v>
      </c>
      <c r="E31" t="s">
        <v>1169</v>
      </c>
      <c r="F31" t="s">
        <v>113</v>
      </c>
      <c r="G31" t="s">
        <v>888</v>
      </c>
      <c r="H31" t="s">
        <v>114</v>
      </c>
      <c r="I31">
        <v>77541</v>
      </c>
      <c r="J31" s="175">
        <v>6</v>
      </c>
      <c r="K31">
        <v>325199</v>
      </c>
      <c r="L31" s="185" t="s">
        <v>1171</v>
      </c>
      <c r="N31">
        <v>28.969389</v>
      </c>
      <c r="O31">
        <v>-95.379527999999993</v>
      </c>
      <c r="P31" s="1">
        <v>110066943605</v>
      </c>
      <c r="Q31" s="1">
        <v>1321220196048</v>
      </c>
      <c r="R31" t="s">
        <v>1325</v>
      </c>
      <c r="S31" t="s">
        <v>1326</v>
      </c>
      <c r="T31" s="186" t="s">
        <v>1354</v>
      </c>
      <c r="U31" s="185" t="s">
        <v>1359</v>
      </c>
      <c r="V31">
        <v>0</v>
      </c>
      <c r="W31">
        <v>0</v>
      </c>
      <c r="X31">
        <v>1263</v>
      </c>
      <c r="Y31">
        <f t="shared" si="0"/>
        <v>1263</v>
      </c>
    </row>
    <row r="32" spans="1:25" ht="60" x14ac:dyDescent="0.25">
      <c r="A32" t="s">
        <v>1170</v>
      </c>
      <c r="B32">
        <v>2022</v>
      </c>
      <c r="C32" t="s">
        <v>121</v>
      </c>
      <c r="D32" t="s">
        <v>120</v>
      </c>
      <c r="E32" t="s">
        <v>1169</v>
      </c>
      <c r="F32" t="s">
        <v>113</v>
      </c>
      <c r="G32" t="s">
        <v>888</v>
      </c>
      <c r="H32" t="s">
        <v>114</v>
      </c>
      <c r="I32">
        <v>77541</v>
      </c>
      <c r="J32" s="175">
        <v>6</v>
      </c>
      <c r="K32">
        <v>325199</v>
      </c>
      <c r="L32" s="185" t="s">
        <v>1171</v>
      </c>
      <c r="N32">
        <v>28.969389</v>
      </c>
      <c r="O32">
        <v>-95.379527999999993</v>
      </c>
      <c r="P32" s="1">
        <v>110066943605</v>
      </c>
      <c r="Q32" s="1">
        <v>1322221487681</v>
      </c>
      <c r="R32" t="s">
        <v>1325</v>
      </c>
      <c r="S32" t="s">
        <v>1326</v>
      </c>
      <c r="T32" s="186" t="s">
        <v>1354</v>
      </c>
      <c r="U32" s="185" t="s">
        <v>1360</v>
      </c>
      <c r="V32">
        <v>0</v>
      </c>
      <c r="W32">
        <v>0</v>
      </c>
      <c r="X32">
        <v>4156</v>
      </c>
      <c r="Y32">
        <f t="shared" si="0"/>
        <v>4156</v>
      </c>
    </row>
    <row r="33" spans="1:25" ht="60" x14ac:dyDescent="0.25">
      <c r="A33" t="s">
        <v>1170</v>
      </c>
      <c r="B33">
        <v>2023</v>
      </c>
      <c r="C33" t="s">
        <v>121</v>
      </c>
      <c r="D33" t="s">
        <v>120</v>
      </c>
      <c r="E33" t="s">
        <v>1169</v>
      </c>
      <c r="F33" t="s">
        <v>113</v>
      </c>
      <c r="G33" t="s">
        <v>888</v>
      </c>
      <c r="H33" t="s">
        <v>114</v>
      </c>
      <c r="I33">
        <v>77541</v>
      </c>
      <c r="J33" s="175">
        <v>6</v>
      </c>
      <c r="K33">
        <v>325199</v>
      </c>
      <c r="L33" s="185" t="s">
        <v>1171</v>
      </c>
      <c r="N33">
        <v>28.969389</v>
      </c>
      <c r="O33">
        <v>-95.379527999999993</v>
      </c>
      <c r="P33" s="1">
        <v>110066943605</v>
      </c>
      <c r="Q33" s="1">
        <v>1323221997760</v>
      </c>
      <c r="R33" t="s">
        <v>1325</v>
      </c>
      <c r="S33" t="s">
        <v>1326</v>
      </c>
      <c r="T33" s="186" t="s">
        <v>1354</v>
      </c>
      <c r="U33" s="185" t="s">
        <v>1360</v>
      </c>
      <c r="V33">
        <v>0</v>
      </c>
      <c r="W33">
        <v>0</v>
      </c>
      <c r="X33">
        <v>2479</v>
      </c>
      <c r="Y33">
        <f t="shared" si="0"/>
        <v>2479</v>
      </c>
    </row>
    <row r="34" spans="1:25" x14ac:dyDescent="0.25">
      <c r="A34" t="s">
        <v>1170</v>
      </c>
      <c r="B34">
        <v>2019</v>
      </c>
      <c r="C34" t="s">
        <v>1361</v>
      </c>
      <c r="D34" t="s">
        <v>1362</v>
      </c>
      <c r="E34" t="s">
        <v>1363</v>
      </c>
      <c r="F34" t="s">
        <v>1364</v>
      </c>
      <c r="G34" t="s">
        <v>1365</v>
      </c>
      <c r="H34" t="s">
        <v>501</v>
      </c>
      <c r="I34">
        <v>43920</v>
      </c>
      <c r="J34" s="175">
        <v>5</v>
      </c>
      <c r="K34">
        <v>562213</v>
      </c>
      <c r="L34" s="185" t="s">
        <v>1366</v>
      </c>
      <c r="N34">
        <v>40.631622</v>
      </c>
      <c r="O34">
        <v>-80.546319999999994</v>
      </c>
      <c r="P34" s="1">
        <v>110027242320</v>
      </c>
      <c r="Q34" s="1">
        <v>1319217973890</v>
      </c>
      <c r="R34" t="s">
        <v>1325</v>
      </c>
      <c r="S34" t="s">
        <v>1326</v>
      </c>
      <c r="T34" s="186" t="s">
        <v>1327</v>
      </c>
      <c r="U34" s="185" t="s">
        <v>1347</v>
      </c>
      <c r="V34">
        <v>0</v>
      </c>
      <c r="W34">
        <v>0</v>
      </c>
      <c r="X34">
        <v>0</v>
      </c>
      <c r="Y34">
        <f t="shared" ref="Y34:Y62" si="1">SUM(V34+W34+X34)</f>
        <v>0</v>
      </c>
    </row>
    <row r="35" spans="1:25" x14ac:dyDescent="0.25">
      <c r="A35" t="s">
        <v>1170</v>
      </c>
      <c r="B35">
        <v>2020</v>
      </c>
      <c r="C35" t="s">
        <v>1361</v>
      </c>
      <c r="D35" t="s">
        <v>1362</v>
      </c>
      <c r="E35" t="s">
        <v>1363</v>
      </c>
      <c r="F35" t="s">
        <v>1364</v>
      </c>
      <c r="G35" t="s">
        <v>1365</v>
      </c>
      <c r="H35" t="s">
        <v>501</v>
      </c>
      <c r="I35">
        <v>43920</v>
      </c>
      <c r="J35" s="175">
        <v>5</v>
      </c>
      <c r="K35">
        <v>562213</v>
      </c>
      <c r="L35" s="185" t="s">
        <v>1366</v>
      </c>
      <c r="N35">
        <v>40.631622</v>
      </c>
      <c r="O35">
        <v>-80.546319999999994</v>
      </c>
      <c r="P35" s="1">
        <v>110027242320</v>
      </c>
      <c r="Q35" s="1">
        <v>1320218993703</v>
      </c>
      <c r="R35" t="s">
        <v>1325</v>
      </c>
      <c r="S35" t="s">
        <v>1326</v>
      </c>
      <c r="T35" s="186" t="s">
        <v>1327</v>
      </c>
      <c r="U35" s="185" t="s">
        <v>1347</v>
      </c>
      <c r="V35">
        <v>0</v>
      </c>
      <c r="W35">
        <v>0</v>
      </c>
      <c r="X35">
        <v>0</v>
      </c>
      <c r="Y35">
        <f t="shared" si="1"/>
        <v>0</v>
      </c>
    </row>
    <row r="36" spans="1:25" x14ac:dyDescent="0.25">
      <c r="A36" t="s">
        <v>1170</v>
      </c>
      <c r="B36">
        <v>2021</v>
      </c>
      <c r="C36" t="s">
        <v>1361</v>
      </c>
      <c r="D36" t="s">
        <v>1362</v>
      </c>
      <c r="E36" t="s">
        <v>1363</v>
      </c>
      <c r="F36" t="s">
        <v>1364</v>
      </c>
      <c r="G36" t="s">
        <v>1365</v>
      </c>
      <c r="H36" t="s">
        <v>501</v>
      </c>
      <c r="I36">
        <v>43920</v>
      </c>
      <c r="J36" s="175">
        <v>5</v>
      </c>
      <c r="K36">
        <v>562213</v>
      </c>
      <c r="L36" s="185" t="s">
        <v>1366</v>
      </c>
      <c r="N36">
        <v>40.631622</v>
      </c>
      <c r="O36">
        <v>-80.546319999999994</v>
      </c>
      <c r="P36" s="1">
        <v>110027242320</v>
      </c>
      <c r="Q36" s="1">
        <v>1321220571386</v>
      </c>
      <c r="R36" t="s">
        <v>1325</v>
      </c>
      <c r="S36" t="s">
        <v>1326</v>
      </c>
      <c r="T36" s="186" t="s">
        <v>1327</v>
      </c>
      <c r="U36" s="185" t="s">
        <v>1347</v>
      </c>
      <c r="V36">
        <v>0</v>
      </c>
      <c r="W36">
        <v>0</v>
      </c>
      <c r="X36">
        <v>0</v>
      </c>
      <c r="Y36">
        <f t="shared" si="1"/>
        <v>0</v>
      </c>
    </row>
    <row r="37" spans="1:25" x14ac:dyDescent="0.25">
      <c r="A37" t="s">
        <v>1170</v>
      </c>
      <c r="B37">
        <v>2022</v>
      </c>
      <c r="C37" t="s">
        <v>1361</v>
      </c>
      <c r="D37" t="s">
        <v>1362</v>
      </c>
      <c r="E37" t="s">
        <v>1363</v>
      </c>
      <c r="F37" t="s">
        <v>1364</v>
      </c>
      <c r="G37" t="s">
        <v>1365</v>
      </c>
      <c r="H37" t="s">
        <v>501</v>
      </c>
      <c r="I37">
        <v>43920</v>
      </c>
      <c r="J37" s="175">
        <v>5</v>
      </c>
      <c r="K37">
        <v>562213</v>
      </c>
      <c r="L37" s="185" t="s">
        <v>1366</v>
      </c>
      <c r="N37">
        <v>40.631622</v>
      </c>
      <c r="O37">
        <v>-80.546319999999994</v>
      </c>
      <c r="P37" s="1">
        <v>110027242320</v>
      </c>
      <c r="Q37" s="1">
        <v>1322221438245</v>
      </c>
      <c r="R37" t="s">
        <v>1325</v>
      </c>
      <c r="S37" t="s">
        <v>1326</v>
      </c>
      <c r="T37" s="186" t="s">
        <v>1327</v>
      </c>
      <c r="U37" s="185" t="s">
        <v>1347</v>
      </c>
      <c r="V37">
        <v>0</v>
      </c>
      <c r="W37">
        <v>0</v>
      </c>
      <c r="X37">
        <v>0</v>
      </c>
      <c r="Y37">
        <f t="shared" si="1"/>
        <v>0</v>
      </c>
    </row>
    <row r="38" spans="1:25" x14ac:dyDescent="0.25">
      <c r="A38" t="s">
        <v>1170</v>
      </c>
      <c r="B38">
        <v>2023</v>
      </c>
      <c r="C38" t="s">
        <v>1361</v>
      </c>
      <c r="D38" t="s">
        <v>1362</v>
      </c>
      <c r="E38" t="s">
        <v>1363</v>
      </c>
      <c r="F38" t="s">
        <v>1364</v>
      </c>
      <c r="G38" t="s">
        <v>1365</v>
      </c>
      <c r="H38" t="s">
        <v>501</v>
      </c>
      <c r="I38">
        <v>43920</v>
      </c>
      <c r="J38" s="175">
        <v>5</v>
      </c>
      <c r="K38">
        <v>562213</v>
      </c>
      <c r="L38" s="185" t="s">
        <v>1366</v>
      </c>
      <c r="N38">
        <v>40.631622</v>
      </c>
      <c r="O38">
        <v>-80.546319999999994</v>
      </c>
      <c r="P38" s="1">
        <v>110027242320</v>
      </c>
      <c r="Q38" s="1">
        <v>1323221750932</v>
      </c>
      <c r="R38" t="s">
        <v>1325</v>
      </c>
      <c r="S38" t="s">
        <v>1326</v>
      </c>
      <c r="T38" s="186" t="s">
        <v>1327</v>
      </c>
      <c r="U38" s="185" t="s">
        <v>1347</v>
      </c>
      <c r="V38">
        <v>0</v>
      </c>
      <c r="W38">
        <v>0</v>
      </c>
      <c r="X38">
        <v>0</v>
      </c>
      <c r="Y38">
        <f t="shared" si="1"/>
        <v>0</v>
      </c>
    </row>
    <row r="39" spans="1:25" ht="30" x14ac:dyDescent="0.25">
      <c r="A39" t="s">
        <v>1170</v>
      </c>
      <c r="B39">
        <v>2019</v>
      </c>
      <c r="C39" t="s">
        <v>103</v>
      </c>
      <c r="D39" t="s">
        <v>1174</v>
      </c>
      <c r="E39" t="s">
        <v>1175</v>
      </c>
      <c r="F39" t="s">
        <v>134</v>
      </c>
      <c r="G39" t="s">
        <v>866</v>
      </c>
      <c r="H39" t="s">
        <v>135</v>
      </c>
      <c r="I39">
        <v>25515</v>
      </c>
      <c r="J39" s="175">
        <v>3</v>
      </c>
      <c r="K39">
        <v>325998</v>
      </c>
      <c r="L39" s="185" t="s">
        <v>1176</v>
      </c>
      <c r="N39">
        <v>38.772219999999997</v>
      </c>
      <c r="O39">
        <v>-82.205560000000006</v>
      </c>
      <c r="P39" s="1">
        <v>110000607772</v>
      </c>
      <c r="Q39" s="1">
        <v>1319218499438</v>
      </c>
      <c r="R39" t="s">
        <v>1325</v>
      </c>
      <c r="S39" t="s">
        <v>1326</v>
      </c>
      <c r="T39" s="186" t="s">
        <v>1340</v>
      </c>
      <c r="U39" s="185" t="s">
        <v>1367</v>
      </c>
      <c r="V39">
        <v>3.6930000000000001</v>
      </c>
      <c r="W39">
        <v>0</v>
      </c>
      <c r="X39">
        <v>0</v>
      </c>
      <c r="Y39">
        <f t="shared" si="1"/>
        <v>3.6930000000000001</v>
      </c>
    </row>
    <row r="40" spans="1:25" ht="30" x14ac:dyDescent="0.25">
      <c r="A40" t="s">
        <v>1170</v>
      </c>
      <c r="B40">
        <v>2020</v>
      </c>
      <c r="C40" t="s">
        <v>103</v>
      </c>
      <c r="D40" t="s">
        <v>1174</v>
      </c>
      <c r="E40" t="s">
        <v>1175</v>
      </c>
      <c r="F40" t="s">
        <v>134</v>
      </c>
      <c r="G40" t="s">
        <v>866</v>
      </c>
      <c r="H40" t="s">
        <v>135</v>
      </c>
      <c r="I40">
        <v>25515</v>
      </c>
      <c r="J40" s="175">
        <v>3</v>
      </c>
      <c r="K40">
        <v>325998</v>
      </c>
      <c r="L40" s="185" t="s">
        <v>1176</v>
      </c>
      <c r="N40">
        <v>38.772219999999997</v>
      </c>
      <c r="O40">
        <v>-82.205560000000006</v>
      </c>
      <c r="P40" s="1">
        <v>110000607772</v>
      </c>
      <c r="Q40" s="1">
        <v>1320219372644</v>
      </c>
      <c r="R40" t="s">
        <v>1325</v>
      </c>
      <c r="S40" t="s">
        <v>1326</v>
      </c>
      <c r="T40" s="186" t="s">
        <v>1340</v>
      </c>
      <c r="U40" s="185" t="s">
        <v>1367</v>
      </c>
      <c r="V40">
        <v>3.69</v>
      </c>
      <c r="W40">
        <v>0</v>
      </c>
      <c r="X40">
        <v>0</v>
      </c>
      <c r="Y40">
        <f t="shared" si="1"/>
        <v>3.69</v>
      </c>
    </row>
    <row r="41" spans="1:25" ht="30" x14ac:dyDescent="0.25">
      <c r="A41" t="s">
        <v>1170</v>
      </c>
      <c r="B41">
        <v>2021</v>
      </c>
      <c r="C41" t="s">
        <v>103</v>
      </c>
      <c r="D41" t="s">
        <v>1174</v>
      </c>
      <c r="E41" t="s">
        <v>1175</v>
      </c>
      <c r="F41" t="s">
        <v>134</v>
      </c>
      <c r="G41" t="s">
        <v>866</v>
      </c>
      <c r="H41" t="s">
        <v>135</v>
      </c>
      <c r="I41">
        <v>25515</v>
      </c>
      <c r="J41" s="175">
        <v>3</v>
      </c>
      <c r="K41">
        <v>325998</v>
      </c>
      <c r="L41" s="185" t="s">
        <v>1176</v>
      </c>
      <c r="N41">
        <v>38.772219999999997</v>
      </c>
      <c r="O41">
        <v>-82.205560000000006</v>
      </c>
      <c r="P41" s="1">
        <v>110000607772</v>
      </c>
      <c r="Q41" s="1">
        <v>1321220533867</v>
      </c>
      <c r="R41" t="s">
        <v>1325</v>
      </c>
      <c r="S41" t="s">
        <v>1326</v>
      </c>
      <c r="T41" s="186" t="s">
        <v>1340</v>
      </c>
      <c r="U41" s="185" t="s">
        <v>1367</v>
      </c>
      <c r="V41">
        <v>11.951000000000001</v>
      </c>
      <c r="W41">
        <v>0</v>
      </c>
      <c r="X41">
        <v>0</v>
      </c>
      <c r="Y41">
        <f t="shared" si="1"/>
        <v>11.951000000000001</v>
      </c>
    </row>
    <row r="42" spans="1:25" ht="30" x14ac:dyDescent="0.25">
      <c r="A42" t="s">
        <v>1170</v>
      </c>
      <c r="B42">
        <v>2022</v>
      </c>
      <c r="C42" t="s">
        <v>103</v>
      </c>
      <c r="D42" t="s">
        <v>1174</v>
      </c>
      <c r="E42" t="s">
        <v>1175</v>
      </c>
      <c r="F42" t="s">
        <v>134</v>
      </c>
      <c r="G42" t="s">
        <v>866</v>
      </c>
      <c r="H42" t="s">
        <v>135</v>
      </c>
      <c r="I42">
        <v>25515</v>
      </c>
      <c r="J42" s="175">
        <v>3</v>
      </c>
      <c r="K42">
        <v>325998</v>
      </c>
      <c r="L42" s="185" t="s">
        <v>1176</v>
      </c>
      <c r="N42">
        <v>38.772219999999997</v>
      </c>
      <c r="O42">
        <v>-82.205560000000006</v>
      </c>
      <c r="P42" s="1">
        <v>110000607772</v>
      </c>
      <c r="Q42" s="1">
        <v>1322221417734</v>
      </c>
      <c r="R42" t="s">
        <v>1325</v>
      </c>
      <c r="S42" t="s">
        <v>1326</v>
      </c>
      <c r="T42" s="186" t="s">
        <v>1340</v>
      </c>
      <c r="U42" s="185" t="s">
        <v>1367</v>
      </c>
      <c r="V42">
        <v>4.4409999999999998</v>
      </c>
      <c r="W42">
        <v>0</v>
      </c>
      <c r="X42">
        <v>0</v>
      </c>
      <c r="Y42">
        <f t="shared" si="1"/>
        <v>4.4409999999999998</v>
      </c>
    </row>
    <row r="43" spans="1:25" ht="30" x14ac:dyDescent="0.25">
      <c r="A43" t="s">
        <v>1170</v>
      </c>
      <c r="B43">
        <v>2023</v>
      </c>
      <c r="C43" t="s">
        <v>103</v>
      </c>
      <c r="D43" t="s">
        <v>1174</v>
      </c>
      <c r="E43" t="s">
        <v>1175</v>
      </c>
      <c r="F43" t="s">
        <v>134</v>
      </c>
      <c r="G43" t="s">
        <v>866</v>
      </c>
      <c r="H43" t="s">
        <v>135</v>
      </c>
      <c r="I43">
        <v>25515</v>
      </c>
      <c r="J43" s="175">
        <v>3</v>
      </c>
      <c r="K43">
        <v>325998</v>
      </c>
      <c r="L43" s="185" t="s">
        <v>1176</v>
      </c>
      <c r="N43">
        <v>38.772219999999997</v>
      </c>
      <c r="O43">
        <v>-82.205560000000006</v>
      </c>
      <c r="P43" s="1">
        <v>110000607772</v>
      </c>
      <c r="Q43" s="1">
        <v>1323221972262</v>
      </c>
      <c r="R43" t="s">
        <v>1325</v>
      </c>
      <c r="S43" t="s">
        <v>1326</v>
      </c>
      <c r="T43" s="186" t="s">
        <v>1340</v>
      </c>
      <c r="U43" s="185" t="s">
        <v>1367</v>
      </c>
      <c r="V43">
        <v>1.7989999999999999</v>
      </c>
      <c r="W43">
        <v>0</v>
      </c>
      <c r="X43">
        <v>0</v>
      </c>
      <c r="Y43">
        <f t="shared" si="1"/>
        <v>1.7989999999999999</v>
      </c>
    </row>
    <row r="44" spans="1:25" x14ac:dyDescent="0.25">
      <c r="A44" t="s">
        <v>1170</v>
      </c>
      <c r="B44">
        <v>2020</v>
      </c>
      <c r="C44" t="s">
        <v>1368</v>
      </c>
      <c r="D44" t="s">
        <v>1369</v>
      </c>
      <c r="E44" t="s">
        <v>1370</v>
      </c>
      <c r="F44" t="s">
        <v>1371</v>
      </c>
      <c r="G44" t="s">
        <v>1372</v>
      </c>
      <c r="H44" t="s">
        <v>250</v>
      </c>
      <c r="I44">
        <v>12047</v>
      </c>
      <c r="J44" s="175">
        <v>2</v>
      </c>
      <c r="K44">
        <v>327992</v>
      </c>
      <c r="L44" s="185" t="s">
        <v>1373</v>
      </c>
      <c r="N44">
        <v>42.754610999999997</v>
      </c>
      <c r="O44">
        <v>-73.702721999999994</v>
      </c>
      <c r="P44" s="1">
        <v>110000324159</v>
      </c>
      <c r="Q44" s="1">
        <v>1320219389552</v>
      </c>
      <c r="R44" t="s">
        <v>1325</v>
      </c>
      <c r="S44" t="s">
        <v>1326</v>
      </c>
      <c r="T44" s="186" t="s">
        <v>1353</v>
      </c>
      <c r="U44" s="185" t="s">
        <v>1328</v>
      </c>
      <c r="V44">
        <v>0</v>
      </c>
      <c r="W44">
        <v>0</v>
      </c>
      <c r="X44">
        <v>0</v>
      </c>
      <c r="Y44">
        <f t="shared" si="1"/>
        <v>0</v>
      </c>
    </row>
    <row r="45" spans="1:25" x14ac:dyDescent="0.25">
      <c r="A45" t="s">
        <v>1170</v>
      </c>
      <c r="B45">
        <v>2019</v>
      </c>
      <c r="C45" t="s">
        <v>1374</v>
      </c>
      <c r="D45" t="s">
        <v>1375</v>
      </c>
      <c r="E45" t="s">
        <v>1376</v>
      </c>
      <c r="F45" t="s">
        <v>202</v>
      </c>
      <c r="G45" t="s">
        <v>1377</v>
      </c>
      <c r="H45" t="s">
        <v>106</v>
      </c>
      <c r="I45">
        <v>70734</v>
      </c>
      <c r="J45" s="175">
        <v>6</v>
      </c>
      <c r="K45">
        <v>325199</v>
      </c>
      <c r="L45" s="185" t="s">
        <v>1171</v>
      </c>
      <c r="N45">
        <v>30.181861999999999</v>
      </c>
      <c r="O45">
        <v>-90.986958999999999</v>
      </c>
      <c r="P45" s="1">
        <v>110000449774</v>
      </c>
      <c r="Q45" s="1">
        <v>1319218431157</v>
      </c>
      <c r="R45" t="s">
        <v>1325</v>
      </c>
      <c r="S45" t="s">
        <v>1326</v>
      </c>
      <c r="T45" s="186" t="s">
        <v>1333</v>
      </c>
      <c r="U45" s="185" t="s">
        <v>1378</v>
      </c>
      <c r="V45">
        <v>0</v>
      </c>
      <c r="W45">
        <v>0</v>
      </c>
      <c r="X45">
        <v>0</v>
      </c>
      <c r="Y45">
        <f t="shared" si="1"/>
        <v>0</v>
      </c>
    </row>
    <row r="46" spans="1:25" x14ac:dyDescent="0.25">
      <c r="A46" t="s">
        <v>1170</v>
      </c>
      <c r="B46">
        <v>2020</v>
      </c>
      <c r="C46" t="s">
        <v>1374</v>
      </c>
      <c r="D46" t="s">
        <v>1375</v>
      </c>
      <c r="E46" t="s">
        <v>1376</v>
      </c>
      <c r="F46" t="s">
        <v>202</v>
      </c>
      <c r="G46" t="s">
        <v>1377</v>
      </c>
      <c r="H46" t="s">
        <v>106</v>
      </c>
      <c r="I46">
        <v>70734</v>
      </c>
      <c r="J46" s="175">
        <v>6</v>
      </c>
      <c r="K46">
        <v>325199</v>
      </c>
      <c r="L46" s="185" t="s">
        <v>1171</v>
      </c>
      <c r="N46">
        <v>30.181861999999999</v>
      </c>
      <c r="O46">
        <v>-90.986958999999999</v>
      </c>
      <c r="P46" s="1">
        <v>110000449774</v>
      </c>
      <c r="Q46" s="1">
        <v>1320219266172</v>
      </c>
      <c r="R46" t="s">
        <v>1325</v>
      </c>
      <c r="S46" t="s">
        <v>1326</v>
      </c>
      <c r="T46" s="186" t="s">
        <v>1333</v>
      </c>
      <c r="U46" s="185" t="s">
        <v>1378</v>
      </c>
      <c r="V46">
        <v>0</v>
      </c>
      <c r="W46">
        <v>0</v>
      </c>
      <c r="X46">
        <v>0</v>
      </c>
      <c r="Y46">
        <f t="shared" si="1"/>
        <v>0</v>
      </c>
    </row>
    <row r="47" spans="1:25" x14ac:dyDescent="0.25">
      <c r="A47" t="s">
        <v>1170</v>
      </c>
      <c r="B47">
        <v>2021</v>
      </c>
      <c r="C47" t="s">
        <v>1374</v>
      </c>
      <c r="D47" t="s">
        <v>1375</v>
      </c>
      <c r="E47" t="s">
        <v>1376</v>
      </c>
      <c r="F47" t="s">
        <v>202</v>
      </c>
      <c r="G47" t="s">
        <v>1377</v>
      </c>
      <c r="H47" t="s">
        <v>106</v>
      </c>
      <c r="I47">
        <v>70734</v>
      </c>
      <c r="J47" s="175">
        <v>6</v>
      </c>
      <c r="K47">
        <v>325199</v>
      </c>
      <c r="L47" s="185" t="s">
        <v>1171</v>
      </c>
      <c r="N47">
        <v>30.181861999999999</v>
      </c>
      <c r="O47">
        <v>-90.986958999999999</v>
      </c>
      <c r="P47" s="1">
        <v>110000449774</v>
      </c>
      <c r="Q47" s="1">
        <v>1321220303438</v>
      </c>
      <c r="R47" t="s">
        <v>1325</v>
      </c>
      <c r="S47" t="s">
        <v>1326</v>
      </c>
      <c r="T47" s="186" t="s">
        <v>1333</v>
      </c>
      <c r="U47" s="185" t="s">
        <v>1378</v>
      </c>
      <c r="V47">
        <v>0</v>
      </c>
      <c r="W47">
        <v>0</v>
      </c>
      <c r="X47">
        <v>0</v>
      </c>
      <c r="Y47">
        <f t="shared" si="1"/>
        <v>0</v>
      </c>
    </row>
    <row r="48" spans="1:25" x14ac:dyDescent="0.25">
      <c r="A48" t="s">
        <v>1170</v>
      </c>
      <c r="B48">
        <v>2022</v>
      </c>
      <c r="C48" t="s">
        <v>1374</v>
      </c>
      <c r="D48" t="s">
        <v>1375</v>
      </c>
      <c r="E48" t="s">
        <v>1376</v>
      </c>
      <c r="F48" t="s">
        <v>202</v>
      </c>
      <c r="G48" t="s">
        <v>1377</v>
      </c>
      <c r="H48" t="s">
        <v>106</v>
      </c>
      <c r="I48">
        <v>70734</v>
      </c>
      <c r="J48" s="175">
        <v>6</v>
      </c>
      <c r="K48">
        <v>325199</v>
      </c>
      <c r="L48" s="185" t="s">
        <v>1171</v>
      </c>
      <c r="N48">
        <v>30.181861999999999</v>
      </c>
      <c r="O48">
        <v>-90.986958999999999</v>
      </c>
      <c r="P48" s="1">
        <v>110000449774</v>
      </c>
      <c r="Q48" s="1">
        <v>1322221279894</v>
      </c>
      <c r="R48" t="s">
        <v>1325</v>
      </c>
      <c r="S48" t="s">
        <v>1326</v>
      </c>
      <c r="T48" s="186" t="s">
        <v>1333</v>
      </c>
      <c r="U48" s="185" t="s">
        <v>1378</v>
      </c>
      <c r="V48">
        <v>0</v>
      </c>
      <c r="W48">
        <v>0</v>
      </c>
      <c r="X48">
        <v>0</v>
      </c>
      <c r="Y48">
        <f t="shared" si="1"/>
        <v>0</v>
      </c>
    </row>
    <row r="49" spans="1:25" x14ac:dyDescent="0.25">
      <c r="A49" t="s">
        <v>1170</v>
      </c>
      <c r="B49">
        <v>2023</v>
      </c>
      <c r="C49" t="s">
        <v>1374</v>
      </c>
      <c r="D49" t="s">
        <v>1375</v>
      </c>
      <c r="E49" t="s">
        <v>1376</v>
      </c>
      <c r="F49" t="s">
        <v>202</v>
      </c>
      <c r="G49" t="s">
        <v>1377</v>
      </c>
      <c r="H49" t="s">
        <v>106</v>
      </c>
      <c r="I49">
        <v>70734</v>
      </c>
      <c r="J49" s="175">
        <v>6</v>
      </c>
      <c r="K49">
        <v>325199</v>
      </c>
      <c r="L49" s="185" t="s">
        <v>1171</v>
      </c>
      <c r="N49">
        <v>30.181861999999999</v>
      </c>
      <c r="O49">
        <v>-90.986958999999999</v>
      </c>
      <c r="P49" s="1">
        <v>110000449774</v>
      </c>
      <c r="Q49" s="1">
        <v>1323222085920</v>
      </c>
      <c r="R49" t="s">
        <v>1325</v>
      </c>
      <c r="S49" t="s">
        <v>1326</v>
      </c>
      <c r="T49" s="186" t="s">
        <v>1333</v>
      </c>
      <c r="U49" s="185" t="s">
        <v>1378</v>
      </c>
      <c r="V49">
        <v>0</v>
      </c>
      <c r="W49">
        <v>0</v>
      </c>
      <c r="X49">
        <v>0</v>
      </c>
      <c r="Y49">
        <f t="shared" si="1"/>
        <v>0</v>
      </c>
    </row>
    <row r="50" spans="1:25" x14ac:dyDescent="0.25">
      <c r="A50" t="s">
        <v>1170</v>
      </c>
      <c r="B50">
        <v>2019</v>
      </c>
      <c r="C50" t="s">
        <v>111</v>
      </c>
      <c r="D50" t="s">
        <v>108</v>
      </c>
      <c r="E50" t="s">
        <v>1177</v>
      </c>
      <c r="F50" t="s">
        <v>109</v>
      </c>
      <c r="G50" t="s">
        <v>1379</v>
      </c>
      <c r="H50" t="s">
        <v>110</v>
      </c>
      <c r="I50">
        <v>23837</v>
      </c>
      <c r="J50" s="175">
        <v>3</v>
      </c>
      <c r="K50">
        <v>325199</v>
      </c>
      <c r="L50" s="185" t="s">
        <v>1171</v>
      </c>
      <c r="N50">
        <v>36.651200000000003</v>
      </c>
      <c r="O50">
        <v>-76.999044999999995</v>
      </c>
      <c r="P50" s="1">
        <v>110000499611</v>
      </c>
      <c r="Q50" s="1">
        <v>1319218210058</v>
      </c>
      <c r="R50" t="s">
        <v>1325</v>
      </c>
      <c r="S50" t="s">
        <v>1326</v>
      </c>
      <c r="T50" s="94" t="s">
        <v>1380</v>
      </c>
      <c r="U50" s="185" t="s">
        <v>1381</v>
      </c>
      <c r="V50">
        <v>90.45</v>
      </c>
      <c r="W50">
        <v>0</v>
      </c>
      <c r="X50">
        <v>0</v>
      </c>
      <c r="Y50">
        <f t="shared" si="1"/>
        <v>90.45</v>
      </c>
    </row>
    <row r="51" spans="1:25" x14ac:dyDescent="0.25">
      <c r="A51" t="s">
        <v>1170</v>
      </c>
      <c r="B51">
        <v>2020</v>
      </c>
      <c r="C51" t="s">
        <v>111</v>
      </c>
      <c r="D51" t="s">
        <v>108</v>
      </c>
      <c r="E51" t="s">
        <v>1177</v>
      </c>
      <c r="F51" t="s">
        <v>109</v>
      </c>
      <c r="G51" t="s">
        <v>1379</v>
      </c>
      <c r="H51" t="s">
        <v>110</v>
      </c>
      <c r="I51">
        <v>23837</v>
      </c>
      <c r="J51" s="175">
        <v>3</v>
      </c>
      <c r="K51">
        <v>325199</v>
      </c>
      <c r="L51" s="185" t="s">
        <v>1171</v>
      </c>
      <c r="N51">
        <v>36.651200000000003</v>
      </c>
      <c r="O51">
        <v>-76.999044999999995</v>
      </c>
      <c r="P51" s="1">
        <v>110000499611</v>
      </c>
      <c r="Q51" s="1">
        <v>1320219158488</v>
      </c>
      <c r="R51" t="s">
        <v>1325</v>
      </c>
      <c r="S51" t="s">
        <v>1326</v>
      </c>
      <c r="T51" s="186" t="s">
        <v>1380</v>
      </c>
      <c r="U51" s="185" t="s">
        <v>1381</v>
      </c>
      <c r="V51">
        <v>23.55</v>
      </c>
      <c r="W51">
        <v>0</v>
      </c>
      <c r="X51">
        <v>0</v>
      </c>
      <c r="Y51">
        <f t="shared" si="1"/>
        <v>23.55</v>
      </c>
    </row>
    <row r="52" spans="1:25" x14ac:dyDescent="0.25">
      <c r="A52" t="s">
        <v>1170</v>
      </c>
      <c r="B52">
        <v>2021</v>
      </c>
      <c r="C52" t="s">
        <v>111</v>
      </c>
      <c r="D52" t="s">
        <v>108</v>
      </c>
      <c r="E52" t="s">
        <v>1177</v>
      </c>
      <c r="F52" t="s">
        <v>109</v>
      </c>
      <c r="G52" t="s">
        <v>1379</v>
      </c>
      <c r="H52" t="s">
        <v>110</v>
      </c>
      <c r="I52">
        <v>23837</v>
      </c>
      <c r="J52" s="175">
        <v>3</v>
      </c>
      <c r="K52">
        <v>325199</v>
      </c>
      <c r="L52" s="185" t="s">
        <v>1171</v>
      </c>
      <c r="N52">
        <v>36.651200000000003</v>
      </c>
      <c r="O52">
        <v>-76.999044999999995</v>
      </c>
      <c r="P52" s="1">
        <v>110000499611</v>
      </c>
      <c r="Q52" s="1">
        <v>1321220270060</v>
      </c>
      <c r="R52" t="s">
        <v>1325</v>
      </c>
      <c r="S52" t="s">
        <v>1326</v>
      </c>
      <c r="T52" s="186" t="s">
        <v>1380</v>
      </c>
      <c r="U52" s="185" t="s">
        <v>1381</v>
      </c>
      <c r="V52">
        <v>61.74</v>
      </c>
      <c r="W52">
        <v>0</v>
      </c>
      <c r="X52">
        <v>0</v>
      </c>
      <c r="Y52">
        <f t="shared" si="1"/>
        <v>61.74</v>
      </c>
    </row>
    <row r="53" spans="1:25" x14ac:dyDescent="0.25">
      <c r="A53" t="s">
        <v>1170</v>
      </c>
      <c r="B53">
        <v>2022</v>
      </c>
      <c r="C53" t="s">
        <v>111</v>
      </c>
      <c r="D53" t="s">
        <v>108</v>
      </c>
      <c r="E53" t="s">
        <v>1177</v>
      </c>
      <c r="F53" t="s">
        <v>109</v>
      </c>
      <c r="G53" t="s">
        <v>1379</v>
      </c>
      <c r="H53" t="s">
        <v>110</v>
      </c>
      <c r="I53">
        <v>23837</v>
      </c>
      <c r="J53" s="175">
        <v>3</v>
      </c>
      <c r="K53">
        <v>325199</v>
      </c>
      <c r="L53" s="185" t="s">
        <v>1171</v>
      </c>
      <c r="N53">
        <v>36.651200000000003</v>
      </c>
      <c r="O53">
        <v>-76.999044999999995</v>
      </c>
      <c r="P53" s="1">
        <v>110000499611</v>
      </c>
      <c r="Q53" s="1">
        <v>1322221088166</v>
      </c>
      <c r="R53" t="s">
        <v>1325</v>
      </c>
      <c r="S53" t="s">
        <v>1326</v>
      </c>
      <c r="T53" s="186" t="s">
        <v>1380</v>
      </c>
      <c r="U53" s="185" t="s">
        <v>1381</v>
      </c>
      <c r="V53">
        <v>66.23</v>
      </c>
      <c r="W53">
        <v>0</v>
      </c>
      <c r="X53">
        <v>0</v>
      </c>
      <c r="Y53">
        <f t="shared" si="1"/>
        <v>66.23</v>
      </c>
    </row>
    <row r="54" spans="1:25" x14ac:dyDescent="0.25">
      <c r="A54" t="s">
        <v>1170</v>
      </c>
      <c r="B54">
        <v>2023</v>
      </c>
      <c r="C54" t="s">
        <v>111</v>
      </c>
      <c r="D54" t="s">
        <v>108</v>
      </c>
      <c r="E54" t="s">
        <v>1177</v>
      </c>
      <c r="F54" t="s">
        <v>109</v>
      </c>
      <c r="G54" t="s">
        <v>1379</v>
      </c>
      <c r="H54" t="s">
        <v>110</v>
      </c>
      <c r="I54">
        <v>23837</v>
      </c>
      <c r="J54" s="175">
        <v>3</v>
      </c>
      <c r="K54">
        <v>325199</v>
      </c>
      <c r="L54" s="185" t="s">
        <v>1171</v>
      </c>
      <c r="N54">
        <v>36.651200000000003</v>
      </c>
      <c r="O54">
        <v>-76.999044999999995</v>
      </c>
      <c r="P54" s="1">
        <v>110000499611</v>
      </c>
      <c r="Q54" s="1">
        <v>1323222133338</v>
      </c>
      <c r="R54" t="s">
        <v>1325</v>
      </c>
      <c r="S54" t="s">
        <v>1326</v>
      </c>
      <c r="T54" s="186" t="s">
        <v>1380</v>
      </c>
      <c r="U54" s="185" t="s">
        <v>1381</v>
      </c>
      <c r="V54">
        <v>60.03</v>
      </c>
      <c r="W54">
        <v>0</v>
      </c>
      <c r="X54">
        <v>0</v>
      </c>
      <c r="Y54">
        <f t="shared" si="1"/>
        <v>60.03</v>
      </c>
    </row>
    <row r="55" spans="1:25" x14ac:dyDescent="0.25">
      <c r="A55" t="s">
        <v>1170</v>
      </c>
      <c r="B55">
        <v>2019</v>
      </c>
      <c r="C55" t="s">
        <v>119</v>
      </c>
      <c r="D55" t="s">
        <v>116</v>
      </c>
      <c r="E55" t="s">
        <v>1179</v>
      </c>
      <c r="F55" t="s">
        <v>117</v>
      </c>
      <c r="G55" t="s">
        <v>117</v>
      </c>
      <c r="H55" t="s">
        <v>118</v>
      </c>
      <c r="I55">
        <v>48667</v>
      </c>
      <c r="J55" s="175">
        <v>5</v>
      </c>
      <c r="K55">
        <v>325211</v>
      </c>
      <c r="L55" s="185" t="s">
        <v>1180</v>
      </c>
      <c r="N55">
        <v>43.600299999999997</v>
      </c>
      <c r="O55">
        <v>-84.223399999999998</v>
      </c>
      <c r="P55" s="1">
        <v>110043787408</v>
      </c>
      <c r="Q55" s="1">
        <v>1319218283531</v>
      </c>
      <c r="R55" t="s">
        <v>1325</v>
      </c>
      <c r="S55" t="s">
        <v>1326</v>
      </c>
      <c r="T55" s="186" t="s">
        <v>1353</v>
      </c>
      <c r="U55" s="185" t="s">
        <v>1341</v>
      </c>
      <c r="V55">
        <v>25</v>
      </c>
      <c r="W55">
        <v>0</v>
      </c>
      <c r="X55">
        <v>0</v>
      </c>
      <c r="Y55">
        <f t="shared" si="1"/>
        <v>25</v>
      </c>
    </row>
    <row r="56" spans="1:25" ht="60" x14ac:dyDescent="0.25">
      <c r="A56" t="s">
        <v>1170</v>
      </c>
      <c r="B56">
        <v>2019</v>
      </c>
      <c r="C56" t="s">
        <v>107</v>
      </c>
      <c r="D56" t="s">
        <v>104</v>
      </c>
      <c r="E56" t="s">
        <v>1181</v>
      </c>
      <c r="F56" t="s">
        <v>105</v>
      </c>
      <c r="G56" t="s">
        <v>1332</v>
      </c>
      <c r="H56" t="s">
        <v>106</v>
      </c>
      <c r="I56">
        <v>70764</v>
      </c>
      <c r="J56" s="175">
        <v>6</v>
      </c>
      <c r="K56">
        <v>325199</v>
      </c>
      <c r="L56" s="185" t="s">
        <v>1171</v>
      </c>
      <c r="N56">
        <v>30.320903000000001</v>
      </c>
      <c r="O56">
        <v>-91.239014999999995</v>
      </c>
      <c r="P56" s="1">
        <v>110001244724</v>
      </c>
      <c r="Q56" s="1">
        <v>1319218119016</v>
      </c>
      <c r="R56" t="s">
        <v>1325</v>
      </c>
      <c r="S56" t="s">
        <v>1326</v>
      </c>
      <c r="T56" s="186" t="s">
        <v>1333</v>
      </c>
      <c r="U56" s="185" t="s">
        <v>1382</v>
      </c>
      <c r="V56">
        <v>454</v>
      </c>
      <c r="W56">
        <v>0</v>
      </c>
      <c r="X56">
        <v>0</v>
      </c>
      <c r="Y56">
        <f t="shared" si="1"/>
        <v>454</v>
      </c>
    </row>
    <row r="57" spans="1:25" ht="60" x14ac:dyDescent="0.25">
      <c r="A57" t="s">
        <v>1170</v>
      </c>
      <c r="B57">
        <v>2020</v>
      </c>
      <c r="C57" t="s">
        <v>107</v>
      </c>
      <c r="D57" t="s">
        <v>104</v>
      </c>
      <c r="E57" t="s">
        <v>1181</v>
      </c>
      <c r="F57" t="s">
        <v>105</v>
      </c>
      <c r="G57" t="s">
        <v>1332</v>
      </c>
      <c r="H57" t="s">
        <v>106</v>
      </c>
      <c r="I57">
        <v>70764</v>
      </c>
      <c r="J57" s="175">
        <v>6</v>
      </c>
      <c r="K57">
        <v>325199</v>
      </c>
      <c r="L57" s="185" t="s">
        <v>1171</v>
      </c>
      <c r="N57">
        <v>30.320903000000001</v>
      </c>
      <c r="O57">
        <v>-91.239014999999995</v>
      </c>
      <c r="P57" s="1">
        <v>110001244724</v>
      </c>
      <c r="Q57" s="1">
        <v>1320219015688</v>
      </c>
      <c r="R57" t="s">
        <v>1325</v>
      </c>
      <c r="S57" t="s">
        <v>1326</v>
      </c>
      <c r="T57" s="186" t="s">
        <v>1333</v>
      </c>
      <c r="U57" s="185" t="s">
        <v>1382</v>
      </c>
      <c r="V57">
        <v>0</v>
      </c>
      <c r="W57">
        <v>0</v>
      </c>
      <c r="X57">
        <v>0</v>
      </c>
      <c r="Y57">
        <f t="shared" si="1"/>
        <v>0</v>
      </c>
    </row>
    <row r="58" spans="1:25" ht="60" x14ac:dyDescent="0.25">
      <c r="A58" t="s">
        <v>1170</v>
      </c>
      <c r="B58">
        <v>2021</v>
      </c>
      <c r="C58" t="s">
        <v>107</v>
      </c>
      <c r="D58" t="s">
        <v>104</v>
      </c>
      <c r="E58" t="s">
        <v>1181</v>
      </c>
      <c r="F58" t="s">
        <v>105</v>
      </c>
      <c r="G58" t="s">
        <v>1332</v>
      </c>
      <c r="H58" t="s">
        <v>106</v>
      </c>
      <c r="I58">
        <v>70764</v>
      </c>
      <c r="J58" s="175">
        <v>6</v>
      </c>
      <c r="K58">
        <v>325199</v>
      </c>
      <c r="L58" s="185" t="s">
        <v>1171</v>
      </c>
      <c r="N58">
        <v>30.320903000000001</v>
      </c>
      <c r="O58">
        <v>-91.239014999999995</v>
      </c>
      <c r="P58" s="1">
        <v>110001244724</v>
      </c>
      <c r="Q58" s="1">
        <v>1321220221776</v>
      </c>
      <c r="R58" t="s">
        <v>1325</v>
      </c>
      <c r="S58" t="s">
        <v>1326</v>
      </c>
      <c r="T58" s="186" t="s">
        <v>1333</v>
      </c>
      <c r="U58" s="185" t="s">
        <v>1382</v>
      </c>
      <c r="V58">
        <v>0</v>
      </c>
      <c r="W58">
        <v>0</v>
      </c>
      <c r="X58">
        <v>0</v>
      </c>
      <c r="Y58">
        <f t="shared" si="1"/>
        <v>0</v>
      </c>
    </row>
    <row r="59" spans="1:25" ht="60" x14ac:dyDescent="0.25">
      <c r="A59" t="s">
        <v>1170</v>
      </c>
      <c r="B59">
        <v>2022</v>
      </c>
      <c r="C59" t="s">
        <v>107</v>
      </c>
      <c r="D59" t="s">
        <v>104</v>
      </c>
      <c r="E59" t="s">
        <v>1181</v>
      </c>
      <c r="F59" t="s">
        <v>105</v>
      </c>
      <c r="G59" t="s">
        <v>1332</v>
      </c>
      <c r="H59" t="s">
        <v>106</v>
      </c>
      <c r="I59">
        <v>70764</v>
      </c>
      <c r="J59" s="175">
        <v>6</v>
      </c>
      <c r="K59">
        <v>325199</v>
      </c>
      <c r="L59" s="185" t="s">
        <v>1171</v>
      </c>
      <c r="N59">
        <v>30.320903000000001</v>
      </c>
      <c r="O59">
        <v>-91.239014999999995</v>
      </c>
      <c r="P59" s="1">
        <v>110001244724</v>
      </c>
      <c r="Q59" s="1">
        <v>1322220774246</v>
      </c>
      <c r="R59" t="s">
        <v>1325</v>
      </c>
      <c r="S59" t="s">
        <v>1326</v>
      </c>
      <c r="T59" s="186" t="s">
        <v>1333</v>
      </c>
      <c r="U59" s="185" t="s">
        <v>1382</v>
      </c>
      <c r="V59">
        <v>0</v>
      </c>
      <c r="W59">
        <v>0</v>
      </c>
      <c r="X59">
        <v>0</v>
      </c>
      <c r="Y59">
        <f>SUM(V59+W59+X59)</f>
        <v>0</v>
      </c>
    </row>
    <row r="60" spans="1:25" ht="45" x14ac:dyDescent="0.25">
      <c r="A60" t="s">
        <v>1170</v>
      </c>
      <c r="B60">
        <v>2023</v>
      </c>
      <c r="C60" t="s">
        <v>107</v>
      </c>
      <c r="D60" t="s">
        <v>104</v>
      </c>
      <c r="E60" t="s">
        <v>1181</v>
      </c>
      <c r="F60" t="s">
        <v>105</v>
      </c>
      <c r="G60" t="s">
        <v>1332</v>
      </c>
      <c r="H60" t="s">
        <v>106</v>
      </c>
      <c r="I60">
        <v>70764</v>
      </c>
      <c r="J60" s="175">
        <v>6</v>
      </c>
      <c r="K60">
        <v>325199</v>
      </c>
      <c r="L60" s="185" t="s">
        <v>1171</v>
      </c>
      <c r="N60">
        <v>30.320903000000001</v>
      </c>
      <c r="O60">
        <v>-91.239014999999995</v>
      </c>
      <c r="P60" s="1">
        <v>110001244724</v>
      </c>
      <c r="Q60" s="1">
        <v>1323221935048</v>
      </c>
      <c r="R60" t="s">
        <v>1325</v>
      </c>
      <c r="S60" t="s">
        <v>1326</v>
      </c>
      <c r="T60" s="186" t="s">
        <v>1333</v>
      </c>
      <c r="U60" s="185" t="s">
        <v>1383</v>
      </c>
      <c r="V60">
        <v>666</v>
      </c>
      <c r="W60">
        <v>0</v>
      </c>
      <c r="X60">
        <v>0</v>
      </c>
      <c r="Y60">
        <f t="shared" si="1"/>
        <v>666</v>
      </c>
    </row>
    <row r="61" spans="1:25" ht="30" x14ac:dyDescent="0.25">
      <c r="A61" t="s">
        <v>1170</v>
      </c>
      <c r="B61">
        <v>2022</v>
      </c>
      <c r="C61" t="s">
        <v>1384</v>
      </c>
      <c r="D61" t="s">
        <v>1385</v>
      </c>
      <c r="E61" t="s">
        <v>1386</v>
      </c>
      <c r="F61" t="s">
        <v>105</v>
      </c>
      <c r="G61" t="s">
        <v>1332</v>
      </c>
      <c r="H61" t="s">
        <v>106</v>
      </c>
      <c r="I61">
        <v>70764</v>
      </c>
      <c r="J61" s="175">
        <v>6</v>
      </c>
      <c r="K61">
        <v>325211</v>
      </c>
      <c r="L61" s="185" t="s">
        <v>1180</v>
      </c>
      <c r="N61">
        <v>30.262255</v>
      </c>
      <c r="O61">
        <v>-91.185837000000006</v>
      </c>
      <c r="P61" s="1">
        <v>110000613747</v>
      </c>
      <c r="Q61" s="1">
        <v>1322221121092</v>
      </c>
      <c r="R61" t="s">
        <v>1325</v>
      </c>
      <c r="S61" t="s">
        <v>1326</v>
      </c>
      <c r="T61" s="186" t="s">
        <v>1342</v>
      </c>
      <c r="U61" s="185" t="s">
        <v>1387</v>
      </c>
      <c r="V61">
        <v>0</v>
      </c>
      <c r="W61">
        <v>0</v>
      </c>
      <c r="X61">
        <v>0</v>
      </c>
      <c r="Y61">
        <f t="shared" si="1"/>
        <v>0</v>
      </c>
    </row>
    <row r="62" spans="1:25" ht="30" x14ac:dyDescent="0.25">
      <c r="A62" t="s">
        <v>1170</v>
      </c>
      <c r="B62">
        <v>2023</v>
      </c>
      <c r="C62" t="s">
        <v>1384</v>
      </c>
      <c r="D62" t="s">
        <v>1385</v>
      </c>
      <c r="E62" t="s">
        <v>1386</v>
      </c>
      <c r="F62" t="s">
        <v>105</v>
      </c>
      <c r="G62" t="s">
        <v>1332</v>
      </c>
      <c r="H62" t="s">
        <v>106</v>
      </c>
      <c r="I62">
        <v>70764</v>
      </c>
      <c r="J62" s="175">
        <v>6</v>
      </c>
      <c r="K62">
        <v>325211</v>
      </c>
      <c r="L62" s="185" t="s">
        <v>1180</v>
      </c>
      <c r="N62">
        <v>30.262255</v>
      </c>
      <c r="O62">
        <v>-91.185837000000006</v>
      </c>
      <c r="P62" s="1">
        <v>110000613747</v>
      </c>
      <c r="Q62" s="1">
        <v>1323222060358</v>
      </c>
      <c r="R62" t="s">
        <v>1325</v>
      </c>
      <c r="S62" t="s">
        <v>1326</v>
      </c>
      <c r="T62" s="186" t="s">
        <v>1342</v>
      </c>
      <c r="U62" s="185" t="s">
        <v>1387</v>
      </c>
      <c r="V62">
        <v>0</v>
      </c>
      <c r="W62">
        <v>0</v>
      </c>
      <c r="X62">
        <v>0</v>
      </c>
      <c r="Y62">
        <f t="shared" si="1"/>
        <v>0</v>
      </c>
    </row>
  </sheetData>
  <sheetProtection sheet="1" objects="1" scenarios="1" formatCells="0" formatColumns="0" formatRows="0" sort="0" autoFilter="0"/>
  <autoFilter ref="A1:Y599" xr:uid="{025FBDDF-04D5-478F-92FA-5209FFD5A596}"/>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32817-F5AD-48AE-A027-A54EB639EF52}">
  <sheetPr codeName="Sheet10">
    <tabColor theme="9"/>
  </sheetPr>
  <dimension ref="A1:Z733"/>
  <sheetViews>
    <sheetView workbookViewId="0"/>
  </sheetViews>
  <sheetFormatPr defaultRowHeight="15" x14ac:dyDescent="0.25"/>
  <cols>
    <col min="1" max="1" width="11.7109375" style="175" customWidth="1"/>
    <col min="2" max="2" width="20.7109375" style="175" customWidth="1"/>
    <col min="3" max="3" width="9.140625" style="175"/>
    <col min="4" max="4" width="14.5703125" style="183" customWidth="1"/>
    <col min="5" max="5" width="52.7109375" style="175" customWidth="1"/>
    <col min="6" max="11" width="9.140625" style="175" customWidth="1"/>
    <col min="12" max="12" width="11" style="175" customWidth="1"/>
    <col min="13" max="13" width="35.5703125" style="175" customWidth="1"/>
    <col min="14" max="14" width="18" style="184" customWidth="1"/>
    <col min="15" max="15" width="80.28515625" style="175" customWidth="1"/>
    <col min="16" max="16" width="53.85546875" style="185" customWidth="1"/>
    <col min="17" max="17" width="52.140625" style="185" bestFit="1" customWidth="1"/>
    <col min="18" max="18" width="23.85546875" style="185" customWidth="1"/>
    <col min="19" max="19" width="16.7109375" style="185" customWidth="1"/>
    <col min="20" max="20" width="15.140625" style="1" bestFit="1" customWidth="1"/>
    <col min="21" max="21" width="66.5703125" bestFit="1" customWidth="1"/>
    <col min="22" max="22" width="25.85546875" style="175" customWidth="1"/>
    <col min="23" max="23" width="19.28515625" customWidth="1"/>
    <col min="24" max="24" width="20.42578125" customWidth="1"/>
    <col min="25" max="26" width="18.85546875" bestFit="1" customWidth="1"/>
  </cols>
  <sheetData>
    <row r="1" spans="1:26" ht="45" x14ac:dyDescent="0.25">
      <c r="A1" s="190" t="s">
        <v>539</v>
      </c>
      <c r="B1" s="190" t="s">
        <v>80</v>
      </c>
      <c r="C1" s="190" t="s">
        <v>552</v>
      </c>
      <c r="D1" s="191" t="s">
        <v>87</v>
      </c>
      <c r="E1" s="190" t="s">
        <v>83</v>
      </c>
      <c r="F1" s="190" t="s">
        <v>84</v>
      </c>
      <c r="G1" s="190" t="s">
        <v>540</v>
      </c>
      <c r="H1" s="190" t="s">
        <v>85</v>
      </c>
      <c r="I1" s="190" t="s">
        <v>1388</v>
      </c>
      <c r="J1" s="190" t="s">
        <v>126</v>
      </c>
      <c r="K1" s="190" t="s">
        <v>127</v>
      </c>
      <c r="L1" s="190" t="s">
        <v>1389</v>
      </c>
      <c r="M1" s="201" t="s">
        <v>542</v>
      </c>
      <c r="N1" s="202" t="s">
        <v>1390</v>
      </c>
      <c r="O1" s="203" t="s">
        <v>544</v>
      </c>
      <c r="P1" s="204" t="s">
        <v>1391</v>
      </c>
      <c r="Q1" s="192" t="s">
        <v>1392</v>
      </c>
      <c r="R1" s="193" t="s">
        <v>1393</v>
      </c>
      <c r="S1" s="193" t="s">
        <v>1394</v>
      </c>
      <c r="T1" s="190" t="s">
        <v>90</v>
      </c>
      <c r="U1" s="190" t="s">
        <v>553</v>
      </c>
      <c r="V1" s="194" t="s">
        <v>1395</v>
      </c>
      <c r="W1" s="190" t="s">
        <v>1396</v>
      </c>
      <c r="X1" s="194" t="s">
        <v>1397</v>
      </c>
      <c r="Y1" s="190" t="s">
        <v>1398</v>
      </c>
      <c r="Z1" s="190" t="s">
        <v>1399</v>
      </c>
    </row>
    <row r="2" spans="1:26" x14ac:dyDescent="0.25">
      <c r="A2">
        <v>2019</v>
      </c>
      <c r="B2" t="s">
        <v>1400</v>
      </c>
      <c r="C2" t="s">
        <v>1114</v>
      </c>
      <c r="D2" s="1">
        <v>110000571373</v>
      </c>
      <c r="E2" t="s">
        <v>136</v>
      </c>
      <c r="F2" t="s">
        <v>137</v>
      </c>
      <c r="G2" t="s">
        <v>1020</v>
      </c>
      <c r="H2" t="s">
        <v>138</v>
      </c>
      <c r="I2" t="s">
        <v>1401</v>
      </c>
      <c r="J2">
        <v>37.642310000000002</v>
      </c>
      <c r="K2">
        <v>-85.903570000000002</v>
      </c>
      <c r="L2">
        <v>4952</v>
      </c>
      <c r="M2" s="175" t="str">
        <f>VLOOKUP(L2, '2022 SIC to NAICS'!A:D, 2)</f>
        <v>Manufacturing Industries, Nec</v>
      </c>
      <c r="N2" s="184">
        <f>VLOOKUP(L2, '2022 SIC to NAICS'!A:D, 3)</f>
        <v>339999</v>
      </c>
      <c r="O2" s="184" t="str">
        <f>VLOOKUP(L2, '2022 SIC to NAICS'!A:D, 4)</f>
        <v xml:space="preserve">All Other Miscellaneous Manufacturing </v>
      </c>
      <c r="P2" s="185" t="str">
        <f>VLOOKUP(N2, 'NAICS OES crosswalk'!A:C, 3, FALSE)</f>
        <v>TBD</v>
      </c>
      <c r="T2" s="1" t="s">
        <v>1182</v>
      </c>
      <c r="U2" t="s">
        <v>1115</v>
      </c>
      <c r="V2">
        <v>33.847362500000003</v>
      </c>
      <c r="X2" t="b">
        <f>V2 &lt;= _xlfn.PERCENTILE.INC($V$2:$V$146, 0.1)</f>
        <v>0</v>
      </c>
      <c r="Y2" s="186" t="s">
        <v>1402</v>
      </c>
      <c r="Z2" t="s">
        <v>1403</v>
      </c>
    </row>
    <row r="3" spans="1:26" x14ac:dyDescent="0.25">
      <c r="A3">
        <v>2019</v>
      </c>
      <c r="B3" t="s">
        <v>1400</v>
      </c>
      <c r="C3" t="s">
        <v>1083</v>
      </c>
      <c r="D3" s="1">
        <v>110000432504</v>
      </c>
      <c r="E3" t="s">
        <v>139</v>
      </c>
      <c r="F3" t="s">
        <v>140</v>
      </c>
      <c r="G3" t="s">
        <v>1081</v>
      </c>
      <c r="H3" t="s">
        <v>141</v>
      </c>
      <c r="I3" t="s">
        <v>1401</v>
      </c>
      <c r="J3">
        <v>41.441667000000002</v>
      </c>
      <c r="K3">
        <v>-88.159719999999993</v>
      </c>
      <c r="L3">
        <v>2843</v>
      </c>
      <c r="M3" s="175" t="str">
        <f>VLOOKUP(L3, '2022 SIC to NAICS'!A:D, 2)</f>
        <v>Platemaking Services</v>
      </c>
      <c r="N3" s="184">
        <f>VLOOKUP(L3, '2022 SIC to NAICS'!A:D, 3)</f>
        <v>323120</v>
      </c>
      <c r="O3" s="184" t="str">
        <f>VLOOKUP(L3, '2022 SIC to NAICS'!A:D, 4)</f>
        <v>Support Activities for Printing</v>
      </c>
      <c r="P3" s="185" t="str">
        <f>VLOOKUP(N3, 'NAICS OES crosswalk'!A:C, 3, FALSE)</f>
        <v>TBD</v>
      </c>
      <c r="T3" s="1" t="s">
        <v>1183</v>
      </c>
      <c r="U3" t="s">
        <v>1084</v>
      </c>
      <c r="V3">
        <v>0.74501399999999995</v>
      </c>
      <c r="X3" t="b">
        <f t="shared" ref="X3:X66" si="0">V3 &lt;= _xlfn.PERCENTILE.INC($V$2:$V$146, 0.1)</f>
        <v>0</v>
      </c>
      <c r="Y3" s="186" t="s">
        <v>1402</v>
      </c>
    </row>
    <row r="4" spans="1:26" x14ac:dyDescent="0.25">
      <c r="A4">
        <v>2019</v>
      </c>
      <c r="B4" t="s">
        <v>1400</v>
      </c>
      <c r="C4" t="s">
        <v>684</v>
      </c>
      <c r="D4" s="1">
        <v>110015632216</v>
      </c>
      <c r="E4" t="s">
        <v>142</v>
      </c>
      <c r="F4" t="s">
        <v>143</v>
      </c>
      <c r="G4" t="s">
        <v>683</v>
      </c>
      <c r="H4" t="s">
        <v>138</v>
      </c>
      <c r="I4" t="s">
        <v>1401</v>
      </c>
      <c r="J4">
        <v>38.627777999999999</v>
      </c>
      <c r="K4">
        <v>-85.115832999999995</v>
      </c>
      <c r="L4">
        <v>4952</v>
      </c>
      <c r="M4" s="175" t="str">
        <f>VLOOKUP(L4, '2022 SIC to NAICS'!A:D, 2)</f>
        <v>Manufacturing Industries, Nec</v>
      </c>
      <c r="N4" s="184">
        <f>VLOOKUP(L4, '2022 SIC to NAICS'!A:D, 3)</f>
        <v>339999</v>
      </c>
      <c r="O4" s="184" t="str">
        <f>VLOOKUP(L4, '2022 SIC to NAICS'!A:D, 4)</f>
        <v xml:space="preserve">All Other Miscellaneous Manufacturing </v>
      </c>
      <c r="P4" s="185" t="str">
        <f>VLOOKUP(N4, 'NAICS OES crosswalk'!A:C, 3, FALSE)</f>
        <v>TBD</v>
      </c>
      <c r="T4" s="186" t="s">
        <v>1184</v>
      </c>
      <c r="U4" t="s">
        <v>685</v>
      </c>
      <c r="V4">
        <v>5.8714812500000004</v>
      </c>
      <c r="X4" t="b">
        <f t="shared" si="0"/>
        <v>0</v>
      </c>
      <c r="Y4" s="186" t="s">
        <v>1402</v>
      </c>
      <c r="Z4" t="s">
        <v>1403</v>
      </c>
    </row>
    <row r="5" spans="1:26" x14ac:dyDescent="0.25">
      <c r="A5">
        <v>2019</v>
      </c>
      <c r="B5" t="s">
        <v>1400</v>
      </c>
      <c r="C5" t="s">
        <v>718</v>
      </c>
      <c r="D5" s="1">
        <v>110000730451</v>
      </c>
      <c r="E5" t="s">
        <v>144</v>
      </c>
      <c r="F5" t="s">
        <v>145</v>
      </c>
      <c r="G5" t="s">
        <v>616</v>
      </c>
      <c r="H5" t="s">
        <v>146</v>
      </c>
      <c r="I5" t="s">
        <v>1401</v>
      </c>
      <c r="J5">
        <v>39.916111000000001</v>
      </c>
      <c r="K5">
        <v>-122.104444</v>
      </c>
      <c r="L5">
        <v>4952</v>
      </c>
      <c r="M5" s="175" t="str">
        <f>VLOOKUP(L5, '2022 SIC to NAICS'!A:D, 2)</f>
        <v>Manufacturing Industries, Nec</v>
      </c>
      <c r="N5" s="184">
        <f>VLOOKUP(L5, '2022 SIC to NAICS'!A:D, 3)</f>
        <v>339999</v>
      </c>
      <c r="O5" s="184" t="str">
        <f>VLOOKUP(L5, '2022 SIC to NAICS'!A:D, 4)</f>
        <v xml:space="preserve">All Other Miscellaneous Manufacturing </v>
      </c>
      <c r="P5" s="185" t="str">
        <f>VLOOKUP(N5, 'NAICS OES crosswalk'!A:C, 3, FALSE)</f>
        <v>TBD</v>
      </c>
      <c r="T5">
        <v>180201570701</v>
      </c>
      <c r="U5" t="s">
        <v>619</v>
      </c>
      <c r="V5">
        <v>4.7259257666666603E-2</v>
      </c>
      <c r="X5" t="b">
        <f t="shared" si="0"/>
        <v>0</v>
      </c>
      <c r="Y5" s="186" t="s">
        <v>1402</v>
      </c>
      <c r="Z5" t="s">
        <v>1403</v>
      </c>
    </row>
    <row r="6" spans="1:26" x14ac:dyDescent="0.25">
      <c r="A6">
        <v>2019</v>
      </c>
      <c r="B6" t="s">
        <v>1400</v>
      </c>
      <c r="C6" t="s">
        <v>1021</v>
      </c>
      <c r="D6" s="1">
        <v>110000732253</v>
      </c>
      <c r="E6" t="s">
        <v>147</v>
      </c>
      <c r="F6" t="s">
        <v>148</v>
      </c>
      <c r="G6" t="s">
        <v>1020</v>
      </c>
      <c r="H6" t="s">
        <v>138</v>
      </c>
      <c r="I6" t="s">
        <v>1401</v>
      </c>
      <c r="J6">
        <v>37.845027999999999</v>
      </c>
      <c r="K6">
        <v>-85.940962999999996</v>
      </c>
      <c r="L6">
        <v>4952</v>
      </c>
      <c r="M6" s="175" t="str">
        <f>VLOOKUP(L6, '2022 SIC to NAICS'!A:D, 2)</f>
        <v>Manufacturing Industries, Nec</v>
      </c>
      <c r="N6" s="184">
        <f>VLOOKUP(L6, '2022 SIC to NAICS'!A:D, 3)</f>
        <v>339999</v>
      </c>
      <c r="O6" s="184" t="str">
        <f>VLOOKUP(L6, '2022 SIC to NAICS'!A:D, 4)</f>
        <v xml:space="preserve">All Other Miscellaneous Manufacturing </v>
      </c>
      <c r="P6" s="185" t="str">
        <f>VLOOKUP(N6, 'NAICS OES crosswalk'!A:C, 3, FALSE)</f>
        <v>TBD</v>
      </c>
      <c r="T6" s="186" t="s">
        <v>1185</v>
      </c>
      <c r="U6" t="s">
        <v>1022</v>
      </c>
      <c r="V6">
        <v>13.5216759375</v>
      </c>
      <c r="X6" t="b">
        <f t="shared" si="0"/>
        <v>0</v>
      </c>
      <c r="Y6" s="186" t="s">
        <v>1402</v>
      </c>
      <c r="Z6" t="s">
        <v>1403</v>
      </c>
    </row>
    <row r="7" spans="1:26" x14ac:dyDescent="0.25">
      <c r="A7">
        <v>2019</v>
      </c>
      <c r="B7" t="s">
        <v>1400</v>
      </c>
      <c r="C7" t="s">
        <v>988</v>
      </c>
      <c r="D7" s="1">
        <v>110000747835</v>
      </c>
      <c r="E7" t="s">
        <v>149</v>
      </c>
      <c r="F7" t="s">
        <v>150</v>
      </c>
      <c r="G7" t="s">
        <v>985</v>
      </c>
      <c r="H7" t="s">
        <v>138</v>
      </c>
      <c r="I7" t="s">
        <v>1401</v>
      </c>
      <c r="J7">
        <v>37.8125</v>
      </c>
      <c r="K7">
        <v>-87.05</v>
      </c>
      <c r="L7">
        <v>2821</v>
      </c>
      <c r="M7" s="175" t="str">
        <f>VLOOKUP(L7, '2022 SIC to NAICS'!A:D, 2)</f>
        <v>Platemaking Services</v>
      </c>
      <c r="N7" s="184">
        <f>VLOOKUP(L7, '2022 SIC to NAICS'!A:D, 3)</f>
        <v>323120</v>
      </c>
      <c r="O7" s="184" t="str">
        <f>VLOOKUP(L7, '2022 SIC to NAICS'!A:D, 4)</f>
        <v>Support Activities for Printing</v>
      </c>
      <c r="P7" s="185" t="str">
        <f>VLOOKUP(N7, 'NAICS OES crosswalk'!A:C, 3, FALSE)</f>
        <v>TBD</v>
      </c>
      <c r="T7" s="186" t="s">
        <v>1186</v>
      </c>
      <c r="U7" t="s">
        <v>989</v>
      </c>
      <c r="V7">
        <v>0.19305215000000001</v>
      </c>
      <c r="X7" t="b">
        <f t="shared" si="0"/>
        <v>0</v>
      </c>
      <c r="Y7" s="186" t="s">
        <v>1404</v>
      </c>
      <c r="Z7" t="s">
        <v>1403</v>
      </c>
    </row>
    <row r="8" spans="1:26" x14ac:dyDescent="0.25">
      <c r="A8">
        <v>2019</v>
      </c>
      <c r="B8" t="s">
        <v>1400</v>
      </c>
      <c r="C8" t="s">
        <v>732</v>
      </c>
      <c r="D8" s="1">
        <v>110000582003</v>
      </c>
      <c r="E8" t="s">
        <v>151</v>
      </c>
      <c r="F8" t="s">
        <v>152</v>
      </c>
      <c r="G8" t="s">
        <v>731</v>
      </c>
      <c r="H8" t="s">
        <v>153</v>
      </c>
      <c r="I8" t="s">
        <v>1401</v>
      </c>
      <c r="J8">
        <v>39.80142</v>
      </c>
      <c r="K8">
        <v>-75.354990000000001</v>
      </c>
      <c r="L8">
        <v>2869</v>
      </c>
      <c r="M8" s="175" t="str">
        <f>VLOOKUP(L8, '2022 SIC to NAICS'!A:D, 2)</f>
        <v>Industrial Organic Chemicals, Nec</v>
      </c>
      <c r="N8" s="184">
        <f>VLOOKUP(L8, '2022 SIC to NAICS'!A:D, 3)</f>
        <v>325180</v>
      </c>
      <c r="O8" s="184" t="str">
        <f>VLOOKUP(L8, '2022 SIC to NAICS'!A:D, 4)</f>
        <v xml:space="preserve">Other Basic Inorganic Chemical Manufacturing </v>
      </c>
      <c r="P8" s="185" t="str">
        <f>VLOOKUP(N8, 'NAICS OES crosswalk'!A:C, 3, FALSE)</f>
        <v>Processing as a reactant</v>
      </c>
      <c r="T8" s="186" t="s">
        <v>1187</v>
      </c>
      <c r="U8" t="s">
        <v>733</v>
      </c>
      <c r="V8">
        <v>0.2135</v>
      </c>
      <c r="X8" t="b">
        <f t="shared" si="0"/>
        <v>0</v>
      </c>
      <c r="Y8" s="186" t="s">
        <v>1402</v>
      </c>
      <c r="Z8" t="s">
        <v>1403</v>
      </c>
    </row>
    <row r="9" spans="1:26" x14ac:dyDescent="0.25">
      <c r="A9">
        <v>2019</v>
      </c>
      <c r="B9" t="s">
        <v>1400</v>
      </c>
      <c r="C9" t="s">
        <v>785</v>
      </c>
      <c r="D9" s="1">
        <v>110003251427</v>
      </c>
      <c r="E9" t="s">
        <v>154</v>
      </c>
      <c r="F9" t="s">
        <v>155</v>
      </c>
      <c r="G9" t="s">
        <v>784</v>
      </c>
      <c r="H9" t="s">
        <v>138</v>
      </c>
      <c r="I9" t="s">
        <v>1401</v>
      </c>
      <c r="J9">
        <v>38.421495999999998</v>
      </c>
      <c r="K9">
        <v>-83.734424000000004</v>
      </c>
      <c r="L9">
        <v>4952</v>
      </c>
      <c r="M9" s="175" t="str">
        <f>VLOOKUP(L9, '2022 SIC to NAICS'!A:D, 2)</f>
        <v>Manufacturing Industries, Nec</v>
      </c>
      <c r="N9" s="184">
        <f>VLOOKUP(L9, '2022 SIC to NAICS'!A:D, 3)</f>
        <v>339999</v>
      </c>
      <c r="O9" s="184" t="str">
        <f>VLOOKUP(L9, '2022 SIC to NAICS'!A:D, 4)</f>
        <v xml:space="preserve">All Other Miscellaneous Manufacturing </v>
      </c>
      <c r="P9" s="185" t="str">
        <f>VLOOKUP(N9, 'NAICS OES crosswalk'!A:C, 3, FALSE)</f>
        <v>TBD</v>
      </c>
      <c r="T9" s="186" t="s">
        <v>1188</v>
      </c>
      <c r="U9" t="s">
        <v>786</v>
      </c>
      <c r="V9">
        <v>0.47524460000000002</v>
      </c>
      <c r="X9" t="b">
        <f t="shared" si="0"/>
        <v>0</v>
      </c>
      <c r="Y9" s="186" t="s">
        <v>1402</v>
      </c>
      <c r="Z9" t="s">
        <v>1403</v>
      </c>
    </row>
    <row r="10" spans="1:26" x14ac:dyDescent="0.25">
      <c r="A10">
        <v>2019</v>
      </c>
      <c r="B10" t="s">
        <v>1400</v>
      </c>
      <c r="C10" t="s">
        <v>1117</v>
      </c>
      <c r="D10" s="1">
        <v>110004306938</v>
      </c>
      <c r="E10" t="s">
        <v>156</v>
      </c>
      <c r="F10" t="s">
        <v>157</v>
      </c>
      <c r="G10" t="s">
        <v>575</v>
      </c>
      <c r="H10" t="s">
        <v>158</v>
      </c>
      <c r="I10" t="s">
        <v>1405</v>
      </c>
      <c r="J10">
        <v>36.122100000000003</v>
      </c>
      <c r="K10">
        <v>-115.17139</v>
      </c>
      <c r="L10">
        <v>7011</v>
      </c>
      <c r="M10" s="175" t="str">
        <f>VLOOKUP(L10, '2022 SIC to NAICS'!A:D, 2)</f>
        <v>Communication Services, Nec</v>
      </c>
      <c r="N10" s="184">
        <f>VLOOKUP(L10, '2022 SIC to NAICS'!A:D, 3)</f>
        <v>517810</v>
      </c>
      <c r="O10" s="184" t="str">
        <f>VLOOKUP(L10, '2022 SIC to NAICS'!A:D, 4)</f>
        <v xml:space="preserve">All Other Telecommunications </v>
      </c>
      <c r="P10" s="185" t="str">
        <f>VLOOKUP(N10, 'NAICS OES crosswalk'!A:C, 3, FALSE)</f>
        <v>TBD</v>
      </c>
      <c r="T10">
        <v>150100150604</v>
      </c>
      <c r="U10" t="s">
        <v>578</v>
      </c>
      <c r="V10">
        <v>0.1224687374375</v>
      </c>
      <c r="X10" t="b">
        <f t="shared" si="0"/>
        <v>0</v>
      </c>
      <c r="Y10" s="186" t="s">
        <v>1406</v>
      </c>
      <c r="Z10" t="s">
        <v>1403</v>
      </c>
    </row>
    <row r="11" spans="1:26" x14ac:dyDescent="0.25">
      <c r="A11">
        <v>2019</v>
      </c>
      <c r="B11" t="s">
        <v>1400</v>
      </c>
      <c r="C11" t="s">
        <v>1073</v>
      </c>
      <c r="D11" s="1">
        <v>110020941383</v>
      </c>
      <c r="E11" t="s">
        <v>159</v>
      </c>
      <c r="F11" t="s">
        <v>160</v>
      </c>
      <c r="G11" t="s">
        <v>1072</v>
      </c>
      <c r="H11" t="s">
        <v>138</v>
      </c>
      <c r="I11" t="s">
        <v>1401</v>
      </c>
      <c r="J11">
        <v>37.983888999999998</v>
      </c>
      <c r="K11">
        <v>-85.722778000000005</v>
      </c>
      <c r="L11">
        <v>4952</v>
      </c>
      <c r="M11" s="175" t="str">
        <f>VLOOKUP(L11, '2022 SIC to NAICS'!A:D, 2)</f>
        <v>Manufacturing Industries, Nec</v>
      </c>
      <c r="N11" s="184">
        <f>VLOOKUP(L11, '2022 SIC to NAICS'!A:D, 3)</f>
        <v>339999</v>
      </c>
      <c r="O11" s="184" t="str">
        <f>VLOOKUP(L11, '2022 SIC to NAICS'!A:D, 4)</f>
        <v xml:space="preserve">All Other Miscellaneous Manufacturing </v>
      </c>
      <c r="P11" s="185" t="str">
        <f>VLOOKUP(N11, 'NAICS OES crosswalk'!A:C, 3, FALSE)</f>
        <v>TBD</v>
      </c>
      <c r="T11" s="186" t="s">
        <v>1189</v>
      </c>
      <c r="U11" t="s">
        <v>1074</v>
      </c>
      <c r="V11">
        <v>2.3485925000000001</v>
      </c>
      <c r="X11" t="b">
        <f t="shared" si="0"/>
        <v>0</v>
      </c>
      <c r="Y11" s="186" t="s">
        <v>1402</v>
      </c>
      <c r="Z11" t="s">
        <v>1403</v>
      </c>
    </row>
    <row r="12" spans="1:26" x14ac:dyDescent="0.25">
      <c r="A12">
        <v>2019</v>
      </c>
      <c r="B12" t="s">
        <v>1400</v>
      </c>
      <c r="C12" t="s">
        <v>1030</v>
      </c>
      <c r="D12" s="1">
        <v>110000525842</v>
      </c>
      <c r="E12" t="s">
        <v>161</v>
      </c>
      <c r="F12" t="s">
        <v>162</v>
      </c>
      <c r="G12" t="s">
        <v>1029</v>
      </c>
      <c r="H12" t="s">
        <v>146</v>
      </c>
      <c r="I12" t="s">
        <v>1401</v>
      </c>
      <c r="J12">
        <v>34.055900000000001</v>
      </c>
      <c r="K12">
        <v>-117.36134</v>
      </c>
      <c r="L12">
        <v>4952</v>
      </c>
      <c r="M12" s="175" t="str">
        <f>VLOOKUP(L12, '2022 SIC to NAICS'!A:D, 2)</f>
        <v>Manufacturing Industries, Nec</v>
      </c>
      <c r="N12" s="184">
        <f>VLOOKUP(L12, '2022 SIC to NAICS'!A:D, 3)</f>
        <v>339999</v>
      </c>
      <c r="O12" s="184" t="str">
        <f>VLOOKUP(L12, '2022 SIC to NAICS'!A:D, 4)</f>
        <v xml:space="preserve">All Other Miscellaneous Manufacturing </v>
      </c>
      <c r="P12" s="185" t="str">
        <f>VLOOKUP(N12, 'NAICS OES crosswalk'!A:C, 3, FALSE)</f>
        <v>TBD</v>
      </c>
      <c r="T12">
        <v>180702030804</v>
      </c>
      <c r="U12" t="s">
        <v>1031</v>
      </c>
      <c r="V12">
        <v>1.627694303125</v>
      </c>
      <c r="X12" t="b">
        <f t="shared" si="0"/>
        <v>0</v>
      </c>
      <c r="Y12" s="186" t="s">
        <v>1402</v>
      </c>
      <c r="Z12" t="s">
        <v>1403</v>
      </c>
    </row>
    <row r="13" spans="1:26" x14ac:dyDescent="0.25">
      <c r="A13">
        <v>2019</v>
      </c>
      <c r="B13" t="s">
        <v>1400</v>
      </c>
      <c r="C13" t="s">
        <v>1078</v>
      </c>
      <c r="D13" s="1">
        <v>110000572782</v>
      </c>
      <c r="E13" t="s">
        <v>163</v>
      </c>
      <c r="F13" t="s">
        <v>164</v>
      </c>
      <c r="G13" t="s">
        <v>1077</v>
      </c>
      <c r="H13" t="s">
        <v>135</v>
      </c>
      <c r="I13" t="s">
        <v>1401</v>
      </c>
      <c r="J13">
        <v>39.599829999999997</v>
      </c>
      <c r="K13">
        <v>-79.97148</v>
      </c>
      <c r="L13">
        <v>2869</v>
      </c>
      <c r="M13" s="175" t="str">
        <f>VLOOKUP(L13, '2022 SIC to NAICS'!A:D, 2)</f>
        <v>Industrial Organic Chemicals, Nec</v>
      </c>
      <c r="N13" s="184">
        <f>VLOOKUP(L13, '2022 SIC to NAICS'!A:D, 3)</f>
        <v>325180</v>
      </c>
      <c r="O13" s="184" t="str">
        <f>VLOOKUP(L13, '2022 SIC to NAICS'!A:D, 4)</f>
        <v xml:space="preserve">Other Basic Inorganic Chemical Manufacturing </v>
      </c>
      <c r="P13" s="185" t="str">
        <f>VLOOKUP(N13, 'NAICS OES crosswalk'!A:C, 3, FALSE)</f>
        <v>Processing as a reactant</v>
      </c>
      <c r="T13" s="186" t="s">
        <v>1190</v>
      </c>
      <c r="U13" t="s">
        <v>1079</v>
      </c>
      <c r="V13">
        <v>8.5420099999999999E-2</v>
      </c>
      <c r="X13" t="b">
        <f t="shared" si="0"/>
        <v>0</v>
      </c>
      <c r="Y13">
        <v>101</v>
      </c>
    </row>
    <row r="14" spans="1:26" x14ac:dyDescent="0.25">
      <c r="A14">
        <v>2019</v>
      </c>
      <c r="B14" t="s">
        <v>1400</v>
      </c>
      <c r="C14" t="s">
        <v>806</v>
      </c>
      <c r="D14" s="1">
        <v>110037256867</v>
      </c>
      <c r="E14" t="s">
        <v>165</v>
      </c>
      <c r="F14" t="s">
        <v>166</v>
      </c>
      <c r="G14" t="s">
        <v>804</v>
      </c>
      <c r="H14" t="s">
        <v>146</v>
      </c>
      <c r="I14" t="s">
        <v>1405</v>
      </c>
      <c r="J14">
        <v>35.178620000000002</v>
      </c>
      <c r="K14">
        <v>-120.62067500000001</v>
      </c>
      <c r="L14">
        <v>2911</v>
      </c>
      <c r="M14" s="175" t="str">
        <f>VLOOKUP(L14, '2022 SIC to NAICS'!A:D, 2)</f>
        <v>Explosives</v>
      </c>
      <c r="N14" s="184">
        <f>VLOOKUP(L14, '2022 SIC to NAICS'!A:D, 3)</f>
        <v>325920</v>
      </c>
      <c r="O14" s="184" t="str">
        <f>VLOOKUP(L14, '2022 SIC to NAICS'!A:D, 4)</f>
        <v>Explosives Manufacturing</v>
      </c>
      <c r="P14" s="185" t="str">
        <f>VLOOKUP(N14, 'NAICS OES crosswalk'!A:C, 3, FALSE)</f>
        <v>TBD</v>
      </c>
      <c r="T14">
        <v>180600060703</v>
      </c>
      <c r="U14" t="s">
        <v>807</v>
      </c>
      <c r="V14">
        <v>1.8645061399999999E-2</v>
      </c>
      <c r="X14" t="b">
        <f t="shared" si="0"/>
        <v>0</v>
      </c>
      <c r="Y14" s="186" t="s">
        <v>1402</v>
      </c>
      <c r="Z14" t="s">
        <v>1403</v>
      </c>
    </row>
    <row r="15" spans="1:26" x14ac:dyDescent="0.25">
      <c r="A15">
        <v>2019</v>
      </c>
      <c r="B15" t="s">
        <v>1400</v>
      </c>
      <c r="C15" t="s">
        <v>1407</v>
      </c>
      <c r="D15" s="1">
        <v>110005972965</v>
      </c>
      <c r="E15" t="s">
        <v>1408</v>
      </c>
      <c r="F15" t="s">
        <v>1409</v>
      </c>
      <c r="G15" t="s">
        <v>650</v>
      </c>
      <c r="H15" t="s">
        <v>146</v>
      </c>
      <c r="I15" t="s">
        <v>1405</v>
      </c>
      <c r="J15">
        <v>37.499200000000002</v>
      </c>
      <c r="K15">
        <v>-122.411</v>
      </c>
      <c r="L15">
        <v>4953</v>
      </c>
      <c r="M15" s="175" t="str">
        <f>VLOOKUP(L15, '2022 SIC to NAICS'!A:D, 2)</f>
        <v>Manufacturing Industries, Nec</v>
      </c>
      <c r="N15" s="184">
        <f>VLOOKUP(L15, '2022 SIC to NAICS'!A:D, 3)</f>
        <v>339999</v>
      </c>
      <c r="O15" s="184" t="str">
        <f>VLOOKUP(L15, '2022 SIC to NAICS'!A:D, 4)</f>
        <v xml:space="preserve">All Other Miscellaneous Manufacturing </v>
      </c>
      <c r="P15" s="185" t="str">
        <f>VLOOKUP(N15, 'NAICS OES crosswalk'!A:C, 3, FALSE)</f>
        <v>TBD</v>
      </c>
      <c r="T15">
        <v>180500060201</v>
      </c>
      <c r="U15" t="s">
        <v>1410</v>
      </c>
      <c r="V15">
        <v>1.5809619489999999E-4</v>
      </c>
      <c r="X15" t="b">
        <f t="shared" si="0"/>
        <v>1</v>
      </c>
      <c r="Y15" s="186" t="s">
        <v>1402</v>
      </c>
      <c r="Z15" t="s">
        <v>1403</v>
      </c>
    </row>
    <row r="16" spans="1:26" x14ac:dyDescent="0.25">
      <c r="A16">
        <v>2019</v>
      </c>
      <c r="B16" t="s">
        <v>1400</v>
      </c>
      <c r="C16" t="s">
        <v>1117</v>
      </c>
      <c r="D16" s="1">
        <v>110004306938</v>
      </c>
      <c r="E16" t="s">
        <v>156</v>
      </c>
      <c r="F16" t="s">
        <v>157</v>
      </c>
      <c r="G16" t="s">
        <v>575</v>
      </c>
      <c r="H16" t="s">
        <v>158</v>
      </c>
      <c r="I16" t="s">
        <v>1405</v>
      </c>
      <c r="J16">
        <v>36.122100000000003</v>
      </c>
      <c r="K16">
        <v>-115.17139</v>
      </c>
      <c r="L16">
        <v>7011</v>
      </c>
      <c r="M16" s="175" t="str">
        <f>VLOOKUP(L16, '2022 SIC to NAICS'!A:D, 2)</f>
        <v>Communication Services, Nec</v>
      </c>
      <c r="N16" s="184">
        <f>VLOOKUP(L16, '2022 SIC to NAICS'!A:D, 3)</f>
        <v>517810</v>
      </c>
      <c r="O16" s="184" t="str">
        <f>VLOOKUP(L16, '2022 SIC to NAICS'!A:D, 4)</f>
        <v xml:space="preserve">All Other Telecommunications </v>
      </c>
      <c r="P16" s="185" t="str">
        <f>VLOOKUP(N16, 'NAICS OES crosswalk'!A:C, 3, FALSE)</f>
        <v>TBD</v>
      </c>
      <c r="T16">
        <v>150100150604</v>
      </c>
      <c r="U16" t="s">
        <v>578</v>
      </c>
      <c r="V16">
        <v>3.61579630625E-2</v>
      </c>
      <c r="X16" t="b">
        <f t="shared" si="0"/>
        <v>0</v>
      </c>
      <c r="Y16" s="186" t="s">
        <v>1411</v>
      </c>
      <c r="Z16" t="s">
        <v>1403</v>
      </c>
    </row>
    <row r="17" spans="1:26" x14ac:dyDescent="0.25">
      <c r="A17">
        <v>2019</v>
      </c>
      <c r="B17" t="s">
        <v>1400</v>
      </c>
      <c r="C17" t="s">
        <v>556</v>
      </c>
      <c r="D17" s="1">
        <v>110015972562</v>
      </c>
      <c r="E17" t="s">
        <v>167</v>
      </c>
      <c r="F17" t="s">
        <v>157</v>
      </c>
      <c r="G17" t="s">
        <v>554</v>
      </c>
      <c r="H17" t="s">
        <v>158</v>
      </c>
      <c r="I17" t="s">
        <v>1405</v>
      </c>
      <c r="J17">
        <v>36.116160999999998</v>
      </c>
      <c r="K17">
        <v>-115.172741</v>
      </c>
      <c r="L17">
        <v>7011</v>
      </c>
      <c r="M17" s="175" t="str">
        <f>VLOOKUP(L17, '2022 SIC to NAICS'!A:D, 2)</f>
        <v>Communication Services, Nec</v>
      </c>
      <c r="N17" s="184">
        <f>VLOOKUP(L17, '2022 SIC to NAICS'!A:D, 3)</f>
        <v>517810</v>
      </c>
      <c r="O17" s="184" t="str">
        <f>VLOOKUP(L17, '2022 SIC to NAICS'!A:D, 4)</f>
        <v xml:space="preserve">All Other Telecommunications </v>
      </c>
      <c r="P17" s="185" t="str">
        <f>VLOOKUP(N17, 'NAICS OES crosswalk'!A:C, 3, FALSE)</f>
        <v>TBD</v>
      </c>
      <c r="T17">
        <v>150100150505</v>
      </c>
      <c r="U17" t="s">
        <v>557</v>
      </c>
      <c r="V17">
        <v>5.8473452512500003E-2</v>
      </c>
      <c r="X17" t="b">
        <f t="shared" si="0"/>
        <v>0</v>
      </c>
      <c r="Y17" s="186" t="s">
        <v>1404</v>
      </c>
      <c r="Z17" t="s">
        <v>1403</v>
      </c>
    </row>
    <row r="18" spans="1:26" x14ac:dyDescent="0.25">
      <c r="A18">
        <v>2019</v>
      </c>
      <c r="B18" t="s">
        <v>1400</v>
      </c>
      <c r="C18" t="s">
        <v>564</v>
      </c>
      <c r="D18" s="1">
        <v>110045547547</v>
      </c>
      <c r="E18" t="s">
        <v>168</v>
      </c>
      <c r="F18" t="s">
        <v>169</v>
      </c>
      <c r="G18" t="s">
        <v>562</v>
      </c>
      <c r="H18" t="s">
        <v>170</v>
      </c>
      <c r="I18" t="s">
        <v>1405</v>
      </c>
      <c r="J18">
        <v>37.188566000000002</v>
      </c>
      <c r="K18">
        <v>-93.325920999999994</v>
      </c>
      <c r="L18">
        <v>2833</v>
      </c>
      <c r="M18" s="175" t="str">
        <f>VLOOKUP(L18, '2022 SIC to NAICS'!A:D, 2)</f>
        <v>Platemaking Services</v>
      </c>
      <c r="N18" s="184">
        <f>VLOOKUP(L18, '2022 SIC to NAICS'!A:D, 3)</f>
        <v>323120</v>
      </c>
      <c r="O18" s="184" t="str">
        <f>VLOOKUP(L18, '2022 SIC to NAICS'!A:D, 4)</f>
        <v>Support Activities for Printing</v>
      </c>
      <c r="P18" s="185" t="str">
        <f>VLOOKUP(N18, 'NAICS OES crosswalk'!A:C, 3, FALSE)</f>
        <v>TBD</v>
      </c>
      <c r="T18">
        <v>110100020301</v>
      </c>
      <c r="U18" t="s">
        <v>565</v>
      </c>
      <c r="V18">
        <v>0.20356865499999999</v>
      </c>
      <c r="X18" t="b">
        <f t="shared" si="0"/>
        <v>0</v>
      </c>
      <c r="Y18" s="186" t="s">
        <v>1402</v>
      </c>
      <c r="Z18" t="s">
        <v>1403</v>
      </c>
    </row>
    <row r="19" spans="1:26" x14ac:dyDescent="0.25">
      <c r="A19">
        <v>2019</v>
      </c>
      <c r="B19" t="s">
        <v>1400</v>
      </c>
      <c r="C19" t="s">
        <v>1412</v>
      </c>
      <c r="D19" s="1">
        <v>110041245015</v>
      </c>
      <c r="E19" t="s">
        <v>1413</v>
      </c>
      <c r="F19" t="s">
        <v>1414</v>
      </c>
      <c r="G19" t="s">
        <v>683</v>
      </c>
      <c r="H19" t="s">
        <v>364</v>
      </c>
      <c r="I19" t="s">
        <v>1405</v>
      </c>
      <c r="J19">
        <v>39.567390000000003</v>
      </c>
      <c r="K19">
        <v>-76.920410000000004</v>
      </c>
      <c r="L19"/>
      <c r="M19" s="175" t="e">
        <f>VLOOKUP(L19, '2022 SIC to NAICS'!A:D, 2)</f>
        <v>#N/A</v>
      </c>
      <c r="N19" s="184" t="e">
        <f>VLOOKUP(L19, '2022 SIC to NAICS'!A:D, 3)</f>
        <v>#N/A</v>
      </c>
      <c r="O19" s="184" t="e">
        <f>VLOOKUP(L19, '2022 SIC to NAICS'!A:D, 4)</f>
        <v>#N/A</v>
      </c>
      <c r="P19" s="185" t="e">
        <f>VLOOKUP(N19, 'NAICS OES crosswalk'!A:C, 3, FALSE)</f>
        <v>#N/A</v>
      </c>
      <c r="T19" s="186" t="s">
        <v>1415</v>
      </c>
      <c r="U19" t="s">
        <v>1416</v>
      </c>
      <c r="V19">
        <v>6.9421631250000005E-4</v>
      </c>
      <c r="X19" t="b">
        <f t="shared" si="0"/>
        <v>1</v>
      </c>
      <c r="Y19" s="186" t="s">
        <v>1402</v>
      </c>
      <c r="Z19" t="s">
        <v>1403</v>
      </c>
    </row>
    <row r="20" spans="1:26" x14ac:dyDescent="0.25">
      <c r="A20">
        <v>2019</v>
      </c>
      <c r="B20" t="s">
        <v>1400</v>
      </c>
      <c r="C20" t="s">
        <v>668</v>
      </c>
      <c r="D20" s="1">
        <v>110041253256</v>
      </c>
      <c r="E20" t="s">
        <v>171</v>
      </c>
      <c r="F20" t="s">
        <v>157</v>
      </c>
      <c r="G20" t="s">
        <v>554</v>
      </c>
      <c r="H20" t="s">
        <v>158</v>
      </c>
      <c r="I20" t="s">
        <v>1405</v>
      </c>
      <c r="J20">
        <v>36.132570000000001</v>
      </c>
      <c r="K20">
        <v>-115.16477</v>
      </c>
      <c r="L20">
        <v>7011</v>
      </c>
      <c r="M20" s="175" t="str">
        <f>VLOOKUP(L20, '2022 SIC to NAICS'!A:D, 2)</f>
        <v>Communication Services, Nec</v>
      </c>
      <c r="N20" s="184">
        <f>VLOOKUP(L20, '2022 SIC to NAICS'!A:D, 3)</f>
        <v>517810</v>
      </c>
      <c r="O20" s="184" t="str">
        <f>VLOOKUP(L20, '2022 SIC to NAICS'!A:D, 4)</f>
        <v xml:space="preserve">All Other Telecommunications </v>
      </c>
      <c r="P20" s="185" t="str">
        <f>VLOOKUP(N20, 'NAICS OES crosswalk'!A:C, 3, FALSE)</f>
        <v>TBD</v>
      </c>
      <c r="T20">
        <v>150100150604</v>
      </c>
      <c r="U20" t="s">
        <v>578</v>
      </c>
      <c r="V20">
        <v>7.8746924999999995E-2</v>
      </c>
      <c r="X20" t="b">
        <f t="shared" si="0"/>
        <v>0</v>
      </c>
      <c r="Y20" s="186" t="s">
        <v>1402</v>
      </c>
      <c r="Z20" t="s">
        <v>1403</v>
      </c>
    </row>
    <row r="21" spans="1:26" x14ac:dyDescent="0.25">
      <c r="A21">
        <v>2019</v>
      </c>
      <c r="B21" t="s">
        <v>1400</v>
      </c>
      <c r="C21" t="s">
        <v>1103</v>
      </c>
      <c r="D21" s="1">
        <v>110043808467</v>
      </c>
      <c r="E21" t="s">
        <v>172</v>
      </c>
      <c r="F21" t="s">
        <v>173</v>
      </c>
      <c r="G21" t="s">
        <v>554</v>
      </c>
      <c r="H21" t="s">
        <v>158</v>
      </c>
      <c r="I21" t="s">
        <v>1405</v>
      </c>
      <c r="J21">
        <v>36.035440000000001</v>
      </c>
      <c r="K21">
        <v>-114.99994</v>
      </c>
      <c r="L21">
        <v>1799</v>
      </c>
      <c r="M21" s="175" t="str">
        <f>VLOOKUP(L21, '2022 SIC to NAICS'!A:D, 2)</f>
        <v>Special Trade Contractors, Nec</v>
      </c>
      <c r="N21" s="184">
        <f>VLOOKUP(L21, '2022 SIC to NAICS'!A:D, 3)</f>
        <v>238990</v>
      </c>
      <c r="O21" s="184" t="str">
        <f>VLOOKUP(L21, '2022 SIC to NAICS'!A:D, 4)</f>
        <v>All Other Specialty Trade Contractors</v>
      </c>
      <c r="P21" s="185" t="str">
        <f>VLOOKUP(N21, 'NAICS OES crosswalk'!A:C, 3, FALSE)</f>
        <v>TBD</v>
      </c>
      <c r="T21">
        <v>150100150708</v>
      </c>
      <c r="U21" t="s">
        <v>1104</v>
      </c>
      <c r="V21">
        <v>0.29663518124999999</v>
      </c>
      <c r="X21" t="b">
        <f t="shared" si="0"/>
        <v>0</v>
      </c>
      <c r="Y21" s="186" t="s">
        <v>1402</v>
      </c>
      <c r="Z21" t="s">
        <v>1403</v>
      </c>
    </row>
    <row r="22" spans="1:26" x14ac:dyDescent="0.25">
      <c r="A22">
        <v>2019</v>
      </c>
      <c r="B22" t="s">
        <v>1400</v>
      </c>
      <c r="C22" t="s">
        <v>766</v>
      </c>
      <c r="D22" s="1">
        <v>110000597266</v>
      </c>
      <c r="E22" t="s">
        <v>174</v>
      </c>
      <c r="F22" t="s">
        <v>175</v>
      </c>
      <c r="G22" t="s">
        <v>630</v>
      </c>
      <c r="H22" t="s">
        <v>106</v>
      </c>
      <c r="I22" t="s">
        <v>1401</v>
      </c>
      <c r="J22">
        <v>30.193916000000002</v>
      </c>
      <c r="K22">
        <v>-93.321347000000003</v>
      </c>
      <c r="L22">
        <v>2821</v>
      </c>
      <c r="M22" s="175" t="str">
        <f>VLOOKUP(L22, '2022 SIC to NAICS'!A:D, 2)</f>
        <v>Platemaking Services</v>
      </c>
      <c r="N22" s="184">
        <f>VLOOKUP(L22, '2022 SIC to NAICS'!A:D, 3)</f>
        <v>323120</v>
      </c>
      <c r="O22" s="184" t="str">
        <f>VLOOKUP(L22, '2022 SIC to NAICS'!A:D, 4)</f>
        <v>Support Activities for Printing</v>
      </c>
      <c r="P22" s="185" t="str">
        <f>VLOOKUP(N22, 'NAICS OES crosswalk'!A:C, 3, FALSE)</f>
        <v>TBD</v>
      </c>
      <c r="T22" s="186" t="s">
        <v>1191</v>
      </c>
      <c r="U22" t="s">
        <v>767</v>
      </c>
      <c r="V22">
        <v>0.414275</v>
      </c>
      <c r="X22" t="b">
        <f t="shared" si="0"/>
        <v>0</v>
      </c>
      <c r="Y22" s="186" t="s">
        <v>1402</v>
      </c>
      <c r="Z22" t="s">
        <v>1403</v>
      </c>
    </row>
    <row r="23" spans="1:26" x14ac:dyDescent="0.25">
      <c r="A23">
        <v>2019</v>
      </c>
      <c r="B23" t="s">
        <v>1400</v>
      </c>
      <c r="C23" t="s">
        <v>1055</v>
      </c>
      <c r="D23" s="1">
        <v>110000730460</v>
      </c>
      <c r="E23" t="s">
        <v>176</v>
      </c>
      <c r="F23" t="s">
        <v>177</v>
      </c>
      <c r="G23" t="s">
        <v>1054</v>
      </c>
      <c r="H23" t="s">
        <v>146</v>
      </c>
      <c r="I23" t="s">
        <v>1401</v>
      </c>
      <c r="J23">
        <v>38.368760000000002</v>
      </c>
      <c r="K23">
        <v>-122.76860000000001</v>
      </c>
      <c r="L23">
        <v>4952</v>
      </c>
      <c r="M23" s="175" t="str">
        <f>VLOOKUP(L23, '2022 SIC to NAICS'!A:D, 2)</f>
        <v>Manufacturing Industries, Nec</v>
      </c>
      <c r="N23" s="184">
        <f>VLOOKUP(L23, '2022 SIC to NAICS'!A:D, 3)</f>
        <v>339999</v>
      </c>
      <c r="O23" s="184" t="str">
        <f>VLOOKUP(L23, '2022 SIC to NAICS'!A:D, 4)</f>
        <v xml:space="preserve">All Other Miscellaneous Manufacturing </v>
      </c>
      <c r="P23" s="185" t="str">
        <f>VLOOKUP(N23, 'NAICS OES crosswalk'!A:C, 3, FALSE)</f>
        <v>TBD</v>
      </c>
      <c r="T23">
        <v>180101100701</v>
      </c>
      <c r="U23" t="s">
        <v>1056</v>
      </c>
      <c r="V23">
        <v>2.2312574999999999</v>
      </c>
      <c r="X23" t="b">
        <f t="shared" si="0"/>
        <v>0</v>
      </c>
      <c r="Y23" t="s">
        <v>1417</v>
      </c>
      <c r="Z23" t="s">
        <v>1403</v>
      </c>
    </row>
    <row r="24" spans="1:26" x14ac:dyDescent="0.25">
      <c r="A24">
        <v>2019</v>
      </c>
      <c r="B24" t="s">
        <v>1400</v>
      </c>
      <c r="C24" t="s">
        <v>794</v>
      </c>
      <c r="D24" s="1">
        <v>110070215141</v>
      </c>
      <c r="E24" t="s">
        <v>419</v>
      </c>
      <c r="F24" t="s">
        <v>420</v>
      </c>
      <c r="G24" t="s">
        <v>781</v>
      </c>
      <c r="H24" t="s">
        <v>153</v>
      </c>
      <c r="I24" t="s">
        <v>1405</v>
      </c>
      <c r="J24">
        <v>40.515906999999999</v>
      </c>
      <c r="K24">
        <v>-74.325175999999999</v>
      </c>
      <c r="L24"/>
      <c r="M24" s="175" t="e">
        <f>VLOOKUP(L24, '2022 SIC to NAICS'!A:D, 2)</f>
        <v>#N/A</v>
      </c>
      <c r="N24" s="184" t="e">
        <f>VLOOKUP(L24, '2022 SIC to NAICS'!A:D, 3)</f>
        <v>#N/A</v>
      </c>
      <c r="O24" s="184" t="e">
        <f>VLOOKUP(L24, '2022 SIC to NAICS'!A:D, 4)</f>
        <v>#N/A</v>
      </c>
      <c r="P24" s="185" t="e">
        <f>VLOOKUP(N24, 'NAICS OES crosswalk'!A:C, 3, FALSE)</f>
        <v>#N/A</v>
      </c>
      <c r="T24" s="186" t="s">
        <v>1269</v>
      </c>
      <c r="U24" t="s">
        <v>795</v>
      </c>
      <c r="V24">
        <v>3.4725104E-3</v>
      </c>
      <c r="X24" t="b">
        <f t="shared" si="0"/>
        <v>1</v>
      </c>
      <c r="Y24" s="186" t="s">
        <v>1402</v>
      </c>
      <c r="Z24" t="s">
        <v>1403</v>
      </c>
    </row>
    <row r="25" spans="1:26" x14ac:dyDescent="0.25">
      <c r="A25">
        <v>2019</v>
      </c>
      <c r="B25" t="s">
        <v>1400</v>
      </c>
      <c r="C25" t="s">
        <v>953</v>
      </c>
      <c r="D25" s="1">
        <v>110039705361</v>
      </c>
      <c r="E25" t="s">
        <v>178</v>
      </c>
      <c r="F25" t="s">
        <v>179</v>
      </c>
      <c r="G25" t="s">
        <v>712</v>
      </c>
      <c r="H25" t="s">
        <v>138</v>
      </c>
      <c r="I25" t="s">
        <v>1401</v>
      </c>
      <c r="J25">
        <v>38.101582000000001</v>
      </c>
      <c r="K25">
        <v>-83.919770999999997</v>
      </c>
      <c r="L25">
        <v>4952</v>
      </c>
      <c r="M25" s="175" t="str">
        <f>VLOOKUP(L25, '2022 SIC to NAICS'!A:D, 2)</f>
        <v>Manufacturing Industries, Nec</v>
      </c>
      <c r="N25" s="184">
        <f>VLOOKUP(L25, '2022 SIC to NAICS'!A:D, 3)</f>
        <v>339999</v>
      </c>
      <c r="O25" s="184" t="str">
        <f>VLOOKUP(L25, '2022 SIC to NAICS'!A:D, 4)</f>
        <v xml:space="preserve">All Other Miscellaneous Manufacturing </v>
      </c>
      <c r="P25" s="185" t="str">
        <f>VLOOKUP(N25, 'NAICS OES crosswalk'!A:C, 3, FALSE)</f>
        <v>TBD</v>
      </c>
      <c r="T25" s="186" t="s">
        <v>1192</v>
      </c>
      <c r="U25" t="s">
        <v>954</v>
      </c>
      <c r="V25">
        <v>11.086738125</v>
      </c>
      <c r="X25" t="b">
        <f t="shared" si="0"/>
        <v>0</v>
      </c>
      <c r="Y25" s="186" t="s">
        <v>1402</v>
      </c>
      <c r="Z25" t="s">
        <v>1403</v>
      </c>
    </row>
    <row r="26" spans="1:26" x14ac:dyDescent="0.25">
      <c r="A26">
        <v>2019</v>
      </c>
      <c r="B26" t="s">
        <v>1400</v>
      </c>
      <c r="C26" t="s">
        <v>625</v>
      </c>
      <c r="D26" s="1">
        <v>110000597355</v>
      </c>
      <c r="E26" t="s">
        <v>180</v>
      </c>
      <c r="F26" t="s">
        <v>181</v>
      </c>
      <c r="G26" t="s">
        <v>623</v>
      </c>
      <c r="H26" t="s">
        <v>106</v>
      </c>
      <c r="I26" t="s">
        <v>1405</v>
      </c>
      <c r="J26">
        <v>30.486767</v>
      </c>
      <c r="K26">
        <v>-90.925479999999993</v>
      </c>
      <c r="L26">
        <v>2899</v>
      </c>
      <c r="M26" s="175" t="str">
        <f>VLOOKUP(L26, '2022 SIC to NAICS'!A:D, 2)</f>
        <v>Explosives</v>
      </c>
      <c r="N26" s="184">
        <f>VLOOKUP(L26, '2022 SIC to NAICS'!A:D, 3)</f>
        <v>325920</v>
      </c>
      <c r="O26" s="184" t="str">
        <f>VLOOKUP(L26, '2022 SIC to NAICS'!A:D, 4)</f>
        <v>Explosives Manufacturing</v>
      </c>
      <c r="P26" s="185" t="str">
        <f>VLOOKUP(N26, 'NAICS OES crosswalk'!A:C, 3, FALSE)</f>
        <v>TBD</v>
      </c>
      <c r="T26" s="186" t="s">
        <v>1193</v>
      </c>
      <c r="U26" t="s">
        <v>626</v>
      </c>
      <c r="V26">
        <v>3.3141999999999998E-2</v>
      </c>
      <c r="X26" t="b">
        <f t="shared" si="0"/>
        <v>0</v>
      </c>
      <c r="Y26" s="186" t="s">
        <v>1418</v>
      </c>
      <c r="Z26" t="s">
        <v>1403</v>
      </c>
    </row>
    <row r="27" spans="1:26" x14ac:dyDescent="0.25">
      <c r="A27">
        <v>2019</v>
      </c>
      <c r="B27" t="s">
        <v>1400</v>
      </c>
      <c r="C27" t="s">
        <v>971</v>
      </c>
      <c r="D27" s="1">
        <v>110016759444</v>
      </c>
      <c r="E27" t="s">
        <v>182</v>
      </c>
      <c r="F27" t="s">
        <v>183</v>
      </c>
      <c r="G27" t="s">
        <v>627</v>
      </c>
      <c r="H27" t="s">
        <v>138</v>
      </c>
      <c r="I27" t="s">
        <v>1401</v>
      </c>
      <c r="J27">
        <v>37.852220000000003</v>
      </c>
      <c r="K27">
        <v>-84.363079999999997</v>
      </c>
      <c r="L27">
        <v>4952</v>
      </c>
      <c r="M27" s="175" t="str">
        <f>VLOOKUP(L27, '2022 SIC to NAICS'!A:D, 2)</f>
        <v>Manufacturing Industries, Nec</v>
      </c>
      <c r="N27" s="184">
        <f>VLOOKUP(L27, '2022 SIC to NAICS'!A:D, 3)</f>
        <v>339999</v>
      </c>
      <c r="O27" s="184" t="str">
        <f>VLOOKUP(L27, '2022 SIC to NAICS'!A:D, 4)</f>
        <v xml:space="preserve">All Other Miscellaneous Manufacturing </v>
      </c>
      <c r="P27" s="185" t="str">
        <f>VLOOKUP(N27, 'NAICS OES crosswalk'!A:C, 3, FALSE)</f>
        <v>TBD</v>
      </c>
      <c r="T27" s="186" t="s">
        <v>1194</v>
      </c>
      <c r="U27" t="s">
        <v>972</v>
      </c>
      <c r="V27">
        <v>0.97397512500000005</v>
      </c>
      <c r="X27" t="b">
        <f t="shared" si="0"/>
        <v>0</v>
      </c>
      <c r="Y27" s="186" t="s">
        <v>1402</v>
      </c>
      <c r="Z27" t="s">
        <v>1403</v>
      </c>
    </row>
    <row r="28" spans="1:26" x14ac:dyDescent="0.25">
      <c r="A28">
        <v>2019</v>
      </c>
      <c r="B28" t="s">
        <v>1400</v>
      </c>
      <c r="C28" t="s">
        <v>657</v>
      </c>
      <c r="D28" s="1">
        <v>110046184516</v>
      </c>
      <c r="E28" t="s">
        <v>184</v>
      </c>
      <c r="F28" t="s">
        <v>185</v>
      </c>
      <c r="G28" t="s">
        <v>185</v>
      </c>
      <c r="H28" t="s">
        <v>186</v>
      </c>
      <c r="I28" t="s">
        <v>1405</v>
      </c>
      <c r="J28">
        <v>21.352499999999999</v>
      </c>
      <c r="K28">
        <v>-157.95813899999999</v>
      </c>
      <c r="L28">
        <v>3731</v>
      </c>
      <c r="M28" s="175" t="str">
        <f>VLOOKUP(L28, '2022 SIC to NAICS'!A:D, 2)</f>
        <v>Office Machines, Nec</v>
      </c>
      <c r="N28" s="184">
        <f>VLOOKUP(L28, '2022 SIC to NAICS'!A:D, 3)</f>
        <v>339940</v>
      </c>
      <c r="O28" s="184" t="str">
        <f>VLOOKUP(L28, '2022 SIC to NAICS'!A:D, 4)</f>
        <v>Office Supplies (except Paper) Manufacturing</v>
      </c>
      <c r="P28" s="185" t="str">
        <f>VLOOKUP(N28, 'NAICS OES crosswalk'!A:C, 3, FALSE)</f>
        <v>TBD</v>
      </c>
      <c r="T28">
        <v>200600000401</v>
      </c>
      <c r="U28" t="s">
        <v>658</v>
      </c>
      <c r="V28">
        <v>0.26248975000000002</v>
      </c>
      <c r="X28" t="b">
        <f t="shared" si="0"/>
        <v>0</v>
      </c>
      <c r="Y28" t="s">
        <v>1419</v>
      </c>
      <c r="Z28" t="s">
        <v>1403</v>
      </c>
    </row>
    <row r="29" spans="1:26" x14ac:dyDescent="0.25">
      <c r="A29">
        <v>2019</v>
      </c>
      <c r="B29" t="s">
        <v>1400</v>
      </c>
      <c r="C29" t="s">
        <v>1420</v>
      </c>
      <c r="D29" s="1">
        <v>110041903223</v>
      </c>
      <c r="E29" t="s">
        <v>1421</v>
      </c>
      <c r="F29" t="s">
        <v>157</v>
      </c>
      <c r="G29" t="s">
        <v>554</v>
      </c>
      <c r="H29" t="s">
        <v>158</v>
      </c>
      <c r="I29" t="s">
        <v>1405</v>
      </c>
      <c r="J29">
        <v>36.074100000000001</v>
      </c>
      <c r="K29">
        <v>-115.17274</v>
      </c>
      <c r="L29">
        <v>5541</v>
      </c>
      <c r="M29" s="175" t="str">
        <f>VLOOKUP(L29, '2022 SIC to NAICS'!A:D, 2)</f>
        <v>Meat and Fish Markets</v>
      </c>
      <c r="N29" s="184">
        <f>VLOOKUP(L29, '2022 SIC to NAICS'!A:D, 3)</f>
        <v>445250</v>
      </c>
      <c r="O29" s="184" t="str">
        <f>VLOOKUP(L29, '2022 SIC to NAICS'!A:D, 4)</f>
        <v xml:space="preserve">Fish and Seafood Retailers </v>
      </c>
      <c r="P29" s="185" t="str">
        <f>VLOOKUP(N29, 'NAICS OES crosswalk'!A:C, 3, FALSE)</f>
        <v>TBD</v>
      </c>
      <c r="T29">
        <v>150100150505</v>
      </c>
      <c r="U29" t="s">
        <v>557</v>
      </c>
      <c r="V29">
        <v>2.39176515625E-3</v>
      </c>
      <c r="X29" t="b">
        <f t="shared" si="0"/>
        <v>1</v>
      </c>
      <c r="Y29" s="186" t="s">
        <v>1402</v>
      </c>
      <c r="Z29" t="s">
        <v>1403</v>
      </c>
    </row>
    <row r="30" spans="1:26" x14ac:dyDescent="0.25">
      <c r="A30">
        <v>2019</v>
      </c>
      <c r="B30" t="s">
        <v>1400</v>
      </c>
      <c r="C30" t="s">
        <v>774</v>
      </c>
      <c r="D30" s="1">
        <v>110034641635</v>
      </c>
      <c r="E30" t="s">
        <v>187</v>
      </c>
      <c r="F30" t="s">
        <v>188</v>
      </c>
      <c r="G30" t="s">
        <v>638</v>
      </c>
      <c r="H30" t="s">
        <v>114</v>
      </c>
      <c r="I30" t="s">
        <v>1401</v>
      </c>
      <c r="J30">
        <v>29.717471</v>
      </c>
      <c r="K30">
        <v>-95.068008000000006</v>
      </c>
      <c r="L30">
        <v>2869</v>
      </c>
      <c r="M30" s="175" t="str">
        <f>VLOOKUP(L30, '2022 SIC to NAICS'!A:D, 2)</f>
        <v>Industrial Organic Chemicals, Nec</v>
      </c>
      <c r="N30" s="184">
        <f>VLOOKUP(L30, '2022 SIC to NAICS'!A:D, 3)</f>
        <v>325180</v>
      </c>
      <c r="O30" s="184" t="str">
        <f>VLOOKUP(L30, '2022 SIC to NAICS'!A:D, 4)</f>
        <v xml:space="preserve">Other Basic Inorganic Chemical Manufacturing </v>
      </c>
      <c r="P30" s="185" t="str">
        <f>VLOOKUP(N30, 'NAICS OES crosswalk'!A:C, 3, FALSE)</f>
        <v>Processing as a reactant</v>
      </c>
      <c r="T30">
        <v>120401040706</v>
      </c>
      <c r="U30" t="s">
        <v>640</v>
      </c>
      <c r="V30">
        <v>1.32568</v>
      </c>
      <c r="X30" t="b">
        <f t="shared" si="0"/>
        <v>0</v>
      </c>
      <c r="Y30" s="186" t="s">
        <v>1406</v>
      </c>
    </row>
    <row r="31" spans="1:26" x14ac:dyDescent="0.25">
      <c r="A31">
        <v>2019</v>
      </c>
      <c r="B31" t="s">
        <v>1400</v>
      </c>
      <c r="C31" t="s">
        <v>569</v>
      </c>
      <c r="D31" s="1">
        <v>110002672484</v>
      </c>
      <c r="E31" t="s">
        <v>189</v>
      </c>
      <c r="F31" t="s">
        <v>190</v>
      </c>
      <c r="G31" t="s">
        <v>566</v>
      </c>
      <c r="H31" t="s">
        <v>146</v>
      </c>
      <c r="I31" t="s">
        <v>1405</v>
      </c>
      <c r="J31">
        <v>32.803809999999999</v>
      </c>
      <c r="K31">
        <v>-115.53973999999999</v>
      </c>
      <c r="L31" s="186" t="s">
        <v>567</v>
      </c>
      <c r="M31" s="175" t="str">
        <f>VLOOKUP(L31, '2022 SIC to NAICS'!A:D, 2)</f>
        <v>Fish Hatcheries and Preserves</v>
      </c>
      <c r="N31" s="184">
        <f>VLOOKUP(L31, '2022 SIC to NAICS'!A:D, 3)</f>
        <v>112511</v>
      </c>
      <c r="O31" s="184" t="str">
        <f>VLOOKUP(L31, '2022 SIC to NAICS'!A:D, 4)</f>
        <v xml:space="preserve">Finfish Farming and Fish Hatcheries </v>
      </c>
      <c r="P31" s="185" t="str">
        <f>VLOOKUP(N31, 'NAICS OES crosswalk'!A:C, 3, FALSE)</f>
        <v>TBD</v>
      </c>
      <c r="T31">
        <v>181002040701</v>
      </c>
      <c r="U31" t="s">
        <v>570</v>
      </c>
      <c r="V31">
        <v>5.0149357500000004E-3</v>
      </c>
      <c r="X31" t="b">
        <f t="shared" si="0"/>
        <v>0</v>
      </c>
      <c r="Y31" s="186" t="s">
        <v>1402</v>
      </c>
      <c r="Z31" t="s">
        <v>1403</v>
      </c>
    </row>
    <row r="32" spans="1:26" x14ac:dyDescent="0.25">
      <c r="A32">
        <v>2019</v>
      </c>
      <c r="B32" t="s">
        <v>1400</v>
      </c>
      <c r="C32" t="s">
        <v>851</v>
      </c>
      <c r="D32" s="1">
        <v>110070210457</v>
      </c>
      <c r="E32" t="s">
        <v>191</v>
      </c>
      <c r="F32" t="s">
        <v>192</v>
      </c>
      <c r="G32" t="s">
        <v>731</v>
      </c>
      <c r="H32" t="s">
        <v>153</v>
      </c>
      <c r="I32" t="s">
        <v>1405</v>
      </c>
      <c r="J32">
        <v>39.827696000000003</v>
      </c>
      <c r="K32">
        <v>-75.277782000000002</v>
      </c>
      <c r="L32">
        <v>2869</v>
      </c>
      <c r="M32" s="175" t="str">
        <f>VLOOKUP(L32, '2022 SIC to NAICS'!A:D, 2)</f>
        <v>Industrial Organic Chemicals, Nec</v>
      </c>
      <c r="N32" s="184">
        <f>VLOOKUP(L32, '2022 SIC to NAICS'!A:D, 3)</f>
        <v>325180</v>
      </c>
      <c r="O32" s="184" t="str">
        <f>VLOOKUP(L32, '2022 SIC to NAICS'!A:D, 4)</f>
        <v xml:space="preserve">Other Basic Inorganic Chemical Manufacturing </v>
      </c>
      <c r="P32" s="185" t="str">
        <f>VLOOKUP(N32, 'NAICS OES crosswalk'!A:C, 3, FALSE)</f>
        <v>Processing as a reactant</v>
      </c>
      <c r="T32" s="186" t="s">
        <v>1195</v>
      </c>
      <c r="U32" t="s">
        <v>852</v>
      </c>
      <c r="V32">
        <v>6.674366805E-3</v>
      </c>
      <c r="X32" t="b">
        <f t="shared" si="0"/>
        <v>0</v>
      </c>
      <c r="Y32" s="186" t="s">
        <v>1402</v>
      </c>
      <c r="Z32" t="s">
        <v>1403</v>
      </c>
    </row>
    <row r="33" spans="1:26" x14ac:dyDescent="0.25">
      <c r="A33">
        <v>2019</v>
      </c>
      <c r="B33" t="s">
        <v>1400</v>
      </c>
      <c r="C33" t="s">
        <v>1091</v>
      </c>
      <c r="D33" s="1">
        <v>110056972432</v>
      </c>
      <c r="E33" t="s">
        <v>193</v>
      </c>
      <c r="F33" t="s">
        <v>194</v>
      </c>
      <c r="G33" t="s">
        <v>1087</v>
      </c>
      <c r="H33" t="s">
        <v>106</v>
      </c>
      <c r="I33" t="s">
        <v>1401</v>
      </c>
      <c r="J33">
        <v>30.250833</v>
      </c>
      <c r="K33">
        <v>-91.092277999999993</v>
      </c>
      <c r="L33">
        <v>2869</v>
      </c>
      <c r="M33" s="175" t="str">
        <f>VLOOKUP(L33, '2022 SIC to NAICS'!A:D, 2)</f>
        <v>Industrial Organic Chemicals, Nec</v>
      </c>
      <c r="N33" s="184">
        <f>VLOOKUP(L33, '2022 SIC to NAICS'!A:D, 3)</f>
        <v>325180</v>
      </c>
      <c r="O33" s="184" t="str">
        <f>VLOOKUP(L33, '2022 SIC to NAICS'!A:D, 4)</f>
        <v xml:space="preserve">Other Basic Inorganic Chemical Manufacturing </v>
      </c>
      <c r="P33" s="185" t="str">
        <f>VLOOKUP(N33, 'NAICS OES crosswalk'!A:C, 3, FALSE)</f>
        <v>Processing as a reactant</v>
      </c>
      <c r="T33" s="186" t="s">
        <v>1196</v>
      </c>
      <c r="U33" t="s">
        <v>1090</v>
      </c>
      <c r="V33">
        <v>0.414275</v>
      </c>
      <c r="X33" t="b">
        <f t="shared" si="0"/>
        <v>0</v>
      </c>
      <c r="Y33" s="186" t="s">
        <v>1402</v>
      </c>
      <c r="Z33" t="s">
        <v>1403</v>
      </c>
    </row>
    <row r="34" spans="1:26" x14ac:dyDescent="0.25">
      <c r="A34">
        <v>2019</v>
      </c>
      <c r="B34" t="s">
        <v>1400</v>
      </c>
      <c r="C34" t="s">
        <v>636</v>
      </c>
      <c r="D34" s="1">
        <v>110000487633</v>
      </c>
      <c r="E34" t="s">
        <v>195</v>
      </c>
      <c r="F34" t="s">
        <v>196</v>
      </c>
      <c r="G34" t="s">
        <v>634</v>
      </c>
      <c r="H34" t="s">
        <v>197</v>
      </c>
      <c r="I34" t="s">
        <v>1405</v>
      </c>
      <c r="J34">
        <v>45.543847</v>
      </c>
      <c r="K34">
        <v>-122.46656299999999</v>
      </c>
      <c r="L34">
        <v>3728</v>
      </c>
      <c r="M34" s="175" t="str">
        <f>VLOOKUP(L34, '2022 SIC to NAICS'!A:D, 2)</f>
        <v>Office Machines, Nec</v>
      </c>
      <c r="N34" s="184">
        <f>VLOOKUP(L34, '2022 SIC to NAICS'!A:D, 3)</f>
        <v>339940</v>
      </c>
      <c r="O34" s="184" t="str">
        <f>VLOOKUP(L34, '2022 SIC to NAICS'!A:D, 4)</f>
        <v>Office Supplies (except Paper) Manufacturing</v>
      </c>
      <c r="P34" s="185" t="str">
        <f>VLOOKUP(N34, 'NAICS OES crosswalk'!A:C, 3, FALSE)</f>
        <v>TBD</v>
      </c>
      <c r="T34">
        <v>170900120201</v>
      </c>
      <c r="U34" t="s">
        <v>637</v>
      </c>
      <c r="V34">
        <v>2.4966919800000001E-2</v>
      </c>
      <c r="X34" t="b">
        <f t="shared" si="0"/>
        <v>0</v>
      </c>
      <c r="Y34" s="186" t="s">
        <v>1402</v>
      </c>
      <c r="Z34" t="s">
        <v>1403</v>
      </c>
    </row>
    <row r="35" spans="1:26" x14ac:dyDescent="0.25">
      <c r="A35">
        <v>2019</v>
      </c>
      <c r="B35" t="s">
        <v>1400</v>
      </c>
      <c r="C35" t="s">
        <v>1422</v>
      </c>
      <c r="D35" s="1">
        <v>110041022274</v>
      </c>
      <c r="E35" t="s">
        <v>1423</v>
      </c>
      <c r="F35" t="s">
        <v>1424</v>
      </c>
      <c r="G35" t="s">
        <v>694</v>
      </c>
      <c r="H35" t="s">
        <v>153</v>
      </c>
      <c r="I35" t="s">
        <v>1401</v>
      </c>
      <c r="J35">
        <v>39.766944000000002</v>
      </c>
      <c r="K35">
        <v>-75.421361000000005</v>
      </c>
      <c r="L35">
        <v>2821</v>
      </c>
      <c r="M35" s="175" t="str">
        <f>VLOOKUP(L35, '2022 SIC to NAICS'!A:D, 2)</f>
        <v>Platemaking Services</v>
      </c>
      <c r="N35" s="184">
        <f>VLOOKUP(L35, '2022 SIC to NAICS'!A:D, 3)</f>
        <v>323120</v>
      </c>
      <c r="O35" s="184" t="str">
        <f>VLOOKUP(L35, '2022 SIC to NAICS'!A:D, 4)</f>
        <v>Support Activities for Printing</v>
      </c>
      <c r="P35" s="185" t="str">
        <f>VLOOKUP(N35, 'NAICS OES crosswalk'!A:C, 3, FALSE)</f>
        <v>TBD</v>
      </c>
      <c r="T35" s="186" t="s">
        <v>1250</v>
      </c>
      <c r="U35" t="s">
        <v>696</v>
      </c>
      <c r="V35">
        <v>1.8600000000000001E-5</v>
      </c>
      <c r="X35" t="b">
        <f t="shared" si="0"/>
        <v>1</v>
      </c>
      <c r="Y35" s="186" t="s">
        <v>1402</v>
      </c>
      <c r="Z35" t="s">
        <v>1403</v>
      </c>
    </row>
    <row r="36" spans="1:26" x14ac:dyDescent="0.25">
      <c r="A36">
        <v>2019</v>
      </c>
      <c r="B36" t="s">
        <v>1400</v>
      </c>
      <c r="C36" t="s">
        <v>1055</v>
      </c>
      <c r="D36" s="1">
        <v>110000730460</v>
      </c>
      <c r="E36" t="s">
        <v>176</v>
      </c>
      <c r="F36" t="s">
        <v>177</v>
      </c>
      <c r="G36" t="s">
        <v>1054</v>
      </c>
      <c r="H36" t="s">
        <v>146</v>
      </c>
      <c r="I36" t="s">
        <v>1401</v>
      </c>
      <c r="J36">
        <v>38.368760000000002</v>
      </c>
      <c r="K36">
        <v>-122.76860000000001</v>
      </c>
      <c r="L36">
        <v>4952</v>
      </c>
      <c r="M36" s="175" t="str">
        <f>VLOOKUP(L36, '2022 SIC to NAICS'!A:D, 2)</f>
        <v>Manufacturing Industries, Nec</v>
      </c>
      <c r="N36" s="184">
        <f>VLOOKUP(L36, '2022 SIC to NAICS'!A:D, 3)</f>
        <v>339999</v>
      </c>
      <c r="O36" s="184" t="str">
        <f>VLOOKUP(L36, '2022 SIC to NAICS'!A:D, 4)</f>
        <v xml:space="preserve">All Other Miscellaneous Manufacturing </v>
      </c>
      <c r="P36" s="185" t="str">
        <f>VLOOKUP(N36, 'NAICS OES crosswalk'!A:C, 3, FALSE)</f>
        <v>TBD</v>
      </c>
      <c r="T36">
        <v>180101100701</v>
      </c>
      <c r="U36" t="s">
        <v>1056</v>
      </c>
      <c r="V36">
        <v>2.51229375</v>
      </c>
      <c r="X36" t="b">
        <f t="shared" si="0"/>
        <v>0</v>
      </c>
      <c r="Y36" t="s">
        <v>1425</v>
      </c>
      <c r="Z36" t="s">
        <v>1403</v>
      </c>
    </row>
    <row r="37" spans="1:26" x14ac:dyDescent="0.25">
      <c r="A37">
        <v>2019</v>
      </c>
      <c r="B37" t="s">
        <v>1400</v>
      </c>
      <c r="C37" t="s">
        <v>922</v>
      </c>
      <c r="D37" s="1">
        <v>110070208769</v>
      </c>
      <c r="E37" t="s">
        <v>198</v>
      </c>
      <c r="F37" t="s">
        <v>175</v>
      </c>
      <c r="G37" t="s">
        <v>630</v>
      </c>
      <c r="H37" t="s">
        <v>106</v>
      </c>
      <c r="I37" t="s">
        <v>1401</v>
      </c>
      <c r="J37">
        <v>30.214192000000001</v>
      </c>
      <c r="K37">
        <v>-93.308589999999995</v>
      </c>
      <c r="L37">
        <v>2869</v>
      </c>
      <c r="M37" s="175" t="str">
        <f>VLOOKUP(L37, '2022 SIC to NAICS'!A:D, 2)</f>
        <v>Industrial Organic Chemicals, Nec</v>
      </c>
      <c r="N37" s="184">
        <f>VLOOKUP(L37, '2022 SIC to NAICS'!A:D, 3)</f>
        <v>325180</v>
      </c>
      <c r="O37" s="184" t="str">
        <f>VLOOKUP(L37, '2022 SIC to NAICS'!A:D, 4)</f>
        <v xml:space="preserve">Other Basic Inorganic Chemical Manufacturing </v>
      </c>
      <c r="P37" s="185" t="str">
        <f>VLOOKUP(N37, 'NAICS OES crosswalk'!A:C, 3, FALSE)</f>
        <v>Processing as a reactant</v>
      </c>
      <c r="T37" s="186" t="s">
        <v>1191</v>
      </c>
      <c r="U37" t="s">
        <v>767</v>
      </c>
      <c r="V37">
        <v>4.8884449999999999</v>
      </c>
      <c r="X37" t="b">
        <f t="shared" si="0"/>
        <v>0</v>
      </c>
      <c r="Y37" s="186" t="s">
        <v>1402</v>
      </c>
      <c r="Z37" t="s">
        <v>1403</v>
      </c>
    </row>
    <row r="38" spans="1:26" x14ac:dyDescent="0.25">
      <c r="A38">
        <v>2019</v>
      </c>
      <c r="B38" t="s">
        <v>1400</v>
      </c>
      <c r="C38" t="s">
        <v>648</v>
      </c>
      <c r="D38" s="1">
        <v>110009938265</v>
      </c>
      <c r="E38" t="s">
        <v>199</v>
      </c>
      <c r="F38" t="s">
        <v>200</v>
      </c>
      <c r="G38" t="s">
        <v>647</v>
      </c>
      <c r="H38" t="s">
        <v>138</v>
      </c>
      <c r="I38" t="s">
        <v>1405</v>
      </c>
      <c r="J38">
        <v>36.787260000000003</v>
      </c>
      <c r="K38">
        <v>-85.369240000000005</v>
      </c>
      <c r="L38">
        <v>4952</v>
      </c>
      <c r="M38" s="175" t="str">
        <f>VLOOKUP(L38, '2022 SIC to NAICS'!A:D, 2)</f>
        <v>Manufacturing Industries, Nec</v>
      </c>
      <c r="N38" s="184">
        <f>VLOOKUP(L38, '2022 SIC to NAICS'!A:D, 3)</f>
        <v>339999</v>
      </c>
      <c r="O38" s="184" t="str">
        <f>VLOOKUP(L38, '2022 SIC to NAICS'!A:D, 4)</f>
        <v xml:space="preserve">All Other Miscellaneous Manufacturing </v>
      </c>
      <c r="P38" s="185" t="str">
        <f>VLOOKUP(N38, 'NAICS OES crosswalk'!A:C, 3, FALSE)</f>
        <v>TBD</v>
      </c>
      <c r="T38" s="186" t="s">
        <v>1197</v>
      </c>
      <c r="U38" t="s">
        <v>649</v>
      </c>
      <c r="V38">
        <v>0.3134680225</v>
      </c>
      <c r="X38" t="b">
        <f t="shared" si="0"/>
        <v>0</v>
      </c>
      <c r="Y38" s="186" t="s">
        <v>1402</v>
      </c>
      <c r="Z38" t="s">
        <v>1403</v>
      </c>
    </row>
    <row r="39" spans="1:26" x14ac:dyDescent="0.25">
      <c r="A39">
        <v>2019</v>
      </c>
      <c r="B39" t="s">
        <v>1400</v>
      </c>
      <c r="C39" t="s">
        <v>910</v>
      </c>
      <c r="D39" s="1">
        <v>110020039402</v>
      </c>
      <c r="E39" t="s">
        <v>470</v>
      </c>
      <c r="F39" t="s">
        <v>157</v>
      </c>
      <c r="G39" t="s">
        <v>554</v>
      </c>
      <c r="H39" t="s">
        <v>158</v>
      </c>
      <c r="I39" t="s">
        <v>1405</v>
      </c>
      <c r="J39">
        <v>36.137529999999998</v>
      </c>
      <c r="K39">
        <v>-115.15479000000001</v>
      </c>
      <c r="L39">
        <v>7011</v>
      </c>
      <c r="M39" s="175" t="str">
        <f>VLOOKUP(L39, '2022 SIC to NAICS'!A:D, 2)</f>
        <v>Communication Services, Nec</v>
      </c>
      <c r="N39" s="184">
        <f>VLOOKUP(L39, '2022 SIC to NAICS'!A:D, 3)</f>
        <v>517810</v>
      </c>
      <c r="O39" s="184" t="str">
        <f>VLOOKUP(L39, '2022 SIC to NAICS'!A:D, 4)</f>
        <v xml:space="preserve">All Other Telecommunications </v>
      </c>
      <c r="P39" s="185" t="str">
        <f>VLOOKUP(N39, 'NAICS OES crosswalk'!A:C, 3, FALSE)</f>
        <v>TBD</v>
      </c>
      <c r="T39">
        <v>150100150604</v>
      </c>
      <c r="U39" t="s">
        <v>578</v>
      </c>
      <c r="V39">
        <v>1.8135196666666601E-8</v>
      </c>
      <c r="X39" t="b">
        <f t="shared" si="0"/>
        <v>1</v>
      </c>
      <c r="Y39" t="s">
        <v>1426</v>
      </c>
      <c r="Z39" t="s">
        <v>1403</v>
      </c>
    </row>
    <row r="40" spans="1:26" x14ac:dyDescent="0.25">
      <c r="A40">
        <v>2019</v>
      </c>
      <c r="B40" t="s">
        <v>1400</v>
      </c>
      <c r="C40" t="s">
        <v>1117</v>
      </c>
      <c r="D40" s="1">
        <v>110004306938</v>
      </c>
      <c r="E40" t="s">
        <v>156</v>
      </c>
      <c r="F40" t="s">
        <v>157</v>
      </c>
      <c r="G40" t="s">
        <v>575</v>
      </c>
      <c r="H40" t="s">
        <v>158</v>
      </c>
      <c r="I40" t="s">
        <v>1405</v>
      </c>
      <c r="J40">
        <v>36.122100000000003</v>
      </c>
      <c r="K40">
        <v>-115.17139</v>
      </c>
      <c r="L40">
        <v>7011</v>
      </c>
      <c r="M40" s="175" t="str">
        <f>VLOOKUP(L40, '2022 SIC to NAICS'!A:D, 2)</f>
        <v>Communication Services, Nec</v>
      </c>
      <c r="N40" s="184">
        <f>VLOOKUP(L40, '2022 SIC to NAICS'!A:D, 3)</f>
        <v>517810</v>
      </c>
      <c r="O40" s="184" t="str">
        <f>VLOOKUP(L40, '2022 SIC to NAICS'!A:D, 4)</f>
        <v xml:space="preserve">All Other Telecommunications </v>
      </c>
      <c r="P40" s="185" t="str">
        <f>VLOOKUP(N40, 'NAICS OES crosswalk'!A:C, 3, FALSE)</f>
        <v>TBD</v>
      </c>
      <c r="T40">
        <v>150100150604</v>
      </c>
      <c r="U40" t="s">
        <v>578</v>
      </c>
      <c r="V40">
        <v>4.2723660624999996E-3</v>
      </c>
      <c r="X40" t="b">
        <f t="shared" si="0"/>
        <v>0</v>
      </c>
      <c r="Y40" s="186" t="s">
        <v>1404</v>
      </c>
      <c r="Z40" t="s">
        <v>1403</v>
      </c>
    </row>
    <row r="41" spans="1:26" x14ac:dyDescent="0.25">
      <c r="A41">
        <v>2019</v>
      </c>
      <c r="B41" t="s">
        <v>1400</v>
      </c>
      <c r="C41" t="s">
        <v>858</v>
      </c>
      <c r="D41" s="1">
        <v>110033659878</v>
      </c>
      <c r="E41" t="s">
        <v>201</v>
      </c>
      <c r="F41" t="s">
        <v>202</v>
      </c>
      <c r="G41" t="s">
        <v>663</v>
      </c>
      <c r="H41" t="s">
        <v>106</v>
      </c>
      <c r="I41" t="s">
        <v>1401</v>
      </c>
      <c r="J41">
        <v>30.221900000000002</v>
      </c>
      <c r="K41">
        <v>-91.051500000000004</v>
      </c>
      <c r="L41">
        <v>2869</v>
      </c>
      <c r="M41" s="175" t="str">
        <f>VLOOKUP(L41, '2022 SIC to NAICS'!A:D, 2)</f>
        <v>Industrial Organic Chemicals, Nec</v>
      </c>
      <c r="N41" s="184">
        <f>VLOOKUP(L41, '2022 SIC to NAICS'!A:D, 3)</f>
        <v>325180</v>
      </c>
      <c r="O41" s="184" t="str">
        <f>VLOOKUP(L41, '2022 SIC to NAICS'!A:D, 4)</f>
        <v xml:space="preserve">Other Basic Inorganic Chemical Manufacturing </v>
      </c>
      <c r="P41" s="185" t="str">
        <f>VLOOKUP(N41, 'NAICS OES crosswalk'!A:C, 3, FALSE)</f>
        <v>Processing as a reactant</v>
      </c>
      <c r="T41" s="186" t="s">
        <v>1198</v>
      </c>
      <c r="U41" t="s">
        <v>666</v>
      </c>
      <c r="V41">
        <v>3.4799099999999998</v>
      </c>
      <c r="X41" t="b">
        <f t="shared" si="0"/>
        <v>0</v>
      </c>
      <c r="Y41" s="186" t="s">
        <v>1402</v>
      </c>
    </row>
    <row r="42" spans="1:26" x14ac:dyDescent="0.25">
      <c r="A42">
        <v>2019</v>
      </c>
      <c r="B42" t="s">
        <v>1400</v>
      </c>
      <c r="C42" t="s">
        <v>605</v>
      </c>
      <c r="D42" s="1">
        <v>110000452082</v>
      </c>
      <c r="E42" t="s">
        <v>203</v>
      </c>
      <c r="F42" t="s">
        <v>204</v>
      </c>
      <c r="G42" t="s">
        <v>604</v>
      </c>
      <c r="H42" t="s">
        <v>205</v>
      </c>
      <c r="I42" t="s">
        <v>1401</v>
      </c>
      <c r="J42">
        <v>35.136057000000001</v>
      </c>
      <c r="K42">
        <v>-90.096892999999994</v>
      </c>
      <c r="L42">
        <v>2869</v>
      </c>
      <c r="M42" s="175" t="str">
        <f>VLOOKUP(L42, '2022 SIC to NAICS'!A:D, 2)</f>
        <v>Industrial Organic Chemicals, Nec</v>
      </c>
      <c r="N42" s="184">
        <f>VLOOKUP(L42, '2022 SIC to NAICS'!A:D, 3)</f>
        <v>325180</v>
      </c>
      <c r="O42" s="184" t="str">
        <f>VLOOKUP(L42, '2022 SIC to NAICS'!A:D, 4)</f>
        <v xml:space="preserve">Other Basic Inorganic Chemical Manufacturing </v>
      </c>
      <c r="P42" s="185" t="str">
        <f>VLOOKUP(N42, 'NAICS OES crosswalk'!A:C, 3, FALSE)</f>
        <v>Processing as a reactant</v>
      </c>
      <c r="T42" s="186" t="s">
        <v>1199</v>
      </c>
      <c r="U42" t="s">
        <v>606</v>
      </c>
      <c r="V42">
        <v>3.10309E-2</v>
      </c>
      <c r="X42" t="b">
        <f t="shared" si="0"/>
        <v>0</v>
      </c>
      <c r="Y42" s="186" t="s">
        <v>1402</v>
      </c>
      <c r="Z42" t="s">
        <v>1403</v>
      </c>
    </row>
    <row r="43" spans="1:26" x14ac:dyDescent="0.25">
      <c r="A43">
        <v>2019</v>
      </c>
      <c r="B43" t="s">
        <v>1400</v>
      </c>
      <c r="C43" t="s">
        <v>810</v>
      </c>
      <c r="D43" s="1">
        <v>110017432937</v>
      </c>
      <c r="E43" t="s">
        <v>206</v>
      </c>
      <c r="F43" t="s">
        <v>207</v>
      </c>
      <c r="G43" t="s">
        <v>808</v>
      </c>
      <c r="H43" t="s">
        <v>205</v>
      </c>
      <c r="I43" t="s">
        <v>1401</v>
      </c>
      <c r="J43">
        <v>35.722341999999998</v>
      </c>
      <c r="K43">
        <v>-91.524983000000006</v>
      </c>
      <c r="L43">
        <v>2865</v>
      </c>
      <c r="M43" s="175" t="str">
        <f>VLOOKUP(L43, '2022 SIC to NAICS'!A:D, 2)</f>
        <v>Platemaking Services</v>
      </c>
      <c r="N43" s="184">
        <f>VLOOKUP(L43, '2022 SIC to NAICS'!A:D, 3)</f>
        <v>323120</v>
      </c>
      <c r="O43" s="184" t="str">
        <f>VLOOKUP(L43, '2022 SIC to NAICS'!A:D, 4)</f>
        <v>Support Activities for Printing</v>
      </c>
      <c r="P43" s="185" t="str">
        <f>VLOOKUP(N43, 'NAICS OES crosswalk'!A:C, 3, FALSE)</f>
        <v>TBD</v>
      </c>
      <c r="T43">
        <v>110100040704</v>
      </c>
      <c r="U43" t="s">
        <v>811</v>
      </c>
      <c r="V43">
        <v>5.8066599999999999</v>
      </c>
      <c r="X43" t="b">
        <f t="shared" si="0"/>
        <v>0</v>
      </c>
      <c r="Y43" s="186" t="s">
        <v>1404</v>
      </c>
      <c r="Z43" t="s">
        <v>1403</v>
      </c>
    </row>
    <row r="44" spans="1:26" x14ac:dyDescent="0.25">
      <c r="A44">
        <v>2019</v>
      </c>
      <c r="B44" t="s">
        <v>1400</v>
      </c>
      <c r="C44" t="s">
        <v>645</v>
      </c>
      <c r="D44" s="1">
        <v>110000614746</v>
      </c>
      <c r="E44" t="s">
        <v>208</v>
      </c>
      <c r="F44" t="s">
        <v>209</v>
      </c>
      <c r="G44" t="s">
        <v>643</v>
      </c>
      <c r="H44" t="s">
        <v>170</v>
      </c>
      <c r="I44" t="s">
        <v>1405</v>
      </c>
      <c r="J44">
        <v>39.248446999999999</v>
      </c>
      <c r="K44">
        <v>-94.293233000000001</v>
      </c>
      <c r="L44">
        <v>4953</v>
      </c>
      <c r="M44" s="175" t="str">
        <f>VLOOKUP(L44, '2022 SIC to NAICS'!A:D, 2)</f>
        <v>Manufacturing Industries, Nec</v>
      </c>
      <c r="N44" s="184">
        <f>VLOOKUP(L44, '2022 SIC to NAICS'!A:D, 3)</f>
        <v>339999</v>
      </c>
      <c r="O44" s="184" t="str">
        <f>VLOOKUP(L44, '2022 SIC to NAICS'!A:D, 4)</f>
        <v xml:space="preserve">All Other Miscellaneous Manufacturing </v>
      </c>
      <c r="P44" s="185" t="str">
        <f>VLOOKUP(N44, 'NAICS OES crosswalk'!A:C, 3, FALSE)</f>
        <v>TBD</v>
      </c>
      <c r="T44">
        <v>103001010307</v>
      </c>
      <c r="U44" t="s">
        <v>646</v>
      </c>
      <c r="V44">
        <v>4.831148326345E-2</v>
      </c>
      <c r="X44" t="b">
        <f t="shared" si="0"/>
        <v>0</v>
      </c>
      <c r="Y44" s="186" t="s">
        <v>1418</v>
      </c>
      <c r="Z44" t="s">
        <v>1403</v>
      </c>
    </row>
    <row r="45" spans="1:26" x14ac:dyDescent="0.25">
      <c r="A45">
        <v>2019</v>
      </c>
      <c r="B45" t="s">
        <v>1400</v>
      </c>
      <c r="C45" t="s">
        <v>1128</v>
      </c>
      <c r="D45" s="1">
        <v>110017217545</v>
      </c>
      <c r="E45" t="s">
        <v>210</v>
      </c>
      <c r="F45" t="s">
        <v>211</v>
      </c>
      <c r="G45" t="s">
        <v>446</v>
      </c>
      <c r="H45" t="s">
        <v>146</v>
      </c>
      <c r="I45" t="s">
        <v>1405</v>
      </c>
      <c r="J45">
        <v>33.762349999999998</v>
      </c>
      <c r="K45">
        <v>-118.241775</v>
      </c>
      <c r="L45">
        <v>5171</v>
      </c>
      <c r="M45" s="175" t="str">
        <f>VLOOKUP(L45, '2022 SIC to NAICS'!A:D, 2)</f>
        <v>Chemicals and Allied Products, Nec</v>
      </c>
      <c r="N45" s="184">
        <f>VLOOKUP(L45, '2022 SIC to NAICS'!A:D, 3)</f>
        <v>425120</v>
      </c>
      <c r="O45" s="184" t="str">
        <f>VLOOKUP(L45, '2022 SIC to NAICS'!A:D, 4)</f>
        <v xml:space="preserve">Wholesale Trade Agents and Brokers </v>
      </c>
      <c r="P45" s="185" t="str">
        <f>VLOOKUP(N45, 'NAICS OES crosswalk'!A:C, 3, FALSE)</f>
        <v>TBD</v>
      </c>
      <c r="T45">
        <v>180701060701</v>
      </c>
      <c r="U45" t="s">
        <v>1129</v>
      </c>
      <c r="V45">
        <v>8.5171016250000006E-3</v>
      </c>
      <c r="X45" t="b">
        <f t="shared" si="0"/>
        <v>0</v>
      </c>
      <c r="Y45" s="186" t="s">
        <v>1402</v>
      </c>
      <c r="Z45" t="s">
        <v>1403</v>
      </c>
    </row>
    <row r="46" spans="1:26" x14ac:dyDescent="0.25">
      <c r="A46">
        <v>2019</v>
      </c>
      <c r="B46" t="s">
        <v>1400</v>
      </c>
      <c r="C46" t="s">
        <v>872</v>
      </c>
      <c r="D46" s="1">
        <v>110018199377</v>
      </c>
      <c r="E46" t="s">
        <v>212</v>
      </c>
      <c r="F46" t="s">
        <v>213</v>
      </c>
      <c r="G46" t="s">
        <v>870</v>
      </c>
      <c r="H46" t="s">
        <v>141</v>
      </c>
      <c r="I46" t="s">
        <v>1405</v>
      </c>
      <c r="J46">
        <v>41.692782000000001</v>
      </c>
      <c r="K46">
        <v>-87.951100999999994</v>
      </c>
      <c r="L46">
        <v>4226</v>
      </c>
      <c r="M46" s="175" t="str">
        <f>VLOOKUP(L46, '2022 SIC to NAICS'!A:D, 2)</f>
        <v>Manufacturing Industries, Nec</v>
      </c>
      <c r="N46" s="184">
        <f>VLOOKUP(L46, '2022 SIC to NAICS'!A:D, 3)</f>
        <v>339999</v>
      </c>
      <c r="O46" s="184" t="str">
        <f>VLOOKUP(L46, '2022 SIC to NAICS'!A:D, 4)</f>
        <v xml:space="preserve">All Other Miscellaneous Manufacturing </v>
      </c>
      <c r="P46" s="185" t="str">
        <f>VLOOKUP(N46, 'NAICS OES crosswalk'!A:C, 3, FALSE)</f>
        <v>TBD</v>
      </c>
      <c r="T46" s="186" t="s">
        <v>1200</v>
      </c>
      <c r="U46" t="s">
        <v>873</v>
      </c>
      <c r="V46">
        <v>2.9448246249999999</v>
      </c>
      <c r="X46" t="b">
        <f t="shared" si="0"/>
        <v>0</v>
      </c>
      <c r="Y46" s="186" t="s">
        <v>1402</v>
      </c>
      <c r="Z46" t="s">
        <v>1403</v>
      </c>
    </row>
    <row r="47" spans="1:26" x14ac:dyDescent="0.25">
      <c r="A47">
        <v>2019</v>
      </c>
      <c r="B47" t="s">
        <v>1400</v>
      </c>
      <c r="C47" t="s">
        <v>673</v>
      </c>
      <c r="D47" s="1">
        <v>110000730825</v>
      </c>
      <c r="E47" t="s">
        <v>214</v>
      </c>
      <c r="F47" t="s">
        <v>215</v>
      </c>
      <c r="G47" t="s">
        <v>566</v>
      </c>
      <c r="H47" t="s">
        <v>146</v>
      </c>
      <c r="I47" t="s">
        <v>1401</v>
      </c>
      <c r="J47">
        <v>32.664450000000002</v>
      </c>
      <c r="K47">
        <v>-115.55970499999999</v>
      </c>
      <c r="L47">
        <v>4952</v>
      </c>
      <c r="M47" s="175" t="str">
        <f>VLOOKUP(L47, '2022 SIC to NAICS'!A:D, 2)</f>
        <v>Manufacturing Industries, Nec</v>
      </c>
      <c r="N47" s="184">
        <f>VLOOKUP(L47, '2022 SIC to NAICS'!A:D, 3)</f>
        <v>339999</v>
      </c>
      <c r="O47" s="184" t="str">
        <f>VLOOKUP(L47, '2022 SIC to NAICS'!A:D, 4)</f>
        <v xml:space="preserve">All Other Miscellaneous Manufacturing </v>
      </c>
      <c r="P47" s="185" t="str">
        <f>VLOOKUP(N47, 'NAICS OES crosswalk'!A:C, 3, FALSE)</f>
        <v>TBD</v>
      </c>
      <c r="T47">
        <v>181002040902</v>
      </c>
      <c r="U47" t="s">
        <v>674</v>
      </c>
      <c r="V47">
        <v>0.18730025187499999</v>
      </c>
      <c r="X47" t="b">
        <f t="shared" si="0"/>
        <v>0</v>
      </c>
      <c r="Y47" s="186" t="s">
        <v>1402</v>
      </c>
      <c r="Z47" t="s">
        <v>1403</v>
      </c>
    </row>
    <row r="48" spans="1:26" x14ac:dyDescent="0.25">
      <c r="A48">
        <v>2019</v>
      </c>
      <c r="B48" t="s">
        <v>1400</v>
      </c>
      <c r="C48" t="s">
        <v>573</v>
      </c>
      <c r="D48" s="1">
        <v>110070053140</v>
      </c>
      <c r="E48" t="s">
        <v>216</v>
      </c>
      <c r="F48" t="s">
        <v>217</v>
      </c>
      <c r="G48" t="s">
        <v>571</v>
      </c>
      <c r="H48" t="s">
        <v>218</v>
      </c>
      <c r="I48" t="s">
        <v>1405</v>
      </c>
      <c r="J48">
        <v>40.393799999999999</v>
      </c>
      <c r="K48">
        <v>-105.074</v>
      </c>
      <c r="L48">
        <v>7521</v>
      </c>
      <c r="M48" s="175" t="str">
        <f>VLOOKUP(L48, '2022 SIC to NAICS'!A:D, 2)</f>
        <v>Barber Shops</v>
      </c>
      <c r="N48" s="184">
        <f>VLOOKUP(L48, '2022 SIC to NAICS'!A:D, 3)</f>
        <v>611511</v>
      </c>
      <c r="O48" s="184" t="str">
        <f>VLOOKUP(L48, '2022 SIC to NAICS'!A:D, 4)</f>
        <v xml:space="preserve">Cosmetology and Barber Schools </v>
      </c>
      <c r="P48" s="185" t="str">
        <f>VLOOKUP(N48, 'NAICS OES crosswalk'!A:C, 3, FALSE)</f>
        <v>All purpose liquid cleaner/polish</v>
      </c>
      <c r="T48">
        <v>101900060605</v>
      </c>
      <c r="U48" t="s">
        <v>574</v>
      </c>
      <c r="V48">
        <v>5.0143680000000003E-2</v>
      </c>
      <c r="X48" t="b">
        <f t="shared" si="0"/>
        <v>0</v>
      </c>
      <c r="Y48" s="186" t="s">
        <v>1402</v>
      </c>
      <c r="Z48" t="s">
        <v>1403</v>
      </c>
    </row>
    <row r="49" spans="1:26" x14ac:dyDescent="0.25">
      <c r="A49">
        <v>2019</v>
      </c>
      <c r="B49" t="s">
        <v>1400</v>
      </c>
      <c r="C49" t="s">
        <v>1117</v>
      </c>
      <c r="D49" s="1">
        <v>110004306938</v>
      </c>
      <c r="E49" t="s">
        <v>156</v>
      </c>
      <c r="F49" t="s">
        <v>157</v>
      </c>
      <c r="G49" t="s">
        <v>575</v>
      </c>
      <c r="H49" t="s">
        <v>158</v>
      </c>
      <c r="I49" t="s">
        <v>1405</v>
      </c>
      <c r="J49">
        <v>36.122100000000003</v>
      </c>
      <c r="K49">
        <v>-115.17139</v>
      </c>
      <c r="L49">
        <v>7011</v>
      </c>
      <c r="M49" s="175" t="str">
        <f>VLOOKUP(L49, '2022 SIC to NAICS'!A:D, 2)</f>
        <v>Communication Services, Nec</v>
      </c>
      <c r="N49" s="184">
        <f>VLOOKUP(L49, '2022 SIC to NAICS'!A:D, 3)</f>
        <v>517810</v>
      </c>
      <c r="O49" s="184" t="str">
        <f>VLOOKUP(L49, '2022 SIC to NAICS'!A:D, 4)</f>
        <v xml:space="preserve">All Other Telecommunications </v>
      </c>
      <c r="P49" s="185" t="str">
        <f>VLOOKUP(N49, 'NAICS OES crosswalk'!A:C, 3, FALSE)</f>
        <v>TBD</v>
      </c>
      <c r="T49">
        <v>150100150604</v>
      </c>
      <c r="U49" t="s">
        <v>578</v>
      </c>
      <c r="V49">
        <v>1.34456920625E-2</v>
      </c>
      <c r="X49" t="b">
        <f t="shared" si="0"/>
        <v>0</v>
      </c>
      <c r="Y49" s="186" t="s">
        <v>1427</v>
      </c>
      <c r="Z49" t="s">
        <v>1403</v>
      </c>
    </row>
    <row r="50" spans="1:26" x14ac:dyDescent="0.25">
      <c r="A50">
        <v>2019</v>
      </c>
      <c r="B50" t="s">
        <v>1400</v>
      </c>
      <c r="C50" t="s">
        <v>1117</v>
      </c>
      <c r="D50" s="1">
        <v>110004306938</v>
      </c>
      <c r="E50" t="s">
        <v>156</v>
      </c>
      <c r="F50" t="s">
        <v>157</v>
      </c>
      <c r="G50" t="s">
        <v>575</v>
      </c>
      <c r="H50" t="s">
        <v>158</v>
      </c>
      <c r="I50" t="s">
        <v>1405</v>
      </c>
      <c r="J50">
        <v>36.122100000000003</v>
      </c>
      <c r="K50">
        <v>-115.17139</v>
      </c>
      <c r="L50">
        <v>7011</v>
      </c>
      <c r="M50" s="175" t="str">
        <f>VLOOKUP(L50, '2022 SIC to NAICS'!A:D, 2)</f>
        <v>Communication Services, Nec</v>
      </c>
      <c r="N50" s="184">
        <f>VLOOKUP(L50, '2022 SIC to NAICS'!A:D, 3)</f>
        <v>517810</v>
      </c>
      <c r="O50" s="184" t="str">
        <f>VLOOKUP(L50, '2022 SIC to NAICS'!A:D, 4)</f>
        <v xml:space="preserve">All Other Telecommunications </v>
      </c>
      <c r="P50" s="185" t="str">
        <f>VLOOKUP(N50, 'NAICS OES crosswalk'!A:C, 3, FALSE)</f>
        <v>TBD</v>
      </c>
      <c r="T50">
        <v>150100150604</v>
      </c>
      <c r="U50" t="s">
        <v>578</v>
      </c>
      <c r="V50">
        <v>1.5086253000000001E-2</v>
      </c>
      <c r="X50" t="b">
        <f t="shared" si="0"/>
        <v>0</v>
      </c>
      <c r="Y50" s="186" t="s">
        <v>1428</v>
      </c>
      <c r="Z50" t="s">
        <v>1403</v>
      </c>
    </row>
    <row r="51" spans="1:26" x14ac:dyDescent="0.25">
      <c r="A51">
        <v>2019</v>
      </c>
      <c r="B51" t="s">
        <v>1400</v>
      </c>
      <c r="C51" t="s">
        <v>843</v>
      </c>
      <c r="D51" s="1">
        <v>110000732324</v>
      </c>
      <c r="E51" t="s">
        <v>219</v>
      </c>
      <c r="F51" t="s">
        <v>220</v>
      </c>
      <c r="G51" t="s">
        <v>842</v>
      </c>
      <c r="H51" t="s">
        <v>138</v>
      </c>
      <c r="I51" t="s">
        <v>1401</v>
      </c>
      <c r="J51">
        <v>37.776316000000001</v>
      </c>
      <c r="K51">
        <v>-84.867384999999999</v>
      </c>
      <c r="L51">
        <v>4952</v>
      </c>
      <c r="M51" s="175" t="str">
        <f>VLOOKUP(L51, '2022 SIC to NAICS'!A:D, 2)</f>
        <v>Manufacturing Industries, Nec</v>
      </c>
      <c r="N51" s="184">
        <f>VLOOKUP(L51, '2022 SIC to NAICS'!A:D, 3)</f>
        <v>339999</v>
      </c>
      <c r="O51" s="184" t="str">
        <f>VLOOKUP(L51, '2022 SIC to NAICS'!A:D, 4)</f>
        <v xml:space="preserve">All Other Miscellaneous Manufacturing </v>
      </c>
      <c r="P51" s="185" t="str">
        <f>VLOOKUP(N51, 'NAICS OES crosswalk'!A:C, 3, FALSE)</f>
        <v>TBD</v>
      </c>
      <c r="T51" s="186" t="s">
        <v>1201</v>
      </c>
      <c r="U51" t="s">
        <v>844</v>
      </c>
      <c r="V51">
        <v>1.8070347</v>
      </c>
      <c r="X51" t="b">
        <f t="shared" si="0"/>
        <v>0</v>
      </c>
      <c r="Y51" s="186" t="s">
        <v>1402</v>
      </c>
      <c r="Z51" t="s">
        <v>1403</v>
      </c>
    </row>
    <row r="52" spans="1:26" x14ac:dyDescent="0.25">
      <c r="A52">
        <v>2019</v>
      </c>
      <c r="B52" t="s">
        <v>1400</v>
      </c>
      <c r="C52" t="s">
        <v>560</v>
      </c>
      <c r="D52" s="1">
        <v>110009830273</v>
      </c>
      <c r="E52" t="s">
        <v>221</v>
      </c>
      <c r="F52" t="s">
        <v>222</v>
      </c>
      <c r="G52" t="s">
        <v>558</v>
      </c>
      <c r="H52" t="s">
        <v>158</v>
      </c>
      <c r="I52" t="s">
        <v>1405</v>
      </c>
      <c r="J52">
        <v>39.526260000000001</v>
      </c>
      <c r="K52">
        <v>-119.81308</v>
      </c>
      <c r="L52">
        <v>7011</v>
      </c>
      <c r="M52" s="175" t="str">
        <f>VLOOKUP(L52, '2022 SIC to NAICS'!A:D, 2)</f>
        <v>Communication Services, Nec</v>
      </c>
      <c r="N52" s="184">
        <f>VLOOKUP(L52, '2022 SIC to NAICS'!A:D, 3)</f>
        <v>517810</v>
      </c>
      <c r="O52" s="184" t="str">
        <f>VLOOKUP(L52, '2022 SIC to NAICS'!A:D, 4)</f>
        <v xml:space="preserve">All Other Telecommunications </v>
      </c>
      <c r="P52" s="185" t="str">
        <f>VLOOKUP(N52, 'NAICS OES crosswalk'!A:C, 3, FALSE)</f>
        <v>TBD</v>
      </c>
      <c r="T52">
        <v>160501020506</v>
      </c>
      <c r="U52" t="s">
        <v>561</v>
      </c>
      <c r="V52">
        <v>0.481522525905</v>
      </c>
      <c r="X52" t="b">
        <f t="shared" si="0"/>
        <v>0</v>
      </c>
      <c r="Y52" t="s">
        <v>1429</v>
      </c>
    </row>
    <row r="53" spans="1:26" x14ac:dyDescent="0.25">
      <c r="A53">
        <v>2019</v>
      </c>
      <c r="B53" t="s">
        <v>1400</v>
      </c>
      <c r="C53" t="s">
        <v>772</v>
      </c>
      <c r="D53" s="1">
        <v>110000433013</v>
      </c>
      <c r="E53" t="s">
        <v>223</v>
      </c>
      <c r="F53" t="s">
        <v>224</v>
      </c>
      <c r="G53" t="s">
        <v>771</v>
      </c>
      <c r="H53" t="s">
        <v>141</v>
      </c>
      <c r="I53" t="s">
        <v>1401</v>
      </c>
      <c r="J53">
        <v>41.412897000000001</v>
      </c>
      <c r="K53">
        <v>-88.329773000000003</v>
      </c>
      <c r="L53">
        <v>2821</v>
      </c>
      <c r="M53" s="175" t="str">
        <f>VLOOKUP(L53, '2022 SIC to NAICS'!A:D, 2)</f>
        <v>Platemaking Services</v>
      </c>
      <c r="N53" s="184">
        <f>VLOOKUP(L53, '2022 SIC to NAICS'!A:D, 3)</f>
        <v>323120</v>
      </c>
      <c r="O53" s="184" t="str">
        <f>VLOOKUP(L53, '2022 SIC to NAICS'!A:D, 4)</f>
        <v>Support Activities for Printing</v>
      </c>
      <c r="P53" s="185" t="str">
        <f>VLOOKUP(N53, 'NAICS OES crosswalk'!A:C, 3, FALSE)</f>
        <v>TBD</v>
      </c>
      <c r="T53" s="186" t="s">
        <v>1202</v>
      </c>
      <c r="U53" t="s">
        <v>773</v>
      </c>
      <c r="V53">
        <v>1.097772</v>
      </c>
      <c r="X53" t="b">
        <f t="shared" si="0"/>
        <v>0</v>
      </c>
      <c r="Y53" s="186" t="s">
        <v>1402</v>
      </c>
      <c r="Z53" t="s">
        <v>1403</v>
      </c>
    </row>
    <row r="54" spans="1:26" x14ac:dyDescent="0.25">
      <c r="A54">
        <v>2019</v>
      </c>
      <c r="B54" t="s">
        <v>1400</v>
      </c>
      <c r="C54" t="s">
        <v>917</v>
      </c>
      <c r="D54" s="1">
        <v>110009547222</v>
      </c>
      <c r="E54" t="s">
        <v>225</v>
      </c>
      <c r="F54" t="s">
        <v>226</v>
      </c>
      <c r="G54" t="s">
        <v>916</v>
      </c>
      <c r="H54" t="s">
        <v>146</v>
      </c>
      <c r="I54" t="s">
        <v>1401</v>
      </c>
      <c r="J54">
        <v>34.661079999999998</v>
      </c>
      <c r="K54">
        <v>-120.48135000000001</v>
      </c>
      <c r="L54">
        <v>4952</v>
      </c>
      <c r="M54" s="175" t="str">
        <f>VLOOKUP(L54, '2022 SIC to NAICS'!A:D, 2)</f>
        <v>Manufacturing Industries, Nec</v>
      </c>
      <c r="N54" s="184">
        <f>VLOOKUP(L54, '2022 SIC to NAICS'!A:D, 3)</f>
        <v>339999</v>
      </c>
      <c r="O54" s="184" t="str">
        <f>VLOOKUP(L54, '2022 SIC to NAICS'!A:D, 4)</f>
        <v xml:space="preserve">All Other Miscellaneous Manufacturing </v>
      </c>
      <c r="P54" s="185" t="str">
        <f>VLOOKUP(N54, 'NAICS OES crosswalk'!A:C, 3, FALSE)</f>
        <v>TBD</v>
      </c>
      <c r="T54">
        <v>180600100703</v>
      </c>
      <c r="U54" t="s">
        <v>918</v>
      </c>
      <c r="V54">
        <v>1.0603204374999999</v>
      </c>
      <c r="X54" t="b">
        <f t="shared" si="0"/>
        <v>0</v>
      </c>
      <c r="Y54" s="186" t="s">
        <v>1402</v>
      </c>
      <c r="Z54" t="s">
        <v>1403</v>
      </c>
    </row>
    <row r="55" spans="1:26" x14ac:dyDescent="0.25">
      <c r="A55">
        <v>2019</v>
      </c>
      <c r="B55" t="s">
        <v>1400</v>
      </c>
      <c r="C55" t="s">
        <v>1080</v>
      </c>
      <c r="D55" s="1">
        <v>110013317614</v>
      </c>
      <c r="E55" t="s">
        <v>405</v>
      </c>
      <c r="F55" t="s">
        <v>406</v>
      </c>
      <c r="G55" t="s">
        <v>731</v>
      </c>
      <c r="H55" t="s">
        <v>153</v>
      </c>
      <c r="I55" t="s">
        <v>1401</v>
      </c>
      <c r="J55">
        <v>39.845474000000003</v>
      </c>
      <c r="K55">
        <v>-75.209485999999998</v>
      </c>
      <c r="L55">
        <v>2821</v>
      </c>
      <c r="M55" s="175" t="str">
        <f>VLOOKUP(L55, '2022 SIC to NAICS'!A:D, 2)</f>
        <v>Platemaking Services</v>
      </c>
      <c r="N55" s="184">
        <f>VLOOKUP(L55, '2022 SIC to NAICS'!A:D, 3)</f>
        <v>323120</v>
      </c>
      <c r="O55" s="184" t="str">
        <f>VLOOKUP(L55, '2022 SIC to NAICS'!A:D, 4)</f>
        <v>Support Activities for Printing</v>
      </c>
      <c r="P55" s="185" t="str">
        <f>VLOOKUP(N55, 'NAICS OES crosswalk'!A:C, 3, FALSE)</f>
        <v>TBD</v>
      </c>
      <c r="T55" s="186" t="s">
        <v>1195</v>
      </c>
      <c r="U55" t="s">
        <v>852</v>
      </c>
      <c r="V55">
        <v>4.5000000000000003E-5</v>
      </c>
      <c r="X55" t="b">
        <f t="shared" si="0"/>
        <v>1</v>
      </c>
      <c r="Y55" s="186" t="s">
        <v>1402</v>
      </c>
      <c r="Z55" t="s">
        <v>1403</v>
      </c>
    </row>
    <row r="56" spans="1:26" x14ac:dyDescent="0.25">
      <c r="A56">
        <v>2019</v>
      </c>
      <c r="B56" t="s">
        <v>1400</v>
      </c>
      <c r="C56" t="s">
        <v>831</v>
      </c>
      <c r="D56" s="1">
        <v>110009937499</v>
      </c>
      <c r="E56" t="s">
        <v>227</v>
      </c>
      <c r="F56" t="s">
        <v>228</v>
      </c>
      <c r="G56" t="s">
        <v>830</v>
      </c>
      <c r="H56" t="s">
        <v>138</v>
      </c>
      <c r="I56" t="s">
        <v>1405</v>
      </c>
      <c r="J56">
        <v>36.644849999999998</v>
      </c>
      <c r="K56">
        <v>-87.187950000000001</v>
      </c>
      <c r="L56">
        <v>4952</v>
      </c>
      <c r="M56" s="175" t="str">
        <f>VLOOKUP(L56, '2022 SIC to NAICS'!A:D, 2)</f>
        <v>Manufacturing Industries, Nec</v>
      </c>
      <c r="N56" s="184">
        <f>VLOOKUP(L56, '2022 SIC to NAICS'!A:D, 3)</f>
        <v>339999</v>
      </c>
      <c r="O56" s="184" t="str">
        <f>VLOOKUP(L56, '2022 SIC to NAICS'!A:D, 4)</f>
        <v xml:space="preserve">All Other Miscellaneous Manufacturing </v>
      </c>
      <c r="P56" s="185" t="str">
        <f>VLOOKUP(N56, 'NAICS OES crosswalk'!A:C, 3, FALSE)</f>
        <v>TBD</v>
      </c>
      <c r="T56" s="186" t="s">
        <v>1203</v>
      </c>
      <c r="U56" t="s">
        <v>832</v>
      </c>
      <c r="V56">
        <v>1.0534128125</v>
      </c>
      <c r="X56" t="b">
        <f t="shared" si="0"/>
        <v>0</v>
      </c>
      <c r="Y56" s="186" t="s">
        <v>1402</v>
      </c>
      <c r="Z56" t="s">
        <v>1403</v>
      </c>
    </row>
    <row r="57" spans="1:26" x14ac:dyDescent="0.25">
      <c r="A57">
        <v>2019</v>
      </c>
      <c r="B57" t="s">
        <v>1400</v>
      </c>
      <c r="C57" t="s">
        <v>1052</v>
      </c>
      <c r="D57" s="1">
        <v>110013848453</v>
      </c>
      <c r="E57" t="s">
        <v>229</v>
      </c>
      <c r="F57" t="s">
        <v>230</v>
      </c>
      <c r="G57" t="s">
        <v>230</v>
      </c>
      <c r="H57" t="s">
        <v>146</v>
      </c>
      <c r="I57" t="s">
        <v>1401</v>
      </c>
      <c r="J57">
        <v>36.963245999999998</v>
      </c>
      <c r="K57">
        <v>-122.034009</v>
      </c>
      <c r="L57">
        <v>4952</v>
      </c>
      <c r="M57" s="175" t="str">
        <f>VLOOKUP(L57, '2022 SIC to NAICS'!A:D, 2)</f>
        <v>Manufacturing Industries, Nec</v>
      </c>
      <c r="N57" s="184">
        <f>VLOOKUP(L57, '2022 SIC to NAICS'!A:D, 3)</f>
        <v>339999</v>
      </c>
      <c r="O57" s="184" t="str">
        <f>VLOOKUP(L57, '2022 SIC to NAICS'!A:D, 4)</f>
        <v xml:space="preserve">All Other Miscellaneous Manufacturing </v>
      </c>
      <c r="P57" s="185" t="str">
        <f>VLOOKUP(N57, 'NAICS OES crosswalk'!A:C, 3, FALSE)</f>
        <v>TBD</v>
      </c>
      <c r="T57">
        <v>180600150305</v>
      </c>
      <c r="U57" t="s">
        <v>1053</v>
      </c>
      <c r="V57">
        <v>1.485631425</v>
      </c>
      <c r="X57" t="b">
        <f t="shared" si="0"/>
        <v>0</v>
      </c>
      <c r="Y57" s="186" t="s">
        <v>1402</v>
      </c>
      <c r="Z57" t="s">
        <v>1403</v>
      </c>
    </row>
    <row r="58" spans="1:26" x14ac:dyDescent="0.25">
      <c r="A58">
        <v>2019</v>
      </c>
      <c r="B58" t="s">
        <v>1400</v>
      </c>
      <c r="C58" t="s">
        <v>661</v>
      </c>
      <c r="D58" s="1">
        <v>110044852068</v>
      </c>
      <c r="E58" t="s">
        <v>231</v>
      </c>
      <c r="F58" t="s">
        <v>232</v>
      </c>
      <c r="G58" t="s">
        <v>659</v>
      </c>
      <c r="H58" t="s">
        <v>141</v>
      </c>
      <c r="I58" t="s">
        <v>1405</v>
      </c>
      <c r="J58">
        <v>38.2774</v>
      </c>
      <c r="K58">
        <v>-89.666899999999998</v>
      </c>
      <c r="L58">
        <v>4911</v>
      </c>
      <c r="M58" s="175" t="str">
        <f>VLOOKUP(L58, '2022 SIC to NAICS'!A:D, 2)</f>
        <v>Manufacturing Industries, Nec</v>
      </c>
      <c r="N58" s="184">
        <f>VLOOKUP(L58, '2022 SIC to NAICS'!A:D, 3)</f>
        <v>339999</v>
      </c>
      <c r="O58" s="184" t="str">
        <f>VLOOKUP(L58, '2022 SIC to NAICS'!A:D, 4)</f>
        <v xml:space="preserve">All Other Miscellaneous Manufacturing </v>
      </c>
      <c r="P58" s="185" t="str">
        <f>VLOOKUP(N58, 'NAICS OES crosswalk'!A:C, 3, FALSE)</f>
        <v>TBD</v>
      </c>
      <c r="T58" s="186" t="s">
        <v>1204</v>
      </c>
      <c r="U58" t="s">
        <v>662</v>
      </c>
      <c r="V58">
        <v>2.0336048</v>
      </c>
      <c r="X58" t="b">
        <f t="shared" si="0"/>
        <v>0</v>
      </c>
      <c r="Y58" s="186" t="s">
        <v>1402</v>
      </c>
      <c r="Z58" t="s">
        <v>1403</v>
      </c>
    </row>
    <row r="59" spans="1:26" x14ac:dyDescent="0.25">
      <c r="A59">
        <v>2019</v>
      </c>
      <c r="B59" t="s">
        <v>1400</v>
      </c>
      <c r="C59" t="s">
        <v>580</v>
      </c>
      <c r="D59" s="1">
        <v>110064134459</v>
      </c>
      <c r="E59" t="s">
        <v>233</v>
      </c>
      <c r="F59" t="s">
        <v>157</v>
      </c>
      <c r="G59" t="s">
        <v>554</v>
      </c>
      <c r="H59" t="s">
        <v>158</v>
      </c>
      <c r="I59" t="s">
        <v>1405</v>
      </c>
      <c r="J59">
        <v>36.075400000000002</v>
      </c>
      <c r="K59">
        <v>-115.1669</v>
      </c>
      <c r="L59">
        <v>4581</v>
      </c>
      <c r="M59" s="175" t="str">
        <f>VLOOKUP(L59, '2022 SIC to NAICS'!A:D, 2)</f>
        <v>Manufacturing Industries, Nec</v>
      </c>
      <c r="N59" s="184">
        <f>VLOOKUP(L59, '2022 SIC to NAICS'!A:D, 3)</f>
        <v>339999</v>
      </c>
      <c r="O59" s="184" t="str">
        <f>VLOOKUP(L59, '2022 SIC to NAICS'!A:D, 4)</f>
        <v xml:space="preserve">All Other Miscellaneous Manufacturing </v>
      </c>
      <c r="P59" s="185" t="str">
        <f>VLOOKUP(N59, 'NAICS OES crosswalk'!A:C, 3, FALSE)</f>
        <v>TBD</v>
      </c>
      <c r="T59">
        <v>150100150704</v>
      </c>
      <c r="U59" t="s">
        <v>581</v>
      </c>
      <c r="V59">
        <v>7.5289327499999999E-3</v>
      </c>
      <c r="X59" t="b">
        <f t="shared" si="0"/>
        <v>0</v>
      </c>
      <c r="Y59" s="186" t="s">
        <v>1404</v>
      </c>
      <c r="Z59" t="s">
        <v>1403</v>
      </c>
    </row>
    <row r="60" spans="1:26" x14ac:dyDescent="0.25">
      <c r="A60">
        <v>2019</v>
      </c>
      <c r="B60" t="s">
        <v>1400</v>
      </c>
      <c r="C60" t="s">
        <v>602</v>
      </c>
      <c r="D60" s="1">
        <v>110000378467</v>
      </c>
      <c r="E60" t="s">
        <v>234</v>
      </c>
      <c r="F60" t="s">
        <v>235</v>
      </c>
      <c r="G60" t="s">
        <v>600</v>
      </c>
      <c r="H60" t="s">
        <v>138</v>
      </c>
      <c r="I60" t="s">
        <v>1401</v>
      </c>
      <c r="J60">
        <v>38.195278000000002</v>
      </c>
      <c r="K60">
        <v>-85.872221999999994</v>
      </c>
      <c r="L60">
        <v>2869</v>
      </c>
      <c r="M60" s="175" t="str">
        <f>VLOOKUP(L60, '2022 SIC to NAICS'!A:D, 2)</f>
        <v>Industrial Organic Chemicals, Nec</v>
      </c>
      <c r="N60" s="184">
        <f>VLOOKUP(L60, '2022 SIC to NAICS'!A:D, 3)</f>
        <v>325180</v>
      </c>
      <c r="O60" s="184" t="str">
        <f>VLOOKUP(L60, '2022 SIC to NAICS'!A:D, 4)</f>
        <v xml:space="preserve">Other Basic Inorganic Chemical Manufacturing </v>
      </c>
      <c r="P60" s="185" t="str">
        <f>VLOOKUP(N60, 'NAICS OES crosswalk'!A:C, 3, FALSE)</f>
        <v>Processing as a reactant</v>
      </c>
      <c r="T60" s="186" t="s">
        <v>1205</v>
      </c>
      <c r="U60" t="s">
        <v>603</v>
      </c>
      <c r="V60">
        <v>0.72526500000000005</v>
      </c>
      <c r="X60" t="b">
        <f t="shared" si="0"/>
        <v>0</v>
      </c>
      <c r="Y60" s="186" t="s">
        <v>1404</v>
      </c>
      <c r="Z60" t="s">
        <v>1403</v>
      </c>
    </row>
    <row r="61" spans="1:26" x14ac:dyDescent="0.25">
      <c r="A61">
        <v>2019</v>
      </c>
      <c r="B61" t="s">
        <v>1400</v>
      </c>
      <c r="C61" t="s">
        <v>818</v>
      </c>
      <c r="D61" s="1">
        <v>110001123276</v>
      </c>
      <c r="E61" t="s">
        <v>236</v>
      </c>
      <c r="F61" t="s">
        <v>237</v>
      </c>
      <c r="G61" t="s">
        <v>817</v>
      </c>
      <c r="H61" t="s">
        <v>138</v>
      </c>
      <c r="I61" t="s">
        <v>1401</v>
      </c>
      <c r="J61">
        <v>36.983809999999998</v>
      </c>
      <c r="K61">
        <v>-85.957089999999994</v>
      </c>
      <c r="L61">
        <v>4952</v>
      </c>
      <c r="M61" s="175" t="str">
        <f>VLOOKUP(L61, '2022 SIC to NAICS'!A:D, 2)</f>
        <v>Manufacturing Industries, Nec</v>
      </c>
      <c r="N61" s="184">
        <f>VLOOKUP(L61, '2022 SIC to NAICS'!A:D, 3)</f>
        <v>339999</v>
      </c>
      <c r="O61" s="184" t="str">
        <f>VLOOKUP(L61, '2022 SIC to NAICS'!A:D, 4)</f>
        <v xml:space="preserve">All Other Miscellaneous Manufacturing </v>
      </c>
      <c r="P61" s="185" t="str">
        <f>VLOOKUP(N61, 'NAICS OES crosswalk'!A:C, 3, FALSE)</f>
        <v>TBD</v>
      </c>
      <c r="T61" s="186" t="s">
        <v>1206</v>
      </c>
      <c r="U61" t="s">
        <v>819</v>
      </c>
      <c r="V61">
        <v>5.2014416250000002</v>
      </c>
      <c r="X61" t="b">
        <f t="shared" si="0"/>
        <v>0</v>
      </c>
      <c r="Y61" s="186" t="s">
        <v>1402</v>
      </c>
      <c r="Z61" t="s">
        <v>1403</v>
      </c>
    </row>
    <row r="62" spans="1:26" x14ac:dyDescent="0.25">
      <c r="A62">
        <v>2019</v>
      </c>
      <c r="B62" t="s">
        <v>1400</v>
      </c>
      <c r="C62" t="s">
        <v>936</v>
      </c>
      <c r="D62" s="1">
        <v>110070162955</v>
      </c>
      <c r="E62" t="s">
        <v>505</v>
      </c>
      <c r="F62" t="s">
        <v>498</v>
      </c>
      <c r="G62" t="s">
        <v>498</v>
      </c>
      <c r="H62" t="s">
        <v>218</v>
      </c>
      <c r="I62" t="s">
        <v>1405</v>
      </c>
      <c r="J62">
        <v>39.781474000000003</v>
      </c>
      <c r="K62">
        <v>-104.97438</v>
      </c>
      <c r="L62">
        <v>1629</v>
      </c>
      <c r="M62" s="175" t="str">
        <f>VLOOKUP(L62, '2022 SIC to NAICS'!A:D, 2)</f>
        <v>Heavy Construction, Nec</v>
      </c>
      <c r="N62" s="184">
        <f>VLOOKUP(L62, '2022 SIC to NAICS'!A:D, 3)</f>
        <v>237990</v>
      </c>
      <c r="O62" s="184" t="str">
        <f>VLOOKUP(L62, '2022 SIC to NAICS'!A:D, 4)</f>
        <v xml:space="preserve">Other Heavy and Civil Engineering Construction </v>
      </c>
      <c r="P62" s="185" t="str">
        <f>VLOOKUP(N62, 'NAICS OES crosswalk'!A:C, 3, FALSE)</f>
        <v>TBD</v>
      </c>
      <c r="T62">
        <v>101900030304</v>
      </c>
      <c r="U62" t="s">
        <v>934</v>
      </c>
      <c r="V62">
        <v>4.4162547300000002E-4</v>
      </c>
      <c r="X62" t="b">
        <f t="shared" si="0"/>
        <v>1</v>
      </c>
      <c r="Y62" s="186" t="s">
        <v>1402</v>
      </c>
      <c r="Z62" t="s">
        <v>1403</v>
      </c>
    </row>
    <row r="63" spans="1:26" x14ac:dyDescent="0.25">
      <c r="A63">
        <v>2019</v>
      </c>
      <c r="B63" t="s">
        <v>1400</v>
      </c>
      <c r="C63" t="s">
        <v>963</v>
      </c>
      <c r="D63" s="1">
        <v>110001177958</v>
      </c>
      <c r="E63" t="s">
        <v>238</v>
      </c>
      <c r="F63" t="s">
        <v>239</v>
      </c>
      <c r="G63" t="s">
        <v>566</v>
      </c>
      <c r="H63" t="s">
        <v>146</v>
      </c>
      <c r="I63" t="s">
        <v>1405</v>
      </c>
      <c r="J63">
        <v>33.227348999999997</v>
      </c>
      <c r="K63">
        <v>-115.528569</v>
      </c>
      <c r="L63">
        <v>4952</v>
      </c>
      <c r="M63" s="175" t="str">
        <f>VLOOKUP(L63, '2022 SIC to NAICS'!A:D, 2)</f>
        <v>Manufacturing Industries, Nec</v>
      </c>
      <c r="N63" s="184">
        <f>VLOOKUP(L63, '2022 SIC to NAICS'!A:D, 3)</f>
        <v>339999</v>
      </c>
      <c r="O63" s="184" t="str">
        <f>VLOOKUP(L63, '2022 SIC to NAICS'!A:D, 4)</f>
        <v xml:space="preserve">All Other Miscellaneous Manufacturing </v>
      </c>
      <c r="P63" s="185" t="str">
        <f>VLOOKUP(N63, 'NAICS OES crosswalk'!A:C, 3, FALSE)</f>
        <v>TBD</v>
      </c>
      <c r="T63">
        <v>181002041109</v>
      </c>
      <c r="U63" t="s">
        <v>964</v>
      </c>
      <c r="V63">
        <v>3.5919649999999997E-2</v>
      </c>
      <c r="X63" t="b">
        <f t="shared" si="0"/>
        <v>0</v>
      </c>
      <c r="Y63" s="186" t="s">
        <v>1402</v>
      </c>
      <c r="Z63" t="s">
        <v>1403</v>
      </c>
    </row>
    <row r="64" spans="1:26" x14ac:dyDescent="0.25">
      <c r="A64">
        <v>2019</v>
      </c>
      <c r="B64" t="s">
        <v>1400</v>
      </c>
      <c r="C64" t="s">
        <v>671</v>
      </c>
      <c r="D64" s="1">
        <v>110042004915</v>
      </c>
      <c r="E64" t="s">
        <v>240</v>
      </c>
      <c r="F64" t="s">
        <v>241</v>
      </c>
      <c r="G64" t="s">
        <v>669</v>
      </c>
      <c r="H64" t="s">
        <v>114</v>
      </c>
      <c r="I64" t="s">
        <v>1405</v>
      </c>
      <c r="J64">
        <v>29.378699999999998</v>
      </c>
      <c r="K64">
        <v>-98.551670000000001</v>
      </c>
      <c r="L64">
        <v>9711</v>
      </c>
      <c r="M64" s="175" t="str">
        <f>VLOOKUP(L64, '2022 SIC to NAICS'!A:D, 2)</f>
        <v>National Security</v>
      </c>
      <c r="N64" s="184">
        <f>VLOOKUP(L64, '2022 SIC to NAICS'!A:D, 3)</f>
        <v>928110</v>
      </c>
      <c r="O64" s="184" t="str">
        <f>VLOOKUP(L64, '2022 SIC to NAICS'!A:D, 4)</f>
        <v xml:space="preserve">National Security </v>
      </c>
      <c r="P64" s="185" t="str">
        <f>VLOOKUP(N64, 'NAICS OES crosswalk'!A:C, 3, FALSE)</f>
        <v>TBD</v>
      </c>
      <c r="T64">
        <v>121003010203</v>
      </c>
      <c r="U64" t="s">
        <v>672</v>
      </c>
      <c r="V64">
        <v>1.8714947034399999E-2</v>
      </c>
      <c r="X64" t="b">
        <f t="shared" si="0"/>
        <v>0</v>
      </c>
      <c r="Y64" s="186" t="s">
        <v>1402</v>
      </c>
      <c r="Z64" t="s">
        <v>1403</v>
      </c>
    </row>
    <row r="65" spans="1:26" x14ac:dyDescent="0.25">
      <c r="A65">
        <v>2019</v>
      </c>
      <c r="B65" t="s">
        <v>1400</v>
      </c>
      <c r="C65" t="s">
        <v>1043</v>
      </c>
      <c r="D65" s="1">
        <v>110000736730</v>
      </c>
      <c r="E65" t="s">
        <v>242</v>
      </c>
      <c r="F65" t="s">
        <v>243</v>
      </c>
      <c r="G65" t="s">
        <v>589</v>
      </c>
      <c r="H65" t="s">
        <v>138</v>
      </c>
      <c r="I65" t="s">
        <v>1401</v>
      </c>
      <c r="J65">
        <v>36.856732000000001</v>
      </c>
      <c r="K65">
        <v>-86.889048000000003</v>
      </c>
      <c r="L65">
        <v>4952</v>
      </c>
      <c r="M65" s="175" t="str">
        <f>VLOOKUP(L65, '2022 SIC to NAICS'!A:D, 2)</f>
        <v>Manufacturing Industries, Nec</v>
      </c>
      <c r="N65" s="184">
        <f>VLOOKUP(L65, '2022 SIC to NAICS'!A:D, 3)</f>
        <v>339999</v>
      </c>
      <c r="O65" s="184" t="str">
        <f>VLOOKUP(L65, '2022 SIC to NAICS'!A:D, 4)</f>
        <v xml:space="preserve">All Other Miscellaneous Manufacturing </v>
      </c>
      <c r="P65" s="185" t="str">
        <f>VLOOKUP(N65, 'NAICS OES crosswalk'!A:C, 3, FALSE)</f>
        <v>TBD</v>
      </c>
      <c r="T65" s="186" t="s">
        <v>1207</v>
      </c>
      <c r="U65" t="s">
        <v>1044</v>
      </c>
      <c r="V65">
        <v>1.4202077</v>
      </c>
      <c r="X65" t="b">
        <f t="shared" si="0"/>
        <v>0</v>
      </c>
      <c r="Y65" s="186" t="s">
        <v>1402</v>
      </c>
      <c r="Z65" t="s">
        <v>1403</v>
      </c>
    </row>
    <row r="66" spans="1:26" x14ac:dyDescent="0.25">
      <c r="A66">
        <v>2019</v>
      </c>
      <c r="B66" t="s">
        <v>1400</v>
      </c>
      <c r="C66" t="s">
        <v>692</v>
      </c>
      <c r="D66" s="1">
        <v>110064265496</v>
      </c>
      <c r="E66" t="s">
        <v>244</v>
      </c>
      <c r="F66" t="s">
        <v>245</v>
      </c>
      <c r="G66" t="s">
        <v>691</v>
      </c>
      <c r="H66" t="s">
        <v>138</v>
      </c>
      <c r="I66" t="s">
        <v>1401</v>
      </c>
      <c r="J66">
        <v>37.304611999999999</v>
      </c>
      <c r="K66">
        <v>-87.145292999999995</v>
      </c>
      <c r="L66">
        <v>4952</v>
      </c>
      <c r="M66" s="175" t="str">
        <f>VLOOKUP(L66, '2022 SIC to NAICS'!A:D, 2)</f>
        <v>Manufacturing Industries, Nec</v>
      </c>
      <c r="N66" s="184">
        <f>VLOOKUP(L66, '2022 SIC to NAICS'!A:D, 3)</f>
        <v>339999</v>
      </c>
      <c r="O66" s="184" t="str">
        <f>VLOOKUP(L66, '2022 SIC to NAICS'!A:D, 4)</f>
        <v xml:space="preserve">All Other Miscellaneous Manufacturing </v>
      </c>
      <c r="P66" s="185" t="str">
        <f>VLOOKUP(N66, 'NAICS OES crosswalk'!A:C, 3, FALSE)</f>
        <v>TBD</v>
      </c>
      <c r="T66" s="186" t="s">
        <v>1208</v>
      </c>
      <c r="U66" t="s">
        <v>693</v>
      </c>
      <c r="V66">
        <v>5.6711601250000001</v>
      </c>
      <c r="X66" t="b">
        <f t="shared" si="0"/>
        <v>0</v>
      </c>
      <c r="Y66" s="186" t="s">
        <v>1402</v>
      </c>
      <c r="Z66" t="s">
        <v>1403</v>
      </c>
    </row>
    <row r="67" spans="1:26" x14ac:dyDescent="0.25">
      <c r="A67">
        <v>2019</v>
      </c>
      <c r="B67" t="s">
        <v>1400</v>
      </c>
      <c r="C67" t="s">
        <v>1089</v>
      </c>
      <c r="D67" s="1">
        <v>110000597426</v>
      </c>
      <c r="E67" t="s">
        <v>246</v>
      </c>
      <c r="F67" t="s">
        <v>194</v>
      </c>
      <c r="G67" t="s">
        <v>1087</v>
      </c>
      <c r="H67" t="s">
        <v>106</v>
      </c>
      <c r="I67" t="s">
        <v>1401</v>
      </c>
      <c r="J67">
        <v>30.241299999999999</v>
      </c>
      <c r="K67">
        <v>-91.100899999999996</v>
      </c>
      <c r="L67">
        <v>2819</v>
      </c>
      <c r="M67" s="175" t="str">
        <f>VLOOKUP(L67, '2022 SIC to NAICS'!A:D, 2)</f>
        <v>Platemaking Services</v>
      </c>
      <c r="N67" s="184">
        <f>VLOOKUP(L67, '2022 SIC to NAICS'!A:D, 3)</f>
        <v>323120</v>
      </c>
      <c r="O67" s="184" t="str">
        <f>VLOOKUP(L67, '2022 SIC to NAICS'!A:D, 4)</f>
        <v>Support Activities for Printing</v>
      </c>
      <c r="P67" s="185" t="str">
        <f>VLOOKUP(N67, 'NAICS OES crosswalk'!A:C, 3, FALSE)</f>
        <v>TBD</v>
      </c>
      <c r="T67" s="186" t="s">
        <v>1196</v>
      </c>
      <c r="U67" t="s">
        <v>1090</v>
      </c>
      <c r="V67">
        <v>0.82855000000000001</v>
      </c>
      <c r="X67" t="b">
        <f t="shared" ref="X67:X130" si="1">V67 &lt;= _xlfn.PERCENTILE.INC($V$2:$V$146, 0.1)</f>
        <v>0</v>
      </c>
      <c r="Y67">
        <v>301</v>
      </c>
      <c r="Z67" t="s">
        <v>1403</v>
      </c>
    </row>
    <row r="68" spans="1:26" x14ac:dyDescent="0.25">
      <c r="A68">
        <v>2019</v>
      </c>
      <c r="B68" t="s">
        <v>1400</v>
      </c>
      <c r="C68" t="s">
        <v>1117</v>
      </c>
      <c r="D68" s="1">
        <v>110004306938</v>
      </c>
      <c r="E68" t="s">
        <v>156</v>
      </c>
      <c r="F68" t="s">
        <v>157</v>
      </c>
      <c r="G68" t="s">
        <v>575</v>
      </c>
      <c r="H68" t="s">
        <v>158</v>
      </c>
      <c r="I68" t="s">
        <v>1405</v>
      </c>
      <c r="J68">
        <v>36.122100000000003</v>
      </c>
      <c r="K68">
        <v>-115.17139</v>
      </c>
      <c r="L68">
        <v>7011</v>
      </c>
      <c r="M68" s="175" t="str">
        <f>VLOOKUP(L68, '2022 SIC to NAICS'!A:D, 2)</f>
        <v>Communication Services, Nec</v>
      </c>
      <c r="N68" s="184">
        <f>VLOOKUP(L68, '2022 SIC to NAICS'!A:D, 3)</f>
        <v>517810</v>
      </c>
      <c r="O68" s="184" t="str">
        <f>VLOOKUP(L68, '2022 SIC to NAICS'!A:D, 4)</f>
        <v xml:space="preserve">All Other Telecommunications </v>
      </c>
      <c r="P68" s="185" t="str">
        <f>VLOOKUP(N68, 'NAICS OES crosswalk'!A:C, 3, FALSE)</f>
        <v>TBD</v>
      </c>
      <c r="T68">
        <v>150100150604</v>
      </c>
      <c r="U68" t="s">
        <v>578</v>
      </c>
      <c r="V68">
        <v>7.4878655000000004E-3</v>
      </c>
      <c r="X68" t="b">
        <f t="shared" si="1"/>
        <v>0</v>
      </c>
      <c r="Y68" s="186" t="s">
        <v>1418</v>
      </c>
      <c r="Z68" t="s">
        <v>1403</v>
      </c>
    </row>
    <row r="69" spans="1:26" x14ac:dyDescent="0.25">
      <c r="A69">
        <v>2019</v>
      </c>
      <c r="B69" t="s">
        <v>1400</v>
      </c>
      <c r="C69" t="s">
        <v>689</v>
      </c>
      <c r="D69" s="1">
        <v>110043485421</v>
      </c>
      <c r="E69" t="s">
        <v>247</v>
      </c>
      <c r="F69" t="s">
        <v>235</v>
      </c>
      <c r="G69" t="s">
        <v>600</v>
      </c>
      <c r="H69" t="s">
        <v>138</v>
      </c>
      <c r="I69" t="s">
        <v>1401</v>
      </c>
      <c r="J69">
        <v>38.122354000000001</v>
      </c>
      <c r="K69">
        <v>-85.587648000000002</v>
      </c>
      <c r="L69">
        <v>4952</v>
      </c>
      <c r="M69" s="175" t="str">
        <f>VLOOKUP(L69, '2022 SIC to NAICS'!A:D, 2)</f>
        <v>Manufacturing Industries, Nec</v>
      </c>
      <c r="N69" s="184">
        <f>VLOOKUP(L69, '2022 SIC to NAICS'!A:D, 3)</f>
        <v>339999</v>
      </c>
      <c r="O69" s="184" t="str">
        <f>VLOOKUP(L69, '2022 SIC to NAICS'!A:D, 4)</f>
        <v xml:space="preserve">All Other Miscellaneous Manufacturing </v>
      </c>
      <c r="P69" s="185" t="str">
        <f>VLOOKUP(N69, 'NAICS OES crosswalk'!A:C, 3, FALSE)</f>
        <v>TBD</v>
      </c>
      <c r="T69" s="186" t="s">
        <v>1209</v>
      </c>
      <c r="U69" t="s">
        <v>690</v>
      </c>
      <c r="V69">
        <v>27.7651986875</v>
      </c>
      <c r="X69" t="b">
        <f t="shared" si="1"/>
        <v>0</v>
      </c>
      <c r="Y69" s="186" t="s">
        <v>1402</v>
      </c>
      <c r="Z69" t="s">
        <v>1403</v>
      </c>
    </row>
    <row r="70" spans="1:26" x14ac:dyDescent="0.25">
      <c r="A70">
        <v>2019</v>
      </c>
      <c r="B70" t="s">
        <v>1400</v>
      </c>
      <c r="C70" t="s">
        <v>896</v>
      </c>
      <c r="D70" s="1">
        <v>110000492173</v>
      </c>
      <c r="E70" t="s">
        <v>248</v>
      </c>
      <c r="F70" t="s">
        <v>249</v>
      </c>
      <c r="G70" t="s">
        <v>895</v>
      </c>
      <c r="H70" t="s">
        <v>250</v>
      </c>
      <c r="I70" t="s">
        <v>1401</v>
      </c>
      <c r="J70">
        <v>43.197788000000003</v>
      </c>
      <c r="K70">
        <v>-77.629835999999997</v>
      </c>
      <c r="L70">
        <v>3861</v>
      </c>
      <c r="M70" s="175" t="str">
        <f>VLOOKUP(L70, '2022 SIC to NAICS'!A:D, 2)</f>
        <v>Office Machines, Nec</v>
      </c>
      <c r="N70" s="184">
        <f>VLOOKUP(L70, '2022 SIC to NAICS'!A:D, 3)</f>
        <v>339940</v>
      </c>
      <c r="O70" s="184" t="str">
        <f>VLOOKUP(L70, '2022 SIC to NAICS'!A:D, 4)</f>
        <v>Office Supplies (except Paper) Manufacturing</v>
      </c>
      <c r="P70" s="185" t="str">
        <f>VLOOKUP(N70, 'NAICS OES crosswalk'!A:C, 3, FALSE)</f>
        <v>TBD</v>
      </c>
      <c r="T70" s="186" t="s">
        <v>1210</v>
      </c>
      <c r="U70" t="s">
        <v>897</v>
      </c>
      <c r="V70">
        <v>4.2712320000000004</v>
      </c>
      <c r="X70" t="b">
        <f t="shared" si="1"/>
        <v>0</v>
      </c>
      <c r="Y70" s="186" t="s">
        <v>1402</v>
      </c>
    </row>
    <row r="71" spans="1:26" x14ac:dyDescent="0.25">
      <c r="A71">
        <v>2019</v>
      </c>
      <c r="B71" t="s">
        <v>1400</v>
      </c>
      <c r="C71" t="s">
        <v>772</v>
      </c>
      <c r="D71" s="1">
        <v>110000433013</v>
      </c>
      <c r="E71" t="s">
        <v>223</v>
      </c>
      <c r="F71" t="s">
        <v>224</v>
      </c>
      <c r="G71" t="s">
        <v>771</v>
      </c>
      <c r="H71" t="s">
        <v>141</v>
      </c>
      <c r="I71" t="s">
        <v>1401</v>
      </c>
      <c r="J71">
        <v>41.412897000000001</v>
      </c>
      <c r="K71">
        <v>-88.329773000000003</v>
      </c>
      <c r="L71">
        <v>2821</v>
      </c>
      <c r="M71" s="175" t="str">
        <f>VLOOKUP(L71, '2022 SIC to NAICS'!A:D, 2)</f>
        <v>Platemaking Services</v>
      </c>
      <c r="N71" s="184">
        <f>VLOOKUP(L71, '2022 SIC to NAICS'!A:D, 3)</f>
        <v>323120</v>
      </c>
      <c r="O71" s="184" t="str">
        <f>VLOOKUP(L71, '2022 SIC to NAICS'!A:D, 4)</f>
        <v>Support Activities for Printing</v>
      </c>
      <c r="P71" s="185" t="str">
        <f>VLOOKUP(N71, 'NAICS OES crosswalk'!A:C, 3, FALSE)</f>
        <v>TBD</v>
      </c>
      <c r="T71" s="186" t="s">
        <v>1202</v>
      </c>
      <c r="U71" t="s">
        <v>773</v>
      </c>
      <c r="V71">
        <v>0.3039984</v>
      </c>
      <c r="X71" t="b">
        <f t="shared" si="1"/>
        <v>0</v>
      </c>
      <c r="Y71" s="186" t="s">
        <v>1430</v>
      </c>
      <c r="Z71" t="s">
        <v>1403</v>
      </c>
    </row>
    <row r="72" spans="1:26" x14ac:dyDescent="0.25">
      <c r="A72">
        <v>2019</v>
      </c>
      <c r="B72" t="s">
        <v>1400</v>
      </c>
      <c r="C72" t="s">
        <v>1041</v>
      </c>
      <c r="D72" s="1">
        <v>110000719045</v>
      </c>
      <c r="E72" t="s">
        <v>251</v>
      </c>
      <c r="F72" t="s">
        <v>252</v>
      </c>
      <c r="G72" t="s">
        <v>1040</v>
      </c>
      <c r="H72" t="s">
        <v>138</v>
      </c>
      <c r="I72" t="s">
        <v>1401</v>
      </c>
      <c r="J72">
        <v>36.946111000000002</v>
      </c>
      <c r="K72">
        <v>-85.020832999999996</v>
      </c>
      <c r="L72">
        <v>4952</v>
      </c>
      <c r="M72" s="175" t="str">
        <f>VLOOKUP(L72, '2022 SIC to NAICS'!A:D, 2)</f>
        <v>Manufacturing Industries, Nec</v>
      </c>
      <c r="N72" s="184">
        <f>VLOOKUP(L72, '2022 SIC to NAICS'!A:D, 3)</f>
        <v>339999</v>
      </c>
      <c r="O72" s="184" t="str">
        <f>VLOOKUP(L72, '2022 SIC to NAICS'!A:D, 4)</f>
        <v xml:space="preserve">All Other Miscellaneous Manufacturing </v>
      </c>
      <c r="P72" s="185" t="str">
        <f>VLOOKUP(N72, 'NAICS OES crosswalk'!A:C, 3, FALSE)</f>
        <v>TBD</v>
      </c>
      <c r="T72" s="186" t="s">
        <v>1211</v>
      </c>
      <c r="U72" t="s">
        <v>1042</v>
      </c>
      <c r="V72">
        <v>0.69628860000000004</v>
      </c>
      <c r="X72" t="b">
        <f t="shared" si="1"/>
        <v>0</v>
      </c>
      <c r="Y72" s="186" t="s">
        <v>1402</v>
      </c>
      <c r="Z72" t="s">
        <v>1403</v>
      </c>
    </row>
    <row r="73" spans="1:26" x14ac:dyDescent="0.25">
      <c r="A73">
        <v>2019</v>
      </c>
      <c r="B73" t="s">
        <v>1400</v>
      </c>
      <c r="C73" t="s">
        <v>590</v>
      </c>
      <c r="D73" s="1">
        <v>110003250277</v>
      </c>
      <c r="E73" t="s">
        <v>253</v>
      </c>
      <c r="F73" t="s">
        <v>254</v>
      </c>
      <c r="G73" t="s">
        <v>589</v>
      </c>
      <c r="H73" t="s">
        <v>138</v>
      </c>
      <c r="I73" t="s">
        <v>1405</v>
      </c>
      <c r="J73">
        <v>36.864350000000002</v>
      </c>
      <c r="K73">
        <v>-86.705910000000003</v>
      </c>
      <c r="L73">
        <v>4952</v>
      </c>
      <c r="M73" s="175" t="str">
        <f>VLOOKUP(L73, '2022 SIC to NAICS'!A:D, 2)</f>
        <v>Manufacturing Industries, Nec</v>
      </c>
      <c r="N73" s="184">
        <f>VLOOKUP(L73, '2022 SIC to NAICS'!A:D, 3)</f>
        <v>339999</v>
      </c>
      <c r="O73" s="184" t="str">
        <f>VLOOKUP(L73, '2022 SIC to NAICS'!A:D, 4)</f>
        <v xml:space="preserve">All Other Miscellaneous Manufacturing </v>
      </c>
      <c r="P73" s="185" t="str">
        <f>VLOOKUP(N73, 'NAICS OES crosswalk'!A:C, 3, FALSE)</f>
        <v>TBD</v>
      </c>
      <c r="T73" s="186" t="s">
        <v>1212</v>
      </c>
      <c r="U73" t="s">
        <v>591</v>
      </c>
      <c r="V73">
        <v>0.22104399999999999</v>
      </c>
      <c r="X73" t="b">
        <f t="shared" si="1"/>
        <v>0</v>
      </c>
      <c r="Y73" s="186" t="s">
        <v>1402</v>
      </c>
      <c r="Z73" t="s">
        <v>1403</v>
      </c>
    </row>
    <row r="74" spans="1:26" x14ac:dyDescent="0.25">
      <c r="A74">
        <v>2019</v>
      </c>
      <c r="B74" t="s">
        <v>1400</v>
      </c>
      <c r="C74" t="s">
        <v>769</v>
      </c>
      <c r="D74" s="1">
        <v>110000746211</v>
      </c>
      <c r="E74" t="s">
        <v>255</v>
      </c>
      <c r="F74" t="s">
        <v>256</v>
      </c>
      <c r="G74" t="s">
        <v>768</v>
      </c>
      <c r="H74" t="s">
        <v>141</v>
      </c>
      <c r="I74" t="s">
        <v>1401</v>
      </c>
      <c r="J74">
        <v>39.795811999999998</v>
      </c>
      <c r="K74">
        <v>-88.347945999999993</v>
      </c>
      <c r="L74">
        <v>2869</v>
      </c>
      <c r="M74" s="175" t="str">
        <f>VLOOKUP(L74, '2022 SIC to NAICS'!A:D, 2)</f>
        <v>Industrial Organic Chemicals, Nec</v>
      </c>
      <c r="N74" s="184">
        <f>VLOOKUP(L74, '2022 SIC to NAICS'!A:D, 3)</f>
        <v>325180</v>
      </c>
      <c r="O74" s="184" t="str">
        <f>VLOOKUP(L74, '2022 SIC to NAICS'!A:D, 4)</f>
        <v xml:space="preserve">Other Basic Inorganic Chemical Manufacturing </v>
      </c>
      <c r="P74" s="185" t="str">
        <f>VLOOKUP(N74, 'NAICS OES crosswalk'!A:C, 3, FALSE)</f>
        <v>Processing as a reactant</v>
      </c>
      <c r="T74" s="186" t="s">
        <v>1213</v>
      </c>
      <c r="U74" t="s">
        <v>770</v>
      </c>
      <c r="V74">
        <v>3.3970549999999999</v>
      </c>
      <c r="X74" t="b">
        <f t="shared" si="1"/>
        <v>0</v>
      </c>
      <c r="Y74" s="186" t="s">
        <v>1402</v>
      </c>
      <c r="Z74" t="s">
        <v>1403</v>
      </c>
    </row>
    <row r="75" spans="1:26" x14ac:dyDescent="0.25">
      <c r="A75">
        <v>2019</v>
      </c>
      <c r="B75" t="s">
        <v>1400</v>
      </c>
      <c r="C75" t="s">
        <v>774</v>
      </c>
      <c r="D75" s="1">
        <v>110034641635</v>
      </c>
      <c r="E75" t="s">
        <v>187</v>
      </c>
      <c r="F75" t="s">
        <v>188</v>
      </c>
      <c r="G75" t="s">
        <v>638</v>
      </c>
      <c r="H75" t="s">
        <v>114</v>
      </c>
      <c r="I75" t="s">
        <v>1401</v>
      </c>
      <c r="J75">
        <v>29.717471</v>
      </c>
      <c r="K75">
        <v>-95.068008000000006</v>
      </c>
      <c r="L75">
        <v>2869</v>
      </c>
      <c r="M75" s="175" t="str">
        <f>VLOOKUP(L75, '2022 SIC to NAICS'!A:D, 2)</f>
        <v>Industrial Organic Chemicals, Nec</v>
      </c>
      <c r="N75" s="184">
        <f>VLOOKUP(L75, '2022 SIC to NAICS'!A:D, 3)</f>
        <v>325180</v>
      </c>
      <c r="O75" s="184" t="str">
        <f>VLOOKUP(L75, '2022 SIC to NAICS'!A:D, 4)</f>
        <v xml:space="preserve">Other Basic Inorganic Chemical Manufacturing </v>
      </c>
      <c r="P75" s="185" t="str">
        <f>VLOOKUP(N75, 'NAICS OES crosswalk'!A:C, 3, FALSE)</f>
        <v>Processing as a reactant</v>
      </c>
      <c r="T75">
        <v>120401040706</v>
      </c>
      <c r="U75" t="s">
        <v>640</v>
      </c>
      <c r="V75">
        <v>4.4208800000000004</v>
      </c>
      <c r="X75" t="b">
        <f t="shared" si="1"/>
        <v>0</v>
      </c>
      <c r="Y75" s="186" t="s">
        <v>1418</v>
      </c>
    </row>
    <row r="76" spans="1:26" x14ac:dyDescent="0.25">
      <c r="A76">
        <v>2019</v>
      </c>
      <c r="B76" t="s">
        <v>1400</v>
      </c>
      <c r="C76" t="s">
        <v>715</v>
      </c>
      <c r="D76" s="1">
        <v>110017237373</v>
      </c>
      <c r="E76" t="s">
        <v>432</v>
      </c>
      <c r="F76" t="s">
        <v>157</v>
      </c>
      <c r="G76" t="s">
        <v>554</v>
      </c>
      <c r="H76" t="s">
        <v>158</v>
      </c>
      <c r="I76" t="s">
        <v>1405</v>
      </c>
      <c r="J76">
        <v>36.16478</v>
      </c>
      <c r="K76">
        <v>-115.14067</v>
      </c>
      <c r="L76">
        <v>8211</v>
      </c>
      <c r="M76" s="175" t="str">
        <f>VLOOKUP(L76, '2022 SIC to NAICS'!A:D, 2)</f>
        <v>Amusement and Recreation, Nec</v>
      </c>
      <c r="N76" s="184">
        <f>VLOOKUP(L76, '2022 SIC to NAICS'!A:D, 3)</f>
        <v>812990</v>
      </c>
      <c r="O76" s="184" t="str">
        <f>VLOOKUP(L76, '2022 SIC to NAICS'!A:D, 4)</f>
        <v xml:space="preserve">All Other Personal Services </v>
      </c>
      <c r="P76" s="185" t="str">
        <f>VLOOKUP(N76, 'NAICS OES crosswalk'!A:C, 3, FALSE)</f>
        <v>TBD</v>
      </c>
      <c r="T76">
        <v>150100150604</v>
      </c>
      <c r="U76" t="s">
        <v>578</v>
      </c>
      <c r="V76">
        <v>5.1807187500000002E-4</v>
      </c>
      <c r="X76" t="b">
        <f t="shared" si="1"/>
        <v>1</v>
      </c>
      <c r="Y76" s="186" t="s">
        <v>1402</v>
      </c>
      <c r="Z76" t="s">
        <v>1403</v>
      </c>
    </row>
    <row r="77" spans="1:26" x14ac:dyDescent="0.25">
      <c r="A77">
        <v>2019</v>
      </c>
      <c r="B77" t="s">
        <v>1400</v>
      </c>
      <c r="C77" t="s">
        <v>825</v>
      </c>
      <c r="D77" s="1">
        <v>110000595981</v>
      </c>
      <c r="E77" t="s">
        <v>257</v>
      </c>
      <c r="F77" t="s">
        <v>258</v>
      </c>
      <c r="G77" t="s">
        <v>823</v>
      </c>
      <c r="H77" t="s">
        <v>170</v>
      </c>
      <c r="I77" t="s">
        <v>1405</v>
      </c>
      <c r="J77">
        <v>39.683477000000003</v>
      </c>
      <c r="K77">
        <v>-91.334682999999998</v>
      </c>
      <c r="L77">
        <v>3241</v>
      </c>
      <c r="M77" s="175" t="str">
        <f>VLOOKUP(L77, '2022 SIC to NAICS'!A:D, 2)</f>
        <v>Fabricated Rubber Products, Nec</v>
      </c>
      <c r="N77" s="184">
        <f>VLOOKUP(L77, '2022 SIC to NAICS'!A:D, 3)</f>
        <v>326299</v>
      </c>
      <c r="O77" s="184" t="str">
        <f>VLOOKUP(L77, '2022 SIC to NAICS'!A:D, 4)</f>
        <v xml:space="preserve">All Other Rubber Product Manufacturing </v>
      </c>
      <c r="P77" s="185" t="str">
        <f>VLOOKUP(N77, 'NAICS OES crosswalk'!A:C, 3, FALSE)</f>
        <v>TBD</v>
      </c>
      <c r="T77" s="186" t="s">
        <v>1214</v>
      </c>
      <c r="U77" t="s">
        <v>826</v>
      </c>
      <c r="V77">
        <v>0.12433725</v>
      </c>
      <c r="X77" t="b">
        <f t="shared" si="1"/>
        <v>0</v>
      </c>
      <c r="Y77" s="186" t="s">
        <v>1427</v>
      </c>
      <c r="Z77" t="s">
        <v>1403</v>
      </c>
    </row>
    <row r="78" spans="1:26" x14ac:dyDescent="0.25">
      <c r="A78">
        <v>2019</v>
      </c>
      <c r="B78" t="s">
        <v>1400</v>
      </c>
      <c r="C78" t="s">
        <v>862</v>
      </c>
      <c r="D78" s="1">
        <v>110039994897</v>
      </c>
      <c r="E78" t="s">
        <v>259</v>
      </c>
      <c r="F78" t="s">
        <v>260</v>
      </c>
      <c r="G78" t="s">
        <v>861</v>
      </c>
      <c r="H78" t="s">
        <v>138</v>
      </c>
      <c r="I78" t="s">
        <v>1401</v>
      </c>
      <c r="J78">
        <v>36.803610999999997</v>
      </c>
      <c r="K78">
        <v>-87.516389000000004</v>
      </c>
      <c r="L78">
        <v>4952</v>
      </c>
      <c r="M78" s="175" t="str">
        <f>VLOOKUP(L78, '2022 SIC to NAICS'!A:D, 2)</f>
        <v>Manufacturing Industries, Nec</v>
      </c>
      <c r="N78" s="184">
        <f>VLOOKUP(L78, '2022 SIC to NAICS'!A:D, 3)</f>
        <v>339999</v>
      </c>
      <c r="O78" s="184" t="str">
        <f>VLOOKUP(L78, '2022 SIC to NAICS'!A:D, 4)</f>
        <v xml:space="preserve">All Other Miscellaneous Manufacturing </v>
      </c>
      <c r="P78" s="185" t="str">
        <f>VLOOKUP(N78, 'NAICS OES crosswalk'!A:C, 3, FALSE)</f>
        <v>TBD</v>
      </c>
      <c r="T78" s="186" t="s">
        <v>1215</v>
      </c>
      <c r="U78" t="s">
        <v>863</v>
      </c>
      <c r="V78">
        <v>5.709842825</v>
      </c>
      <c r="X78" t="b">
        <f t="shared" si="1"/>
        <v>0</v>
      </c>
      <c r="Y78" s="186" t="s">
        <v>1402</v>
      </c>
      <c r="Z78" t="s">
        <v>1403</v>
      </c>
    </row>
    <row r="79" spans="1:26" x14ac:dyDescent="0.25">
      <c r="A79">
        <v>2019</v>
      </c>
      <c r="B79" t="s">
        <v>1400</v>
      </c>
      <c r="C79" t="s">
        <v>774</v>
      </c>
      <c r="D79" s="1">
        <v>110034641635</v>
      </c>
      <c r="E79" t="s">
        <v>187</v>
      </c>
      <c r="F79" t="s">
        <v>188</v>
      </c>
      <c r="G79" t="s">
        <v>638</v>
      </c>
      <c r="H79" t="s">
        <v>114</v>
      </c>
      <c r="I79" t="s">
        <v>1401</v>
      </c>
      <c r="J79">
        <v>29.717471</v>
      </c>
      <c r="K79">
        <v>-95.068008000000006</v>
      </c>
      <c r="L79">
        <v>2869</v>
      </c>
      <c r="M79" s="175" t="str">
        <f>VLOOKUP(L79, '2022 SIC to NAICS'!A:D, 2)</f>
        <v>Industrial Organic Chemicals, Nec</v>
      </c>
      <c r="N79" s="184">
        <f>VLOOKUP(L79, '2022 SIC to NAICS'!A:D, 3)</f>
        <v>325180</v>
      </c>
      <c r="O79" s="184" t="str">
        <f>VLOOKUP(L79, '2022 SIC to NAICS'!A:D, 4)</f>
        <v xml:space="preserve">Other Basic Inorganic Chemical Manufacturing </v>
      </c>
      <c r="P79" s="185" t="str">
        <f>VLOOKUP(N79, 'NAICS OES crosswalk'!A:C, 3, FALSE)</f>
        <v>Processing as a reactant</v>
      </c>
      <c r="T79">
        <v>120401040706</v>
      </c>
      <c r="U79" t="s">
        <v>640</v>
      </c>
      <c r="V79">
        <v>2.4856500000000001</v>
      </c>
      <c r="X79" t="b">
        <f t="shared" si="1"/>
        <v>0</v>
      </c>
      <c r="Y79" s="186" t="s">
        <v>1411</v>
      </c>
    </row>
    <row r="80" spans="1:26" x14ac:dyDescent="0.25">
      <c r="A80">
        <v>2019</v>
      </c>
      <c r="B80" t="s">
        <v>1400</v>
      </c>
      <c r="C80" t="s">
        <v>1055</v>
      </c>
      <c r="D80" s="1">
        <v>110000730460</v>
      </c>
      <c r="E80" t="s">
        <v>176</v>
      </c>
      <c r="F80" t="s">
        <v>177</v>
      </c>
      <c r="G80" t="s">
        <v>1054</v>
      </c>
      <c r="H80" t="s">
        <v>146</v>
      </c>
      <c r="I80" t="s">
        <v>1401</v>
      </c>
      <c r="J80">
        <v>38.368760000000002</v>
      </c>
      <c r="K80">
        <v>-122.76860000000001</v>
      </c>
      <c r="L80">
        <v>4952</v>
      </c>
      <c r="M80" s="175" t="str">
        <f>VLOOKUP(L80, '2022 SIC to NAICS'!A:D, 2)</f>
        <v>Manufacturing Industries, Nec</v>
      </c>
      <c r="N80" s="184">
        <f>VLOOKUP(L80, '2022 SIC to NAICS'!A:D, 3)</f>
        <v>339999</v>
      </c>
      <c r="O80" s="184" t="str">
        <f>VLOOKUP(L80, '2022 SIC to NAICS'!A:D, 4)</f>
        <v xml:space="preserve">All Other Miscellaneous Manufacturing </v>
      </c>
      <c r="P80" s="185" t="str">
        <f>VLOOKUP(N80, 'NAICS OES crosswalk'!A:C, 3, FALSE)</f>
        <v>TBD</v>
      </c>
      <c r="T80">
        <v>180101100701</v>
      </c>
      <c r="U80" t="s">
        <v>1056</v>
      </c>
      <c r="V80">
        <v>3.9515400000000001</v>
      </c>
      <c r="X80" t="b">
        <f t="shared" si="1"/>
        <v>0</v>
      </c>
      <c r="Y80" s="186" t="s">
        <v>1431</v>
      </c>
      <c r="Z80" t="s">
        <v>1403</v>
      </c>
    </row>
    <row r="81" spans="1:26" x14ac:dyDescent="0.25">
      <c r="A81">
        <v>2019</v>
      </c>
      <c r="B81" t="s">
        <v>1400</v>
      </c>
      <c r="C81" t="s">
        <v>937</v>
      </c>
      <c r="D81" s="1">
        <v>110000463677</v>
      </c>
      <c r="E81" t="s">
        <v>502</v>
      </c>
      <c r="F81" t="s">
        <v>372</v>
      </c>
      <c r="G81" t="s">
        <v>638</v>
      </c>
      <c r="H81" t="s">
        <v>114</v>
      </c>
      <c r="I81" t="s">
        <v>1405</v>
      </c>
      <c r="J81">
        <v>29.726065999999999</v>
      </c>
      <c r="K81">
        <v>-95.079583999999997</v>
      </c>
      <c r="L81">
        <v>2821</v>
      </c>
      <c r="M81" s="175" t="str">
        <f>VLOOKUP(L81, '2022 SIC to NAICS'!A:D, 2)</f>
        <v>Platemaking Services</v>
      </c>
      <c r="N81" s="184">
        <f>VLOOKUP(L81, '2022 SIC to NAICS'!A:D, 3)</f>
        <v>323120</v>
      </c>
      <c r="O81" s="184" t="str">
        <f>VLOOKUP(L81, '2022 SIC to NAICS'!A:D, 4)</f>
        <v>Support Activities for Printing</v>
      </c>
      <c r="P81" s="185" t="str">
        <f>VLOOKUP(N81, 'NAICS OES crosswalk'!A:C, 3, FALSE)</f>
        <v>TBD</v>
      </c>
      <c r="T81">
        <v>120401040706</v>
      </c>
      <c r="U81" t="s">
        <v>640</v>
      </c>
      <c r="V81">
        <v>1.6570999999999999E-3</v>
      </c>
      <c r="X81" t="b">
        <f t="shared" si="1"/>
        <v>1</v>
      </c>
      <c r="Y81" s="186" t="s">
        <v>1402</v>
      </c>
      <c r="Z81" t="s">
        <v>1403</v>
      </c>
    </row>
    <row r="82" spans="1:26" x14ac:dyDescent="0.25">
      <c r="A82">
        <v>2019</v>
      </c>
      <c r="B82" t="s">
        <v>1400</v>
      </c>
      <c r="C82" t="s">
        <v>580</v>
      </c>
      <c r="D82" s="1">
        <v>110064134459</v>
      </c>
      <c r="E82" t="s">
        <v>233</v>
      </c>
      <c r="F82" t="s">
        <v>157</v>
      </c>
      <c r="G82" t="s">
        <v>554</v>
      </c>
      <c r="H82" t="s">
        <v>158</v>
      </c>
      <c r="I82" t="s">
        <v>1405</v>
      </c>
      <c r="J82">
        <v>36.075400000000002</v>
      </c>
      <c r="K82">
        <v>-115.1669</v>
      </c>
      <c r="L82">
        <v>4581</v>
      </c>
      <c r="M82" s="175" t="str">
        <f>VLOOKUP(L82, '2022 SIC to NAICS'!A:D, 2)</f>
        <v>Manufacturing Industries, Nec</v>
      </c>
      <c r="N82" s="184">
        <f>VLOOKUP(L82, '2022 SIC to NAICS'!A:D, 3)</f>
        <v>339999</v>
      </c>
      <c r="O82" s="184" t="str">
        <f>VLOOKUP(L82, '2022 SIC to NAICS'!A:D, 4)</f>
        <v xml:space="preserve">All Other Miscellaneous Manufacturing </v>
      </c>
      <c r="P82" s="185" t="str">
        <f>VLOOKUP(N82, 'NAICS OES crosswalk'!A:C, 3, FALSE)</f>
        <v>TBD</v>
      </c>
      <c r="T82">
        <v>150100150704</v>
      </c>
      <c r="U82" t="s">
        <v>581</v>
      </c>
      <c r="V82">
        <v>1.4024844375E-2</v>
      </c>
      <c r="X82" t="b">
        <f t="shared" si="1"/>
        <v>0</v>
      </c>
      <c r="Y82" s="186" t="s">
        <v>1402</v>
      </c>
      <c r="Z82" t="s">
        <v>1403</v>
      </c>
    </row>
    <row r="83" spans="1:26" x14ac:dyDescent="0.25">
      <c r="A83">
        <v>2019</v>
      </c>
      <c r="B83" t="s">
        <v>1400</v>
      </c>
      <c r="C83" t="s">
        <v>931</v>
      </c>
      <c r="D83" s="1">
        <v>110000761104</v>
      </c>
      <c r="E83" t="s">
        <v>261</v>
      </c>
      <c r="F83" t="s">
        <v>262</v>
      </c>
      <c r="G83" t="s">
        <v>866</v>
      </c>
      <c r="H83" t="s">
        <v>138</v>
      </c>
      <c r="I83" t="s">
        <v>1401</v>
      </c>
      <c r="J83">
        <v>38.686529999999998</v>
      </c>
      <c r="K83">
        <v>-83.788679999999999</v>
      </c>
      <c r="L83">
        <v>4952</v>
      </c>
      <c r="M83" s="175" t="str">
        <f>VLOOKUP(L83, '2022 SIC to NAICS'!A:D, 2)</f>
        <v>Manufacturing Industries, Nec</v>
      </c>
      <c r="N83" s="184">
        <f>VLOOKUP(L83, '2022 SIC to NAICS'!A:D, 3)</f>
        <v>339999</v>
      </c>
      <c r="O83" s="184" t="str">
        <f>VLOOKUP(L83, '2022 SIC to NAICS'!A:D, 4)</f>
        <v xml:space="preserve">All Other Miscellaneous Manufacturing </v>
      </c>
      <c r="P83" s="185" t="str">
        <f>VLOOKUP(N83, 'NAICS OES crosswalk'!A:C, 3, FALSE)</f>
        <v>TBD</v>
      </c>
      <c r="T83" s="186" t="s">
        <v>1216</v>
      </c>
      <c r="U83" t="s">
        <v>932</v>
      </c>
      <c r="V83">
        <v>0.46971849999999998</v>
      </c>
      <c r="X83" t="b">
        <f t="shared" si="1"/>
        <v>0</v>
      </c>
      <c r="Y83" s="186" t="s">
        <v>1402</v>
      </c>
      <c r="Z83" t="s">
        <v>1403</v>
      </c>
    </row>
    <row r="84" spans="1:26" x14ac:dyDescent="0.25">
      <c r="A84">
        <v>2019</v>
      </c>
      <c r="B84" t="s">
        <v>1400</v>
      </c>
      <c r="C84" t="s">
        <v>791</v>
      </c>
      <c r="D84" s="1">
        <v>110001847761</v>
      </c>
      <c r="E84" t="s">
        <v>263</v>
      </c>
      <c r="F84" t="s">
        <v>264</v>
      </c>
      <c r="G84" t="s">
        <v>789</v>
      </c>
      <c r="H84" t="s">
        <v>118</v>
      </c>
      <c r="I84" t="s">
        <v>1405</v>
      </c>
      <c r="J84">
        <v>41.775967999999999</v>
      </c>
      <c r="K84">
        <v>-86.654864000000003</v>
      </c>
      <c r="L84">
        <v>4953</v>
      </c>
      <c r="M84" s="175" t="str">
        <f>VLOOKUP(L84, '2022 SIC to NAICS'!A:D, 2)</f>
        <v>Manufacturing Industries, Nec</v>
      </c>
      <c r="N84" s="184">
        <f>VLOOKUP(L84, '2022 SIC to NAICS'!A:D, 3)</f>
        <v>339999</v>
      </c>
      <c r="O84" s="184" t="str">
        <f>VLOOKUP(L84, '2022 SIC to NAICS'!A:D, 4)</f>
        <v xml:space="preserve">All Other Miscellaneous Manufacturing </v>
      </c>
      <c r="P84" s="185" t="str">
        <f>VLOOKUP(N84, 'NAICS OES crosswalk'!A:C, 3, FALSE)</f>
        <v>TBD</v>
      </c>
      <c r="T84" s="186" t="s">
        <v>1217</v>
      </c>
      <c r="U84" t="s">
        <v>792</v>
      </c>
      <c r="V84">
        <v>3.5931349090908997E-2</v>
      </c>
      <c r="X84" t="b">
        <f t="shared" si="1"/>
        <v>0</v>
      </c>
      <c r="Y84" s="186" t="s">
        <v>1402</v>
      </c>
      <c r="Z84" t="s">
        <v>1403</v>
      </c>
    </row>
    <row r="85" spans="1:26" x14ac:dyDescent="0.25">
      <c r="A85">
        <v>2019</v>
      </c>
      <c r="B85" t="s">
        <v>1400</v>
      </c>
      <c r="C85" t="s">
        <v>632</v>
      </c>
      <c r="D85" s="1">
        <v>110064611969</v>
      </c>
      <c r="E85" t="s">
        <v>265</v>
      </c>
      <c r="F85" t="s">
        <v>175</v>
      </c>
      <c r="G85" t="s">
        <v>630</v>
      </c>
      <c r="H85" t="s">
        <v>106</v>
      </c>
      <c r="I85" t="s">
        <v>1401</v>
      </c>
      <c r="J85">
        <v>30.23771</v>
      </c>
      <c r="K85">
        <v>-93.258650000000003</v>
      </c>
      <c r="L85">
        <v>2819</v>
      </c>
      <c r="M85" s="175" t="str">
        <f>VLOOKUP(L85, '2022 SIC to NAICS'!A:D, 2)</f>
        <v>Platemaking Services</v>
      </c>
      <c r="N85" s="184">
        <f>VLOOKUP(L85, '2022 SIC to NAICS'!A:D, 3)</f>
        <v>323120</v>
      </c>
      <c r="O85" s="184" t="str">
        <f>VLOOKUP(L85, '2022 SIC to NAICS'!A:D, 4)</f>
        <v>Support Activities for Printing</v>
      </c>
      <c r="P85" s="185" t="str">
        <f>VLOOKUP(N85, 'NAICS OES crosswalk'!A:C, 3, FALSE)</f>
        <v>TBD</v>
      </c>
      <c r="T85" s="186" t="s">
        <v>1218</v>
      </c>
      <c r="U85" t="s">
        <v>633</v>
      </c>
      <c r="V85">
        <v>2.9215658000000002</v>
      </c>
      <c r="X85" t="b">
        <f t="shared" si="1"/>
        <v>0</v>
      </c>
      <c r="Y85" s="186" t="s">
        <v>1432</v>
      </c>
      <c r="Z85" t="s">
        <v>1403</v>
      </c>
    </row>
    <row r="86" spans="1:26" x14ac:dyDescent="0.25">
      <c r="A86">
        <v>2019</v>
      </c>
      <c r="B86" t="s">
        <v>1400</v>
      </c>
      <c r="C86" t="s">
        <v>1059</v>
      </c>
      <c r="D86" s="1">
        <v>110008476327</v>
      </c>
      <c r="E86" t="s">
        <v>266</v>
      </c>
      <c r="F86" t="s">
        <v>267</v>
      </c>
      <c r="G86" t="s">
        <v>1057</v>
      </c>
      <c r="H86" t="s">
        <v>268</v>
      </c>
      <c r="I86" t="s">
        <v>1405</v>
      </c>
      <c r="J86">
        <v>41.452778000000002</v>
      </c>
      <c r="K86">
        <v>-79.690278000000006</v>
      </c>
      <c r="L86">
        <v>2865</v>
      </c>
      <c r="M86" s="175" t="str">
        <f>VLOOKUP(L86, '2022 SIC to NAICS'!A:D, 2)</f>
        <v>Platemaking Services</v>
      </c>
      <c r="N86" s="184">
        <f>VLOOKUP(L86, '2022 SIC to NAICS'!A:D, 3)</f>
        <v>323120</v>
      </c>
      <c r="O86" s="184" t="str">
        <f>VLOOKUP(L86, '2022 SIC to NAICS'!A:D, 4)</f>
        <v>Support Activities for Printing</v>
      </c>
      <c r="P86" s="185" t="str">
        <f>VLOOKUP(N86, 'NAICS OES crosswalk'!A:C, 3, FALSE)</f>
        <v>TBD</v>
      </c>
      <c r="T86" s="186" t="s">
        <v>1219</v>
      </c>
      <c r="U86" t="s">
        <v>1060</v>
      </c>
      <c r="V86">
        <v>8.2854999999999995E-3</v>
      </c>
      <c r="X86" t="b">
        <f t="shared" si="1"/>
        <v>0</v>
      </c>
      <c r="Y86" s="186" t="s">
        <v>1402</v>
      </c>
      <c r="Z86" t="s">
        <v>1403</v>
      </c>
    </row>
    <row r="87" spans="1:26" x14ac:dyDescent="0.25">
      <c r="A87">
        <v>2019</v>
      </c>
      <c r="B87" t="s">
        <v>1400</v>
      </c>
      <c r="C87" t="s">
        <v>1121</v>
      </c>
      <c r="D87" s="1">
        <v>110000517637</v>
      </c>
      <c r="E87" t="s">
        <v>269</v>
      </c>
      <c r="F87" t="s">
        <v>270</v>
      </c>
      <c r="G87" t="s">
        <v>1029</v>
      </c>
      <c r="H87" t="s">
        <v>146</v>
      </c>
      <c r="I87" t="s">
        <v>1401</v>
      </c>
      <c r="J87">
        <v>34.616678999999998</v>
      </c>
      <c r="K87">
        <v>-117.355046</v>
      </c>
      <c r="L87">
        <v>4952</v>
      </c>
      <c r="M87" s="175" t="str">
        <f>VLOOKUP(L87, '2022 SIC to NAICS'!A:D, 2)</f>
        <v>Manufacturing Industries, Nec</v>
      </c>
      <c r="N87" s="184">
        <f>VLOOKUP(L87, '2022 SIC to NAICS'!A:D, 3)</f>
        <v>339999</v>
      </c>
      <c r="O87" s="184" t="str">
        <f>VLOOKUP(L87, '2022 SIC to NAICS'!A:D, 4)</f>
        <v xml:space="preserve">All Other Miscellaneous Manufacturing </v>
      </c>
      <c r="P87" s="185" t="str">
        <f>VLOOKUP(N87, 'NAICS OES crosswalk'!A:C, 3, FALSE)</f>
        <v>TBD</v>
      </c>
      <c r="T87">
        <v>180902080706</v>
      </c>
      <c r="U87" t="s">
        <v>1122</v>
      </c>
      <c r="V87">
        <v>0.49044137500000001</v>
      </c>
      <c r="X87" t="b">
        <f t="shared" si="1"/>
        <v>0</v>
      </c>
      <c r="Y87" s="186" t="s">
        <v>1402</v>
      </c>
      <c r="Z87" t="s">
        <v>1403</v>
      </c>
    </row>
    <row r="88" spans="1:26" x14ac:dyDescent="0.25">
      <c r="A88">
        <v>2019</v>
      </c>
      <c r="B88" t="s">
        <v>1400</v>
      </c>
      <c r="C88" t="s">
        <v>587</v>
      </c>
      <c r="D88" s="1">
        <v>110000732244</v>
      </c>
      <c r="E88" t="s">
        <v>271</v>
      </c>
      <c r="F88" t="s">
        <v>272</v>
      </c>
      <c r="G88" t="s">
        <v>585</v>
      </c>
      <c r="H88" t="s">
        <v>138</v>
      </c>
      <c r="I88" t="s">
        <v>1401</v>
      </c>
      <c r="J88">
        <v>38.474601999999997</v>
      </c>
      <c r="K88">
        <v>-82.623778999999999</v>
      </c>
      <c r="L88">
        <v>4952</v>
      </c>
      <c r="M88" s="175" t="str">
        <f>VLOOKUP(L88, '2022 SIC to NAICS'!A:D, 2)</f>
        <v>Manufacturing Industries, Nec</v>
      </c>
      <c r="N88" s="184">
        <f>VLOOKUP(L88, '2022 SIC to NAICS'!A:D, 3)</f>
        <v>339999</v>
      </c>
      <c r="O88" s="184" t="str">
        <f>VLOOKUP(L88, '2022 SIC to NAICS'!A:D, 4)</f>
        <v xml:space="preserve">All Other Miscellaneous Manufacturing </v>
      </c>
      <c r="P88" s="185" t="str">
        <f>VLOOKUP(N88, 'NAICS OES crosswalk'!A:C, 3, FALSE)</f>
        <v>TBD</v>
      </c>
      <c r="T88" s="186" t="s">
        <v>1220</v>
      </c>
      <c r="U88" t="s">
        <v>588</v>
      </c>
      <c r="V88">
        <v>24.038535</v>
      </c>
      <c r="X88" t="b">
        <f t="shared" si="1"/>
        <v>0</v>
      </c>
      <c r="Y88" s="186" t="s">
        <v>1402</v>
      </c>
      <c r="Z88" t="s">
        <v>1403</v>
      </c>
    </row>
    <row r="89" spans="1:26" x14ac:dyDescent="0.25">
      <c r="A89">
        <v>2019</v>
      </c>
      <c r="B89" t="s">
        <v>1400</v>
      </c>
      <c r="C89" t="s">
        <v>1078</v>
      </c>
      <c r="D89" s="1">
        <v>110000572782</v>
      </c>
      <c r="E89" t="s">
        <v>163</v>
      </c>
      <c r="F89" t="s">
        <v>164</v>
      </c>
      <c r="G89" t="s">
        <v>1077</v>
      </c>
      <c r="H89" t="s">
        <v>135</v>
      </c>
      <c r="I89" t="s">
        <v>1401</v>
      </c>
      <c r="J89">
        <v>39.599829999999997</v>
      </c>
      <c r="K89">
        <v>-79.97148</v>
      </c>
      <c r="L89">
        <v>2869</v>
      </c>
      <c r="M89" s="175" t="str">
        <f>VLOOKUP(L89, '2022 SIC to NAICS'!A:D, 2)</f>
        <v>Industrial Organic Chemicals, Nec</v>
      </c>
      <c r="N89" s="184">
        <f>VLOOKUP(L89, '2022 SIC to NAICS'!A:D, 3)</f>
        <v>325180</v>
      </c>
      <c r="O89" s="184" t="str">
        <f>VLOOKUP(L89, '2022 SIC to NAICS'!A:D, 4)</f>
        <v xml:space="preserve">Other Basic Inorganic Chemical Manufacturing </v>
      </c>
      <c r="P89" s="185" t="str">
        <f>VLOOKUP(N89, 'NAICS OES crosswalk'!A:C, 3, FALSE)</f>
        <v>Processing as a reactant</v>
      </c>
      <c r="T89" s="186" t="s">
        <v>1190</v>
      </c>
      <c r="U89" t="s">
        <v>1079</v>
      </c>
      <c r="V89">
        <v>0.1062814</v>
      </c>
      <c r="X89" t="b">
        <f t="shared" si="1"/>
        <v>0</v>
      </c>
      <c r="Y89" s="186" t="s">
        <v>1402</v>
      </c>
    </row>
    <row r="90" spans="1:26" x14ac:dyDescent="0.25">
      <c r="A90">
        <v>2019</v>
      </c>
      <c r="B90" t="s">
        <v>1400</v>
      </c>
      <c r="C90" t="s">
        <v>1038</v>
      </c>
      <c r="D90" s="1">
        <v>110064634686</v>
      </c>
      <c r="E90" t="s">
        <v>273</v>
      </c>
      <c r="F90" t="s">
        <v>274</v>
      </c>
      <c r="G90" t="s">
        <v>1036</v>
      </c>
      <c r="H90" t="s">
        <v>268</v>
      </c>
      <c r="I90" t="s">
        <v>1401</v>
      </c>
      <c r="J90">
        <v>40.094276999999998</v>
      </c>
      <c r="K90">
        <v>-74.865442000000002</v>
      </c>
      <c r="L90">
        <v>2821</v>
      </c>
      <c r="M90" s="175" t="str">
        <f>VLOOKUP(L90, '2022 SIC to NAICS'!A:D, 2)</f>
        <v>Platemaking Services</v>
      </c>
      <c r="N90" s="184">
        <f>VLOOKUP(L90, '2022 SIC to NAICS'!A:D, 3)</f>
        <v>323120</v>
      </c>
      <c r="O90" s="184" t="str">
        <f>VLOOKUP(L90, '2022 SIC to NAICS'!A:D, 4)</f>
        <v>Support Activities for Printing</v>
      </c>
      <c r="P90" s="185" t="str">
        <f>VLOOKUP(N90, 'NAICS OES crosswalk'!A:C, 3, FALSE)</f>
        <v>TBD</v>
      </c>
      <c r="T90" s="186" t="s">
        <v>1221</v>
      </c>
      <c r="U90" t="s">
        <v>1039</v>
      </c>
      <c r="V90">
        <v>0.1665499</v>
      </c>
      <c r="X90" t="b">
        <f t="shared" si="1"/>
        <v>0</v>
      </c>
      <c r="Y90" s="186" t="s">
        <v>1433</v>
      </c>
      <c r="Z90" t="s">
        <v>1403</v>
      </c>
    </row>
    <row r="91" spans="1:26" x14ac:dyDescent="0.25">
      <c r="A91">
        <v>2019</v>
      </c>
      <c r="B91" t="s">
        <v>1400</v>
      </c>
      <c r="C91" t="s">
        <v>881</v>
      </c>
      <c r="D91" s="1">
        <v>110000741608</v>
      </c>
      <c r="E91" t="s">
        <v>275</v>
      </c>
      <c r="F91" t="s">
        <v>276</v>
      </c>
      <c r="G91" t="s">
        <v>620</v>
      </c>
      <c r="H91" t="s">
        <v>138</v>
      </c>
      <c r="I91" t="s">
        <v>1401</v>
      </c>
      <c r="J91">
        <v>37.047736999999998</v>
      </c>
      <c r="K91">
        <v>-88.35866</v>
      </c>
      <c r="L91">
        <v>2869</v>
      </c>
      <c r="M91" s="175" t="str">
        <f>VLOOKUP(L91, '2022 SIC to NAICS'!A:D, 2)</f>
        <v>Industrial Organic Chemicals, Nec</v>
      </c>
      <c r="N91" s="184">
        <f>VLOOKUP(L91, '2022 SIC to NAICS'!A:D, 3)</f>
        <v>325180</v>
      </c>
      <c r="O91" s="184" t="str">
        <f>VLOOKUP(L91, '2022 SIC to NAICS'!A:D, 4)</f>
        <v xml:space="preserve">Other Basic Inorganic Chemical Manufacturing </v>
      </c>
      <c r="P91" s="185" t="str">
        <f>VLOOKUP(N91, 'NAICS OES crosswalk'!A:C, 3, FALSE)</f>
        <v>Processing as a reactant</v>
      </c>
      <c r="T91" s="186" t="s">
        <v>1222</v>
      </c>
      <c r="U91" t="s">
        <v>882</v>
      </c>
      <c r="V91">
        <v>4.3084600000000002</v>
      </c>
      <c r="X91" t="b">
        <f t="shared" si="1"/>
        <v>0</v>
      </c>
      <c r="Y91" s="186" t="s">
        <v>1402</v>
      </c>
      <c r="Z91" t="s">
        <v>1403</v>
      </c>
    </row>
    <row r="92" spans="1:26" x14ac:dyDescent="0.25">
      <c r="A92">
        <v>2019</v>
      </c>
      <c r="B92" t="s">
        <v>1400</v>
      </c>
      <c r="C92" t="s">
        <v>787</v>
      </c>
      <c r="D92" s="1">
        <v>110043486457</v>
      </c>
      <c r="E92" t="s">
        <v>277</v>
      </c>
      <c r="F92" t="s">
        <v>235</v>
      </c>
      <c r="G92" t="s">
        <v>600</v>
      </c>
      <c r="H92" t="s">
        <v>138</v>
      </c>
      <c r="I92" t="s">
        <v>1401</v>
      </c>
      <c r="J92">
        <v>38.236699999999999</v>
      </c>
      <c r="K92">
        <v>-85.466710000000006</v>
      </c>
      <c r="L92">
        <v>4952</v>
      </c>
      <c r="M92" s="175" t="str">
        <f>VLOOKUP(L92, '2022 SIC to NAICS'!A:D, 2)</f>
        <v>Manufacturing Industries, Nec</v>
      </c>
      <c r="N92" s="184">
        <f>VLOOKUP(L92, '2022 SIC to NAICS'!A:D, 3)</f>
        <v>339999</v>
      </c>
      <c r="O92" s="184" t="str">
        <f>VLOOKUP(L92, '2022 SIC to NAICS'!A:D, 4)</f>
        <v xml:space="preserve">All Other Miscellaneous Manufacturing </v>
      </c>
      <c r="P92" s="185" t="str">
        <f>VLOOKUP(N92, 'NAICS OES crosswalk'!A:C, 3, FALSE)</f>
        <v>TBD</v>
      </c>
      <c r="T92" s="186" t="s">
        <v>1223</v>
      </c>
      <c r="U92" t="s">
        <v>788</v>
      </c>
      <c r="V92">
        <v>15.645770625000001</v>
      </c>
      <c r="X92" t="b">
        <f t="shared" si="1"/>
        <v>0</v>
      </c>
      <c r="Y92" s="186" t="s">
        <v>1402</v>
      </c>
      <c r="Z92" t="s">
        <v>1403</v>
      </c>
    </row>
    <row r="93" spans="1:26" x14ac:dyDescent="0.25">
      <c r="A93">
        <v>2019</v>
      </c>
      <c r="B93" t="s">
        <v>1400</v>
      </c>
      <c r="C93" t="s">
        <v>675</v>
      </c>
      <c r="D93" s="1">
        <v>110002043217</v>
      </c>
      <c r="E93" t="s">
        <v>479</v>
      </c>
      <c r="F93" t="s">
        <v>480</v>
      </c>
      <c r="G93" t="s">
        <v>566</v>
      </c>
      <c r="H93" t="s">
        <v>146</v>
      </c>
      <c r="I93" t="s">
        <v>1401</v>
      </c>
      <c r="J93">
        <v>33.147531999999998</v>
      </c>
      <c r="K93">
        <v>-115.54533000000001</v>
      </c>
      <c r="L93">
        <v>4952</v>
      </c>
      <c r="M93" s="175" t="str">
        <f>VLOOKUP(L93, '2022 SIC to NAICS'!A:D, 2)</f>
        <v>Manufacturing Industries, Nec</v>
      </c>
      <c r="N93" s="184">
        <f>VLOOKUP(L93, '2022 SIC to NAICS'!A:D, 3)</f>
        <v>339999</v>
      </c>
      <c r="O93" s="184" t="str">
        <f>VLOOKUP(L93, '2022 SIC to NAICS'!A:D, 4)</f>
        <v xml:space="preserve">All Other Miscellaneous Manufacturing </v>
      </c>
      <c r="P93" s="185" t="str">
        <f>VLOOKUP(N93, 'NAICS OES crosswalk'!A:C, 3, FALSE)</f>
        <v>TBD</v>
      </c>
      <c r="T93">
        <v>181002040707</v>
      </c>
      <c r="U93" t="s">
        <v>676</v>
      </c>
      <c r="V93">
        <v>4.1445750000000002E-3</v>
      </c>
      <c r="X93" t="b">
        <f t="shared" si="1"/>
        <v>1</v>
      </c>
      <c r="Y93" s="186" t="s">
        <v>1402</v>
      </c>
      <c r="Z93" t="s">
        <v>1403</v>
      </c>
    </row>
    <row r="94" spans="1:26" x14ac:dyDescent="0.25">
      <c r="A94">
        <v>2019</v>
      </c>
      <c r="B94" t="s">
        <v>1400</v>
      </c>
      <c r="C94" t="s">
        <v>1434</v>
      </c>
      <c r="D94" s="1">
        <v>110000339027</v>
      </c>
      <c r="E94" t="s">
        <v>1435</v>
      </c>
      <c r="F94" t="s">
        <v>1436</v>
      </c>
      <c r="G94" t="s">
        <v>1437</v>
      </c>
      <c r="H94" t="s">
        <v>344</v>
      </c>
      <c r="I94" t="s">
        <v>1401</v>
      </c>
      <c r="J94">
        <v>38.631867</v>
      </c>
      <c r="K94">
        <v>-75.628372999999996</v>
      </c>
      <c r="L94">
        <v>2821</v>
      </c>
      <c r="M94" s="175" t="str">
        <f>VLOOKUP(L94, '2022 SIC to NAICS'!A:D, 2)</f>
        <v>Platemaking Services</v>
      </c>
      <c r="N94" s="184">
        <f>VLOOKUP(L94, '2022 SIC to NAICS'!A:D, 3)</f>
        <v>323120</v>
      </c>
      <c r="O94" s="184" t="str">
        <f>VLOOKUP(L94, '2022 SIC to NAICS'!A:D, 4)</f>
        <v>Support Activities for Printing</v>
      </c>
      <c r="P94" s="185" t="str">
        <f>VLOOKUP(N94, 'NAICS OES crosswalk'!A:C, 3, FALSE)</f>
        <v>TBD</v>
      </c>
      <c r="T94" s="186" t="s">
        <v>1438</v>
      </c>
      <c r="U94" t="s">
        <v>1439</v>
      </c>
      <c r="V94">
        <v>1.82962E-4</v>
      </c>
      <c r="X94" t="b">
        <f t="shared" si="1"/>
        <v>1</v>
      </c>
      <c r="Y94" s="186" t="s">
        <v>1427</v>
      </c>
      <c r="Z94" t="s">
        <v>1403</v>
      </c>
    </row>
    <row r="95" spans="1:26" x14ac:dyDescent="0.25">
      <c r="A95">
        <v>2019</v>
      </c>
      <c r="B95" t="s">
        <v>1400</v>
      </c>
      <c r="C95" t="s">
        <v>945</v>
      </c>
      <c r="D95" s="1">
        <v>110000377976</v>
      </c>
      <c r="E95" t="s">
        <v>278</v>
      </c>
      <c r="F95" t="s">
        <v>279</v>
      </c>
      <c r="G95" t="s">
        <v>944</v>
      </c>
      <c r="H95" t="s">
        <v>138</v>
      </c>
      <c r="I95" t="s">
        <v>1401</v>
      </c>
      <c r="J95">
        <v>38.002597000000002</v>
      </c>
      <c r="K95">
        <v>-86.117904999999993</v>
      </c>
      <c r="L95">
        <v>2869</v>
      </c>
      <c r="M95" s="175" t="str">
        <f>VLOOKUP(L95, '2022 SIC to NAICS'!A:D, 2)</f>
        <v>Industrial Organic Chemicals, Nec</v>
      </c>
      <c r="N95" s="184">
        <f>VLOOKUP(L95, '2022 SIC to NAICS'!A:D, 3)</f>
        <v>325180</v>
      </c>
      <c r="O95" s="184" t="str">
        <f>VLOOKUP(L95, '2022 SIC to NAICS'!A:D, 4)</f>
        <v xml:space="preserve">Other Basic Inorganic Chemical Manufacturing </v>
      </c>
      <c r="P95" s="185" t="str">
        <f>VLOOKUP(N95, 'NAICS OES crosswalk'!A:C, 3, FALSE)</f>
        <v>Processing as a reactant</v>
      </c>
      <c r="T95" s="186" t="s">
        <v>1224</v>
      </c>
      <c r="U95" t="s">
        <v>946</v>
      </c>
      <c r="V95">
        <v>9.0073600000000004E-2</v>
      </c>
      <c r="X95" t="b">
        <f t="shared" si="1"/>
        <v>0</v>
      </c>
      <c r="Y95" s="186" t="s">
        <v>1404</v>
      </c>
    </row>
    <row r="96" spans="1:26" x14ac:dyDescent="0.25">
      <c r="A96">
        <v>2019</v>
      </c>
      <c r="B96" t="s">
        <v>1400</v>
      </c>
      <c r="C96" t="s">
        <v>859</v>
      </c>
      <c r="D96" s="1">
        <v>110020728943</v>
      </c>
      <c r="E96" t="s">
        <v>280</v>
      </c>
      <c r="F96" t="s">
        <v>281</v>
      </c>
      <c r="G96" t="s">
        <v>185</v>
      </c>
      <c r="H96" t="s">
        <v>186</v>
      </c>
      <c r="I96" t="s">
        <v>1401</v>
      </c>
      <c r="J96">
        <v>21.329699999999999</v>
      </c>
      <c r="K96">
        <v>-158.03559999999999</v>
      </c>
      <c r="L96">
        <v>4952</v>
      </c>
      <c r="M96" s="175" t="str">
        <f>VLOOKUP(L96, '2022 SIC to NAICS'!A:D, 2)</f>
        <v>Manufacturing Industries, Nec</v>
      </c>
      <c r="N96" s="184">
        <f>VLOOKUP(L96, '2022 SIC to NAICS'!A:D, 3)</f>
        <v>339999</v>
      </c>
      <c r="O96" s="184" t="str">
        <f>VLOOKUP(L96, '2022 SIC to NAICS'!A:D, 4)</f>
        <v xml:space="preserve">All Other Miscellaneous Manufacturing </v>
      </c>
      <c r="P96" s="185" t="str">
        <f>VLOOKUP(N96, 'NAICS OES crosswalk'!A:C, 3, FALSE)</f>
        <v>TBD</v>
      </c>
      <c r="T96">
        <v>200600000405</v>
      </c>
      <c r="U96" t="s">
        <v>860</v>
      </c>
      <c r="V96">
        <v>0.35673467543999998</v>
      </c>
      <c r="X96" t="b">
        <f t="shared" si="1"/>
        <v>0</v>
      </c>
      <c r="Y96" s="186" t="s">
        <v>1402</v>
      </c>
      <c r="Z96" t="s">
        <v>1403</v>
      </c>
    </row>
    <row r="97" spans="1:26" x14ac:dyDescent="0.25">
      <c r="A97">
        <v>2019</v>
      </c>
      <c r="B97" t="s">
        <v>1400</v>
      </c>
      <c r="C97" t="s">
        <v>782</v>
      </c>
      <c r="D97" s="1">
        <v>110000321651</v>
      </c>
      <c r="E97" t="s">
        <v>282</v>
      </c>
      <c r="F97" t="s">
        <v>283</v>
      </c>
      <c r="G97" t="s">
        <v>781</v>
      </c>
      <c r="H97" t="s">
        <v>153</v>
      </c>
      <c r="I97" t="s">
        <v>1401</v>
      </c>
      <c r="J97">
        <v>40.331944</v>
      </c>
      <c r="K97">
        <v>-74.619721999999996</v>
      </c>
      <c r="L97">
        <v>2869</v>
      </c>
      <c r="M97" s="175" t="str">
        <f>VLOOKUP(L97, '2022 SIC to NAICS'!A:D, 2)</f>
        <v>Industrial Organic Chemicals, Nec</v>
      </c>
      <c r="N97" s="184">
        <f>VLOOKUP(L97, '2022 SIC to NAICS'!A:D, 3)</f>
        <v>325180</v>
      </c>
      <c r="O97" s="184" t="str">
        <f>VLOOKUP(L97, '2022 SIC to NAICS'!A:D, 4)</f>
        <v xml:space="preserve">Other Basic Inorganic Chemical Manufacturing </v>
      </c>
      <c r="P97" s="185" t="str">
        <f>VLOOKUP(N97, 'NAICS OES crosswalk'!A:C, 3, FALSE)</f>
        <v>Processing as a reactant</v>
      </c>
      <c r="T97" s="186" t="s">
        <v>1225</v>
      </c>
      <c r="U97" t="s">
        <v>783</v>
      </c>
      <c r="V97">
        <v>8.9099999999999995E-3</v>
      </c>
      <c r="X97" t="b">
        <f t="shared" si="1"/>
        <v>0</v>
      </c>
      <c r="Y97" s="186" t="s">
        <v>1404</v>
      </c>
      <c r="Z97" t="s">
        <v>1403</v>
      </c>
    </row>
    <row r="98" spans="1:26" x14ac:dyDescent="0.25">
      <c r="A98">
        <v>2019</v>
      </c>
      <c r="B98" t="s">
        <v>1400</v>
      </c>
      <c r="C98" t="s">
        <v>1066</v>
      </c>
      <c r="D98" s="1">
        <v>110064622519</v>
      </c>
      <c r="E98" t="s">
        <v>284</v>
      </c>
      <c r="F98" t="s">
        <v>285</v>
      </c>
      <c r="G98" t="s">
        <v>1065</v>
      </c>
      <c r="H98" t="s">
        <v>146</v>
      </c>
      <c r="I98" t="s">
        <v>1401</v>
      </c>
      <c r="J98">
        <v>37.636249999999997</v>
      </c>
      <c r="K98">
        <v>-122.38583</v>
      </c>
      <c r="L98">
        <v>4952</v>
      </c>
      <c r="M98" s="175" t="str">
        <f>VLOOKUP(L98, '2022 SIC to NAICS'!A:D, 2)</f>
        <v>Manufacturing Industries, Nec</v>
      </c>
      <c r="N98" s="184">
        <f>VLOOKUP(L98, '2022 SIC to NAICS'!A:D, 3)</f>
        <v>339999</v>
      </c>
      <c r="O98" s="184" t="str">
        <f>VLOOKUP(L98, '2022 SIC to NAICS'!A:D, 4)</f>
        <v xml:space="preserve">All Other Miscellaneous Manufacturing </v>
      </c>
      <c r="P98" s="185" t="str">
        <f>VLOOKUP(N98, 'NAICS OES crosswalk'!A:C, 3, FALSE)</f>
        <v>TBD</v>
      </c>
      <c r="T98">
        <v>180500041001</v>
      </c>
      <c r="U98" t="s">
        <v>652</v>
      </c>
      <c r="V98">
        <v>6.4240912499999997E-2</v>
      </c>
      <c r="X98" t="b">
        <f t="shared" si="1"/>
        <v>0</v>
      </c>
      <c r="Y98" s="186" t="s">
        <v>1402</v>
      </c>
      <c r="Z98" t="s">
        <v>1403</v>
      </c>
    </row>
    <row r="99" spans="1:26" x14ac:dyDescent="0.25">
      <c r="A99">
        <v>2019</v>
      </c>
      <c r="B99" t="s">
        <v>1400</v>
      </c>
      <c r="C99" t="s">
        <v>774</v>
      </c>
      <c r="D99" s="1">
        <v>110034641635</v>
      </c>
      <c r="E99" t="s">
        <v>187</v>
      </c>
      <c r="F99" t="s">
        <v>188</v>
      </c>
      <c r="G99" t="s">
        <v>638</v>
      </c>
      <c r="H99" t="s">
        <v>114</v>
      </c>
      <c r="I99" t="s">
        <v>1401</v>
      </c>
      <c r="J99">
        <v>29.717471</v>
      </c>
      <c r="K99">
        <v>-95.068008000000006</v>
      </c>
      <c r="L99">
        <v>2869</v>
      </c>
      <c r="M99" s="175" t="str">
        <f>VLOOKUP(L99, '2022 SIC to NAICS'!A:D, 2)</f>
        <v>Industrial Organic Chemicals, Nec</v>
      </c>
      <c r="N99" s="184">
        <f>VLOOKUP(L99, '2022 SIC to NAICS'!A:D, 3)</f>
        <v>325180</v>
      </c>
      <c r="O99" s="184" t="str">
        <f>VLOOKUP(L99, '2022 SIC to NAICS'!A:D, 4)</f>
        <v xml:space="preserve">Other Basic Inorganic Chemical Manufacturing </v>
      </c>
      <c r="P99" s="185" t="str">
        <f>VLOOKUP(N99, 'NAICS OES crosswalk'!A:C, 3, FALSE)</f>
        <v>Processing as a reactant</v>
      </c>
      <c r="T99">
        <v>120401040706</v>
      </c>
      <c r="U99" t="s">
        <v>640</v>
      </c>
      <c r="V99">
        <v>3.3142</v>
      </c>
      <c r="X99" t="b">
        <f t="shared" si="1"/>
        <v>0</v>
      </c>
      <c r="Y99" s="186" t="s">
        <v>1402</v>
      </c>
    </row>
    <row r="100" spans="1:26" x14ac:dyDescent="0.25">
      <c r="A100">
        <v>2019</v>
      </c>
      <c r="B100" t="s">
        <v>1400</v>
      </c>
      <c r="C100" t="s">
        <v>986</v>
      </c>
      <c r="D100" s="1">
        <v>110043734983</v>
      </c>
      <c r="E100" t="s">
        <v>286</v>
      </c>
      <c r="F100" t="s">
        <v>150</v>
      </c>
      <c r="G100" t="s">
        <v>985</v>
      </c>
      <c r="H100" t="s">
        <v>138</v>
      </c>
      <c r="I100" t="s">
        <v>1401</v>
      </c>
      <c r="J100">
        <v>37.770769999999999</v>
      </c>
      <c r="K100">
        <v>-87.065669999999997</v>
      </c>
      <c r="L100">
        <v>4952</v>
      </c>
      <c r="M100" s="175" t="str">
        <f>VLOOKUP(L100, '2022 SIC to NAICS'!A:D, 2)</f>
        <v>Manufacturing Industries, Nec</v>
      </c>
      <c r="N100" s="184">
        <f>VLOOKUP(L100, '2022 SIC to NAICS'!A:D, 3)</f>
        <v>339999</v>
      </c>
      <c r="O100" s="184" t="str">
        <f>VLOOKUP(L100, '2022 SIC to NAICS'!A:D, 4)</f>
        <v xml:space="preserve">All Other Miscellaneous Manufacturing </v>
      </c>
      <c r="P100" s="185" t="str">
        <f>VLOOKUP(N100, 'NAICS OES crosswalk'!A:C, 3, FALSE)</f>
        <v>TBD</v>
      </c>
      <c r="T100" s="186" t="s">
        <v>1226</v>
      </c>
      <c r="U100" t="s">
        <v>987</v>
      </c>
      <c r="V100">
        <v>18.236129999999999</v>
      </c>
      <c r="X100" t="b">
        <f t="shared" si="1"/>
        <v>0</v>
      </c>
      <c r="Y100" s="186" t="s">
        <v>1402</v>
      </c>
      <c r="Z100" t="s">
        <v>1403</v>
      </c>
    </row>
    <row r="101" spans="1:26" x14ac:dyDescent="0.25">
      <c r="A101">
        <v>2019</v>
      </c>
      <c r="B101" t="s">
        <v>1400</v>
      </c>
      <c r="C101" t="s">
        <v>726</v>
      </c>
      <c r="D101" s="1">
        <v>110000611703</v>
      </c>
      <c r="E101" t="s">
        <v>287</v>
      </c>
      <c r="F101" t="s">
        <v>288</v>
      </c>
      <c r="G101" t="s">
        <v>725</v>
      </c>
      <c r="H101" t="s">
        <v>289</v>
      </c>
      <c r="I101" t="s">
        <v>1405</v>
      </c>
      <c r="J101">
        <v>34.632592000000002</v>
      </c>
      <c r="K101">
        <v>-84.927667999999997</v>
      </c>
      <c r="L101">
        <v>2821</v>
      </c>
      <c r="M101" s="175" t="str">
        <f>VLOOKUP(L101, '2022 SIC to NAICS'!A:D, 2)</f>
        <v>Platemaking Services</v>
      </c>
      <c r="N101" s="184">
        <f>VLOOKUP(L101, '2022 SIC to NAICS'!A:D, 3)</f>
        <v>323120</v>
      </c>
      <c r="O101" s="184" t="str">
        <f>VLOOKUP(L101, '2022 SIC to NAICS'!A:D, 4)</f>
        <v>Support Activities for Printing</v>
      </c>
      <c r="P101" s="185" t="str">
        <f>VLOOKUP(N101, 'NAICS OES crosswalk'!A:C, 3, FALSE)</f>
        <v>TBD</v>
      </c>
      <c r="T101" s="186" t="s">
        <v>1227</v>
      </c>
      <c r="U101" t="s">
        <v>727</v>
      </c>
      <c r="V101">
        <v>2.1111000000000001E-2</v>
      </c>
      <c r="X101" t="b">
        <f t="shared" si="1"/>
        <v>0</v>
      </c>
      <c r="Y101" s="186" t="s">
        <v>1402</v>
      </c>
      <c r="Z101" t="s">
        <v>1403</v>
      </c>
    </row>
    <row r="102" spans="1:26" x14ac:dyDescent="0.25">
      <c r="A102">
        <v>2019</v>
      </c>
      <c r="B102" t="s">
        <v>1400</v>
      </c>
      <c r="C102" t="s">
        <v>1047</v>
      </c>
      <c r="D102" s="1">
        <v>110000403670</v>
      </c>
      <c r="E102" t="s">
        <v>290</v>
      </c>
      <c r="F102" t="s">
        <v>291</v>
      </c>
      <c r="G102" t="s">
        <v>1046</v>
      </c>
      <c r="H102" t="s">
        <v>292</v>
      </c>
      <c r="I102" t="s">
        <v>1401</v>
      </c>
      <c r="J102">
        <v>37.907200000000003</v>
      </c>
      <c r="K102">
        <v>-87.927099999999996</v>
      </c>
      <c r="L102">
        <v>2821</v>
      </c>
      <c r="M102" s="175" t="str">
        <f>VLOOKUP(L102, '2022 SIC to NAICS'!A:D, 2)</f>
        <v>Platemaking Services</v>
      </c>
      <c r="N102" s="184">
        <f>VLOOKUP(L102, '2022 SIC to NAICS'!A:D, 3)</f>
        <v>323120</v>
      </c>
      <c r="O102" s="184" t="str">
        <f>VLOOKUP(L102, '2022 SIC to NAICS'!A:D, 4)</f>
        <v>Support Activities for Printing</v>
      </c>
      <c r="P102" s="185" t="str">
        <f>VLOOKUP(N102, 'NAICS OES crosswalk'!A:C, 3, FALSE)</f>
        <v>TBD</v>
      </c>
      <c r="T102" s="186" t="s">
        <v>1228</v>
      </c>
      <c r="U102" t="s">
        <v>1048</v>
      </c>
      <c r="V102">
        <v>10.859680000000001</v>
      </c>
      <c r="X102" t="b">
        <f t="shared" si="1"/>
        <v>0</v>
      </c>
      <c r="Y102" s="186" t="s">
        <v>1406</v>
      </c>
      <c r="Z102" t="s">
        <v>1403</v>
      </c>
    </row>
    <row r="103" spans="1:26" x14ac:dyDescent="0.25">
      <c r="A103">
        <v>2019</v>
      </c>
      <c r="B103" t="s">
        <v>1400</v>
      </c>
      <c r="C103" t="s">
        <v>948</v>
      </c>
      <c r="D103" s="1">
        <v>110045085457</v>
      </c>
      <c r="E103" t="s">
        <v>293</v>
      </c>
      <c r="F103" t="s">
        <v>294</v>
      </c>
      <c r="G103" t="s">
        <v>947</v>
      </c>
      <c r="H103" t="s">
        <v>138</v>
      </c>
      <c r="I103" t="s">
        <v>1401</v>
      </c>
      <c r="J103">
        <v>38.151904999999999</v>
      </c>
      <c r="K103">
        <v>-83.513848999999993</v>
      </c>
      <c r="L103">
        <v>4952</v>
      </c>
      <c r="M103" s="175" t="str">
        <f>VLOOKUP(L103, '2022 SIC to NAICS'!A:D, 2)</f>
        <v>Manufacturing Industries, Nec</v>
      </c>
      <c r="N103" s="184">
        <f>VLOOKUP(L103, '2022 SIC to NAICS'!A:D, 3)</f>
        <v>339999</v>
      </c>
      <c r="O103" s="184" t="str">
        <f>VLOOKUP(L103, '2022 SIC to NAICS'!A:D, 4)</f>
        <v xml:space="preserve">All Other Miscellaneous Manufacturing </v>
      </c>
      <c r="P103" s="185" t="str">
        <f>VLOOKUP(N103, 'NAICS OES crosswalk'!A:C, 3, FALSE)</f>
        <v>TBD</v>
      </c>
      <c r="T103" s="186" t="s">
        <v>1229</v>
      </c>
      <c r="U103" t="s">
        <v>949</v>
      </c>
      <c r="V103">
        <v>2.3914197750000001</v>
      </c>
      <c r="X103" t="b">
        <f t="shared" si="1"/>
        <v>0</v>
      </c>
      <c r="Y103" s="186" t="s">
        <v>1402</v>
      </c>
      <c r="Z103" t="s">
        <v>1403</v>
      </c>
    </row>
    <row r="104" spans="1:26" x14ac:dyDescent="0.25">
      <c r="A104">
        <v>2019</v>
      </c>
      <c r="B104" t="s">
        <v>1400</v>
      </c>
      <c r="C104" t="s">
        <v>734</v>
      </c>
      <c r="D104" s="1">
        <v>110000732379</v>
      </c>
      <c r="E104" t="s">
        <v>295</v>
      </c>
      <c r="F104" t="s">
        <v>235</v>
      </c>
      <c r="G104" t="s">
        <v>600</v>
      </c>
      <c r="H104" t="s">
        <v>138</v>
      </c>
      <c r="I104" t="s">
        <v>1401</v>
      </c>
      <c r="J104">
        <v>38.08614</v>
      </c>
      <c r="K104">
        <v>-85.898780000000002</v>
      </c>
      <c r="L104">
        <v>4952</v>
      </c>
      <c r="M104" s="175" t="str">
        <f>VLOOKUP(L104, '2022 SIC to NAICS'!A:D, 2)</f>
        <v>Manufacturing Industries, Nec</v>
      </c>
      <c r="N104" s="184">
        <f>VLOOKUP(L104, '2022 SIC to NAICS'!A:D, 3)</f>
        <v>339999</v>
      </c>
      <c r="O104" s="184" t="str">
        <f>VLOOKUP(L104, '2022 SIC to NAICS'!A:D, 4)</f>
        <v xml:space="preserve">All Other Miscellaneous Manufacturing </v>
      </c>
      <c r="P104" s="185" t="str">
        <f>VLOOKUP(N104, 'NAICS OES crosswalk'!A:C, 3, FALSE)</f>
        <v>TBD</v>
      </c>
      <c r="T104" s="186" t="s">
        <v>1230</v>
      </c>
      <c r="U104" t="s">
        <v>735</v>
      </c>
      <c r="V104">
        <v>212.68922756250001</v>
      </c>
      <c r="X104" t="b">
        <f t="shared" si="1"/>
        <v>0</v>
      </c>
      <c r="Y104" s="186" t="s">
        <v>1402</v>
      </c>
      <c r="Z104" t="s">
        <v>1403</v>
      </c>
    </row>
    <row r="105" spans="1:26" x14ac:dyDescent="0.25">
      <c r="A105">
        <v>2019</v>
      </c>
      <c r="B105" t="s">
        <v>1400</v>
      </c>
      <c r="C105" t="s">
        <v>848</v>
      </c>
      <c r="D105" s="1">
        <v>110000433022</v>
      </c>
      <c r="E105" t="s">
        <v>296</v>
      </c>
      <c r="F105" t="s">
        <v>224</v>
      </c>
      <c r="G105" t="s">
        <v>771</v>
      </c>
      <c r="H105" t="s">
        <v>141</v>
      </c>
      <c r="I105" t="s">
        <v>1405</v>
      </c>
      <c r="J105">
        <v>41.305320000000002</v>
      </c>
      <c r="K105">
        <v>-88.561769999999996</v>
      </c>
      <c r="L105">
        <v>2821</v>
      </c>
      <c r="M105" s="175" t="str">
        <f>VLOOKUP(L105, '2022 SIC to NAICS'!A:D, 2)</f>
        <v>Platemaking Services</v>
      </c>
      <c r="N105" s="184">
        <f>VLOOKUP(L105, '2022 SIC to NAICS'!A:D, 3)</f>
        <v>323120</v>
      </c>
      <c r="O105" s="184" t="str">
        <f>VLOOKUP(L105, '2022 SIC to NAICS'!A:D, 4)</f>
        <v>Support Activities for Printing</v>
      </c>
      <c r="P105" s="185" t="str">
        <f>VLOOKUP(N105, 'NAICS OES crosswalk'!A:C, 3, FALSE)</f>
        <v>TBD</v>
      </c>
      <c r="T105" s="186" t="s">
        <v>1231</v>
      </c>
      <c r="U105" t="s">
        <v>849</v>
      </c>
      <c r="V105">
        <v>6.4544044999999994E-2</v>
      </c>
      <c r="X105" t="b">
        <f t="shared" si="1"/>
        <v>0</v>
      </c>
      <c r="Y105" s="186" t="s">
        <v>1402</v>
      </c>
      <c r="Z105" t="s">
        <v>1403</v>
      </c>
    </row>
    <row r="106" spans="1:26" x14ac:dyDescent="0.25">
      <c r="A106">
        <v>2019</v>
      </c>
      <c r="B106" t="s">
        <v>1400</v>
      </c>
      <c r="C106" t="s">
        <v>1034</v>
      </c>
      <c r="D106" s="1">
        <v>110009933484</v>
      </c>
      <c r="E106" t="s">
        <v>297</v>
      </c>
      <c r="F106" t="s">
        <v>298</v>
      </c>
      <c r="G106" t="s">
        <v>627</v>
      </c>
      <c r="H106" t="s">
        <v>138</v>
      </c>
      <c r="I106" t="s">
        <v>1401</v>
      </c>
      <c r="J106">
        <v>37.640973000000002</v>
      </c>
      <c r="K106">
        <v>-84.312661000000006</v>
      </c>
      <c r="L106">
        <v>4952</v>
      </c>
      <c r="M106" s="175" t="str">
        <f>VLOOKUP(L106, '2022 SIC to NAICS'!A:D, 2)</f>
        <v>Manufacturing Industries, Nec</v>
      </c>
      <c r="N106" s="184">
        <f>VLOOKUP(L106, '2022 SIC to NAICS'!A:D, 3)</f>
        <v>339999</v>
      </c>
      <c r="O106" s="184" t="str">
        <f>VLOOKUP(L106, '2022 SIC to NAICS'!A:D, 4)</f>
        <v xml:space="preserve">All Other Miscellaneous Manufacturing </v>
      </c>
      <c r="P106" s="185" t="str">
        <f>VLOOKUP(N106, 'NAICS OES crosswalk'!A:C, 3, FALSE)</f>
        <v>TBD</v>
      </c>
      <c r="T106" s="186" t="s">
        <v>1232</v>
      </c>
      <c r="U106" t="s">
        <v>1035</v>
      </c>
      <c r="V106">
        <v>3.2327685000000002</v>
      </c>
      <c r="X106" t="b">
        <f t="shared" si="1"/>
        <v>0</v>
      </c>
      <c r="Y106" s="186" t="s">
        <v>1402</v>
      </c>
    </row>
    <row r="107" spans="1:26" x14ac:dyDescent="0.25">
      <c r="A107">
        <v>2019</v>
      </c>
      <c r="B107" t="s">
        <v>1400</v>
      </c>
      <c r="C107" t="s">
        <v>699</v>
      </c>
      <c r="D107" s="1">
        <v>110001075345</v>
      </c>
      <c r="E107" t="s">
        <v>299</v>
      </c>
      <c r="F107" t="s">
        <v>300</v>
      </c>
      <c r="G107" t="s">
        <v>697</v>
      </c>
      <c r="H107" t="s">
        <v>268</v>
      </c>
      <c r="I107" t="s">
        <v>1405</v>
      </c>
      <c r="J107">
        <v>40.700989999999997</v>
      </c>
      <c r="K107">
        <v>-75.214780000000005</v>
      </c>
      <c r="L107">
        <v>4953</v>
      </c>
      <c r="M107" s="175" t="str">
        <f>VLOOKUP(L107, '2022 SIC to NAICS'!A:D, 2)</f>
        <v>Manufacturing Industries, Nec</v>
      </c>
      <c r="N107" s="184">
        <f>VLOOKUP(L107, '2022 SIC to NAICS'!A:D, 3)</f>
        <v>339999</v>
      </c>
      <c r="O107" s="184" t="str">
        <f>VLOOKUP(L107, '2022 SIC to NAICS'!A:D, 4)</f>
        <v xml:space="preserve">All Other Miscellaneous Manufacturing </v>
      </c>
      <c r="P107" s="185" t="str">
        <f>VLOOKUP(N107, 'NAICS OES crosswalk'!A:C, 3, FALSE)</f>
        <v>TBD</v>
      </c>
      <c r="T107" s="186" t="s">
        <v>1233</v>
      </c>
      <c r="U107" t="s">
        <v>700</v>
      </c>
      <c r="V107">
        <v>6.0600310249999997E-2</v>
      </c>
      <c r="X107" t="b">
        <f t="shared" si="1"/>
        <v>0</v>
      </c>
      <c r="Y107" s="186" t="s">
        <v>1402</v>
      </c>
      <c r="Z107" t="s">
        <v>1403</v>
      </c>
    </row>
    <row r="108" spans="1:26" x14ac:dyDescent="0.25">
      <c r="A108">
        <v>2019</v>
      </c>
      <c r="B108" t="s">
        <v>1400</v>
      </c>
      <c r="C108" t="s">
        <v>569</v>
      </c>
      <c r="D108" s="1">
        <v>110002672484</v>
      </c>
      <c r="E108" t="s">
        <v>189</v>
      </c>
      <c r="F108" t="s">
        <v>190</v>
      </c>
      <c r="G108" t="s">
        <v>566</v>
      </c>
      <c r="H108" t="s">
        <v>146</v>
      </c>
      <c r="I108" t="s">
        <v>1405</v>
      </c>
      <c r="J108">
        <v>32.803809999999999</v>
      </c>
      <c r="K108">
        <v>-115.53973999999999</v>
      </c>
      <c r="L108" s="186" t="s">
        <v>567</v>
      </c>
      <c r="M108" s="175" t="str">
        <f>VLOOKUP(L108, '2022 SIC to NAICS'!A:D, 2)</f>
        <v>Fish Hatcheries and Preserves</v>
      </c>
      <c r="N108" s="184">
        <f>VLOOKUP(L108, '2022 SIC to NAICS'!A:D, 3)</f>
        <v>112511</v>
      </c>
      <c r="O108" s="184" t="str">
        <f>VLOOKUP(L108, '2022 SIC to NAICS'!A:D, 4)</f>
        <v xml:space="preserve">Finfish Farming and Fish Hatcheries </v>
      </c>
      <c r="P108" s="185" t="str">
        <f>VLOOKUP(N108, 'NAICS OES crosswalk'!A:C, 3, FALSE)</f>
        <v>TBD</v>
      </c>
      <c r="T108">
        <v>181002040701</v>
      </c>
      <c r="U108" t="s">
        <v>570</v>
      </c>
      <c r="V108">
        <v>2.0515646250000002E-3</v>
      </c>
      <c r="X108" t="b">
        <f t="shared" si="1"/>
        <v>1</v>
      </c>
      <c r="Y108" s="186" t="s">
        <v>1404</v>
      </c>
      <c r="Z108" t="s">
        <v>1403</v>
      </c>
    </row>
    <row r="109" spans="1:26" x14ac:dyDescent="0.25">
      <c r="A109">
        <v>2019</v>
      </c>
      <c r="B109" t="s">
        <v>1400</v>
      </c>
      <c r="C109" t="s">
        <v>577</v>
      </c>
      <c r="D109" s="1">
        <v>110008995490</v>
      </c>
      <c r="E109" t="s">
        <v>301</v>
      </c>
      <c r="F109" t="s">
        <v>157</v>
      </c>
      <c r="G109" t="s">
        <v>575</v>
      </c>
      <c r="H109" t="s">
        <v>158</v>
      </c>
      <c r="I109" t="s">
        <v>1405</v>
      </c>
      <c r="J109">
        <v>36.176639999999999</v>
      </c>
      <c r="K109">
        <v>-115.12891999999999</v>
      </c>
      <c r="L109">
        <v>6513</v>
      </c>
      <c r="M109" s="175" t="str">
        <f>VLOOKUP(L109, '2022 SIC to NAICS'!A:D, 2)</f>
        <v>Communication Services, Nec</v>
      </c>
      <c r="N109" s="184">
        <f>VLOOKUP(L109, '2022 SIC to NAICS'!A:D, 3)</f>
        <v>517810</v>
      </c>
      <c r="O109" s="184" t="str">
        <f>VLOOKUP(L109, '2022 SIC to NAICS'!A:D, 4)</f>
        <v xml:space="preserve">All Other Telecommunications </v>
      </c>
      <c r="P109" s="185" t="str">
        <f>VLOOKUP(N109, 'NAICS OES crosswalk'!A:C, 3, FALSE)</f>
        <v>TBD</v>
      </c>
      <c r="T109">
        <v>150100150604</v>
      </c>
      <c r="U109" t="s">
        <v>578</v>
      </c>
      <c r="V109">
        <v>5.9291599187500002E-2</v>
      </c>
      <c r="X109" t="b">
        <f t="shared" si="1"/>
        <v>0</v>
      </c>
      <c r="Y109" s="186" t="s">
        <v>1402</v>
      </c>
      <c r="Z109" t="s">
        <v>1403</v>
      </c>
    </row>
    <row r="110" spans="1:26" x14ac:dyDescent="0.25">
      <c r="A110">
        <v>2019</v>
      </c>
      <c r="B110" t="s">
        <v>1400</v>
      </c>
      <c r="C110" t="s">
        <v>764</v>
      </c>
      <c r="D110" s="1">
        <v>110060340162</v>
      </c>
      <c r="E110" t="s">
        <v>302</v>
      </c>
      <c r="F110" t="s">
        <v>303</v>
      </c>
      <c r="G110" t="s">
        <v>638</v>
      </c>
      <c r="H110" t="s">
        <v>114</v>
      </c>
      <c r="I110" t="s">
        <v>1405</v>
      </c>
      <c r="J110">
        <v>29.741954</v>
      </c>
      <c r="K110">
        <v>-95.165228999999997</v>
      </c>
      <c r="L110">
        <v>2869</v>
      </c>
      <c r="M110" s="175" t="str">
        <f>VLOOKUP(L110, '2022 SIC to NAICS'!A:D, 2)</f>
        <v>Industrial Organic Chemicals, Nec</v>
      </c>
      <c r="N110" s="184">
        <f>VLOOKUP(L110, '2022 SIC to NAICS'!A:D, 3)</f>
        <v>325180</v>
      </c>
      <c r="O110" s="184" t="str">
        <f>VLOOKUP(L110, '2022 SIC to NAICS'!A:D, 4)</f>
        <v xml:space="preserve">Other Basic Inorganic Chemical Manufacturing </v>
      </c>
      <c r="P110" s="185" t="str">
        <f>VLOOKUP(N110, 'NAICS OES crosswalk'!A:C, 3, FALSE)</f>
        <v>Processing as a reactant</v>
      </c>
      <c r="T110">
        <v>120401040703</v>
      </c>
      <c r="U110" t="s">
        <v>765</v>
      </c>
      <c r="V110">
        <v>0.82891499999999996</v>
      </c>
      <c r="X110" t="b">
        <f t="shared" si="1"/>
        <v>0</v>
      </c>
      <c r="Y110" s="186" t="s">
        <v>1402</v>
      </c>
    </row>
    <row r="111" spans="1:26" x14ac:dyDescent="0.25">
      <c r="A111">
        <v>2019</v>
      </c>
      <c r="B111" t="s">
        <v>1400</v>
      </c>
      <c r="C111" t="s">
        <v>746</v>
      </c>
      <c r="D111" s="1">
        <v>110009938719</v>
      </c>
      <c r="E111" t="s">
        <v>304</v>
      </c>
      <c r="F111" t="s">
        <v>305</v>
      </c>
      <c r="G111" t="s">
        <v>745</v>
      </c>
      <c r="H111" t="s">
        <v>138</v>
      </c>
      <c r="I111" t="s">
        <v>1401</v>
      </c>
      <c r="J111">
        <v>37.075277999999997</v>
      </c>
      <c r="K111">
        <v>-88.09</v>
      </c>
      <c r="L111">
        <v>4952</v>
      </c>
      <c r="M111" s="175" t="str">
        <f>VLOOKUP(L111, '2022 SIC to NAICS'!A:D, 2)</f>
        <v>Manufacturing Industries, Nec</v>
      </c>
      <c r="N111" s="184">
        <f>VLOOKUP(L111, '2022 SIC to NAICS'!A:D, 3)</f>
        <v>339999</v>
      </c>
      <c r="O111" s="184" t="str">
        <f>VLOOKUP(L111, '2022 SIC to NAICS'!A:D, 4)</f>
        <v xml:space="preserve">All Other Miscellaneous Manufacturing </v>
      </c>
      <c r="P111" s="185" t="str">
        <f>VLOOKUP(N111, 'NAICS OES crosswalk'!A:C, 3, FALSE)</f>
        <v>TBD</v>
      </c>
      <c r="T111" s="186" t="s">
        <v>1234</v>
      </c>
      <c r="U111" t="s">
        <v>747</v>
      </c>
      <c r="V111">
        <v>1.8616049374999999</v>
      </c>
      <c r="X111" t="b">
        <f t="shared" si="1"/>
        <v>0</v>
      </c>
      <c r="Y111" s="186" t="s">
        <v>1402</v>
      </c>
      <c r="Z111" t="s">
        <v>1403</v>
      </c>
    </row>
    <row r="112" spans="1:26" x14ac:dyDescent="0.25">
      <c r="A112">
        <v>2019</v>
      </c>
      <c r="B112" t="s">
        <v>1400</v>
      </c>
      <c r="C112" t="s">
        <v>1440</v>
      </c>
      <c r="D112" s="1">
        <v>110066354359</v>
      </c>
      <c r="E112" t="s">
        <v>1441</v>
      </c>
      <c r="F112" t="s">
        <v>386</v>
      </c>
      <c r="G112" t="s">
        <v>960</v>
      </c>
      <c r="H112" t="s">
        <v>146</v>
      </c>
      <c r="I112" t="s">
        <v>1405</v>
      </c>
      <c r="J112">
        <v>39.368808999999999</v>
      </c>
      <c r="K112">
        <v>-120.898977</v>
      </c>
      <c r="L112">
        <v>1041</v>
      </c>
      <c r="M112" s="175" t="str">
        <f>VLOOKUP(L112, '2022 SIC to NAICS'!A:D, 2)</f>
        <v>Animal Specialty Services</v>
      </c>
      <c r="N112" s="184">
        <f>VLOOKUP(L112, '2022 SIC to NAICS'!A:D, 3)</f>
        <v>115210</v>
      </c>
      <c r="O112" s="184" t="str">
        <f>VLOOKUP(L112, '2022 SIC to NAICS'!A:D, 4)</f>
        <v>Support Activities for Animal Production</v>
      </c>
      <c r="P112" s="185" t="e">
        <f>VLOOKUP(N112, 'NAICS OES crosswalk'!A:C, 3, FALSE)</f>
        <v>#N/A</v>
      </c>
      <c r="T112">
        <v>180201250702</v>
      </c>
      <c r="U112" t="s">
        <v>1442</v>
      </c>
      <c r="V112">
        <v>2.9615751424999998E-3</v>
      </c>
      <c r="X112" t="b">
        <f t="shared" si="1"/>
        <v>1</v>
      </c>
      <c r="Y112" s="186" t="s">
        <v>1402</v>
      </c>
      <c r="Z112" t="s">
        <v>1403</v>
      </c>
    </row>
    <row r="113" spans="1:26" x14ac:dyDescent="0.25">
      <c r="A113">
        <v>2019</v>
      </c>
      <c r="B113" t="s">
        <v>1400</v>
      </c>
      <c r="C113" t="s">
        <v>1133</v>
      </c>
      <c r="D113" s="1">
        <v>110064252419</v>
      </c>
      <c r="E113" t="s">
        <v>306</v>
      </c>
      <c r="F113" t="s">
        <v>183</v>
      </c>
      <c r="G113" t="s">
        <v>736</v>
      </c>
      <c r="H113" t="s">
        <v>146</v>
      </c>
      <c r="I113" t="s">
        <v>1401</v>
      </c>
      <c r="J113">
        <v>37.977150000000002</v>
      </c>
      <c r="K113">
        <v>-122.33269</v>
      </c>
      <c r="L113">
        <v>4952</v>
      </c>
      <c r="M113" s="175" t="str">
        <f>VLOOKUP(L113, '2022 SIC to NAICS'!A:D, 2)</f>
        <v>Manufacturing Industries, Nec</v>
      </c>
      <c r="N113" s="184">
        <f>VLOOKUP(L113, '2022 SIC to NAICS'!A:D, 3)</f>
        <v>339999</v>
      </c>
      <c r="O113" s="184" t="str">
        <f>VLOOKUP(L113, '2022 SIC to NAICS'!A:D, 4)</f>
        <v xml:space="preserve">All Other Miscellaneous Manufacturing </v>
      </c>
      <c r="P113" s="185" t="str">
        <f>VLOOKUP(N113, 'NAICS OES crosswalk'!A:C, 3, FALSE)</f>
        <v>TBD</v>
      </c>
      <c r="T113">
        <v>180500020702</v>
      </c>
      <c r="U113" t="s">
        <v>1134</v>
      </c>
      <c r="V113">
        <v>3.7646556250000001</v>
      </c>
      <c r="X113" t="b">
        <f t="shared" si="1"/>
        <v>0</v>
      </c>
      <c r="Y113" s="186" t="s">
        <v>1402</v>
      </c>
      <c r="Z113" t="s">
        <v>1403</v>
      </c>
    </row>
    <row r="114" spans="1:26" x14ac:dyDescent="0.25">
      <c r="A114">
        <v>2019</v>
      </c>
      <c r="B114" t="s">
        <v>1400</v>
      </c>
      <c r="C114" t="s">
        <v>740</v>
      </c>
      <c r="D114" s="1">
        <v>110000574423</v>
      </c>
      <c r="E114" t="s">
        <v>307</v>
      </c>
      <c r="F114" t="s">
        <v>308</v>
      </c>
      <c r="G114" t="s">
        <v>739</v>
      </c>
      <c r="H114" t="s">
        <v>309</v>
      </c>
      <c r="I114" t="s">
        <v>1401</v>
      </c>
      <c r="J114">
        <v>36.527054999999997</v>
      </c>
      <c r="K114">
        <v>-82.538579999999996</v>
      </c>
      <c r="L114">
        <v>2869</v>
      </c>
      <c r="M114" s="175" t="str">
        <f>VLOOKUP(L114, '2022 SIC to NAICS'!A:D, 2)</f>
        <v>Industrial Organic Chemicals, Nec</v>
      </c>
      <c r="N114" s="184">
        <f>VLOOKUP(L114, '2022 SIC to NAICS'!A:D, 3)</f>
        <v>325180</v>
      </c>
      <c r="O114" s="184" t="str">
        <f>VLOOKUP(L114, '2022 SIC to NAICS'!A:D, 4)</f>
        <v xml:space="preserve">Other Basic Inorganic Chemical Manufacturing </v>
      </c>
      <c r="P114" s="185" t="str">
        <f>VLOOKUP(N114, 'NAICS OES crosswalk'!A:C, 3, FALSE)</f>
        <v>Processing as a reactant</v>
      </c>
      <c r="T114" s="186" t="s">
        <v>1235</v>
      </c>
      <c r="U114" t="s">
        <v>741</v>
      </c>
      <c r="V114">
        <v>0.44782927724999999</v>
      </c>
      <c r="X114" t="b">
        <f t="shared" si="1"/>
        <v>0</v>
      </c>
      <c r="Y114" t="s">
        <v>1443</v>
      </c>
      <c r="Z114" t="s">
        <v>1403</v>
      </c>
    </row>
    <row r="115" spans="1:26" x14ac:dyDescent="0.25">
      <c r="A115">
        <v>2019</v>
      </c>
      <c r="B115" t="s">
        <v>1400</v>
      </c>
      <c r="C115" t="s">
        <v>1008</v>
      </c>
      <c r="D115" s="1">
        <v>110041133163</v>
      </c>
      <c r="E115" t="s">
        <v>310</v>
      </c>
      <c r="F115" t="s">
        <v>311</v>
      </c>
      <c r="G115" t="s">
        <v>950</v>
      </c>
      <c r="H115" t="s">
        <v>153</v>
      </c>
      <c r="I115" t="s">
        <v>1401</v>
      </c>
      <c r="J115">
        <v>40.640135000000001</v>
      </c>
      <c r="K115">
        <v>-74.218879999999999</v>
      </c>
      <c r="L115">
        <v>2911</v>
      </c>
      <c r="M115" s="175" t="str">
        <f>VLOOKUP(L115, '2022 SIC to NAICS'!A:D, 2)</f>
        <v>Explosives</v>
      </c>
      <c r="N115" s="184">
        <f>VLOOKUP(L115, '2022 SIC to NAICS'!A:D, 3)</f>
        <v>325920</v>
      </c>
      <c r="O115" s="184" t="str">
        <f>VLOOKUP(L115, '2022 SIC to NAICS'!A:D, 4)</f>
        <v>Explosives Manufacturing</v>
      </c>
      <c r="P115" s="185" t="str">
        <f>VLOOKUP(N115, 'NAICS OES crosswalk'!A:C, 3, FALSE)</f>
        <v>TBD</v>
      </c>
      <c r="T115" s="186" t="s">
        <v>1236</v>
      </c>
      <c r="U115" t="s">
        <v>1009</v>
      </c>
      <c r="V115">
        <v>2</v>
      </c>
      <c r="X115" t="b">
        <f t="shared" si="1"/>
        <v>0</v>
      </c>
      <c r="Y115" s="186" t="s">
        <v>1404</v>
      </c>
      <c r="Z115" t="s">
        <v>1403</v>
      </c>
    </row>
    <row r="116" spans="1:26" x14ac:dyDescent="0.25">
      <c r="A116">
        <v>2019</v>
      </c>
      <c r="B116" t="s">
        <v>1400</v>
      </c>
      <c r="C116" t="s">
        <v>743</v>
      </c>
      <c r="D116" s="1">
        <v>110000460901</v>
      </c>
      <c r="E116" t="s">
        <v>312</v>
      </c>
      <c r="F116" t="s">
        <v>313</v>
      </c>
      <c r="G116" t="s">
        <v>638</v>
      </c>
      <c r="H116" t="s">
        <v>114</v>
      </c>
      <c r="I116" t="s">
        <v>1401</v>
      </c>
      <c r="J116">
        <v>29.718139000000001</v>
      </c>
      <c r="K116">
        <v>-95.268749999999997</v>
      </c>
      <c r="L116">
        <v>2819</v>
      </c>
      <c r="M116" s="175" t="str">
        <f>VLOOKUP(L116, '2022 SIC to NAICS'!A:D, 2)</f>
        <v>Platemaking Services</v>
      </c>
      <c r="N116" s="184">
        <f>VLOOKUP(L116, '2022 SIC to NAICS'!A:D, 3)</f>
        <v>323120</v>
      </c>
      <c r="O116" s="184" t="str">
        <f>VLOOKUP(L116, '2022 SIC to NAICS'!A:D, 4)</f>
        <v>Support Activities for Printing</v>
      </c>
      <c r="P116" s="185" t="str">
        <f>VLOOKUP(N116, 'NAICS OES crosswalk'!A:C, 3, FALSE)</f>
        <v>TBD</v>
      </c>
      <c r="T116">
        <v>120401040502</v>
      </c>
      <c r="U116" t="s">
        <v>744</v>
      </c>
      <c r="V116">
        <v>9.8608799999999999</v>
      </c>
      <c r="X116" t="b">
        <f t="shared" si="1"/>
        <v>0</v>
      </c>
      <c r="Y116" s="186" t="s">
        <v>1402</v>
      </c>
    </row>
    <row r="117" spans="1:26" x14ac:dyDescent="0.25">
      <c r="A117">
        <v>2019</v>
      </c>
      <c r="B117" t="s">
        <v>1400</v>
      </c>
      <c r="C117" t="s">
        <v>1144</v>
      </c>
      <c r="D117" s="1">
        <v>110064596361</v>
      </c>
      <c r="E117" t="s">
        <v>314</v>
      </c>
      <c r="F117" t="s">
        <v>315</v>
      </c>
      <c r="G117" t="s">
        <v>554</v>
      </c>
      <c r="H117" t="s">
        <v>138</v>
      </c>
      <c r="I117" t="s">
        <v>1401</v>
      </c>
      <c r="J117">
        <v>37.915556000000002</v>
      </c>
      <c r="K117">
        <v>-84.268332999999998</v>
      </c>
      <c r="L117">
        <v>4952</v>
      </c>
      <c r="M117" s="175" t="str">
        <f>VLOOKUP(L117, '2022 SIC to NAICS'!A:D, 2)</f>
        <v>Manufacturing Industries, Nec</v>
      </c>
      <c r="N117" s="184">
        <f>VLOOKUP(L117, '2022 SIC to NAICS'!A:D, 3)</f>
        <v>339999</v>
      </c>
      <c r="O117" s="184" t="str">
        <f>VLOOKUP(L117, '2022 SIC to NAICS'!A:D, 4)</f>
        <v xml:space="preserve">All Other Miscellaneous Manufacturing </v>
      </c>
      <c r="P117" s="185" t="str">
        <f>VLOOKUP(N117, 'NAICS OES crosswalk'!A:C, 3, FALSE)</f>
        <v>TBD</v>
      </c>
      <c r="T117" s="186" t="s">
        <v>1237</v>
      </c>
      <c r="U117" t="s">
        <v>1145</v>
      </c>
      <c r="V117">
        <v>6.9836088749999998</v>
      </c>
      <c r="X117" t="b">
        <f t="shared" si="1"/>
        <v>0</v>
      </c>
      <c r="Y117" s="186" t="s">
        <v>1402</v>
      </c>
      <c r="Z117" t="s">
        <v>1403</v>
      </c>
    </row>
    <row r="118" spans="1:26" x14ac:dyDescent="0.25">
      <c r="A118">
        <v>2019</v>
      </c>
      <c r="B118" t="s">
        <v>1400</v>
      </c>
      <c r="C118" t="s">
        <v>556</v>
      </c>
      <c r="D118" s="1">
        <v>110015972562</v>
      </c>
      <c r="E118" t="s">
        <v>167</v>
      </c>
      <c r="F118" t="s">
        <v>157</v>
      </c>
      <c r="G118" t="s">
        <v>554</v>
      </c>
      <c r="H118" t="s">
        <v>158</v>
      </c>
      <c r="I118" t="s">
        <v>1405</v>
      </c>
      <c r="J118">
        <v>36.116160999999998</v>
      </c>
      <c r="K118">
        <v>-115.172741</v>
      </c>
      <c r="L118">
        <v>7011</v>
      </c>
      <c r="M118" s="175" t="str">
        <f>VLOOKUP(L118, '2022 SIC to NAICS'!A:D, 2)</f>
        <v>Communication Services, Nec</v>
      </c>
      <c r="N118" s="184">
        <f>VLOOKUP(L118, '2022 SIC to NAICS'!A:D, 3)</f>
        <v>517810</v>
      </c>
      <c r="O118" s="184" t="str">
        <f>VLOOKUP(L118, '2022 SIC to NAICS'!A:D, 4)</f>
        <v xml:space="preserve">All Other Telecommunications </v>
      </c>
      <c r="P118" s="185" t="str">
        <f>VLOOKUP(N118, 'NAICS OES crosswalk'!A:C, 3, FALSE)</f>
        <v>TBD</v>
      </c>
      <c r="T118">
        <v>150100150505</v>
      </c>
      <c r="U118" t="s">
        <v>557</v>
      </c>
      <c r="V118">
        <v>0.25301521370000002</v>
      </c>
      <c r="X118" t="b">
        <f t="shared" si="1"/>
        <v>0</v>
      </c>
      <c r="Y118" s="186" t="s">
        <v>1402</v>
      </c>
      <c r="Z118" t="s">
        <v>1403</v>
      </c>
    </row>
    <row r="119" spans="1:26" x14ac:dyDescent="0.25">
      <c r="A119">
        <v>2019</v>
      </c>
      <c r="B119" t="s">
        <v>1400</v>
      </c>
      <c r="C119" t="s">
        <v>1045</v>
      </c>
      <c r="D119" s="1">
        <v>110039998214</v>
      </c>
      <c r="E119" t="s">
        <v>316</v>
      </c>
      <c r="F119" t="s">
        <v>150</v>
      </c>
      <c r="G119" t="s">
        <v>985</v>
      </c>
      <c r="H119" t="s">
        <v>138</v>
      </c>
      <c r="I119" t="s">
        <v>1401</v>
      </c>
      <c r="J119">
        <v>37.790278000000001</v>
      </c>
      <c r="K119">
        <v>-87.140277999999995</v>
      </c>
      <c r="L119">
        <v>4952</v>
      </c>
      <c r="M119" s="175" t="str">
        <f>VLOOKUP(L119, '2022 SIC to NAICS'!A:D, 2)</f>
        <v>Manufacturing Industries, Nec</v>
      </c>
      <c r="N119" s="184">
        <f>VLOOKUP(L119, '2022 SIC to NAICS'!A:D, 3)</f>
        <v>339999</v>
      </c>
      <c r="O119" s="184" t="str">
        <f>VLOOKUP(L119, '2022 SIC to NAICS'!A:D, 4)</f>
        <v xml:space="preserve">All Other Miscellaneous Manufacturing </v>
      </c>
      <c r="P119" s="185" t="str">
        <f>VLOOKUP(N119, 'NAICS OES crosswalk'!A:C, 3, FALSE)</f>
        <v>TBD</v>
      </c>
      <c r="T119" s="186" t="s">
        <v>1186</v>
      </c>
      <c r="U119" t="s">
        <v>989</v>
      </c>
      <c r="V119">
        <v>18.809462875000001</v>
      </c>
      <c r="X119" t="b">
        <f t="shared" si="1"/>
        <v>0</v>
      </c>
      <c r="Y119" s="186" t="s">
        <v>1402</v>
      </c>
      <c r="Z119" t="s">
        <v>1403</v>
      </c>
    </row>
    <row r="120" spans="1:26" x14ac:dyDescent="0.25">
      <c r="A120">
        <v>2019</v>
      </c>
      <c r="B120" t="s">
        <v>1400</v>
      </c>
      <c r="C120" t="s">
        <v>1139</v>
      </c>
      <c r="D120" s="1">
        <v>110006751737</v>
      </c>
      <c r="E120" t="s">
        <v>317</v>
      </c>
      <c r="F120" t="s">
        <v>318</v>
      </c>
      <c r="G120" t="s">
        <v>1138</v>
      </c>
      <c r="H120" t="s">
        <v>138</v>
      </c>
      <c r="I120" t="s">
        <v>1401</v>
      </c>
      <c r="J120">
        <v>36.747222000000001</v>
      </c>
      <c r="K120">
        <v>-84.171943999999996</v>
      </c>
      <c r="L120">
        <v>4952</v>
      </c>
      <c r="M120" s="175" t="str">
        <f>VLOOKUP(L120, '2022 SIC to NAICS'!A:D, 2)</f>
        <v>Manufacturing Industries, Nec</v>
      </c>
      <c r="N120" s="184">
        <f>VLOOKUP(L120, '2022 SIC to NAICS'!A:D, 3)</f>
        <v>339999</v>
      </c>
      <c r="O120" s="184" t="str">
        <f>VLOOKUP(L120, '2022 SIC to NAICS'!A:D, 4)</f>
        <v xml:space="preserve">All Other Miscellaneous Manufacturing </v>
      </c>
      <c r="P120" s="185" t="str">
        <f>VLOOKUP(N120, 'NAICS OES crosswalk'!A:C, 3, FALSE)</f>
        <v>TBD</v>
      </c>
      <c r="T120" s="186" t="s">
        <v>1238</v>
      </c>
      <c r="U120" t="s">
        <v>1140</v>
      </c>
      <c r="V120">
        <v>5.1530882499999997</v>
      </c>
      <c r="X120" t="b">
        <f t="shared" si="1"/>
        <v>0</v>
      </c>
      <c r="Y120" s="186" t="s">
        <v>1402</v>
      </c>
      <c r="Z120" t="s">
        <v>1403</v>
      </c>
    </row>
    <row r="121" spans="1:26" x14ac:dyDescent="0.25">
      <c r="A121">
        <v>2019</v>
      </c>
      <c r="B121" t="s">
        <v>1400</v>
      </c>
      <c r="C121" t="s">
        <v>1013</v>
      </c>
      <c r="D121" s="1">
        <v>110010058757</v>
      </c>
      <c r="E121" t="s">
        <v>319</v>
      </c>
      <c r="F121" t="s">
        <v>320</v>
      </c>
      <c r="G121" t="s">
        <v>1012</v>
      </c>
      <c r="H121" t="s">
        <v>146</v>
      </c>
      <c r="I121" t="s">
        <v>1405</v>
      </c>
      <c r="J121">
        <v>39.805480000000003</v>
      </c>
      <c r="K121">
        <v>-120.47149</v>
      </c>
      <c r="L121">
        <v>4952</v>
      </c>
      <c r="M121" s="175" t="str">
        <f>VLOOKUP(L121, '2022 SIC to NAICS'!A:D, 2)</f>
        <v>Manufacturing Industries, Nec</v>
      </c>
      <c r="N121" s="184">
        <f>VLOOKUP(L121, '2022 SIC to NAICS'!A:D, 3)</f>
        <v>339999</v>
      </c>
      <c r="O121" s="184" t="str">
        <f>VLOOKUP(L121, '2022 SIC to NAICS'!A:D, 4)</f>
        <v xml:space="preserve">All Other Miscellaneous Manufacturing </v>
      </c>
      <c r="P121" s="185" t="str">
        <f>VLOOKUP(N121, 'NAICS OES crosswalk'!A:C, 3, FALSE)</f>
        <v>TBD</v>
      </c>
      <c r="T121">
        <v>180201230404</v>
      </c>
      <c r="U121" t="s">
        <v>1014</v>
      </c>
      <c r="V121">
        <v>8.0819212500000005E-3</v>
      </c>
      <c r="X121" t="b">
        <f t="shared" si="1"/>
        <v>0</v>
      </c>
      <c r="Y121" s="186" t="s">
        <v>1404</v>
      </c>
      <c r="Z121" t="s">
        <v>1403</v>
      </c>
    </row>
    <row r="122" spans="1:26" x14ac:dyDescent="0.25">
      <c r="A122">
        <v>2019</v>
      </c>
      <c r="B122" t="s">
        <v>1400</v>
      </c>
      <c r="C122" t="s">
        <v>893</v>
      </c>
      <c r="D122" s="1">
        <v>110009938737</v>
      </c>
      <c r="E122" t="s">
        <v>321</v>
      </c>
      <c r="F122" t="s">
        <v>322</v>
      </c>
      <c r="G122" t="s">
        <v>891</v>
      </c>
      <c r="H122" t="s">
        <v>138</v>
      </c>
      <c r="I122" t="s">
        <v>1405</v>
      </c>
      <c r="J122">
        <v>38.542222000000002</v>
      </c>
      <c r="K122">
        <v>-84.831943999999993</v>
      </c>
      <c r="L122">
        <v>4952</v>
      </c>
      <c r="M122" s="175" t="str">
        <f>VLOOKUP(L122, '2022 SIC to NAICS'!A:D, 2)</f>
        <v>Manufacturing Industries, Nec</v>
      </c>
      <c r="N122" s="184">
        <f>VLOOKUP(L122, '2022 SIC to NAICS'!A:D, 3)</f>
        <v>339999</v>
      </c>
      <c r="O122" s="184" t="str">
        <f>VLOOKUP(L122, '2022 SIC to NAICS'!A:D, 4)</f>
        <v xml:space="preserve">All Other Miscellaneous Manufacturing </v>
      </c>
      <c r="P122" s="185" t="str">
        <f>VLOOKUP(N122, 'NAICS OES crosswalk'!A:C, 3, FALSE)</f>
        <v>TBD</v>
      </c>
      <c r="T122" s="186" t="s">
        <v>1239</v>
      </c>
      <c r="U122" t="s">
        <v>894</v>
      </c>
      <c r="V122">
        <v>0.65795128125000002</v>
      </c>
      <c r="X122" t="b">
        <f t="shared" si="1"/>
        <v>0</v>
      </c>
      <c r="Y122" s="186" t="s">
        <v>1402</v>
      </c>
      <c r="Z122" t="s">
        <v>1403</v>
      </c>
    </row>
    <row r="123" spans="1:26" x14ac:dyDescent="0.25">
      <c r="A123">
        <v>2019</v>
      </c>
      <c r="B123" t="s">
        <v>1400</v>
      </c>
      <c r="C123" t="s">
        <v>708</v>
      </c>
      <c r="D123" s="1">
        <v>110009696356</v>
      </c>
      <c r="E123" t="s">
        <v>323</v>
      </c>
      <c r="F123" t="s">
        <v>324</v>
      </c>
      <c r="G123" t="s">
        <v>707</v>
      </c>
      <c r="H123" t="s">
        <v>138</v>
      </c>
      <c r="I123" t="s">
        <v>1401</v>
      </c>
      <c r="J123">
        <v>37.108094000000001</v>
      </c>
      <c r="K123">
        <v>-85.303033999999997</v>
      </c>
      <c r="L123">
        <v>4952</v>
      </c>
      <c r="M123" s="175" t="str">
        <f>VLOOKUP(L123, '2022 SIC to NAICS'!A:D, 2)</f>
        <v>Manufacturing Industries, Nec</v>
      </c>
      <c r="N123" s="184">
        <f>VLOOKUP(L123, '2022 SIC to NAICS'!A:D, 3)</f>
        <v>339999</v>
      </c>
      <c r="O123" s="184" t="str">
        <f>VLOOKUP(L123, '2022 SIC to NAICS'!A:D, 4)</f>
        <v xml:space="preserve">All Other Miscellaneous Manufacturing </v>
      </c>
      <c r="P123" s="185" t="str">
        <f>VLOOKUP(N123, 'NAICS OES crosswalk'!A:C, 3, FALSE)</f>
        <v>TBD</v>
      </c>
      <c r="T123" s="186" t="s">
        <v>1240</v>
      </c>
      <c r="U123" t="s">
        <v>709</v>
      </c>
      <c r="V123">
        <v>4.6419240000000004</v>
      </c>
      <c r="X123" t="b">
        <f t="shared" si="1"/>
        <v>0</v>
      </c>
      <c r="Y123" s="186" t="s">
        <v>1402</v>
      </c>
      <c r="Z123" t="s">
        <v>1403</v>
      </c>
    </row>
    <row r="124" spans="1:26" x14ac:dyDescent="0.25">
      <c r="A124">
        <v>2019</v>
      </c>
      <c r="B124" t="s">
        <v>1400</v>
      </c>
      <c r="C124" t="s">
        <v>651</v>
      </c>
      <c r="D124" s="1">
        <v>110055988016</v>
      </c>
      <c r="E124" t="s">
        <v>325</v>
      </c>
      <c r="F124" t="s">
        <v>326</v>
      </c>
      <c r="G124" t="s">
        <v>650</v>
      </c>
      <c r="H124" t="s">
        <v>146</v>
      </c>
      <c r="I124" t="s">
        <v>1401</v>
      </c>
      <c r="J124">
        <v>37.591898999999998</v>
      </c>
      <c r="K124">
        <v>-122.358101</v>
      </c>
      <c r="L124">
        <v>4952</v>
      </c>
      <c r="M124" s="175" t="str">
        <f>VLOOKUP(L124, '2022 SIC to NAICS'!A:D, 2)</f>
        <v>Manufacturing Industries, Nec</v>
      </c>
      <c r="N124" s="184">
        <f>VLOOKUP(L124, '2022 SIC to NAICS'!A:D, 3)</f>
        <v>339999</v>
      </c>
      <c r="O124" s="184" t="str">
        <f>VLOOKUP(L124, '2022 SIC to NAICS'!A:D, 4)</f>
        <v xml:space="preserve">All Other Miscellaneous Manufacturing </v>
      </c>
      <c r="P124" s="185" t="str">
        <f>VLOOKUP(N124, 'NAICS OES crosswalk'!A:C, 3, FALSE)</f>
        <v>TBD</v>
      </c>
      <c r="T124">
        <v>180500041001</v>
      </c>
      <c r="U124" t="s">
        <v>652</v>
      </c>
      <c r="V124">
        <v>1.0326899375</v>
      </c>
      <c r="X124" t="b">
        <f t="shared" si="1"/>
        <v>0</v>
      </c>
      <c r="Y124" s="186" t="s">
        <v>1402</v>
      </c>
    </row>
    <row r="125" spans="1:26" x14ac:dyDescent="0.25">
      <c r="A125">
        <v>2019</v>
      </c>
      <c r="B125" t="s">
        <v>1400</v>
      </c>
      <c r="C125" t="s">
        <v>856</v>
      </c>
      <c r="D125" s="1">
        <v>110000732271</v>
      </c>
      <c r="E125" t="s">
        <v>327</v>
      </c>
      <c r="F125" t="s">
        <v>235</v>
      </c>
      <c r="G125" t="s">
        <v>600</v>
      </c>
      <c r="H125" t="s">
        <v>138</v>
      </c>
      <c r="I125" t="s">
        <v>1401</v>
      </c>
      <c r="J125">
        <v>38.322221999999996</v>
      </c>
      <c r="K125">
        <v>-85.555000000000007</v>
      </c>
      <c r="L125">
        <v>4952</v>
      </c>
      <c r="M125" s="175" t="str">
        <f>VLOOKUP(L125, '2022 SIC to NAICS'!A:D, 2)</f>
        <v>Manufacturing Industries, Nec</v>
      </c>
      <c r="N125" s="184">
        <f>VLOOKUP(L125, '2022 SIC to NAICS'!A:D, 3)</f>
        <v>339999</v>
      </c>
      <c r="O125" s="184" t="str">
        <f>VLOOKUP(L125, '2022 SIC to NAICS'!A:D, 4)</f>
        <v xml:space="preserve">All Other Miscellaneous Manufacturing </v>
      </c>
      <c r="P125" s="185" t="str">
        <f>VLOOKUP(N125, 'NAICS OES crosswalk'!A:C, 3, FALSE)</f>
        <v>TBD</v>
      </c>
      <c r="T125" s="186" t="s">
        <v>1241</v>
      </c>
      <c r="U125" t="s">
        <v>857</v>
      </c>
      <c r="V125">
        <v>14.512920125000001</v>
      </c>
      <c r="X125" t="b">
        <f t="shared" si="1"/>
        <v>0</v>
      </c>
      <c r="Y125" s="186" t="s">
        <v>1402</v>
      </c>
      <c r="Z125" t="s">
        <v>1403</v>
      </c>
    </row>
    <row r="126" spans="1:26" x14ac:dyDescent="0.25">
      <c r="A126">
        <v>2019</v>
      </c>
      <c r="B126" t="s">
        <v>1400</v>
      </c>
      <c r="C126" t="s">
        <v>598</v>
      </c>
      <c r="D126" s="1">
        <v>110070828339</v>
      </c>
      <c r="E126" t="s">
        <v>328</v>
      </c>
      <c r="F126" t="s">
        <v>308</v>
      </c>
      <c r="G126" t="s">
        <v>596</v>
      </c>
      <c r="H126" t="s">
        <v>309</v>
      </c>
      <c r="I126" t="s">
        <v>1401</v>
      </c>
      <c r="J126">
        <v>36.550454999999999</v>
      </c>
      <c r="K126">
        <v>-82.634793999999999</v>
      </c>
      <c r="L126">
        <v>2892</v>
      </c>
      <c r="M126" s="175" t="str">
        <f>VLOOKUP(L126, '2022 SIC to NAICS'!A:D, 2)</f>
        <v>Toilet Preparations</v>
      </c>
      <c r="N126" s="184">
        <f>VLOOKUP(L126, '2022 SIC to NAICS'!A:D, 3)</f>
        <v>325620</v>
      </c>
      <c r="O126" s="184" t="str">
        <f>VLOOKUP(L126, '2022 SIC to NAICS'!A:D, 4)</f>
        <v>Toilet Preparation Manufacturing</v>
      </c>
      <c r="P126" s="185" t="str">
        <f>VLOOKUP(N126, 'NAICS OES crosswalk'!A:C, 3, FALSE)</f>
        <v>Formulation of cleaning and furnishing care products</v>
      </c>
      <c r="T126" s="186" t="s">
        <v>1242</v>
      </c>
      <c r="U126" t="s">
        <v>599</v>
      </c>
      <c r="V126">
        <v>4.5570250000000003</v>
      </c>
      <c r="X126" t="b">
        <f t="shared" si="1"/>
        <v>0</v>
      </c>
      <c r="Y126" s="186" t="s">
        <v>1444</v>
      </c>
      <c r="Z126" t="s">
        <v>1403</v>
      </c>
    </row>
    <row r="127" spans="1:26" x14ac:dyDescent="0.25">
      <c r="A127">
        <v>2019</v>
      </c>
      <c r="B127" t="s">
        <v>1400</v>
      </c>
      <c r="C127" t="s">
        <v>974</v>
      </c>
      <c r="D127" s="1">
        <v>110000547196</v>
      </c>
      <c r="E127" t="s">
        <v>329</v>
      </c>
      <c r="F127" t="s">
        <v>224</v>
      </c>
      <c r="G127" t="s">
        <v>973</v>
      </c>
      <c r="H127" t="s">
        <v>141</v>
      </c>
      <c r="I127" t="s">
        <v>1405</v>
      </c>
      <c r="J127">
        <v>41.405655000000003</v>
      </c>
      <c r="K127">
        <v>-88.335212999999996</v>
      </c>
      <c r="L127">
        <v>2869</v>
      </c>
      <c r="M127" s="175" t="str">
        <f>VLOOKUP(L127, '2022 SIC to NAICS'!A:D, 2)</f>
        <v>Industrial Organic Chemicals, Nec</v>
      </c>
      <c r="N127" s="184">
        <f>VLOOKUP(L127, '2022 SIC to NAICS'!A:D, 3)</f>
        <v>325180</v>
      </c>
      <c r="O127" s="184" t="str">
        <f>VLOOKUP(L127, '2022 SIC to NAICS'!A:D, 4)</f>
        <v xml:space="preserve">Other Basic Inorganic Chemical Manufacturing </v>
      </c>
      <c r="P127" s="185" t="str">
        <f>VLOOKUP(N127, 'NAICS OES crosswalk'!A:C, 3, FALSE)</f>
        <v>Processing as a reactant</v>
      </c>
      <c r="T127" s="186" t="s">
        <v>1202</v>
      </c>
      <c r="U127" t="s">
        <v>773</v>
      </c>
      <c r="V127">
        <v>2.8472609999999999E-2</v>
      </c>
      <c r="X127" t="b">
        <f t="shared" si="1"/>
        <v>0</v>
      </c>
      <c r="Y127" s="186" t="s">
        <v>1402</v>
      </c>
      <c r="Z127" t="s">
        <v>1403</v>
      </c>
    </row>
    <row r="128" spans="1:26" x14ac:dyDescent="0.25">
      <c r="A128">
        <v>2019</v>
      </c>
      <c r="B128" t="s">
        <v>1400</v>
      </c>
      <c r="C128" t="s">
        <v>1063</v>
      </c>
      <c r="D128" s="1">
        <v>110064786085</v>
      </c>
      <c r="E128" t="s">
        <v>330</v>
      </c>
      <c r="F128" t="s">
        <v>331</v>
      </c>
      <c r="G128" t="s">
        <v>1061</v>
      </c>
      <c r="H128" t="s">
        <v>250</v>
      </c>
      <c r="I128" t="s">
        <v>1405</v>
      </c>
      <c r="J128">
        <v>44.700833000000003</v>
      </c>
      <c r="K128">
        <v>-73.591667000000001</v>
      </c>
      <c r="L128">
        <v>9511</v>
      </c>
      <c r="M128" s="175" t="str">
        <f>VLOOKUP(L128, '2022 SIC to NAICS'!A:D, 2)</f>
        <v>Air, Water, and Solid Waste Management</v>
      </c>
      <c r="N128" s="184">
        <f>VLOOKUP(L128, '2022 SIC to NAICS'!A:D, 3)</f>
        <v>924110</v>
      </c>
      <c r="O128" s="184" t="str">
        <f>VLOOKUP(L128, '2022 SIC to NAICS'!A:D, 4)</f>
        <v xml:space="preserve">Administration of Air and Water Resource and Solid Waste Management Programs </v>
      </c>
      <c r="P128" s="185" t="str">
        <f>VLOOKUP(N128, 'NAICS OES crosswalk'!A:C, 3, FALSE)</f>
        <v>TBD</v>
      </c>
      <c r="T128" s="186" t="s">
        <v>1243</v>
      </c>
      <c r="U128" t="s">
        <v>1064</v>
      </c>
      <c r="V128">
        <v>4.0608053800000002E-2</v>
      </c>
      <c r="X128" t="b">
        <f t="shared" si="1"/>
        <v>0</v>
      </c>
      <c r="Y128" s="186" t="s">
        <v>1402</v>
      </c>
      <c r="Z128" t="s">
        <v>1403</v>
      </c>
    </row>
    <row r="129" spans="1:26" x14ac:dyDescent="0.25">
      <c r="A129">
        <v>2019</v>
      </c>
      <c r="B129" t="s">
        <v>1400</v>
      </c>
      <c r="C129" t="s">
        <v>654</v>
      </c>
      <c r="D129" s="1">
        <v>110059344473</v>
      </c>
      <c r="E129" t="s">
        <v>332</v>
      </c>
      <c r="F129" t="s">
        <v>333</v>
      </c>
      <c r="G129" t="s">
        <v>653</v>
      </c>
      <c r="H129" t="s">
        <v>268</v>
      </c>
      <c r="I129" t="s">
        <v>1401</v>
      </c>
      <c r="J129">
        <v>40.655278000000003</v>
      </c>
      <c r="K129">
        <v>-80.356388999999993</v>
      </c>
      <c r="L129">
        <v>2821</v>
      </c>
      <c r="M129" s="175" t="str">
        <f>VLOOKUP(L129, '2022 SIC to NAICS'!A:D, 2)</f>
        <v>Platemaking Services</v>
      </c>
      <c r="N129" s="184">
        <f>VLOOKUP(L129, '2022 SIC to NAICS'!A:D, 3)</f>
        <v>323120</v>
      </c>
      <c r="O129" s="184" t="str">
        <f>VLOOKUP(L129, '2022 SIC to NAICS'!A:D, 4)</f>
        <v>Support Activities for Printing</v>
      </c>
      <c r="P129" s="185" t="str">
        <f>VLOOKUP(N129, 'NAICS OES crosswalk'!A:C, 3, FALSE)</f>
        <v>TBD</v>
      </c>
      <c r="T129" s="186" t="s">
        <v>1244</v>
      </c>
      <c r="U129" t="s">
        <v>655</v>
      </c>
      <c r="V129">
        <v>0.66283999999999998</v>
      </c>
      <c r="X129" t="b">
        <f t="shared" si="1"/>
        <v>0</v>
      </c>
      <c r="Y129" s="186" t="s">
        <v>1404</v>
      </c>
      <c r="Z129" t="s">
        <v>1403</v>
      </c>
    </row>
    <row r="130" spans="1:26" x14ac:dyDescent="0.25">
      <c r="A130">
        <v>2019</v>
      </c>
      <c r="B130" t="s">
        <v>1400</v>
      </c>
      <c r="C130" t="s">
        <v>1445</v>
      </c>
      <c r="D130" s="1">
        <v>110056966699</v>
      </c>
      <c r="E130" t="s">
        <v>1446</v>
      </c>
      <c r="F130" t="s">
        <v>1447</v>
      </c>
      <c r="G130" t="s">
        <v>1448</v>
      </c>
      <c r="H130" t="s">
        <v>118</v>
      </c>
      <c r="I130" t="s">
        <v>1401</v>
      </c>
      <c r="J130">
        <v>41.948850999999998</v>
      </c>
      <c r="K130">
        <v>-83.958619999999996</v>
      </c>
      <c r="L130">
        <v>2821</v>
      </c>
      <c r="M130" s="175" t="str">
        <f>VLOOKUP(L130, '2022 SIC to NAICS'!A:D, 2)</f>
        <v>Platemaking Services</v>
      </c>
      <c r="N130" s="184">
        <f>VLOOKUP(L130, '2022 SIC to NAICS'!A:D, 3)</f>
        <v>323120</v>
      </c>
      <c r="O130" s="184" t="str">
        <f>VLOOKUP(L130, '2022 SIC to NAICS'!A:D, 4)</f>
        <v>Support Activities for Printing</v>
      </c>
      <c r="P130" s="185" t="str">
        <f>VLOOKUP(N130, 'NAICS OES crosswalk'!A:C, 3, FALSE)</f>
        <v>TBD</v>
      </c>
      <c r="T130" s="186" t="s">
        <v>1449</v>
      </c>
      <c r="U130" t="s">
        <v>1450</v>
      </c>
      <c r="V130">
        <v>3.85175E-6</v>
      </c>
      <c r="X130" t="b">
        <f t="shared" si="1"/>
        <v>1</v>
      </c>
      <c r="Y130" s="186" t="s">
        <v>1402</v>
      </c>
      <c r="Z130" t="s">
        <v>1403</v>
      </c>
    </row>
    <row r="131" spans="1:26" x14ac:dyDescent="0.25">
      <c r="A131">
        <v>2019</v>
      </c>
      <c r="B131" t="s">
        <v>1400</v>
      </c>
      <c r="C131" t="s">
        <v>1125</v>
      </c>
      <c r="D131" s="1">
        <v>110070246981</v>
      </c>
      <c r="E131" t="s">
        <v>334</v>
      </c>
      <c r="F131" t="s">
        <v>335</v>
      </c>
      <c r="G131" t="s">
        <v>1123</v>
      </c>
      <c r="H131" t="s">
        <v>336</v>
      </c>
      <c r="I131" t="s">
        <v>1405</v>
      </c>
      <c r="J131">
        <v>41.424084999999998</v>
      </c>
      <c r="K131">
        <v>-97.286036999999993</v>
      </c>
      <c r="L131">
        <v>2899</v>
      </c>
      <c r="M131" s="175" t="str">
        <f>VLOOKUP(L131, '2022 SIC to NAICS'!A:D, 2)</f>
        <v>Explosives</v>
      </c>
      <c r="N131" s="184">
        <f>VLOOKUP(L131, '2022 SIC to NAICS'!A:D, 3)</f>
        <v>325920</v>
      </c>
      <c r="O131" s="184" t="str">
        <f>VLOOKUP(L131, '2022 SIC to NAICS'!A:D, 4)</f>
        <v>Explosives Manufacturing</v>
      </c>
      <c r="P131" s="185" t="str">
        <f>VLOOKUP(N131, 'NAICS OES crosswalk'!A:C, 3, FALSE)</f>
        <v>TBD</v>
      </c>
      <c r="T131">
        <v>102002010302</v>
      </c>
      <c r="U131" t="s">
        <v>1126</v>
      </c>
      <c r="V131">
        <v>0.27600000000000002</v>
      </c>
      <c r="X131" t="b">
        <f t="shared" ref="X131:X146" si="2">V131 &lt;= _xlfn.PERCENTILE.INC($V$2:$V$146, 0.1)</f>
        <v>0</v>
      </c>
      <c r="Y131" s="186" t="s">
        <v>1402</v>
      </c>
      <c r="Z131" t="s">
        <v>1403</v>
      </c>
    </row>
    <row r="132" spans="1:26" x14ac:dyDescent="0.25">
      <c r="A132">
        <v>2019</v>
      </c>
      <c r="B132" t="s">
        <v>1400</v>
      </c>
      <c r="C132" t="s">
        <v>840</v>
      </c>
      <c r="D132" s="1">
        <v>110064616296</v>
      </c>
      <c r="E132" t="s">
        <v>337</v>
      </c>
      <c r="F132" t="s">
        <v>338</v>
      </c>
      <c r="G132" t="s">
        <v>839</v>
      </c>
      <c r="H132" t="s">
        <v>146</v>
      </c>
      <c r="I132" t="s">
        <v>1405</v>
      </c>
      <c r="J132">
        <v>38.273180000000004</v>
      </c>
      <c r="K132">
        <v>-120.91082</v>
      </c>
      <c r="L132">
        <v>4952</v>
      </c>
      <c r="M132" s="175" t="str">
        <f>VLOOKUP(L132, '2022 SIC to NAICS'!A:D, 2)</f>
        <v>Manufacturing Industries, Nec</v>
      </c>
      <c r="N132" s="184">
        <f>VLOOKUP(L132, '2022 SIC to NAICS'!A:D, 3)</f>
        <v>339999</v>
      </c>
      <c r="O132" s="184" t="str">
        <f>VLOOKUP(L132, '2022 SIC to NAICS'!A:D, 4)</f>
        <v xml:space="preserve">All Other Miscellaneous Manufacturing </v>
      </c>
      <c r="P132" s="185" t="str">
        <f>VLOOKUP(N132, 'NAICS OES crosswalk'!A:C, 3, FALSE)</f>
        <v>TBD</v>
      </c>
      <c r="T132">
        <v>180400120703</v>
      </c>
      <c r="U132" t="s">
        <v>841</v>
      </c>
      <c r="V132">
        <v>8.6345312500000007E-3</v>
      </c>
      <c r="X132" t="b">
        <f t="shared" si="2"/>
        <v>0</v>
      </c>
      <c r="Y132" s="186" t="s">
        <v>1402</v>
      </c>
      <c r="Z132" t="s">
        <v>1403</v>
      </c>
    </row>
    <row r="133" spans="1:26" x14ac:dyDescent="0.25">
      <c r="A133">
        <v>2019</v>
      </c>
      <c r="B133" t="s">
        <v>1400</v>
      </c>
      <c r="C133" t="s">
        <v>665</v>
      </c>
      <c r="D133" s="1">
        <v>110000911309</v>
      </c>
      <c r="E133" t="s">
        <v>339</v>
      </c>
      <c r="F133" t="s">
        <v>202</v>
      </c>
      <c r="G133" t="s">
        <v>663</v>
      </c>
      <c r="H133" t="s">
        <v>106</v>
      </c>
      <c r="I133" t="s">
        <v>1405</v>
      </c>
      <c r="J133">
        <v>30.233011999999999</v>
      </c>
      <c r="K133">
        <v>-91.022057000000004</v>
      </c>
      <c r="L133">
        <v>4789</v>
      </c>
      <c r="M133" s="175" t="str">
        <f>VLOOKUP(L133, '2022 SIC to NAICS'!A:D, 2)</f>
        <v>Manufacturing Industries, Nec</v>
      </c>
      <c r="N133" s="184">
        <f>VLOOKUP(L133, '2022 SIC to NAICS'!A:D, 3)</f>
        <v>339999</v>
      </c>
      <c r="O133" s="184" t="str">
        <f>VLOOKUP(L133, '2022 SIC to NAICS'!A:D, 4)</f>
        <v xml:space="preserve">All Other Miscellaneous Manufacturing </v>
      </c>
      <c r="P133" s="185" t="str">
        <f>VLOOKUP(N133, 'NAICS OES crosswalk'!A:C, 3, FALSE)</f>
        <v>TBD</v>
      </c>
      <c r="T133" s="186" t="s">
        <v>1198</v>
      </c>
      <c r="U133" t="s">
        <v>666</v>
      </c>
      <c r="V133">
        <v>1.1140674375E-2</v>
      </c>
      <c r="X133" t="b">
        <f t="shared" si="2"/>
        <v>0</v>
      </c>
      <c r="Y133" s="186" t="s">
        <v>1402</v>
      </c>
      <c r="Z133" t="s">
        <v>1403</v>
      </c>
    </row>
    <row r="134" spans="1:26" x14ac:dyDescent="0.25">
      <c r="A134">
        <v>2019</v>
      </c>
      <c r="B134" t="s">
        <v>1400</v>
      </c>
      <c r="C134" t="s">
        <v>678</v>
      </c>
      <c r="D134" s="1">
        <v>110054612558</v>
      </c>
      <c r="E134" t="s">
        <v>340</v>
      </c>
      <c r="F134" t="s">
        <v>341</v>
      </c>
      <c r="G134" t="s">
        <v>677</v>
      </c>
      <c r="H134" t="s">
        <v>170</v>
      </c>
      <c r="I134" t="s">
        <v>1401</v>
      </c>
      <c r="J134">
        <v>39.423425000000002</v>
      </c>
      <c r="K134">
        <v>-91.025666000000001</v>
      </c>
      <c r="L134">
        <v>2869</v>
      </c>
      <c r="M134" s="175" t="str">
        <f>VLOOKUP(L134, '2022 SIC to NAICS'!A:D, 2)</f>
        <v>Industrial Organic Chemicals, Nec</v>
      </c>
      <c r="N134" s="184">
        <f>VLOOKUP(L134, '2022 SIC to NAICS'!A:D, 3)</f>
        <v>325180</v>
      </c>
      <c r="O134" s="184" t="str">
        <f>VLOOKUP(L134, '2022 SIC to NAICS'!A:D, 4)</f>
        <v xml:space="preserve">Other Basic Inorganic Chemical Manufacturing </v>
      </c>
      <c r="P134" s="185" t="str">
        <f>VLOOKUP(N134, 'NAICS OES crosswalk'!A:C, 3, FALSE)</f>
        <v>Processing as a reactant</v>
      </c>
      <c r="T134" s="186" t="s">
        <v>1245</v>
      </c>
      <c r="U134" t="s">
        <v>679</v>
      </c>
      <c r="V134">
        <v>5.7203999999999998E-2</v>
      </c>
      <c r="X134" t="b">
        <f t="shared" si="2"/>
        <v>0</v>
      </c>
      <c r="Y134" s="186" t="s">
        <v>1404</v>
      </c>
      <c r="Z134" t="s">
        <v>1403</v>
      </c>
    </row>
    <row r="135" spans="1:26" x14ac:dyDescent="0.25">
      <c r="A135">
        <v>2019</v>
      </c>
      <c r="B135" t="s">
        <v>1400</v>
      </c>
      <c r="C135" t="s">
        <v>797</v>
      </c>
      <c r="D135" s="1">
        <v>110000338536</v>
      </c>
      <c r="E135" t="s">
        <v>342</v>
      </c>
      <c r="F135" t="s">
        <v>343</v>
      </c>
      <c r="G135" t="s">
        <v>796</v>
      </c>
      <c r="H135" t="s">
        <v>344</v>
      </c>
      <c r="I135" t="s">
        <v>1401</v>
      </c>
      <c r="J135">
        <v>39.585099999999997</v>
      </c>
      <c r="K135">
        <v>-75.649199999999993</v>
      </c>
      <c r="L135">
        <v>2821</v>
      </c>
      <c r="M135" s="175" t="str">
        <f>VLOOKUP(L135, '2022 SIC to NAICS'!A:D, 2)</f>
        <v>Platemaking Services</v>
      </c>
      <c r="N135" s="184">
        <f>VLOOKUP(L135, '2022 SIC to NAICS'!A:D, 3)</f>
        <v>323120</v>
      </c>
      <c r="O135" s="184" t="str">
        <f>VLOOKUP(L135, '2022 SIC to NAICS'!A:D, 4)</f>
        <v>Support Activities for Printing</v>
      </c>
      <c r="P135" s="185" t="str">
        <f>VLOOKUP(N135, 'NAICS OES crosswalk'!A:C, 3, FALSE)</f>
        <v>TBD</v>
      </c>
      <c r="T135" s="186" t="s">
        <v>1246</v>
      </c>
      <c r="U135" t="s">
        <v>798</v>
      </c>
      <c r="V135">
        <v>5.4479999999999997E-3</v>
      </c>
      <c r="X135" t="b">
        <f t="shared" si="2"/>
        <v>0</v>
      </c>
      <c r="Y135" s="186" t="s">
        <v>1402</v>
      </c>
      <c r="Z135" t="s">
        <v>1403</v>
      </c>
    </row>
    <row r="136" spans="1:26" x14ac:dyDescent="0.25">
      <c r="A136">
        <v>2019</v>
      </c>
      <c r="B136" t="s">
        <v>1400</v>
      </c>
      <c r="C136" t="s">
        <v>998</v>
      </c>
      <c r="D136" s="1">
        <v>110000551082</v>
      </c>
      <c r="E136" t="s">
        <v>345</v>
      </c>
      <c r="F136" t="s">
        <v>346</v>
      </c>
      <c r="G136" t="s">
        <v>997</v>
      </c>
      <c r="H136" t="s">
        <v>138</v>
      </c>
      <c r="I136" t="s">
        <v>1401</v>
      </c>
      <c r="J136">
        <v>38.223610999999998</v>
      </c>
      <c r="K136">
        <v>-84.252778000000006</v>
      </c>
      <c r="L136">
        <v>4952</v>
      </c>
      <c r="M136" s="175" t="str">
        <f>VLOOKUP(L136, '2022 SIC to NAICS'!A:D, 2)</f>
        <v>Manufacturing Industries, Nec</v>
      </c>
      <c r="N136" s="184">
        <f>VLOOKUP(L136, '2022 SIC to NAICS'!A:D, 3)</f>
        <v>339999</v>
      </c>
      <c r="O136" s="184" t="str">
        <f>VLOOKUP(L136, '2022 SIC to NAICS'!A:D, 4)</f>
        <v xml:space="preserve">All Other Miscellaneous Manufacturing </v>
      </c>
      <c r="P136" s="185" t="str">
        <f>VLOOKUP(N136, 'NAICS OES crosswalk'!A:C, 3, FALSE)</f>
        <v>TBD</v>
      </c>
      <c r="T136" s="186" t="s">
        <v>1247</v>
      </c>
      <c r="U136" t="s">
        <v>999</v>
      </c>
      <c r="V136">
        <v>8.2787885625000008</v>
      </c>
      <c r="X136" t="b">
        <f t="shared" si="2"/>
        <v>0</v>
      </c>
      <c r="Y136" s="186" t="s">
        <v>1402</v>
      </c>
      <c r="Z136" t="s">
        <v>1403</v>
      </c>
    </row>
    <row r="137" spans="1:26" x14ac:dyDescent="0.25">
      <c r="A137">
        <v>2019</v>
      </c>
      <c r="B137" t="s">
        <v>1400</v>
      </c>
      <c r="C137" t="s">
        <v>1055</v>
      </c>
      <c r="D137" s="1">
        <v>110000730460</v>
      </c>
      <c r="E137" t="s">
        <v>176</v>
      </c>
      <c r="F137" t="s">
        <v>177</v>
      </c>
      <c r="G137" t="s">
        <v>1054</v>
      </c>
      <c r="H137" t="s">
        <v>146</v>
      </c>
      <c r="I137" t="s">
        <v>1401</v>
      </c>
      <c r="J137">
        <v>38.368760000000002</v>
      </c>
      <c r="K137">
        <v>-122.76860000000001</v>
      </c>
      <c r="L137">
        <v>4952</v>
      </c>
      <c r="M137" s="175" t="str">
        <f>VLOOKUP(L137, '2022 SIC to NAICS'!A:D, 2)</f>
        <v>Manufacturing Industries, Nec</v>
      </c>
      <c r="N137" s="184">
        <f>VLOOKUP(L137, '2022 SIC to NAICS'!A:D, 3)</f>
        <v>339999</v>
      </c>
      <c r="O137" s="184" t="str">
        <f>VLOOKUP(L137, '2022 SIC to NAICS'!A:D, 4)</f>
        <v xml:space="preserve">All Other Miscellaneous Manufacturing </v>
      </c>
      <c r="P137" s="185" t="str">
        <f>VLOOKUP(N137, 'NAICS OES crosswalk'!A:C, 3, FALSE)</f>
        <v>TBD</v>
      </c>
      <c r="T137">
        <v>180101100701</v>
      </c>
      <c r="U137" t="s">
        <v>1056</v>
      </c>
      <c r="V137">
        <v>2.51229375</v>
      </c>
      <c r="X137" t="b">
        <f t="shared" si="2"/>
        <v>0</v>
      </c>
      <c r="Y137" t="s">
        <v>1451</v>
      </c>
      <c r="Z137" t="s">
        <v>1403</v>
      </c>
    </row>
    <row r="138" spans="1:26" x14ac:dyDescent="0.25">
      <c r="A138">
        <v>2019</v>
      </c>
      <c r="B138" t="s">
        <v>1400</v>
      </c>
      <c r="C138" t="s">
        <v>710</v>
      </c>
      <c r="D138" s="1">
        <v>110055984957</v>
      </c>
      <c r="E138" t="s">
        <v>347</v>
      </c>
      <c r="F138" t="s">
        <v>348</v>
      </c>
      <c r="G138" t="s">
        <v>348</v>
      </c>
      <c r="H138" t="s">
        <v>146</v>
      </c>
      <c r="I138" t="s">
        <v>1405</v>
      </c>
      <c r="J138">
        <v>39.191054000000001</v>
      </c>
      <c r="K138">
        <v>-122.023129</v>
      </c>
      <c r="L138">
        <v>4952</v>
      </c>
      <c r="M138" s="175" t="str">
        <f>VLOOKUP(L138, '2022 SIC to NAICS'!A:D, 2)</f>
        <v>Manufacturing Industries, Nec</v>
      </c>
      <c r="N138" s="184">
        <f>VLOOKUP(L138, '2022 SIC to NAICS'!A:D, 3)</f>
        <v>339999</v>
      </c>
      <c r="O138" s="184" t="str">
        <f>VLOOKUP(L138, '2022 SIC to NAICS'!A:D, 4)</f>
        <v xml:space="preserve">All Other Miscellaneous Manufacturing </v>
      </c>
      <c r="P138" s="185" t="str">
        <f>VLOOKUP(N138, 'NAICS OES crosswalk'!A:C, 3, FALSE)</f>
        <v>TBD</v>
      </c>
      <c r="T138">
        <v>180201040807</v>
      </c>
      <c r="U138" t="s">
        <v>711</v>
      </c>
      <c r="V138">
        <v>6.3041849733333294E-2</v>
      </c>
      <c r="X138" t="b">
        <f t="shared" si="2"/>
        <v>0</v>
      </c>
      <c r="Y138" s="186" t="s">
        <v>1402</v>
      </c>
    </row>
    <row r="139" spans="1:26" x14ac:dyDescent="0.25">
      <c r="A139">
        <v>2019</v>
      </c>
      <c r="B139" t="s">
        <v>1400</v>
      </c>
      <c r="C139" t="s">
        <v>1010</v>
      </c>
      <c r="D139" s="1">
        <v>110006644872</v>
      </c>
      <c r="E139" t="s">
        <v>349</v>
      </c>
      <c r="F139" t="s">
        <v>350</v>
      </c>
      <c r="G139" t="s">
        <v>677</v>
      </c>
      <c r="H139" t="s">
        <v>138</v>
      </c>
      <c r="I139" t="s">
        <v>1401</v>
      </c>
      <c r="J139">
        <v>37.491857000000003</v>
      </c>
      <c r="K139">
        <v>-82.539703000000003</v>
      </c>
      <c r="L139">
        <v>4952</v>
      </c>
      <c r="M139" s="175" t="str">
        <f>VLOOKUP(L139, '2022 SIC to NAICS'!A:D, 2)</f>
        <v>Manufacturing Industries, Nec</v>
      </c>
      <c r="N139" s="184">
        <f>VLOOKUP(L139, '2022 SIC to NAICS'!A:D, 3)</f>
        <v>339999</v>
      </c>
      <c r="O139" s="184" t="str">
        <f>VLOOKUP(L139, '2022 SIC to NAICS'!A:D, 4)</f>
        <v xml:space="preserve">All Other Miscellaneous Manufacturing </v>
      </c>
      <c r="P139" s="185" t="str">
        <f>VLOOKUP(N139, 'NAICS OES crosswalk'!A:C, 3, FALSE)</f>
        <v>TBD</v>
      </c>
      <c r="T139" s="186" t="s">
        <v>1248</v>
      </c>
      <c r="U139" t="s">
        <v>1011</v>
      </c>
      <c r="V139">
        <v>7.6501946875</v>
      </c>
      <c r="X139" t="b">
        <f t="shared" si="2"/>
        <v>0</v>
      </c>
      <c r="Y139" s="186" t="s">
        <v>1402</v>
      </c>
      <c r="Z139" t="s">
        <v>1403</v>
      </c>
    </row>
    <row r="140" spans="1:26" x14ac:dyDescent="0.25">
      <c r="A140">
        <v>2019</v>
      </c>
      <c r="B140" t="s">
        <v>1400</v>
      </c>
      <c r="C140" t="s">
        <v>956</v>
      </c>
      <c r="D140" s="1">
        <v>110007015871</v>
      </c>
      <c r="E140" t="s">
        <v>351</v>
      </c>
      <c r="F140" t="s">
        <v>352</v>
      </c>
      <c r="G140" t="s">
        <v>955</v>
      </c>
      <c r="H140" t="s">
        <v>106</v>
      </c>
      <c r="I140" t="s">
        <v>1401</v>
      </c>
      <c r="J140">
        <v>30.048590999999998</v>
      </c>
      <c r="K140">
        <v>-90.630941000000007</v>
      </c>
      <c r="L140">
        <v>2869</v>
      </c>
      <c r="M140" s="175" t="str">
        <f>VLOOKUP(L140, '2022 SIC to NAICS'!A:D, 2)</f>
        <v>Industrial Organic Chemicals, Nec</v>
      </c>
      <c r="N140" s="184">
        <f>VLOOKUP(L140, '2022 SIC to NAICS'!A:D, 3)</f>
        <v>325180</v>
      </c>
      <c r="O140" s="184" t="str">
        <f>VLOOKUP(L140, '2022 SIC to NAICS'!A:D, 4)</f>
        <v xml:space="preserve">Other Basic Inorganic Chemical Manufacturing </v>
      </c>
      <c r="P140" s="185" t="str">
        <f>VLOOKUP(N140, 'NAICS OES crosswalk'!A:C, 3, FALSE)</f>
        <v>Processing as a reactant</v>
      </c>
      <c r="T140" s="186" t="s">
        <v>1249</v>
      </c>
      <c r="U140" t="s">
        <v>957</v>
      </c>
      <c r="V140">
        <v>8.2854999999999998E-2</v>
      </c>
      <c r="X140" t="b">
        <f t="shared" si="2"/>
        <v>0</v>
      </c>
      <c r="Y140" s="186" t="s">
        <v>1402</v>
      </c>
      <c r="Z140" t="s">
        <v>1403</v>
      </c>
    </row>
    <row r="141" spans="1:26" x14ac:dyDescent="0.25">
      <c r="A141">
        <v>2019</v>
      </c>
      <c r="B141" t="s">
        <v>1400</v>
      </c>
      <c r="C141" t="s">
        <v>641</v>
      </c>
      <c r="D141" s="1">
        <v>110030476465</v>
      </c>
      <c r="E141" t="s">
        <v>353</v>
      </c>
      <c r="F141" t="s">
        <v>354</v>
      </c>
      <c r="G141" t="s">
        <v>566</v>
      </c>
      <c r="H141" t="s">
        <v>146</v>
      </c>
      <c r="I141" t="s">
        <v>1401</v>
      </c>
      <c r="J141">
        <v>33.017359999999996</v>
      </c>
      <c r="K141">
        <v>-115.50923</v>
      </c>
      <c r="L141">
        <v>4952</v>
      </c>
      <c r="M141" s="175" t="str">
        <f>VLOOKUP(L141, '2022 SIC to NAICS'!A:D, 2)</f>
        <v>Manufacturing Industries, Nec</v>
      </c>
      <c r="N141" s="184">
        <f>VLOOKUP(L141, '2022 SIC to NAICS'!A:D, 3)</f>
        <v>339999</v>
      </c>
      <c r="O141" s="184" t="str">
        <f>VLOOKUP(L141, '2022 SIC to NAICS'!A:D, 4)</f>
        <v xml:space="preserve">All Other Miscellaneous Manufacturing </v>
      </c>
      <c r="P141" s="185" t="str">
        <f>VLOOKUP(N141, 'NAICS OES crosswalk'!A:C, 3, FALSE)</f>
        <v>TBD</v>
      </c>
      <c r="T141">
        <v>181002040705</v>
      </c>
      <c r="U141" t="s">
        <v>642</v>
      </c>
      <c r="V141">
        <v>4.1860207500000003E-2</v>
      </c>
      <c r="X141" t="b">
        <f t="shared" si="2"/>
        <v>0</v>
      </c>
      <c r="Y141" s="186" t="s">
        <v>1402</v>
      </c>
    </row>
    <row r="142" spans="1:26" x14ac:dyDescent="0.25">
      <c r="A142">
        <v>2019</v>
      </c>
      <c r="B142" t="s">
        <v>1400</v>
      </c>
      <c r="C142" t="s">
        <v>695</v>
      </c>
      <c r="D142" s="1">
        <v>110007970142</v>
      </c>
      <c r="E142" t="s">
        <v>355</v>
      </c>
      <c r="F142" t="s">
        <v>356</v>
      </c>
      <c r="G142" t="s">
        <v>694</v>
      </c>
      <c r="H142" t="s">
        <v>153</v>
      </c>
      <c r="I142" t="s">
        <v>1401</v>
      </c>
      <c r="J142">
        <v>39.698279999999997</v>
      </c>
      <c r="K142">
        <v>-75.503974999999997</v>
      </c>
      <c r="L142">
        <v>2869</v>
      </c>
      <c r="M142" s="175" t="str">
        <f>VLOOKUP(L142, '2022 SIC to NAICS'!A:D, 2)</f>
        <v>Industrial Organic Chemicals, Nec</v>
      </c>
      <c r="N142" s="184">
        <f>VLOOKUP(L142, '2022 SIC to NAICS'!A:D, 3)</f>
        <v>325180</v>
      </c>
      <c r="O142" s="184" t="str">
        <f>VLOOKUP(L142, '2022 SIC to NAICS'!A:D, 4)</f>
        <v xml:space="preserve">Other Basic Inorganic Chemical Manufacturing </v>
      </c>
      <c r="P142" s="185" t="str">
        <f>VLOOKUP(N142, 'NAICS OES crosswalk'!A:C, 3, FALSE)</f>
        <v>Processing as a reactant</v>
      </c>
      <c r="T142" s="186" t="s">
        <v>1250</v>
      </c>
      <c r="U142" t="s">
        <v>696</v>
      </c>
      <c r="V142">
        <v>0.34666666666666601</v>
      </c>
      <c r="X142" t="b">
        <f t="shared" si="2"/>
        <v>0</v>
      </c>
      <c r="Y142">
        <v>662</v>
      </c>
      <c r="Z142" t="s">
        <v>1403</v>
      </c>
    </row>
    <row r="143" spans="1:26" x14ac:dyDescent="0.25">
      <c r="A143">
        <v>2019</v>
      </c>
      <c r="B143" t="s">
        <v>1400</v>
      </c>
      <c r="C143" t="s">
        <v>1050</v>
      </c>
      <c r="D143" s="1">
        <v>110005726802</v>
      </c>
      <c r="E143" t="s">
        <v>357</v>
      </c>
      <c r="F143" t="s">
        <v>185</v>
      </c>
      <c r="G143" t="s">
        <v>1049</v>
      </c>
      <c r="H143" t="s">
        <v>186</v>
      </c>
      <c r="I143" t="s">
        <v>1401</v>
      </c>
      <c r="J143">
        <v>21.304500000000001</v>
      </c>
      <c r="K143">
        <v>-157.88205600000001</v>
      </c>
      <c r="L143">
        <v>4952</v>
      </c>
      <c r="M143" s="175" t="str">
        <f>VLOOKUP(L143, '2022 SIC to NAICS'!A:D, 2)</f>
        <v>Manufacturing Industries, Nec</v>
      </c>
      <c r="N143" s="184">
        <f>VLOOKUP(L143, '2022 SIC to NAICS'!A:D, 3)</f>
        <v>339999</v>
      </c>
      <c r="O143" s="184" t="str">
        <f>VLOOKUP(L143, '2022 SIC to NAICS'!A:D, 4)</f>
        <v xml:space="preserve">All Other Miscellaneous Manufacturing </v>
      </c>
      <c r="P143" s="185" t="str">
        <f>VLOOKUP(N143, 'NAICS OES crosswalk'!A:C, 3, FALSE)</f>
        <v>TBD</v>
      </c>
      <c r="T143">
        <v>200600000304</v>
      </c>
      <c r="U143" t="s">
        <v>1051</v>
      </c>
      <c r="V143">
        <v>1.0434064080000001</v>
      </c>
      <c r="X143" t="b">
        <f t="shared" si="2"/>
        <v>0</v>
      </c>
      <c r="Y143" s="186" t="s">
        <v>1402</v>
      </c>
      <c r="Z143" t="s">
        <v>1403</v>
      </c>
    </row>
    <row r="144" spans="1:26" x14ac:dyDescent="0.25">
      <c r="A144">
        <v>2019</v>
      </c>
      <c r="B144" t="s">
        <v>1400</v>
      </c>
      <c r="C144" t="s">
        <v>926</v>
      </c>
      <c r="D144" s="1">
        <v>110009938808</v>
      </c>
      <c r="E144" t="s">
        <v>358</v>
      </c>
      <c r="F144" t="s">
        <v>359</v>
      </c>
      <c r="G144" t="s">
        <v>643</v>
      </c>
      <c r="H144" t="s">
        <v>138</v>
      </c>
      <c r="I144" t="s">
        <v>1401</v>
      </c>
      <c r="J144">
        <v>37.177222</v>
      </c>
      <c r="K144">
        <v>-83.761388999999994</v>
      </c>
      <c r="L144">
        <v>4952</v>
      </c>
      <c r="M144" s="175" t="str">
        <f>VLOOKUP(L144, '2022 SIC to NAICS'!A:D, 2)</f>
        <v>Manufacturing Industries, Nec</v>
      </c>
      <c r="N144" s="184">
        <f>VLOOKUP(L144, '2022 SIC to NAICS'!A:D, 3)</f>
        <v>339999</v>
      </c>
      <c r="O144" s="184" t="str">
        <f>VLOOKUP(L144, '2022 SIC to NAICS'!A:D, 4)</f>
        <v xml:space="preserve">All Other Miscellaneous Manufacturing </v>
      </c>
      <c r="P144" s="185" t="str">
        <f>VLOOKUP(N144, 'NAICS OES crosswalk'!A:C, 3, FALSE)</f>
        <v>TBD</v>
      </c>
      <c r="T144" s="186" t="s">
        <v>1251</v>
      </c>
      <c r="U144" t="s">
        <v>927</v>
      </c>
      <c r="V144">
        <v>3.446904875</v>
      </c>
      <c r="X144" t="b">
        <f t="shared" si="2"/>
        <v>0</v>
      </c>
      <c r="Y144" s="186" t="s">
        <v>1402</v>
      </c>
      <c r="Z144" t="s">
        <v>1403</v>
      </c>
    </row>
    <row r="145" spans="1:26" x14ac:dyDescent="0.25">
      <c r="A145">
        <v>2019</v>
      </c>
      <c r="B145" t="s">
        <v>1400</v>
      </c>
      <c r="C145" t="s">
        <v>868</v>
      </c>
      <c r="D145" s="1">
        <v>110000607772</v>
      </c>
      <c r="E145" t="s">
        <v>133</v>
      </c>
      <c r="F145" t="s">
        <v>134</v>
      </c>
      <c r="G145" t="s">
        <v>866</v>
      </c>
      <c r="H145" t="s">
        <v>135</v>
      </c>
      <c r="I145" t="s">
        <v>1401</v>
      </c>
      <c r="J145">
        <v>38.772219999999997</v>
      </c>
      <c r="K145">
        <v>-82.205560000000006</v>
      </c>
      <c r="L145">
        <v>2869</v>
      </c>
      <c r="M145" s="175" t="str">
        <f>VLOOKUP(L145, '2022 SIC to NAICS'!A:D, 2)</f>
        <v>Industrial Organic Chemicals, Nec</v>
      </c>
      <c r="N145" s="184">
        <f>VLOOKUP(L145, '2022 SIC to NAICS'!A:D, 3)</f>
        <v>325180</v>
      </c>
      <c r="O145" s="184" t="str">
        <f>VLOOKUP(L145, '2022 SIC to NAICS'!A:D, 4)</f>
        <v xml:space="preserve">Other Basic Inorganic Chemical Manufacturing </v>
      </c>
      <c r="P145" s="185" t="str">
        <f>VLOOKUP(N145, 'NAICS OES crosswalk'!A:C, 3, FALSE)</f>
        <v>Processing as a reactant</v>
      </c>
      <c r="T145" s="186" t="s">
        <v>1252</v>
      </c>
      <c r="U145" t="s">
        <v>869</v>
      </c>
      <c r="V145">
        <v>1.6226868000000001</v>
      </c>
      <c r="X145" t="b">
        <f t="shared" si="2"/>
        <v>0</v>
      </c>
      <c r="Y145" s="186" t="s">
        <v>1402</v>
      </c>
    </row>
    <row r="146" spans="1:26" x14ac:dyDescent="0.25">
      <c r="A146">
        <v>2019</v>
      </c>
      <c r="B146" t="s">
        <v>1400</v>
      </c>
      <c r="C146" t="s">
        <v>1130</v>
      </c>
      <c r="D146" s="1">
        <v>110028243791</v>
      </c>
      <c r="E146" t="s">
        <v>360</v>
      </c>
      <c r="F146" t="s">
        <v>361</v>
      </c>
      <c r="G146" t="s">
        <v>446</v>
      </c>
      <c r="H146" t="s">
        <v>146</v>
      </c>
      <c r="I146" t="s">
        <v>1405</v>
      </c>
      <c r="J146">
        <v>33.791108999999999</v>
      </c>
      <c r="K146">
        <v>-118.244609</v>
      </c>
      <c r="L146">
        <v>5171</v>
      </c>
      <c r="M146" s="175" t="str">
        <f>VLOOKUP(L146, '2022 SIC to NAICS'!A:D, 2)</f>
        <v>Chemicals and Allied Products, Nec</v>
      </c>
      <c r="N146" s="184">
        <f>VLOOKUP(L146, '2022 SIC to NAICS'!A:D, 3)</f>
        <v>425120</v>
      </c>
      <c r="O146" s="184" t="str">
        <f>VLOOKUP(L146, '2022 SIC to NAICS'!A:D, 4)</f>
        <v xml:space="preserve">Wholesale Trade Agents and Brokers </v>
      </c>
      <c r="P146" s="185" t="str">
        <f>VLOOKUP(N146, 'NAICS OES crosswalk'!A:C, 3, FALSE)</f>
        <v>TBD</v>
      </c>
      <c r="T146">
        <v>180701060701</v>
      </c>
      <c r="U146" t="s">
        <v>1129</v>
      </c>
      <c r="V146">
        <v>2.02980560625E-2</v>
      </c>
      <c r="X146" t="b">
        <f t="shared" si="2"/>
        <v>0</v>
      </c>
      <c r="Y146" s="186" t="s">
        <v>1402</v>
      </c>
      <c r="Z146" t="s">
        <v>1403</v>
      </c>
    </row>
    <row r="147" spans="1:26" x14ac:dyDescent="0.25">
      <c r="A147">
        <v>2020</v>
      </c>
      <c r="B147" t="s">
        <v>1400</v>
      </c>
      <c r="C147" t="s">
        <v>1083</v>
      </c>
      <c r="D147" s="1">
        <v>110000432504</v>
      </c>
      <c r="E147" t="s">
        <v>139</v>
      </c>
      <c r="F147" t="s">
        <v>140</v>
      </c>
      <c r="G147" t="s">
        <v>1081</v>
      </c>
      <c r="H147" t="s">
        <v>141</v>
      </c>
      <c r="I147" t="s">
        <v>1401</v>
      </c>
      <c r="J147">
        <v>41.441667000000002</v>
      </c>
      <c r="K147">
        <v>-88.159719999999993</v>
      </c>
      <c r="L147">
        <v>2843</v>
      </c>
      <c r="M147" s="175" t="str">
        <f>VLOOKUP(L147, '2022 SIC to NAICS'!A:D, 2)</f>
        <v>Platemaking Services</v>
      </c>
      <c r="N147" s="184">
        <f>VLOOKUP(L147, '2022 SIC to NAICS'!A:D, 3)</f>
        <v>323120</v>
      </c>
      <c r="O147" s="184" t="str">
        <f>VLOOKUP(L147, '2022 SIC to NAICS'!A:D, 4)</f>
        <v>Support Activities for Printing</v>
      </c>
      <c r="P147" s="185" t="str">
        <f>VLOOKUP(N147, 'NAICS OES crosswalk'!A:C, 3, FALSE)</f>
        <v>TBD</v>
      </c>
      <c r="T147" s="186" t="s">
        <v>1183</v>
      </c>
      <c r="U147" t="s">
        <v>1084</v>
      </c>
      <c r="V147">
        <v>0.66147800000000001</v>
      </c>
      <c r="X147" t="b">
        <f>V147 &lt;= _xlfn.PERCENTILE.INC($V$147:$V$304, 0.1)</f>
        <v>0</v>
      </c>
      <c r="Y147" s="186" t="s">
        <v>1402</v>
      </c>
    </row>
    <row r="148" spans="1:26" x14ac:dyDescent="0.25">
      <c r="A148">
        <v>2020</v>
      </c>
      <c r="B148" t="s">
        <v>1400</v>
      </c>
      <c r="C148" t="s">
        <v>926</v>
      </c>
      <c r="D148" s="1">
        <v>110009938808</v>
      </c>
      <c r="E148" t="s">
        <v>358</v>
      </c>
      <c r="F148" t="s">
        <v>359</v>
      </c>
      <c r="G148" t="s">
        <v>643</v>
      </c>
      <c r="H148" t="s">
        <v>138</v>
      </c>
      <c r="I148" t="s">
        <v>1401</v>
      </c>
      <c r="J148">
        <v>37.177222</v>
      </c>
      <c r="K148">
        <v>-83.761388999999994</v>
      </c>
      <c r="L148">
        <v>4952</v>
      </c>
      <c r="M148" s="175" t="str">
        <f>VLOOKUP(L148, '2022 SIC to NAICS'!A:D, 2)</f>
        <v>Manufacturing Industries, Nec</v>
      </c>
      <c r="N148" s="184">
        <f>VLOOKUP(L148, '2022 SIC to NAICS'!A:D, 3)</f>
        <v>339999</v>
      </c>
      <c r="O148" s="184" t="str">
        <f>VLOOKUP(L148, '2022 SIC to NAICS'!A:D, 4)</f>
        <v xml:space="preserve">All Other Miscellaneous Manufacturing </v>
      </c>
      <c r="P148" s="185" t="str">
        <f>VLOOKUP(N148, 'NAICS OES crosswalk'!A:C, 3, FALSE)</f>
        <v>TBD</v>
      </c>
      <c r="T148" s="186" t="s">
        <v>1251</v>
      </c>
      <c r="U148" t="s">
        <v>927</v>
      </c>
      <c r="V148">
        <v>3.336382875</v>
      </c>
      <c r="X148" t="b">
        <f t="shared" ref="X148:X211" si="3">V148 &lt;= _xlfn.PERCENTILE.INC($V$147:$V$304, 0.1)</f>
        <v>0</v>
      </c>
      <c r="Y148" s="186" t="s">
        <v>1402</v>
      </c>
      <c r="Z148" t="s">
        <v>1403</v>
      </c>
    </row>
    <row r="149" spans="1:26" x14ac:dyDescent="0.25">
      <c r="A149">
        <v>2020</v>
      </c>
      <c r="B149" t="s">
        <v>1400</v>
      </c>
      <c r="C149" t="s">
        <v>1073</v>
      </c>
      <c r="D149" s="1">
        <v>110020941383</v>
      </c>
      <c r="E149" t="s">
        <v>159</v>
      </c>
      <c r="F149" t="s">
        <v>160</v>
      </c>
      <c r="G149" t="s">
        <v>1072</v>
      </c>
      <c r="H149" t="s">
        <v>138</v>
      </c>
      <c r="I149" t="s">
        <v>1401</v>
      </c>
      <c r="J149">
        <v>37.983888999999998</v>
      </c>
      <c r="K149">
        <v>-85.722778000000005</v>
      </c>
      <c r="L149">
        <v>4952</v>
      </c>
      <c r="M149" s="175" t="str">
        <f>VLOOKUP(L149, '2022 SIC to NAICS'!A:D, 2)</f>
        <v>Manufacturing Industries, Nec</v>
      </c>
      <c r="N149" s="184">
        <f>VLOOKUP(L149, '2022 SIC to NAICS'!A:D, 3)</f>
        <v>339999</v>
      </c>
      <c r="O149" s="184" t="str">
        <f>VLOOKUP(L149, '2022 SIC to NAICS'!A:D, 4)</f>
        <v xml:space="preserve">All Other Miscellaneous Manufacturing </v>
      </c>
      <c r="P149" s="185" t="str">
        <f>VLOOKUP(N149, 'NAICS OES crosswalk'!A:C, 3, FALSE)</f>
        <v>TBD</v>
      </c>
      <c r="T149" s="186" t="s">
        <v>1189</v>
      </c>
      <c r="U149" t="s">
        <v>1074</v>
      </c>
      <c r="V149">
        <v>1.58875375</v>
      </c>
      <c r="X149" t="b">
        <f t="shared" si="3"/>
        <v>0</v>
      </c>
      <c r="Y149" s="186" t="s">
        <v>1402</v>
      </c>
      <c r="Z149" t="s">
        <v>1403</v>
      </c>
    </row>
    <row r="150" spans="1:26" x14ac:dyDescent="0.25">
      <c r="A150">
        <v>2020</v>
      </c>
      <c r="B150" t="s">
        <v>1400</v>
      </c>
      <c r="C150" t="s">
        <v>602</v>
      </c>
      <c r="D150" s="1">
        <v>110000378467</v>
      </c>
      <c r="E150" t="s">
        <v>234</v>
      </c>
      <c r="F150" t="s">
        <v>235</v>
      </c>
      <c r="G150" t="s">
        <v>600</v>
      </c>
      <c r="H150" t="s">
        <v>138</v>
      </c>
      <c r="I150" t="s">
        <v>1401</v>
      </c>
      <c r="J150">
        <v>38.195278000000002</v>
      </c>
      <c r="K150">
        <v>-85.872221999999994</v>
      </c>
      <c r="L150">
        <v>2869</v>
      </c>
      <c r="M150" s="175" t="str">
        <f>VLOOKUP(L150, '2022 SIC to NAICS'!A:D, 2)</f>
        <v>Industrial Organic Chemicals, Nec</v>
      </c>
      <c r="N150" s="184">
        <f>VLOOKUP(L150, '2022 SIC to NAICS'!A:D, 3)</f>
        <v>325180</v>
      </c>
      <c r="O150" s="184" t="str">
        <f>VLOOKUP(L150, '2022 SIC to NAICS'!A:D, 4)</f>
        <v xml:space="preserve">Other Basic Inorganic Chemical Manufacturing </v>
      </c>
      <c r="P150" s="185" t="str">
        <f>VLOOKUP(N150, 'NAICS OES crosswalk'!A:C, 3, FALSE)</f>
        <v>Processing as a reactant</v>
      </c>
      <c r="T150" s="186" t="s">
        <v>1205</v>
      </c>
      <c r="U150" t="s">
        <v>603</v>
      </c>
      <c r="V150">
        <v>0.49031999999999998</v>
      </c>
      <c r="X150" t="b">
        <f t="shared" si="3"/>
        <v>0</v>
      </c>
      <c r="Y150" s="186" t="s">
        <v>1404</v>
      </c>
      <c r="Z150" t="s">
        <v>1403</v>
      </c>
    </row>
    <row r="151" spans="1:26" x14ac:dyDescent="0.25">
      <c r="A151">
        <v>2020</v>
      </c>
      <c r="B151" t="s">
        <v>1400</v>
      </c>
      <c r="C151" t="s">
        <v>713</v>
      </c>
      <c r="D151" s="1">
        <v>110037096674</v>
      </c>
      <c r="E151" t="s">
        <v>362</v>
      </c>
      <c r="F151" t="s">
        <v>363</v>
      </c>
      <c r="G151" t="s">
        <v>712</v>
      </c>
      <c r="H151" t="s">
        <v>364</v>
      </c>
      <c r="I151" t="s">
        <v>1405</v>
      </c>
      <c r="J151">
        <v>38.987340000000003</v>
      </c>
      <c r="K151">
        <v>-77.026660000000007</v>
      </c>
      <c r="L151">
        <v>1522</v>
      </c>
      <c r="M151" s="175" t="str">
        <f>VLOOKUP(L151, '2022 SIC to NAICS'!A:D, 2)</f>
        <v>Nonmetallic Minerals Services, Except Fuels</v>
      </c>
      <c r="N151" s="184">
        <f>VLOOKUP(L151, '2022 SIC to NAICS'!A:D, 3)</f>
        <v>213115</v>
      </c>
      <c r="O151" s="184" t="str">
        <f>VLOOKUP(L151, '2022 SIC to NAICS'!A:D, 4)</f>
        <v xml:space="preserve">Support Activities for Nonmetallic Minerals (except Fuels) Mining </v>
      </c>
      <c r="P151" s="185" t="str">
        <f>VLOOKUP(N151, 'NAICS OES crosswalk'!A:C, 3, FALSE)</f>
        <v>TBD</v>
      </c>
      <c r="T151" s="186" t="s">
        <v>1253</v>
      </c>
      <c r="U151" t="s">
        <v>714</v>
      </c>
      <c r="V151">
        <v>2.7311939260000001E-2</v>
      </c>
      <c r="X151" t="b">
        <f t="shared" si="3"/>
        <v>0</v>
      </c>
      <c r="Y151" s="186" t="s">
        <v>1402</v>
      </c>
      <c r="Z151" t="s">
        <v>1403</v>
      </c>
    </row>
    <row r="152" spans="1:26" x14ac:dyDescent="0.25">
      <c r="A152">
        <v>2020</v>
      </c>
      <c r="B152" t="s">
        <v>1400</v>
      </c>
      <c r="C152" t="s">
        <v>556</v>
      </c>
      <c r="D152" s="1">
        <v>110015972562</v>
      </c>
      <c r="E152" t="s">
        <v>167</v>
      </c>
      <c r="F152" t="s">
        <v>157</v>
      </c>
      <c r="G152" t="s">
        <v>554</v>
      </c>
      <c r="H152" t="s">
        <v>158</v>
      </c>
      <c r="I152" t="s">
        <v>1405</v>
      </c>
      <c r="J152">
        <v>36.116160999999998</v>
      </c>
      <c r="K152">
        <v>-115.172741</v>
      </c>
      <c r="L152">
        <v>7011</v>
      </c>
      <c r="M152" s="175" t="str">
        <f>VLOOKUP(L152, '2022 SIC to NAICS'!A:D, 2)</f>
        <v>Communication Services, Nec</v>
      </c>
      <c r="N152" s="184">
        <f>VLOOKUP(L152, '2022 SIC to NAICS'!A:D, 3)</f>
        <v>517810</v>
      </c>
      <c r="O152" s="184" t="str">
        <f>VLOOKUP(L152, '2022 SIC to NAICS'!A:D, 4)</f>
        <v xml:space="preserve">All Other Telecommunications </v>
      </c>
      <c r="P152" s="185" t="str">
        <f>VLOOKUP(N152, 'NAICS OES crosswalk'!A:C, 3, FALSE)</f>
        <v>TBD</v>
      </c>
      <c r="T152">
        <v>150100150505</v>
      </c>
      <c r="U152" t="s">
        <v>557</v>
      </c>
      <c r="V152">
        <v>0.28724449216249998</v>
      </c>
      <c r="X152" t="b">
        <f t="shared" si="3"/>
        <v>0</v>
      </c>
      <c r="Y152" s="186" t="s">
        <v>1402</v>
      </c>
      <c r="Z152" t="s">
        <v>1403</v>
      </c>
    </row>
    <row r="153" spans="1:26" x14ac:dyDescent="0.25">
      <c r="A153">
        <v>2020</v>
      </c>
      <c r="B153" t="s">
        <v>1400</v>
      </c>
      <c r="C153" t="s">
        <v>705</v>
      </c>
      <c r="D153" s="1">
        <v>110012330520</v>
      </c>
      <c r="E153" t="s">
        <v>365</v>
      </c>
      <c r="F153" t="s">
        <v>366</v>
      </c>
      <c r="G153" t="s">
        <v>704</v>
      </c>
      <c r="H153" t="s">
        <v>367</v>
      </c>
      <c r="I153" t="s">
        <v>1401</v>
      </c>
      <c r="J153">
        <v>32.802</v>
      </c>
      <c r="K153">
        <v>-109.711</v>
      </c>
      <c r="L153"/>
      <c r="M153" s="175" t="e">
        <f>VLOOKUP(L153, '2022 SIC to NAICS'!A:D, 2)</f>
        <v>#N/A</v>
      </c>
      <c r="N153" s="184" t="e">
        <f>VLOOKUP(L153, '2022 SIC to NAICS'!A:D, 3)</f>
        <v>#N/A</v>
      </c>
      <c r="O153" s="184" t="e">
        <f>VLOOKUP(L153, '2022 SIC to NAICS'!A:D, 4)</f>
        <v>#N/A</v>
      </c>
      <c r="P153" s="185" t="e">
        <f>VLOOKUP(N153, 'NAICS OES crosswalk'!A:C, 3, FALSE)</f>
        <v>#N/A</v>
      </c>
      <c r="T153">
        <v>150400050705</v>
      </c>
      <c r="U153" t="s">
        <v>706</v>
      </c>
      <c r="V153">
        <v>0.283212625</v>
      </c>
      <c r="X153" t="b">
        <f t="shared" si="3"/>
        <v>0</v>
      </c>
      <c r="Y153" s="186" t="s">
        <v>1402</v>
      </c>
    </row>
    <row r="154" spans="1:26" x14ac:dyDescent="0.25">
      <c r="A154">
        <v>2020</v>
      </c>
      <c r="B154" t="s">
        <v>1400</v>
      </c>
      <c r="C154" t="s">
        <v>818</v>
      </c>
      <c r="D154" s="1">
        <v>110001123276</v>
      </c>
      <c r="E154" t="s">
        <v>236</v>
      </c>
      <c r="F154" t="s">
        <v>237</v>
      </c>
      <c r="G154" t="s">
        <v>817</v>
      </c>
      <c r="H154" t="s">
        <v>138</v>
      </c>
      <c r="I154" t="s">
        <v>1401</v>
      </c>
      <c r="J154">
        <v>36.983809999999998</v>
      </c>
      <c r="K154">
        <v>-85.957089999999994</v>
      </c>
      <c r="L154">
        <v>4952</v>
      </c>
      <c r="M154" s="175" t="str">
        <f>VLOOKUP(L154, '2022 SIC to NAICS'!A:D, 2)</f>
        <v>Manufacturing Industries, Nec</v>
      </c>
      <c r="N154" s="184">
        <f>VLOOKUP(L154, '2022 SIC to NAICS'!A:D, 3)</f>
        <v>339999</v>
      </c>
      <c r="O154" s="184" t="str">
        <f>VLOOKUP(L154, '2022 SIC to NAICS'!A:D, 4)</f>
        <v xml:space="preserve">All Other Miscellaneous Manufacturing </v>
      </c>
      <c r="P154" s="185" t="str">
        <f>VLOOKUP(N154, 'NAICS OES crosswalk'!A:C, 3, FALSE)</f>
        <v>TBD</v>
      </c>
      <c r="T154" s="186" t="s">
        <v>1206</v>
      </c>
      <c r="U154" t="s">
        <v>819</v>
      </c>
      <c r="V154">
        <v>3.3446720249999999</v>
      </c>
      <c r="X154" t="b">
        <f t="shared" si="3"/>
        <v>0</v>
      </c>
      <c r="Y154" s="186" t="s">
        <v>1402</v>
      </c>
      <c r="Z154" t="s">
        <v>1403</v>
      </c>
    </row>
    <row r="155" spans="1:26" x14ac:dyDescent="0.25">
      <c r="A155">
        <v>2020</v>
      </c>
      <c r="B155" t="s">
        <v>1400</v>
      </c>
      <c r="C155" t="s">
        <v>864</v>
      </c>
      <c r="D155" s="1">
        <v>110000748095</v>
      </c>
      <c r="E155" t="s">
        <v>368</v>
      </c>
      <c r="F155" t="s">
        <v>369</v>
      </c>
      <c r="G155" t="s">
        <v>712</v>
      </c>
      <c r="H155" t="s">
        <v>114</v>
      </c>
      <c r="I155" t="s">
        <v>1401</v>
      </c>
      <c r="J155">
        <v>30.311361000000002</v>
      </c>
      <c r="K155">
        <v>-95.387083000000004</v>
      </c>
      <c r="L155">
        <v>2869</v>
      </c>
      <c r="M155" s="175" t="str">
        <f>VLOOKUP(L155, '2022 SIC to NAICS'!A:D, 2)</f>
        <v>Industrial Organic Chemicals, Nec</v>
      </c>
      <c r="N155" s="184">
        <f>VLOOKUP(L155, '2022 SIC to NAICS'!A:D, 3)</f>
        <v>325180</v>
      </c>
      <c r="O155" s="184" t="str">
        <f>VLOOKUP(L155, '2022 SIC to NAICS'!A:D, 4)</f>
        <v xml:space="preserve">Other Basic Inorganic Chemical Manufacturing </v>
      </c>
      <c r="P155" s="185" t="str">
        <f>VLOOKUP(N155, 'NAICS OES crosswalk'!A:C, 3, FALSE)</f>
        <v>Processing as a reactant</v>
      </c>
      <c r="T155">
        <v>120401010403</v>
      </c>
      <c r="U155" t="s">
        <v>865</v>
      </c>
      <c r="V155">
        <v>0.364562</v>
      </c>
      <c r="X155" t="b">
        <f t="shared" si="3"/>
        <v>0</v>
      </c>
      <c r="Y155" s="186" t="s">
        <v>1402</v>
      </c>
    </row>
    <row r="156" spans="1:26" x14ac:dyDescent="0.25">
      <c r="A156">
        <v>2020</v>
      </c>
      <c r="B156" t="s">
        <v>1400</v>
      </c>
      <c r="C156" t="s">
        <v>687</v>
      </c>
      <c r="D156" s="1">
        <v>110000613685</v>
      </c>
      <c r="E156" t="s">
        <v>370</v>
      </c>
      <c r="F156" t="s">
        <v>175</v>
      </c>
      <c r="G156" t="s">
        <v>630</v>
      </c>
      <c r="H156" t="s">
        <v>106</v>
      </c>
      <c r="I156" t="s">
        <v>1405</v>
      </c>
      <c r="J156">
        <v>30.321895000000001</v>
      </c>
      <c r="K156">
        <v>-93.300735000000003</v>
      </c>
      <c r="L156">
        <v>4953</v>
      </c>
      <c r="M156" s="175" t="str">
        <f>VLOOKUP(L156, '2022 SIC to NAICS'!A:D, 2)</f>
        <v>Manufacturing Industries, Nec</v>
      </c>
      <c r="N156" s="184">
        <f>VLOOKUP(L156, '2022 SIC to NAICS'!A:D, 3)</f>
        <v>339999</v>
      </c>
      <c r="O156" s="184" t="str">
        <f>VLOOKUP(L156, '2022 SIC to NAICS'!A:D, 4)</f>
        <v xml:space="preserve">All Other Miscellaneous Manufacturing </v>
      </c>
      <c r="P156" s="185" t="str">
        <f>VLOOKUP(N156, 'NAICS OES crosswalk'!A:C, 3, FALSE)</f>
        <v>TBD</v>
      </c>
      <c r="T156" s="186" t="s">
        <v>1254</v>
      </c>
      <c r="U156" t="s">
        <v>688</v>
      </c>
      <c r="V156">
        <v>0.52152568749999995</v>
      </c>
      <c r="X156" t="b">
        <f t="shared" si="3"/>
        <v>0</v>
      </c>
      <c r="Y156" s="186" t="s">
        <v>1404</v>
      </c>
      <c r="Z156" t="s">
        <v>1403</v>
      </c>
    </row>
    <row r="157" spans="1:26" x14ac:dyDescent="0.25">
      <c r="A157">
        <v>2020</v>
      </c>
      <c r="B157" t="s">
        <v>1400</v>
      </c>
      <c r="C157" t="s">
        <v>905</v>
      </c>
      <c r="D157" s="1">
        <v>110045651344</v>
      </c>
      <c r="E157" t="s">
        <v>371</v>
      </c>
      <c r="F157" t="s">
        <v>372</v>
      </c>
      <c r="G157" t="s">
        <v>904</v>
      </c>
      <c r="H157" t="s">
        <v>114</v>
      </c>
      <c r="I157" t="s">
        <v>1401</v>
      </c>
      <c r="J157">
        <v>29.726493000000001</v>
      </c>
      <c r="K157">
        <v>-95.089771999999996</v>
      </c>
      <c r="L157">
        <v>2821</v>
      </c>
      <c r="M157" s="175" t="str">
        <f>VLOOKUP(L157, '2022 SIC to NAICS'!A:D, 2)</f>
        <v>Platemaking Services</v>
      </c>
      <c r="N157" s="184">
        <f>VLOOKUP(L157, '2022 SIC to NAICS'!A:D, 3)</f>
        <v>323120</v>
      </c>
      <c r="O157" s="184" t="str">
        <f>VLOOKUP(L157, '2022 SIC to NAICS'!A:D, 4)</f>
        <v>Support Activities for Printing</v>
      </c>
      <c r="P157" s="185" t="str">
        <f>VLOOKUP(N157, 'NAICS OES crosswalk'!A:C, 3, FALSE)</f>
        <v>TBD</v>
      </c>
      <c r="T157">
        <v>120401040703</v>
      </c>
      <c r="U157" t="s">
        <v>765</v>
      </c>
      <c r="V157">
        <v>0.16571</v>
      </c>
      <c r="X157" t="b">
        <f t="shared" si="3"/>
        <v>0</v>
      </c>
      <c r="Y157" s="186" t="s">
        <v>1402</v>
      </c>
    </row>
    <row r="158" spans="1:26" x14ac:dyDescent="0.25">
      <c r="A158">
        <v>2020</v>
      </c>
      <c r="B158" t="s">
        <v>1400</v>
      </c>
      <c r="C158" t="s">
        <v>956</v>
      </c>
      <c r="D158" s="1">
        <v>110007015871</v>
      </c>
      <c r="E158" t="s">
        <v>351</v>
      </c>
      <c r="F158" t="s">
        <v>352</v>
      </c>
      <c r="G158" t="s">
        <v>955</v>
      </c>
      <c r="H158" t="s">
        <v>106</v>
      </c>
      <c r="I158" t="s">
        <v>1401</v>
      </c>
      <c r="J158">
        <v>30.048590999999998</v>
      </c>
      <c r="K158">
        <v>-90.630941000000007</v>
      </c>
      <c r="L158">
        <v>2869</v>
      </c>
      <c r="M158" s="175" t="str">
        <f>VLOOKUP(L158, '2022 SIC to NAICS'!A:D, 2)</f>
        <v>Industrial Organic Chemicals, Nec</v>
      </c>
      <c r="N158" s="184">
        <f>VLOOKUP(L158, '2022 SIC to NAICS'!A:D, 3)</f>
        <v>325180</v>
      </c>
      <c r="O158" s="184" t="str">
        <f>VLOOKUP(L158, '2022 SIC to NAICS'!A:D, 4)</f>
        <v xml:space="preserve">Other Basic Inorganic Chemical Manufacturing </v>
      </c>
      <c r="P158" s="185" t="str">
        <f>VLOOKUP(N158, 'NAICS OES crosswalk'!A:C, 3, FALSE)</f>
        <v>Processing as a reactant</v>
      </c>
      <c r="T158" s="186" t="s">
        <v>1249</v>
      </c>
      <c r="U158" t="s">
        <v>957</v>
      </c>
      <c r="V158">
        <v>8.2854999999999998E-2</v>
      </c>
      <c r="X158" t="b">
        <f t="shared" si="3"/>
        <v>0</v>
      </c>
      <c r="Y158" s="186" t="s">
        <v>1402</v>
      </c>
      <c r="Z158" t="s">
        <v>1403</v>
      </c>
    </row>
    <row r="159" spans="1:26" x14ac:dyDescent="0.25">
      <c r="A159">
        <v>2020</v>
      </c>
      <c r="B159" t="s">
        <v>1400</v>
      </c>
      <c r="C159" t="s">
        <v>766</v>
      </c>
      <c r="D159" s="1">
        <v>110000597266</v>
      </c>
      <c r="E159" t="s">
        <v>174</v>
      </c>
      <c r="F159" t="s">
        <v>175</v>
      </c>
      <c r="G159" t="s">
        <v>630</v>
      </c>
      <c r="H159" t="s">
        <v>106</v>
      </c>
      <c r="I159" t="s">
        <v>1401</v>
      </c>
      <c r="J159">
        <v>30.193916000000002</v>
      </c>
      <c r="K159">
        <v>-93.321347000000003</v>
      </c>
      <c r="L159">
        <v>2821</v>
      </c>
      <c r="M159" s="175" t="str">
        <f>VLOOKUP(L159, '2022 SIC to NAICS'!A:D, 2)</f>
        <v>Platemaking Services</v>
      </c>
      <c r="N159" s="184">
        <f>VLOOKUP(L159, '2022 SIC to NAICS'!A:D, 3)</f>
        <v>323120</v>
      </c>
      <c r="O159" s="184" t="str">
        <f>VLOOKUP(L159, '2022 SIC to NAICS'!A:D, 4)</f>
        <v>Support Activities for Printing</v>
      </c>
      <c r="P159" s="185" t="str">
        <f>VLOOKUP(N159, 'NAICS OES crosswalk'!A:C, 3, FALSE)</f>
        <v>TBD</v>
      </c>
      <c r="T159" s="186" t="s">
        <v>1191</v>
      </c>
      <c r="U159" t="s">
        <v>767</v>
      </c>
      <c r="V159">
        <v>0.414275</v>
      </c>
      <c r="X159" t="b">
        <f t="shared" si="3"/>
        <v>0</v>
      </c>
      <c r="Y159" s="186" t="s">
        <v>1402</v>
      </c>
      <c r="Z159" t="s">
        <v>1403</v>
      </c>
    </row>
    <row r="160" spans="1:26" x14ac:dyDescent="0.25">
      <c r="A160">
        <v>2020</v>
      </c>
      <c r="B160" t="s">
        <v>1400</v>
      </c>
      <c r="C160" t="s">
        <v>948</v>
      </c>
      <c r="D160" s="1">
        <v>110045085457</v>
      </c>
      <c r="E160" t="s">
        <v>293</v>
      </c>
      <c r="F160" t="s">
        <v>294</v>
      </c>
      <c r="G160" t="s">
        <v>947</v>
      </c>
      <c r="H160" t="s">
        <v>138</v>
      </c>
      <c r="I160" t="s">
        <v>1401</v>
      </c>
      <c r="J160">
        <v>38.151904999999999</v>
      </c>
      <c r="K160">
        <v>-83.513848999999993</v>
      </c>
      <c r="L160">
        <v>4952</v>
      </c>
      <c r="M160" s="175" t="str">
        <f>VLOOKUP(L160, '2022 SIC to NAICS'!A:D, 2)</f>
        <v>Manufacturing Industries, Nec</v>
      </c>
      <c r="N160" s="184">
        <f>VLOOKUP(L160, '2022 SIC to NAICS'!A:D, 3)</f>
        <v>339999</v>
      </c>
      <c r="O160" s="184" t="str">
        <f>VLOOKUP(L160, '2022 SIC to NAICS'!A:D, 4)</f>
        <v xml:space="preserve">All Other Miscellaneous Manufacturing </v>
      </c>
      <c r="P160" s="185" t="str">
        <f>VLOOKUP(N160, 'NAICS OES crosswalk'!A:C, 3, FALSE)</f>
        <v>TBD</v>
      </c>
      <c r="T160" s="186" t="s">
        <v>1229</v>
      </c>
      <c r="U160" t="s">
        <v>949</v>
      </c>
      <c r="V160">
        <v>2.6352589375000002</v>
      </c>
      <c r="X160" t="b">
        <f t="shared" si="3"/>
        <v>0</v>
      </c>
      <c r="Y160" s="186" t="s">
        <v>1402</v>
      </c>
      <c r="Z160" t="s">
        <v>1403</v>
      </c>
    </row>
    <row r="161" spans="1:26" x14ac:dyDescent="0.25">
      <c r="A161">
        <v>2020</v>
      </c>
      <c r="B161" t="s">
        <v>1400</v>
      </c>
      <c r="C161" t="s">
        <v>636</v>
      </c>
      <c r="D161" s="1">
        <v>110000487633</v>
      </c>
      <c r="E161" t="s">
        <v>195</v>
      </c>
      <c r="F161" t="s">
        <v>196</v>
      </c>
      <c r="G161" t="s">
        <v>634</v>
      </c>
      <c r="H161" t="s">
        <v>197</v>
      </c>
      <c r="I161" t="s">
        <v>1405</v>
      </c>
      <c r="J161">
        <v>45.543847</v>
      </c>
      <c r="K161">
        <v>-122.46656299999999</v>
      </c>
      <c r="L161">
        <v>3728</v>
      </c>
      <c r="M161" s="175" t="str">
        <f>VLOOKUP(L161, '2022 SIC to NAICS'!A:D, 2)</f>
        <v>Office Machines, Nec</v>
      </c>
      <c r="N161" s="184">
        <f>VLOOKUP(L161, '2022 SIC to NAICS'!A:D, 3)</f>
        <v>339940</v>
      </c>
      <c r="O161" s="184" t="str">
        <f>VLOOKUP(L161, '2022 SIC to NAICS'!A:D, 4)</f>
        <v>Office Supplies (except Paper) Manufacturing</v>
      </c>
      <c r="P161" s="185" t="str">
        <f>VLOOKUP(N161, 'NAICS OES crosswalk'!A:C, 3, FALSE)</f>
        <v>TBD</v>
      </c>
      <c r="T161">
        <v>170900120201</v>
      </c>
      <c r="U161" t="s">
        <v>637</v>
      </c>
      <c r="V161">
        <v>3.5311779000000001E-2</v>
      </c>
      <c r="X161" t="b">
        <f t="shared" si="3"/>
        <v>0</v>
      </c>
      <c r="Y161" s="186" t="s">
        <v>1402</v>
      </c>
      <c r="Z161" t="s">
        <v>1403</v>
      </c>
    </row>
    <row r="162" spans="1:26" x14ac:dyDescent="0.25">
      <c r="A162">
        <v>2020</v>
      </c>
      <c r="B162" t="s">
        <v>1400</v>
      </c>
      <c r="C162" t="s">
        <v>1420</v>
      </c>
      <c r="D162" s="1">
        <v>110041903223</v>
      </c>
      <c r="E162" t="s">
        <v>1421</v>
      </c>
      <c r="F162" t="s">
        <v>157</v>
      </c>
      <c r="G162" t="s">
        <v>554</v>
      </c>
      <c r="H162" t="s">
        <v>158</v>
      </c>
      <c r="I162" t="s">
        <v>1405</v>
      </c>
      <c r="J162">
        <v>36.074100000000001</v>
      </c>
      <c r="K162">
        <v>-115.17274</v>
      </c>
      <c r="L162">
        <v>5541</v>
      </c>
      <c r="M162" s="175" t="str">
        <f>VLOOKUP(L162, '2022 SIC to NAICS'!A:D, 2)</f>
        <v>Meat and Fish Markets</v>
      </c>
      <c r="N162" s="184">
        <f>VLOOKUP(L162, '2022 SIC to NAICS'!A:D, 3)</f>
        <v>445250</v>
      </c>
      <c r="O162" s="184" t="str">
        <f>VLOOKUP(L162, '2022 SIC to NAICS'!A:D, 4)</f>
        <v xml:space="preserve">Fish and Seafood Retailers </v>
      </c>
      <c r="P162" s="185" t="str">
        <f>VLOOKUP(N162, 'NAICS OES crosswalk'!A:C, 3, FALSE)</f>
        <v>TBD</v>
      </c>
      <c r="T162">
        <v>150100150505</v>
      </c>
      <c r="U162" t="s">
        <v>557</v>
      </c>
      <c r="V162">
        <v>1.8132515625E-3</v>
      </c>
      <c r="X162" t="b">
        <f t="shared" si="3"/>
        <v>1</v>
      </c>
      <c r="Y162" s="186" t="s">
        <v>1402</v>
      </c>
      <c r="Z162" t="s">
        <v>1403</v>
      </c>
    </row>
    <row r="163" spans="1:26" x14ac:dyDescent="0.25">
      <c r="A163">
        <v>2020</v>
      </c>
      <c r="B163" t="s">
        <v>1400</v>
      </c>
      <c r="C163" t="s">
        <v>648</v>
      </c>
      <c r="D163" s="1">
        <v>110009938265</v>
      </c>
      <c r="E163" t="s">
        <v>199</v>
      </c>
      <c r="F163" t="s">
        <v>200</v>
      </c>
      <c r="G163" t="s">
        <v>647</v>
      </c>
      <c r="H163" t="s">
        <v>138</v>
      </c>
      <c r="I163" t="s">
        <v>1405</v>
      </c>
      <c r="J163">
        <v>36.787260000000003</v>
      </c>
      <c r="K163">
        <v>-85.369240000000005</v>
      </c>
      <c r="L163">
        <v>4952</v>
      </c>
      <c r="M163" s="175" t="str">
        <f>VLOOKUP(L163, '2022 SIC to NAICS'!A:D, 2)</f>
        <v>Manufacturing Industries, Nec</v>
      </c>
      <c r="N163" s="184">
        <f>VLOOKUP(L163, '2022 SIC to NAICS'!A:D, 3)</f>
        <v>339999</v>
      </c>
      <c r="O163" s="184" t="str">
        <f>VLOOKUP(L163, '2022 SIC to NAICS'!A:D, 4)</f>
        <v xml:space="preserve">All Other Miscellaneous Manufacturing </v>
      </c>
      <c r="P163" s="185" t="str">
        <f>VLOOKUP(N163, 'NAICS OES crosswalk'!A:C, 3, FALSE)</f>
        <v>TBD</v>
      </c>
      <c r="T163" s="186" t="s">
        <v>1197</v>
      </c>
      <c r="U163" t="s">
        <v>649</v>
      </c>
      <c r="V163">
        <v>0.29253791875000001</v>
      </c>
      <c r="X163" t="b">
        <f t="shared" si="3"/>
        <v>0</v>
      </c>
      <c r="Y163" s="186" t="s">
        <v>1402</v>
      </c>
      <c r="Z163" t="s">
        <v>1403</v>
      </c>
    </row>
    <row r="164" spans="1:26" x14ac:dyDescent="0.25">
      <c r="A164">
        <v>2020</v>
      </c>
      <c r="B164" t="s">
        <v>1400</v>
      </c>
      <c r="C164" t="s">
        <v>872</v>
      </c>
      <c r="D164" s="1">
        <v>110018199377</v>
      </c>
      <c r="E164" t="s">
        <v>212</v>
      </c>
      <c r="F164" t="s">
        <v>213</v>
      </c>
      <c r="G164" t="s">
        <v>870</v>
      </c>
      <c r="H164" t="s">
        <v>141</v>
      </c>
      <c r="I164" t="s">
        <v>1405</v>
      </c>
      <c r="J164">
        <v>41.692782000000001</v>
      </c>
      <c r="K164">
        <v>-87.951100999999994</v>
      </c>
      <c r="L164">
        <v>4226</v>
      </c>
      <c r="M164" s="175" t="str">
        <f>VLOOKUP(L164, '2022 SIC to NAICS'!A:D, 2)</f>
        <v>Manufacturing Industries, Nec</v>
      </c>
      <c r="N164" s="184">
        <f>VLOOKUP(L164, '2022 SIC to NAICS'!A:D, 3)</f>
        <v>339999</v>
      </c>
      <c r="O164" s="184" t="str">
        <f>VLOOKUP(L164, '2022 SIC to NAICS'!A:D, 4)</f>
        <v xml:space="preserve">All Other Miscellaneous Manufacturing </v>
      </c>
      <c r="P164" s="185" t="str">
        <f>VLOOKUP(N164, 'NAICS OES crosswalk'!A:C, 3, FALSE)</f>
        <v>TBD</v>
      </c>
      <c r="T164" s="186" t="s">
        <v>1200</v>
      </c>
      <c r="U164" t="s">
        <v>873</v>
      </c>
      <c r="V164">
        <v>7.5813549999999993E-2</v>
      </c>
      <c r="X164" t="b">
        <f t="shared" si="3"/>
        <v>0</v>
      </c>
      <c r="Y164" s="186" t="s">
        <v>1418</v>
      </c>
      <c r="Z164" t="s">
        <v>1403</v>
      </c>
    </row>
    <row r="165" spans="1:26" x14ac:dyDescent="0.25">
      <c r="A165">
        <v>2020</v>
      </c>
      <c r="B165" t="s">
        <v>1400</v>
      </c>
      <c r="C165" t="s">
        <v>879</v>
      </c>
      <c r="D165" s="1">
        <v>110006749162</v>
      </c>
      <c r="E165" t="s">
        <v>373</v>
      </c>
      <c r="F165" t="s">
        <v>374</v>
      </c>
      <c r="G165" t="s">
        <v>878</v>
      </c>
      <c r="H165" t="s">
        <v>138</v>
      </c>
      <c r="I165" t="s">
        <v>1401</v>
      </c>
      <c r="J165">
        <v>37.700833000000003</v>
      </c>
      <c r="K165">
        <v>-83.984443999999996</v>
      </c>
      <c r="L165">
        <v>8711</v>
      </c>
      <c r="M165" s="175" t="str">
        <f>VLOOKUP(L165, '2022 SIC to NAICS'!A:D, 2)</f>
        <v>Civic and Social Associations</v>
      </c>
      <c r="N165" s="184">
        <f>VLOOKUP(L165, '2022 SIC to NAICS'!A:D, 3)</f>
        <v>921150</v>
      </c>
      <c r="O165" s="184" t="str">
        <f>VLOOKUP(L165, '2022 SIC to NAICS'!A:D, 4)</f>
        <v xml:space="preserve">American Indian and Alaska Native Tribal Governments </v>
      </c>
      <c r="P165" s="185" t="str">
        <f>VLOOKUP(N165, 'NAICS OES crosswalk'!A:C, 3, FALSE)</f>
        <v>TBD</v>
      </c>
      <c r="T165" s="186" t="s">
        <v>1255</v>
      </c>
      <c r="U165" t="s">
        <v>880</v>
      </c>
      <c r="V165">
        <v>0.63481073750000006</v>
      </c>
      <c r="X165" t="b">
        <f t="shared" si="3"/>
        <v>0</v>
      </c>
      <c r="Y165" s="186" t="s">
        <v>1402</v>
      </c>
      <c r="Z165" t="s">
        <v>1403</v>
      </c>
    </row>
    <row r="166" spans="1:26" x14ac:dyDescent="0.25">
      <c r="A166">
        <v>2020</v>
      </c>
      <c r="B166" t="s">
        <v>1400</v>
      </c>
      <c r="C166" t="s">
        <v>1103</v>
      </c>
      <c r="D166" s="1">
        <v>110043808467</v>
      </c>
      <c r="E166" t="s">
        <v>172</v>
      </c>
      <c r="F166" t="s">
        <v>173</v>
      </c>
      <c r="G166" t="s">
        <v>554</v>
      </c>
      <c r="H166" t="s">
        <v>158</v>
      </c>
      <c r="I166" t="s">
        <v>1405</v>
      </c>
      <c r="J166">
        <v>36.035440000000001</v>
      </c>
      <c r="K166">
        <v>-114.99994</v>
      </c>
      <c r="L166">
        <v>1799</v>
      </c>
      <c r="M166" s="175" t="str">
        <f>VLOOKUP(L166, '2022 SIC to NAICS'!A:D, 2)</f>
        <v>Special Trade Contractors, Nec</v>
      </c>
      <c r="N166" s="184">
        <f>VLOOKUP(L166, '2022 SIC to NAICS'!A:D, 3)</f>
        <v>238990</v>
      </c>
      <c r="O166" s="184" t="str">
        <f>VLOOKUP(L166, '2022 SIC to NAICS'!A:D, 4)</f>
        <v>All Other Specialty Trade Contractors</v>
      </c>
      <c r="P166" s="185" t="str">
        <f>VLOOKUP(N166, 'NAICS OES crosswalk'!A:C, 3, FALSE)</f>
        <v>TBD</v>
      </c>
      <c r="T166">
        <v>150100150708</v>
      </c>
      <c r="U166" t="s">
        <v>1104</v>
      </c>
      <c r="V166">
        <v>0.51747062774999997</v>
      </c>
      <c r="X166" t="b">
        <f t="shared" si="3"/>
        <v>0</v>
      </c>
      <c r="Y166" s="186" t="s">
        <v>1402</v>
      </c>
      <c r="Z166" t="s">
        <v>1403</v>
      </c>
    </row>
    <row r="167" spans="1:26" x14ac:dyDescent="0.25">
      <c r="A167">
        <v>2020</v>
      </c>
      <c r="B167" t="s">
        <v>1400</v>
      </c>
      <c r="C167" t="s">
        <v>681</v>
      </c>
      <c r="D167" s="1">
        <v>110000736776</v>
      </c>
      <c r="E167" t="s">
        <v>375</v>
      </c>
      <c r="F167" t="s">
        <v>376</v>
      </c>
      <c r="G167" t="s">
        <v>680</v>
      </c>
      <c r="H167" t="s">
        <v>138</v>
      </c>
      <c r="I167" t="s">
        <v>1401</v>
      </c>
      <c r="J167">
        <v>37.349167000000001</v>
      </c>
      <c r="K167">
        <v>-85.379444000000007</v>
      </c>
      <c r="L167">
        <v>4952</v>
      </c>
      <c r="M167" s="175" t="str">
        <f>VLOOKUP(L167, '2022 SIC to NAICS'!A:D, 2)</f>
        <v>Manufacturing Industries, Nec</v>
      </c>
      <c r="N167" s="184">
        <f>VLOOKUP(L167, '2022 SIC to NAICS'!A:D, 3)</f>
        <v>339999</v>
      </c>
      <c r="O167" s="184" t="str">
        <f>VLOOKUP(L167, '2022 SIC to NAICS'!A:D, 4)</f>
        <v xml:space="preserve">All Other Miscellaneous Manufacturing </v>
      </c>
      <c r="P167" s="185" t="str">
        <f>VLOOKUP(N167, 'NAICS OES crosswalk'!A:C, 3, FALSE)</f>
        <v>TBD</v>
      </c>
      <c r="T167" s="186" t="s">
        <v>1256</v>
      </c>
      <c r="U167" t="s">
        <v>682</v>
      </c>
      <c r="V167">
        <v>2.0066650625000002</v>
      </c>
      <c r="X167" t="b">
        <f t="shared" si="3"/>
        <v>0</v>
      </c>
      <c r="Y167" s="186" t="s">
        <v>1402</v>
      </c>
      <c r="Z167" t="s">
        <v>1403</v>
      </c>
    </row>
    <row r="168" spans="1:26" x14ac:dyDescent="0.25">
      <c r="A168">
        <v>2020</v>
      </c>
      <c r="B168" t="s">
        <v>1400</v>
      </c>
      <c r="C168" t="s">
        <v>1052</v>
      </c>
      <c r="D168" s="1">
        <v>110013848453</v>
      </c>
      <c r="E168" t="s">
        <v>229</v>
      </c>
      <c r="F168" t="s">
        <v>230</v>
      </c>
      <c r="G168" t="s">
        <v>230</v>
      </c>
      <c r="H168" t="s">
        <v>146</v>
      </c>
      <c r="I168" t="s">
        <v>1401</v>
      </c>
      <c r="J168">
        <v>36.963245999999998</v>
      </c>
      <c r="K168">
        <v>-122.034009</v>
      </c>
      <c r="L168">
        <v>4952</v>
      </c>
      <c r="M168" s="175" t="str">
        <f>VLOOKUP(L168, '2022 SIC to NAICS'!A:D, 2)</f>
        <v>Manufacturing Industries, Nec</v>
      </c>
      <c r="N168" s="184">
        <f>VLOOKUP(L168, '2022 SIC to NAICS'!A:D, 3)</f>
        <v>339999</v>
      </c>
      <c r="O168" s="184" t="str">
        <f>VLOOKUP(L168, '2022 SIC to NAICS'!A:D, 4)</f>
        <v xml:space="preserve">All Other Miscellaneous Manufacturing </v>
      </c>
      <c r="P168" s="185" t="str">
        <f>VLOOKUP(N168, 'NAICS OES crosswalk'!A:C, 3, FALSE)</f>
        <v>TBD</v>
      </c>
      <c r="T168">
        <v>180600150305</v>
      </c>
      <c r="U168" t="s">
        <v>1053</v>
      </c>
      <c r="V168">
        <v>5.0034673892499999E-2</v>
      </c>
      <c r="X168" t="b">
        <f t="shared" si="3"/>
        <v>0</v>
      </c>
      <c r="Y168" s="186" t="s">
        <v>1402</v>
      </c>
      <c r="Z168" t="s">
        <v>1403</v>
      </c>
    </row>
    <row r="169" spans="1:26" x14ac:dyDescent="0.25">
      <c r="A169">
        <v>2020</v>
      </c>
      <c r="B169" t="s">
        <v>1400</v>
      </c>
      <c r="C169" t="s">
        <v>1030</v>
      </c>
      <c r="D169" s="1">
        <v>110000525842</v>
      </c>
      <c r="E169" t="s">
        <v>161</v>
      </c>
      <c r="F169" t="s">
        <v>162</v>
      </c>
      <c r="G169" t="s">
        <v>1029</v>
      </c>
      <c r="H169" t="s">
        <v>146</v>
      </c>
      <c r="I169" t="s">
        <v>1401</v>
      </c>
      <c r="J169">
        <v>34.055900000000001</v>
      </c>
      <c r="K169">
        <v>-117.36134</v>
      </c>
      <c r="L169">
        <v>4952</v>
      </c>
      <c r="M169" s="175" t="str">
        <f>VLOOKUP(L169, '2022 SIC to NAICS'!A:D, 2)</f>
        <v>Manufacturing Industries, Nec</v>
      </c>
      <c r="N169" s="184">
        <f>VLOOKUP(L169, '2022 SIC to NAICS'!A:D, 3)</f>
        <v>339999</v>
      </c>
      <c r="O169" s="184" t="str">
        <f>VLOOKUP(L169, '2022 SIC to NAICS'!A:D, 4)</f>
        <v xml:space="preserve">All Other Miscellaneous Manufacturing </v>
      </c>
      <c r="P169" s="185" t="str">
        <f>VLOOKUP(N169, 'NAICS OES crosswalk'!A:C, 3, FALSE)</f>
        <v>TBD</v>
      </c>
      <c r="T169">
        <v>180702030804</v>
      </c>
      <c r="U169" t="s">
        <v>1031</v>
      </c>
      <c r="V169">
        <v>2.38767924875</v>
      </c>
      <c r="X169" t="b">
        <f t="shared" si="3"/>
        <v>0</v>
      </c>
      <c r="Y169" s="186" t="s">
        <v>1402</v>
      </c>
      <c r="Z169" t="s">
        <v>1403</v>
      </c>
    </row>
    <row r="170" spans="1:26" x14ac:dyDescent="0.25">
      <c r="A170">
        <v>2020</v>
      </c>
      <c r="B170" t="s">
        <v>1400</v>
      </c>
      <c r="C170" t="s">
        <v>889</v>
      </c>
      <c r="D170" s="1">
        <v>110000599479</v>
      </c>
      <c r="E170" t="s">
        <v>377</v>
      </c>
      <c r="F170" t="s">
        <v>378</v>
      </c>
      <c r="G170" t="s">
        <v>888</v>
      </c>
      <c r="H170" t="s">
        <v>114</v>
      </c>
      <c r="I170" t="s">
        <v>1405</v>
      </c>
      <c r="J170">
        <v>29.458400000000001</v>
      </c>
      <c r="K170">
        <v>-95.330399999999997</v>
      </c>
      <c r="L170">
        <v>2869</v>
      </c>
      <c r="M170" s="175" t="str">
        <f>VLOOKUP(L170, '2022 SIC to NAICS'!A:D, 2)</f>
        <v>Industrial Organic Chemicals, Nec</v>
      </c>
      <c r="N170" s="184">
        <f>VLOOKUP(L170, '2022 SIC to NAICS'!A:D, 3)</f>
        <v>325180</v>
      </c>
      <c r="O170" s="184" t="str">
        <f>VLOOKUP(L170, '2022 SIC to NAICS'!A:D, 4)</f>
        <v xml:space="preserve">Other Basic Inorganic Chemical Manufacturing </v>
      </c>
      <c r="P170" s="185" t="str">
        <f>VLOOKUP(N170, 'NAICS OES crosswalk'!A:C, 3, FALSE)</f>
        <v>Processing as a reactant</v>
      </c>
      <c r="T170">
        <v>120402040400</v>
      </c>
      <c r="U170" t="s">
        <v>890</v>
      </c>
      <c r="V170">
        <v>1.4913900000000001E-2</v>
      </c>
      <c r="X170" t="b">
        <f t="shared" si="3"/>
        <v>0</v>
      </c>
      <c r="Y170" s="186" t="s">
        <v>1402</v>
      </c>
    </row>
    <row r="171" spans="1:26" x14ac:dyDescent="0.25">
      <c r="A171">
        <v>2020</v>
      </c>
      <c r="B171" t="s">
        <v>1400</v>
      </c>
      <c r="C171" t="s">
        <v>785</v>
      </c>
      <c r="D171" s="1">
        <v>110003251427</v>
      </c>
      <c r="E171" t="s">
        <v>154</v>
      </c>
      <c r="F171" t="s">
        <v>155</v>
      </c>
      <c r="G171" t="s">
        <v>784</v>
      </c>
      <c r="H171" t="s">
        <v>138</v>
      </c>
      <c r="I171" t="s">
        <v>1401</v>
      </c>
      <c r="J171">
        <v>38.421495999999998</v>
      </c>
      <c r="K171">
        <v>-83.734424000000004</v>
      </c>
      <c r="L171">
        <v>4952</v>
      </c>
      <c r="M171" s="175" t="str">
        <f>VLOOKUP(L171, '2022 SIC to NAICS'!A:D, 2)</f>
        <v>Manufacturing Industries, Nec</v>
      </c>
      <c r="N171" s="184">
        <f>VLOOKUP(L171, '2022 SIC to NAICS'!A:D, 3)</f>
        <v>339999</v>
      </c>
      <c r="O171" s="184" t="str">
        <f>VLOOKUP(L171, '2022 SIC to NAICS'!A:D, 4)</f>
        <v xml:space="preserve">All Other Miscellaneous Manufacturing </v>
      </c>
      <c r="P171" s="185" t="str">
        <f>VLOOKUP(N171, 'NAICS OES crosswalk'!A:C, 3, FALSE)</f>
        <v>TBD</v>
      </c>
      <c r="T171" s="186" t="s">
        <v>1188</v>
      </c>
      <c r="U171" t="s">
        <v>786</v>
      </c>
      <c r="V171">
        <v>0.27008813749999999</v>
      </c>
      <c r="X171" t="b">
        <f t="shared" si="3"/>
        <v>0</v>
      </c>
      <c r="Y171" s="186" t="s">
        <v>1402</v>
      </c>
      <c r="Z171" t="s">
        <v>1403</v>
      </c>
    </row>
    <row r="172" spans="1:26" x14ac:dyDescent="0.25">
      <c r="A172">
        <v>2020</v>
      </c>
      <c r="B172" t="s">
        <v>1400</v>
      </c>
      <c r="C172" t="s">
        <v>1147</v>
      </c>
      <c r="D172" s="1">
        <v>110024409433</v>
      </c>
      <c r="E172" t="s">
        <v>379</v>
      </c>
      <c r="F172" t="s">
        <v>380</v>
      </c>
      <c r="G172" t="s">
        <v>1146</v>
      </c>
      <c r="H172" t="s">
        <v>367</v>
      </c>
      <c r="I172" t="s">
        <v>1401</v>
      </c>
      <c r="J172">
        <v>35.639485000000001</v>
      </c>
      <c r="K172">
        <v>-109.080939</v>
      </c>
      <c r="L172">
        <v>4952</v>
      </c>
      <c r="M172" s="175" t="str">
        <f>VLOOKUP(L172, '2022 SIC to NAICS'!A:D, 2)</f>
        <v>Manufacturing Industries, Nec</v>
      </c>
      <c r="N172" s="184">
        <f>VLOOKUP(L172, '2022 SIC to NAICS'!A:D, 3)</f>
        <v>339999</v>
      </c>
      <c r="O172" s="184" t="str">
        <f>VLOOKUP(L172, '2022 SIC to NAICS'!A:D, 4)</f>
        <v xml:space="preserve">All Other Miscellaneous Manufacturing </v>
      </c>
      <c r="P172" s="185" t="str">
        <f>VLOOKUP(N172, 'NAICS OES crosswalk'!A:C, 3, FALSE)</f>
        <v>TBD</v>
      </c>
      <c r="T172">
        <v>150200060604</v>
      </c>
      <c r="U172" t="s">
        <v>1148</v>
      </c>
      <c r="V172">
        <v>0.899316</v>
      </c>
      <c r="X172" t="b">
        <f t="shared" si="3"/>
        <v>0</v>
      </c>
      <c r="Y172" s="186" t="s">
        <v>1402</v>
      </c>
      <c r="Z172" t="s">
        <v>1403</v>
      </c>
    </row>
    <row r="173" spans="1:26" x14ac:dyDescent="0.25">
      <c r="A173">
        <v>2020</v>
      </c>
      <c r="B173" t="s">
        <v>1400</v>
      </c>
      <c r="C173" t="s">
        <v>769</v>
      </c>
      <c r="D173" s="1">
        <v>110000746211</v>
      </c>
      <c r="E173" t="s">
        <v>255</v>
      </c>
      <c r="F173" t="s">
        <v>256</v>
      </c>
      <c r="G173" t="s">
        <v>768</v>
      </c>
      <c r="H173" t="s">
        <v>141</v>
      </c>
      <c r="I173" t="s">
        <v>1401</v>
      </c>
      <c r="J173">
        <v>39.795811999999998</v>
      </c>
      <c r="K173">
        <v>-88.347945999999993</v>
      </c>
      <c r="L173">
        <v>2869</v>
      </c>
      <c r="M173" s="175" t="str">
        <f>VLOOKUP(L173, '2022 SIC to NAICS'!A:D, 2)</f>
        <v>Industrial Organic Chemicals, Nec</v>
      </c>
      <c r="N173" s="184">
        <f>VLOOKUP(L173, '2022 SIC to NAICS'!A:D, 3)</f>
        <v>325180</v>
      </c>
      <c r="O173" s="184" t="str">
        <f>VLOOKUP(L173, '2022 SIC to NAICS'!A:D, 4)</f>
        <v xml:space="preserve">Other Basic Inorganic Chemical Manufacturing </v>
      </c>
      <c r="P173" s="185" t="str">
        <f>VLOOKUP(N173, 'NAICS OES crosswalk'!A:C, 3, FALSE)</f>
        <v>Processing as a reactant</v>
      </c>
      <c r="T173" s="186" t="s">
        <v>1213</v>
      </c>
      <c r="U173" t="s">
        <v>770</v>
      </c>
      <c r="V173">
        <v>7.0363015384615304</v>
      </c>
      <c r="X173" t="b">
        <f t="shared" si="3"/>
        <v>0</v>
      </c>
      <c r="Y173" s="186" t="s">
        <v>1402</v>
      </c>
      <c r="Z173" t="s">
        <v>1403</v>
      </c>
    </row>
    <row r="174" spans="1:26" x14ac:dyDescent="0.25">
      <c r="A174">
        <v>2020</v>
      </c>
      <c r="B174" t="s">
        <v>1400</v>
      </c>
      <c r="C174" t="s">
        <v>1452</v>
      </c>
      <c r="D174" s="1">
        <v>110059861065</v>
      </c>
      <c r="E174" t="s">
        <v>1453</v>
      </c>
      <c r="F174" t="s">
        <v>157</v>
      </c>
      <c r="G174" t="s">
        <v>554</v>
      </c>
      <c r="H174" t="s">
        <v>158</v>
      </c>
      <c r="I174" t="s">
        <v>1405</v>
      </c>
      <c r="J174">
        <v>36.108890000000002</v>
      </c>
      <c r="K174">
        <v>-115.18118</v>
      </c>
      <c r="L174">
        <v>6531</v>
      </c>
      <c r="M174" s="175" t="str">
        <f>VLOOKUP(L174, '2022 SIC to NAICS'!A:D, 2)</f>
        <v>Communication Services, Nec</v>
      </c>
      <c r="N174" s="184">
        <f>VLOOKUP(L174, '2022 SIC to NAICS'!A:D, 3)</f>
        <v>517810</v>
      </c>
      <c r="O174" s="184" t="str">
        <f>VLOOKUP(L174, '2022 SIC to NAICS'!A:D, 4)</f>
        <v xml:space="preserve">All Other Telecommunications </v>
      </c>
      <c r="P174" s="185" t="str">
        <f>VLOOKUP(N174, 'NAICS OES crosswalk'!A:C, 3, FALSE)</f>
        <v>TBD</v>
      </c>
      <c r="T174">
        <v>150100150505</v>
      </c>
      <c r="U174" t="s">
        <v>557</v>
      </c>
      <c r="V174">
        <v>7.7365400000000003E-4</v>
      </c>
      <c r="X174" t="b">
        <f t="shared" si="3"/>
        <v>1</v>
      </c>
      <c r="Y174" s="186" t="s">
        <v>1402</v>
      </c>
      <c r="Z174" t="s">
        <v>1403</v>
      </c>
    </row>
    <row r="175" spans="1:26" x14ac:dyDescent="0.25">
      <c r="A175">
        <v>2020</v>
      </c>
      <c r="B175" t="s">
        <v>1400</v>
      </c>
      <c r="C175" t="s">
        <v>580</v>
      </c>
      <c r="D175" s="1">
        <v>110064134459</v>
      </c>
      <c r="E175" t="s">
        <v>233</v>
      </c>
      <c r="F175" t="s">
        <v>157</v>
      </c>
      <c r="G175" t="s">
        <v>554</v>
      </c>
      <c r="H175" t="s">
        <v>158</v>
      </c>
      <c r="I175" t="s">
        <v>1405</v>
      </c>
      <c r="J175">
        <v>36.075400000000002</v>
      </c>
      <c r="K175">
        <v>-115.1669</v>
      </c>
      <c r="L175">
        <v>4581</v>
      </c>
      <c r="M175" s="175" t="str">
        <f>VLOOKUP(L175, '2022 SIC to NAICS'!A:D, 2)</f>
        <v>Manufacturing Industries, Nec</v>
      </c>
      <c r="N175" s="184">
        <f>VLOOKUP(L175, '2022 SIC to NAICS'!A:D, 3)</f>
        <v>339999</v>
      </c>
      <c r="O175" s="184" t="str">
        <f>VLOOKUP(L175, '2022 SIC to NAICS'!A:D, 4)</f>
        <v xml:space="preserve">All Other Miscellaneous Manufacturing </v>
      </c>
      <c r="P175" s="185" t="str">
        <f>VLOOKUP(N175, 'NAICS OES crosswalk'!A:C, 3, FALSE)</f>
        <v>TBD</v>
      </c>
      <c r="T175">
        <v>150100150704</v>
      </c>
      <c r="U175" t="s">
        <v>581</v>
      </c>
      <c r="V175">
        <v>1.9905693499999998E-2</v>
      </c>
      <c r="X175" t="b">
        <f t="shared" si="3"/>
        <v>0</v>
      </c>
      <c r="Y175" s="186" t="s">
        <v>1404</v>
      </c>
      <c r="Z175" t="s">
        <v>1403</v>
      </c>
    </row>
    <row r="176" spans="1:26" x14ac:dyDescent="0.25">
      <c r="A176">
        <v>2020</v>
      </c>
      <c r="B176" t="s">
        <v>1400</v>
      </c>
      <c r="C176" t="s">
        <v>772</v>
      </c>
      <c r="D176" s="1">
        <v>110000433013</v>
      </c>
      <c r="E176" t="s">
        <v>223</v>
      </c>
      <c r="F176" t="s">
        <v>224</v>
      </c>
      <c r="G176" t="s">
        <v>771</v>
      </c>
      <c r="H176" t="s">
        <v>141</v>
      </c>
      <c r="I176" t="s">
        <v>1401</v>
      </c>
      <c r="J176">
        <v>41.412897000000001</v>
      </c>
      <c r="K176">
        <v>-88.329773000000003</v>
      </c>
      <c r="L176">
        <v>2821</v>
      </c>
      <c r="M176" s="175" t="str">
        <f>VLOOKUP(L176, '2022 SIC to NAICS'!A:D, 2)</f>
        <v>Platemaking Services</v>
      </c>
      <c r="N176" s="184">
        <f>VLOOKUP(L176, '2022 SIC to NAICS'!A:D, 3)</f>
        <v>323120</v>
      </c>
      <c r="O176" s="184" t="str">
        <f>VLOOKUP(L176, '2022 SIC to NAICS'!A:D, 4)</f>
        <v>Support Activities for Printing</v>
      </c>
      <c r="P176" s="185" t="str">
        <f>VLOOKUP(N176, 'NAICS OES crosswalk'!A:C, 3, FALSE)</f>
        <v>TBD</v>
      </c>
      <c r="T176" s="186" t="s">
        <v>1202</v>
      </c>
      <c r="U176" t="s">
        <v>773</v>
      </c>
      <c r="V176">
        <v>0.83082</v>
      </c>
      <c r="X176" t="b">
        <f t="shared" si="3"/>
        <v>0</v>
      </c>
      <c r="Y176" s="186" t="s">
        <v>1402</v>
      </c>
      <c r="Z176" t="s">
        <v>1403</v>
      </c>
    </row>
    <row r="177" spans="1:26" x14ac:dyDescent="0.25">
      <c r="A177">
        <v>2020</v>
      </c>
      <c r="B177" t="s">
        <v>1400</v>
      </c>
      <c r="C177" t="s">
        <v>936</v>
      </c>
      <c r="D177" s="1">
        <v>110070162955</v>
      </c>
      <c r="E177" t="s">
        <v>505</v>
      </c>
      <c r="F177" t="s">
        <v>498</v>
      </c>
      <c r="G177" t="s">
        <v>498</v>
      </c>
      <c r="H177" t="s">
        <v>218</v>
      </c>
      <c r="I177" t="s">
        <v>1405</v>
      </c>
      <c r="J177">
        <v>39.781474000000003</v>
      </c>
      <c r="K177">
        <v>-104.97438</v>
      </c>
      <c r="L177">
        <v>1629</v>
      </c>
      <c r="M177" s="175" t="str">
        <f>VLOOKUP(L177, '2022 SIC to NAICS'!A:D, 2)</f>
        <v>Heavy Construction, Nec</v>
      </c>
      <c r="N177" s="184">
        <f>VLOOKUP(L177, '2022 SIC to NAICS'!A:D, 3)</f>
        <v>237990</v>
      </c>
      <c r="O177" s="184" t="str">
        <f>VLOOKUP(L177, '2022 SIC to NAICS'!A:D, 4)</f>
        <v xml:space="preserve">Other Heavy and Civil Engineering Construction </v>
      </c>
      <c r="P177" s="185" t="str">
        <f>VLOOKUP(N177, 'NAICS OES crosswalk'!A:C, 3, FALSE)</f>
        <v>TBD</v>
      </c>
      <c r="T177">
        <v>101900030304</v>
      </c>
      <c r="U177" t="s">
        <v>934</v>
      </c>
      <c r="V177">
        <v>5.2232999999999999E-4</v>
      </c>
      <c r="X177" t="b">
        <f t="shared" si="3"/>
        <v>1</v>
      </c>
      <c r="Y177" s="186" t="s">
        <v>1402</v>
      </c>
      <c r="Z177" t="s">
        <v>1403</v>
      </c>
    </row>
    <row r="178" spans="1:26" x14ac:dyDescent="0.25">
      <c r="A178">
        <v>2020</v>
      </c>
      <c r="B178" t="s">
        <v>1400</v>
      </c>
      <c r="C178" t="s">
        <v>810</v>
      </c>
      <c r="D178" s="1">
        <v>110017432937</v>
      </c>
      <c r="E178" t="s">
        <v>206</v>
      </c>
      <c r="F178" t="s">
        <v>207</v>
      </c>
      <c r="G178" t="s">
        <v>808</v>
      </c>
      <c r="H178" t="s">
        <v>205</v>
      </c>
      <c r="I178" t="s">
        <v>1401</v>
      </c>
      <c r="J178">
        <v>35.722341999999998</v>
      </c>
      <c r="K178">
        <v>-91.524983000000006</v>
      </c>
      <c r="L178">
        <v>2865</v>
      </c>
      <c r="M178" s="175" t="str">
        <f>VLOOKUP(L178, '2022 SIC to NAICS'!A:D, 2)</f>
        <v>Platemaking Services</v>
      </c>
      <c r="N178" s="184">
        <f>VLOOKUP(L178, '2022 SIC to NAICS'!A:D, 3)</f>
        <v>323120</v>
      </c>
      <c r="O178" s="184" t="str">
        <f>VLOOKUP(L178, '2022 SIC to NAICS'!A:D, 4)</f>
        <v>Support Activities for Printing</v>
      </c>
      <c r="P178" s="185" t="str">
        <f>VLOOKUP(N178, 'NAICS OES crosswalk'!A:C, 3, FALSE)</f>
        <v>TBD</v>
      </c>
      <c r="T178">
        <v>110100040704</v>
      </c>
      <c r="U178" t="s">
        <v>811</v>
      </c>
      <c r="V178">
        <v>4.9576799999999999</v>
      </c>
      <c r="X178" t="b">
        <f t="shared" si="3"/>
        <v>0</v>
      </c>
      <c r="Y178" s="186" t="s">
        <v>1404</v>
      </c>
      <c r="Z178" t="s">
        <v>1403</v>
      </c>
    </row>
    <row r="179" spans="1:26" x14ac:dyDescent="0.25">
      <c r="A179">
        <v>2020</v>
      </c>
      <c r="B179" t="s">
        <v>1400</v>
      </c>
      <c r="C179" t="s">
        <v>872</v>
      </c>
      <c r="D179" s="1">
        <v>110018199377</v>
      </c>
      <c r="E179" t="s">
        <v>212</v>
      </c>
      <c r="F179" t="s">
        <v>213</v>
      </c>
      <c r="G179" t="s">
        <v>870</v>
      </c>
      <c r="H179" t="s">
        <v>141</v>
      </c>
      <c r="I179" t="s">
        <v>1405</v>
      </c>
      <c r="J179">
        <v>41.692782000000001</v>
      </c>
      <c r="K179">
        <v>-87.951100999999994</v>
      </c>
      <c r="L179">
        <v>4226</v>
      </c>
      <c r="M179" s="175" t="str">
        <f>VLOOKUP(L179, '2022 SIC to NAICS'!A:D, 2)</f>
        <v>Manufacturing Industries, Nec</v>
      </c>
      <c r="N179" s="184">
        <f>VLOOKUP(L179, '2022 SIC to NAICS'!A:D, 3)</f>
        <v>339999</v>
      </c>
      <c r="O179" s="184" t="str">
        <f>VLOOKUP(L179, '2022 SIC to NAICS'!A:D, 4)</f>
        <v xml:space="preserve">All Other Miscellaneous Manufacturing </v>
      </c>
      <c r="P179" s="185" t="str">
        <f>VLOOKUP(N179, 'NAICS OES crosswalk'!A:C, 3, FALSE)</f>
        <v>TBD</v>
      </c>
      <c r="T179" s="186" t="s">
        <v>1200</v>
      </c>
      <c r="U179" t="s">
        <v>873</v>
      </c>
      <c r="V179">
        <v>0.12236904999999999</v>
      </c>
      <c r="X179" t="b">
        <f t="shared" si="3"/>
        <v>0</v>
      </c>
      <c r="Y179" s="186" t="s">
        <v>1404</v>
      </c>
      <c r="Z179" t="s">
        <v>1403</v>
      </c>
    </row>
    <row r="180" spans="1:26" x14ac:dyDescent="0.25">
      <c r="A180">
        <v>2020</v>
      </c>
      <c r="B180" t="s">
        <v>1400</v>
      </c>
      <c r="C180" t="s">
        <v>971</v>
      </c>
      <c r="D180" s="1">
        <v>110016759444</v>
      </c>
      <c r="E180" t="s">
        <v>182</v>
      </c>
      <c r="F180" t="s">
        <v>183</v>
      </c>
      <c r="G180" t="s">
        <v>627</v>
      </c>
      <c r="H180" t="s">
        <v>138</v>
      </c>
      <c r="I180" t="s">
        <v>1401</v>
      </c>
      <c r="J180">
        <v>37.852220000000003</v>
      </c>
      <c r="K180">
        <v>-84.363079999999997</v>
      </c>
      <c r="L180">
        <v>4952</v>
      </c>
      <c r="M180" s="175" t="str">
        <f>VLOOKUP(L180, '2022 SIC to NAICS'!A:D, 2)</f>
        <v>Manufacturing Industries, Nec</v>
      </c>
      <c r="N180" s="184">
        <f>VLOOKUP(L180, '2022 SIC to NAICS'!A:D, 3)</f>
        <v>339999</v>
      </c>
      <c r="O180" s="184" t="str">
        <f>VLOOKUP(L180, '2022 SIC to NAICS'!A:D, 4)</f>
        <v xml:space="preserve">All Other Miscellaneous Manufacturing </v>
      </c>
      <c r="P180" s="185" t="str">
        <f>VLOOKUP(N180, 'NAICS OES crosswalk'!A:C, 3, FALSE)</f>
        <v>TBD</v>
      </c>
      <c r="T180" s="186" t="s">
        <v>1194</v>
      </c>
      <c r="U180" t="s">
        <v>972</v>
      </c>
      <c r="V180">
        <v>0.28597567499999998</v>
      </c>
      <c r="X180" t="b">
        <f t="shared" si="3"/>
        <v>0</v>
      </c>
      <c r="Y180" s="186" t="s">
        <v>1402</v>
      </c>
      <c r="Z180" t="s">
        <v>1403</v>
      </c>
    </row>
    <row r="181" spans="1:26" x14ac:dyDescent="0.25">
      <c r="A181">
        <v>2020</v>
      </c>
      <c r="B181" t="s">
        <v>1400</v>
      </c>
      <c r="C181" t="s">
        <v>902</v>
      </c>
      <c r="D181" s="1">
        <v>110002108059</v>
      </c>
      <c r="E181" t="s">
        <v>381</v>
      </c>
      <c r="F181" t="s">
        <v>382</v>
      </c>
      <c r="G181" t="s">
        <v>901</v>
      </c>
      <c r="H181" t="s">
        <v>138</v>
      </c>
      <c r="I181" t="s">
        <v>1401</v>
      </c>
      <c r="J181">
        <v>38.391995999999999</v>
      </c>
      <c r="K181">
        <v>-85.416021999999998</v>
      </c>
      <c r="L181">
        <v>9223</v>
      </c>
      <c r="M181" s="175" t="str">
        <f>VLOOKUP(L181, '2022 SIC to NAICS'!A:D, 2)</f>
        <v>Individual and Family Services</v>
      </c>
      <c r="N181" s="184">
        <f>VLOOKUP(L181, '2022 SIC to NAICS'!A:D, 3)</f>
        <v>922150</v>
      </c>
      <c r="O181" s="184" t="str">
        <f>VLOOKUP(L181, '2022 SIC to NAICS'!A:D, 4)</f>
        <v xml:space="preserve">Parole Offices and Probation Offices </v>
      </c>
      <c r="P181" s="185" t="str">
        <f>VLOOKUP(N181, 'NAICS OES crosswalk'!A:C, 3, FALSE)</f>
        <v>TBD</v>
      </c>
      <c r="T181" s="186" t="s">
        <v>1257</v>
      </c>
      <c r="U181" t="s">
        <v>903</v>
      </c>
      <c r="V181">
        <v>2.1137332500000001</v>
      </c>
      <c r="X181" t="b">
        <f t="shared" si="3"/>
        <v>0</v>
      </c>
      <c r="Y181" s="186" t="s">
        <v>1402</v>
      </c>
      <c r="Z181" t="s">
        <v>1403</v>
      </c>
    </row>
    <row r="182" spans="1:26" x14ac:dyDescent="0.25">
      <c r="A182">
        <v>2020</v>
      </c>
      <c r="B182" t="s">
        <v>1400</v>
      </c>
      <c r="C182" t="s">
        <v>969</v>
      </c>
      <c r="D182" s="1">
        <v>110039639736</v>
      </c>
      <c r="E182" t="s">
        <v>383</v>
      </c>
      <c r="F182" t="s">
        <v>384</v>
      </c>
      <c r="G182" t="s">
        <v>968</v>
      </c>
      <c r="H182" t="s">
        <v>138</v>
      </c>
      <c r="I182" t="s">
        <v>1401</v>
      </c>
      <c r="J182">
        <v>39.058610999999999</v>
      </c>
      <c r="K182">
        <v>-84.618055999999996</v>
      </c>
      <c r="L182">
        <v>4952</v>
      </c>
      <c r="M182" s="175" t="str">
        <f>VLOOKUP(L182, '2022 SIC to NAICS'!A:D, 2)</f>
        <v>Manufacturing Industries, Nec</v>
      </c>
      <c r="N182" s="184">
        <f>VLOOKUP(L182, '2022 SIC to NAICS'!A:D, 3)</f>
        <v>339999</v>
      </c>
      <c r="O182" s="184" t="str">
        <f>VLOOKUP(L182, '2022 SIC to NAICS'!A:D, 4)</f>
        <v xml:space="preserve">All Other Miscellaneous Manufacturing </v>
      </c>
      <c r="P182" s="185" t="str">
        <f>VLOOKUP(N182, 'NAICS OES crosswalk'!A:C, 3, FALSE)</f>
        <v>TBD</v>
      </c>
      <c r="T182" s="186" t="s">
        <v>1258</v>
      </c>
      <c r="U182" t="s">
        <v>970</v>
      </c>
      <c r="V182">
        <v>1.6944404125E-2</v>
      </c>
      <c r="X182" t="b">
        <f t="shared" si="3"/>
        <v>0</v>
      </c>
      <c r="Y182" s="186" t="s">
        <v>1402</v>
      </c>
      <c r="Z182" t="s">
        <v>1403</v>
      </c>
    </row>
    <row r="183" spans="1:26" x14ac:dyDescent="0.25">
      <c r="A183">
        <v>2020</v>
      </c>
      <c r="B183" t="s">
        <v>1400</v>
      </c>
      <c r="C183" t="s">
        <v>961</v>
      </c>
      <c r="D183" s="1">
        <v>110000519920</v>
      </c>
      <c r="E183" t="s">
        <v>385</v>
      </c>
      <c r="F183" t="s">
        <v>386</v>
      </c>
      <c r="G183" t="s">
        <v>960</v>
      </c>
      <c r="H183" t="s">
        <v>146</v>
      </c>
      <c r="I183" t="s">
        <v>1405</v>
      </c>
      <c r="J183">
        <v>39.259749999999997</v>
      </c>
      <c r="K183">
        <v>-121.03075</v>
      </c>
      <c r="L183">
        <v>4952</v>
      </c>
      <c r="M183" s="175" t="str">
        <f>VLOOKUP(L183, '2022 SIC to NAICS'!A:D, 2)</f>
        <v>Manufacturing Industries, Nec</v>
      </c>
      <c r="N183" s="184">
        <f>VLOOKUP(L183, '2022 SIC to NAICS'!A:D, 3)</f>
        <v>339999</v>
      </c>
      <c r="O183" s="184" t="str">
        <f>VLOOKUP(L183, '2022 SIC to NAICS'!A:D, 4)</f>
        <v xml:space="preserve">All Other Miscellaneous Manufacturing </v>
      </c>
      <c r="P183" s="185" t="str">
        <f>VLOOKUP(N183, 'NAICS OES crosswalk'!A:C, 3, FALSE)</f>
        <v>TBD</v>
      </c>
      <c r="T183">
        <v>180201250802</v>
      </c>
      <c r="U183" t="s">
        <v>962</v>
      </c>
      <c r="V183">
        <v>7.2972983200000003E-3</v>
      </c>
      <c r="X183" t="b">
        <f t="shared" si="3"/>
        <v>0</v>
      </c>
      <c r="Y183" s="186" t="s">
        <v>1402</v>
      </c>
      <c r="Z183" t="s">
        <v>1403</v>
      </c>
    </row>
    <row r="184" spans="1:26" x14ac:dyDescent="0.25">
      <c r="A184">
        <v>2020</v>
      </c>
      <c r="B184" t="s">
        <v>1400</v>
      </c>
      <c r="C184" t="s">
        <v>991</v>
      </c>
      <c r="D184" s="1">
        <v>110006367136</v>
      </c>
      <c r="E184" t="s">
        <v>387</v>
      </c>
      <c r="F184" t="s">
        <v>388</v>
      </c>
      <c r="G184" t="s">
        <v>990</v>
      </c>
      <c r="H184" t="s">
        <v>138</v>
      </c>
      <c r="I184" t="s">
        <v>1401</v>
      </c>
      <c r="J184">
        <v>37.021974</v>
      </c>
      <c r="K184">
        <v>-88.512833000000001</v>
      </c>
      <c r="L184">
        <v>4952</v>
      </c>
      <c r="M184" s="175" t="str">
        <f>VLOOKUP(L184, '2022 SIC to NAICS'!A:D, 2)</f>
        <v>Manufacturing Industries, Nec</v>
      </c>
      <c r="N184" s="184">
        <f>VLOOKUP(L184, '2022 SIC to NAICS'!A:D, 3)</f>
        <v>339999</v>
      </c>
      <c r="O184" s="184" t="str">
        <f>VLOOKUP(L184, '2022 SIC to NAICS'!A:D, 4)</f>
        <v xml:space="preserve">All Other Miscellaneous Manufacturing </v>
      </c>
      <c r="P184" s="185" t="str">
        <f>VLOOKUP(N184, 'NAICS OES crosswalk'!A:C, 3, FALSE)</f>
        <v>TBD</v>
      </c>
      <c r="T184" s="186" t="s">
        <v>1259</v>
      </c>
      <c r="U184" t="s">
        <v>992</v>
      </c>
      <c r="V184">
        <v>0.49734899999999999</v>
      </c>
      <c r="X184" t="b">
        <f t="shared" si="3"/>
        <v>0</v>
      </c>
      <c r="Y184" s="186" t="s">
        <v>1402</v>
      </c>
      <c r="Z184" t="s">
        <v>1403</v>
      </c>
    </row>
    <row r="185" spans="1:26" x14ac:dyDescent="0.25">
      <c r="A185">
        <v>2020</v>
      </c>
      <c r="B185" t="s">
        <v>1400</v>
      </c>
      <c r="C185" t="s">
        <v>608</v>
      </c>
      <c r="D185" s="1">
        <v>110030443544</v>
      </c>
      <c r="E185" t="s">
        <v>389</v>
      </c>
      <c r="F185" t="s">
        <v>390</v>
      </c>
      <c r="G185" t="s">
        <v>607</v>
      </c>
      <c r="H185" t="s">
        <v>138</v>
      </c>
      <c r="I185" t="s">
        <v>1405</v>
      </c>
      <c r="J185">
        <v>38.127222000000003</v>
      </c>
      <c r="K185">
        <v>-83.769443999999993</v>
      </c>
      <c r="L185">
        <v>4952</v>
      </c>
      <c r="M185" s="175" t="str">
        <f>VLOOKUP(L185, '2022 SIC to NAICS'!A:D, 2)</f>
        <v>Manufacturing Industries, Nec</v>
      </c>
      <c r="N185" s="184">
        <f>VLOOKUP(L185, '2022 SIC to NAICS'!A:D, 3)</f>
        <v>339999</v>
      </c>
      <c r="O185" s="184" t="str">
        <f>VLOOKUP(L185, '2022 SIC to NAICS'!A:D, 4)</f>
        <v xml:space="preserve">All Other Miscellaneous Manufacturing </v>
      </c>
      <c r="P185" s="185" t="str">
        <f>VLOOKUP(N185, 'NAICS OES crosswalk'!A:C, 3, FALSE)</f>
        <v>TBD</v>
      </c>
      <c r="T185" s="186" t="s">
        <v>1260</v>
      </c>
      <c r="U185" t="s">
        <v>609</v>
      </c>
      <c r="V185">
        <v>8.6345312499999993E-2</v>
      </c>
      <c r="X185" t="b">
        <f t="shared" si="3"/>
        <v>0</v>
      </c>
      <c r="Y185" s="186" t="s">
        <v>1402</v>
      </c>
      <c r="Z185" t="s">
        <v>1403</v>
      </c>
    </row>
    <row r="186" spans="1:26" x14ac:dyDescent="0.25">
      <c r="A186">
        <v>2020</v>
      </c>
      <c r="B186" t="s">
        <v>1400</v>
      </c>
      <c r="C186" t="s">
        <v>1119</v>
      </c>
      <c r="D186" s="1">
        <v>110000732226</v>
      </c>
      <c r="E186" t="s">
        <v>391</v>
      </c>
      <c r="F186" t="s">
        <v>392</v>
      </c>
      <c r="G186" t="s">
        <v>1118</v>
      </c>
      <c r="H186" t="s">
        <v>138</v>
      </c>
      <c r="I186" t="s">
        <v>1401</v>
      </c>
      <c r="J186">
        <v>38.057777999999999</v>
      </c>
      <c r="K186">
        <v>-84.743888999999996</v>
      </c>
      <c r="L186">
        <v>4952</v>
      </c>
      <c r="M186" s="175" t="str">
        <f>VLOOKUP(L186, '2022 SIC to NAICS'!A:D, 2)</f>
        <v>Manufacturing Industries, Nec</v>
      </c>
      <c r="N186" s="184">
        <f>VLOOKUP(L186, '2022 SIC to NAICS'!A:D, 3)</f>
        <v>339999</v>
      </c>
      <c r="O186" s="184" t="str">
        <f>VLOOKUP(L186, '2022 SIC to NAICS'!A:D, 4)</f>
        <v xml:space="preserve">All Other Miscellaneous Manufacturing </v>
      </c>
      <c r="P186" s="185" t="str">
        <f>VLOOKUP(N186, 'NAICS OES crosswalk'!A:C, 3, FALSE)</f>
        <v>TBD</v>
      </c>
      <c r="T186" s="186" t="s">
        <v>1261</v>
      </c>
      <c r="U186" t="s">
        <v>1120</v>
      </c>
      <c r="V186">
        <v>5.636622</v>
      </c>
      <c r="X186" t="b">
        <f t="shared" si="3"/>
        <v>0</v>
      </c>
      <c r="Y186" s="186" t="s">
        <v>1402</v>
      </c>
      <c r="Z186" t="s">
        <v>1403</v>
      </c>
    </row>
    <row r="187" spans="1:26" x14ac:dyDescent="0.25">
      <c r="A187">
        <v>2020</v>
      </c>
      <c r="B187" t="s">
        <v>1400</v>
      </c>
      <c r="C187" t="s">
        <v>872</v>
      </c>
      <c r="D187" s="1">
        <v>110018199377</v>
      </c>
      <c r="E187" t="s">
        <v>212</v>
      </c>
      <c r="F187" t="s">
        <v>213</v>
      </c>
      <c r="G187" t="s">
        <v>870</v>
      </c>
      <c r="H187" t="s">
        <v>141</v>
      </c>
      <c r="I187" t="s">
        <v>1405</v>
      </c>
      <c r="J187">
        <v>41.692782000000001</v>
      </c>
      <c r="K187">
        <v>-87.951100999999994</v>
      </c>
      <c r="L187">
        <v>4226</v>
      </c>
      <c r="M187" s="175" t="str">
        <f>VLOOKUP(L187, '2022 SIC to NAICS'!A:D, 2)</f>
        <v>Manufacturing Industries, Nec</v>
      </c>
      <c r="N187" s="184">
        <f>VLOOKUP(L187, '2022 SIC to NAICS'!A:D, 3)</f>
        <v>339999</v>
      </c>
      <c r="O187" s="184" t="str">
        <f>VLOOKUP(L187, '2022 SIC to NAICS'!A:D, 4)</f>
        <v xml:space="preserve">All Other Miscellaneous Manufacturing </v>
      </c>
      <c r="P187" s="185" t="str">
        <f>VLOOKUP(N187, 'NAICS OES crosswalk'!A:C, 3, FALSE)</f>
        <v>TBD</v>
      </c>
      <c r="T187" s="186" t="s">
        <v>1200</v>
      </c>
      <c r="U187" t="s">
        <v>873</v>
      </c>
      <c r="V187">
        <v>1.6779662</v>
      </c>
      <c r="X187" t="b">
        <f t="shared" si="3"/>
        <v>0</v>
      </c>
      <c r="Y187" s="186" t="s">
        <v>1402</v>
      </c>
      <c r="Z187" t="s">
        <v>1403</v>
      </c>
    </row>
    <row r="188" spans="1:26" x14ac:dyDescent="0.25">
      <c r="A188">
        <v>2020</v>
      </c>
      <c r="B188" t="s">
        <v>1400</v>
      </c>
      <c r="C188" t="s">
        <v>632</v>
      </c>
      <c r="D188" s="1">
        <v>110064611969</v>
      </c>
      <c r="E188" t="s">
        <v>265</v>
      </c>
      <c r="F188" t="s">
        <v>175</v>
      </c>
      <c r="G188" t="s">
        <v>630</v>
      </c>
      <c r="H188" t="s">
        <v>106</v>
      </c>
      <c r="I188" t="s">
        <v>1401</v>
      </c>
      <c r="J188">
        <v>30.23771</v>
      </c>
      <c r="K188">
        <v>-93.258650000000003</v>
      </c>
      <c r="L188">
        <v>2819</v>
      </c>
      <c r="M188" s="175" t="str">
        <f>VLOOKUP(L188, '2022 SIC to NAICS'!A:D, 2)</f>
        <v>Platemaking Services</v>
      </c>
      <c r="N188" s="184">
        <f>VLOOKUP(L188, '2022 SIC to NAICS'!A:D, 3)</f>
        <v>323120</v>
      </c>
      <c r="O188" s="184" t="str">
        <f>VLOOKUP(L188, '2022 SIC to NAICS'!A:D, 4)</f>
        <v>Support Activities for Printing</v>
      </c>
      <c r="P188" s="185" t="str">
        <f>VLOOKUP(N188, 'NAICS OES crosswalk'!A:C, 3, FALSE)</f>
        <v>TBD</v>
      </c>
      <c r="T188" s="186" t="s">
        <v>1218</v>
      </c>
      <c r="U188" t="s">
        <v>633</v>
      </c>
      <c r="V188">
        <v>0.41768</v>
      </c>
      <c r="X188" t="b">
        <f t="shared" si="3"/>
        <v>0</v>
      </c>
      <c r="Y188" s="186" t="s">
        <v>1454</v>
      </c>
      <c r="Z188" t="s">
        <v>1403</v>
      </c>
    </row>
    <row r="189" spans="1:26" x14ac:dyDescent="0.25">
      <c r="A189">
        <v>2020</v>
      </c>
      <c r="B189" t="s">
        <v>1400</v>
      </c>
      <c r="C189" t="s">
        <v>729</v>
      </c>
      <c r="D189" s="1">
        <v>110070619860</v>
      </c>
      <c r="E189" t="s">
        <v>393</v>
      </c>
      <c r="F189" t="s">
        <v>394</v>
      </c>
      <c r="G189" t="s">
        <v>728</v>
      </c>
      <c r="H189" t="s">
        <v>146</v>
      </c>
      <c r="I189" t="s">
        <v>1401</v>
      </c>
      <c r="J189">
        <v>38.627777999999999</v>
      </c>
      <c r="K189">
        <v>-120.984167</v>
      </c>
      <c r="L189">
        <v>4952</v>
      </c>
      <c r="M189" s="175" t="str">
        <f>VLOOKUP(L189, '2022 SIC to NAICS'!A:D, 2)</f>
        <v>Manufacturing Industries, Nec</v>
      </c>
      <c r="N189" s="184">
        <f>VLOOKUP(L189, '2022 SIC to NAICS'!A:D, 3)</f>
        <v>339999</v>
      </c>
      <c r="O189" s="184" t="str">
        <f>VLOOKUP(L189, '2022 SIC to NAICS'!A:D, 4)</f>
        <v xml:space="preserve">All Other Miscellaneous Manufacturing </v>
      </c>
      <c r="P189" s="185" t="str">
        <f>VLOOKUP(N189, 'NAICS OES crosswalk'!A:C, 3, FALSE)</f>
        <v>TBD</v>
      </c>
      <c r="T189">
        <v>180400130502</v>
      </c>
      <c r="U189" t="s">
        <v>730</v>
      </c>
      <c r="V189">
        <v>3.1600965000000002E-2</v>
      </c>
      <c r="X189" t="b">
        <f t="shared" si="3"/>
        <v>0</v>
      </c>
      <c r="Y189" s="186" t="s">
        <v>1402</v>
      </c>
      <c r="Z189" t="s">
        <v>1403</v>
      </c>
    </row>
    <row r="190" spans="1:26" x14ac:dyDescent="0.25">
      <c r="A190">
        <v>2020</v>
      </c>
      <c r="B190" t="s">
        <v>1400</v>
      </c>
      <c r="C190" t="s">
        <v>1117</v>
      </c>
      <c r="D190" s="1">
        <v>110004306938</v>
      </c>
      <c r="E190" t="s">
        <v>156</v>
      </c>
      <c r="F190" t="s">
        <v>157</v>
      </c>
      <c r="G190" t="s">
        <v>575</v>
      </c>
      <c r="H190" t="s">
        <v>158</v>
      </c>
      <c r="I190" t="s">
        <v>1405</v>
      </c>
      <c r="J190">
        <v>36.122100000000003</v>
      </c>
      <c r="K190">
        <v>-115.17139</v>
      </c>
      <c r="L190">
        <v>7011</v>
      </c>
      <c r="M190" s="175" t="str">
        <f>VLOOKUP(L190, '2022 SIC to NAICS'!A:D, 2)</f>
        <v>Communication Services, Nec</v>
      </c>
      <c r="N190" s="184">
        <f>VLOOKUP(L190, '2022 SIC to NAICS'!A:D, 3)</f>
        <v>517810</v>
      </c>
      <c r="O190" s="184" t="str">
        <f>VLOOKUP(L190, '2022 SIC to NAICS'!A:D, 4)</f>
        <v xml:space="preserve">All Other Telecommunications </v>
      </c>
      <c r="P190" s="185" t="str">
        <f>VLOOKUP(N190, 'NAICS OES crosswalk'!A:C, 3, FALSE)</f>
        <v>TBD</v>
      </c>
      <c r="T190">
        <v>150100150604</v>
      </c>
      <c r="U190" t="s">
        <v>578</v>
      </c>
      <c r="V190">
        <v>2.5523674375E-3</v>
      </c>
      <c r="X190" t="b">
        <f t="shared" si="3"/>
        <v>1</v>
      </c>
      <c r="Y190" s="186" t="s">
        <v>1427</v>
      </c>
      <c r="Z190" t="s">
        <v>1403</v>
      </c>
    </row>
    <row r="191" spans="1:26" x14ac:dyDescent="0.25">
      <c r="A191">
        <v>2020</v>
      </c>
      <c r="B191" t="s">
        <v>1400</v>
      </c>
      <c r="C191" t="s">
        <v>569</v>
      </c>
      <c r="D191" s="1">
        <v>110002672484</v>
      </c>
      <c r="E191" t="s">
        <v>189</v>
      </c>
      <c r="F191" t="s">
        <v>190</v>
      </c>
      <c r="G191" t="s">
        <v>566</v>
      </c>
      <c r="H191" t="s">
        <v>146</v>
      </c>
      <c r="I191" t="s">
        <v>1405</v>
      </c>
      <c r="J191">
        <v>32.803809999999999</v>
      </c>
      <c r="K191">
        <v>-115.53973999999999</v>
      </c>
      <c r="L191" s="186" t="s">
        <v>567</v>
      </c>
      <c r="M191" s="175" t="str">
        <f>VLOOKUP(L191, '2022 SIC to NAICS'!A:D, 2)</f>
        <v>Fish Hatcheries and Preserves</v>
      </c>
      <c r="N191" s="184">
        <f>VLOOKUP(L191, '2022 SIC to NAICS'!A:D, 3)</f>
        <v>112511</v>
      </c>
      <c r="O191" s="184" t="str">
        <f>VLOOKUP(L191, '2022 SIC to NAICS'!A:D, 4)</f>
        <v xml:space="preserve">Finfish Farming and Fish Hatcheries </v>
      </c>
      <c r="P191" s="185" t="str">
        <f>VLOOKUP(N191, 'NAICS OES crosswalk'!A:C, 3, FALSE)</f>
        <v>TBD</v>
      </c>
      <c r="T191">
        <v>181002040701</v>
      </c>
      <c r="U191" t="s">
        <v>570</v>
      </c>
      <c r="V191">
        <v>6.5760590000000004E-3</v>
      </c>
      <c r="X191" t="b">
        <f t="shared" si="3"/>
        <v>0</v>
      </c>
      <c r="Y191" s="186" t="s">
        <v>1402</v>
      </c>
      <c r="Z191" t="s">
        <v>1403</v>
      </c>
    </row>
    <row r="192" spans="1:26" x14ac:dyDescent="0.25">
      <c r="A192">
        <v>2020</v>
      </c>
      <c r="B192" t="s">
        <v>1400</v>
      </c>
      <c r="C192" t="s">
        <v>1008</v>
      </c>
      <c r="D192" s="1">
        <v>110041133163</v>
      </c>
      <c r="E192" t="s">
        <v>310</v>
      </c>
      <c r="F192" t="s">
        <v>311</v>
      </c>
      <c r="G192" t="s">
        <v>950</v>
      </c>
      <c r="H192" t="s">
        <v>153</v>
      </c>
      <c r="I192" t="s">
        <v>1401</v>
      </c>
      <c r="J192">
        <v>40.640135000000001</v>
      </c>
      <c r="K192">
        <v>-74.218879999999999</v>
      </c>
      <c r="L192">
        <v>2911</v>
      </c>
      <c r="M192" s="175" t="str">
        <f>VLOOKUP(L192, '2022 SIC to NAICS'!A:D, 2)</f>
        <v>Explosives</v>
      </c>
      <c r="N192" s="184">
        <f>VLOOKUP(L192, '2022 SIC to NAICS'!A:D, 3)</f>
        <v>325920</v>
      </c>
      <c r="O192" s="184" t="str">
        <f>VLOOKUP(L192, '2022 SIC to NAICS'!A:D, 4)</f>
        <v>Explosives Manufacturing</v>
      </c>
      <c r="P192" s="185" t="str">
        <f>VLOOKUP(N192, 'NAICS OES crosswalk'!A:C, 3, FALSE)</f>
        <v>TBD</v>
      </c>
      <c r="T192" s="186" t="s">
        <v>1236</v>
      </c>
      <c r="U192" t="s">
        <v>1009</v>
      </c>
      <c r="V192">
        <v>2.3050000000000002</v>
      </c>
      <c r="X192" t="b">
        <f t="shared" si="3"/>
        <v>0</v>
      </c>
      <c r="Y192" s="186" t="s">
        <v>1404</v>
      </c>
      <c r="Z192" t="s">
        <v>1403</v>
      </c>
    </row>
    <row r="193" spans="1:26" x14ac:dyDescent="0.25">
      <c r="A193">
        <v>2020</v>
      </c>
      <c r="B193" t="s">
        <v>1400</v>
      </c>
      <c r="C193" t="s">
        <v>564</v>
      </c>
      <c r="D193" s="1">
        <v>110045547547</v>
      </c>
      <c r="E193" t="s">
        <v>168</v>
      </c>
      <c r="F193" t="s">
        <v>169</v>
      </c>
      <c r="G193" t="s">
        <v>562</v>
      </c>
      <c r="H193" t="s">
        <v>170</v>
      </c>
      <c r="I193" t="s">
        <v>1405</v>
      </c>
      <c r="J193">
        <v>37.188566000000002</v>
      </c>
      <c r="K193">
        <v>-93.325920999999994</v>
      </c>
      <c r="L193">
        <v>2833</v>
      </c>
      <c r="M193" s="175" t="str">
        <f>VLOOKUP(L193, '2022 SIC to NAICS'!A:D, 2)</f>
        <v>Platemaking Services</v>
      </c>
      <c r="N193" s="184">
        <f>VLOOKUP(L193, '2022 SIC to NAICS'!A:D, 3)</f>
        <v>323120</v>
      </c>
      <c r="O193" s="184" t="str">
        <f>VLOOKUP(L193, '2022 SIC to NAICS'!A:D, 4)</f>
        <v>Support Activities for Printing</v>
      </c>
      <c r="P193" s="185" t="str">
        <f>VLOOKUP(N193, 'NAICS OES crosswalk'!A:C, 3, FALSE)</f>
        <v>TBD</v>
      </c>
      <c r="T193">
        <v>110100020301</v>
      </c>
      <c r="U193" t="s">
        <v>565</v>
      </c>
      <c r="V193">
        <v>0.25477844333333299</v>
      </c>
      <c r="X193" t="b">
        <f t="shared" si="3"/>
        <v>0</v>
      </c>
      <c r="Y193" s="186" t="s">
        <v>1402</v>
      </c>
      <c r="Z193" t="s">
        <v>1403</v>
      </c>
    </row>
    <row r="194" spans="1:26" x14ac:dyDescent="0.25">
      <c r="A194">
        <v>2020</v>
      </c>
      <c r="B194" t="s">
        <v>1400</v>
      </c>
      <c r="C194" t="s">
        <v>1108</v>
      </c>
      <c r="D194" s="1">
        <v>110041973460</v>
      </c>
      <c r="E194" t="s">
        <v>395</v>
      </c>
      <c r="F194" t="s">
        <v>396</v>
      </c>
      <c r="G194" t="s">
        <v>185</v>
      </c>
      <c r="H194" t="s">
        <v>186</v>
      </c>
      <c r="I194" t="s">
        <v>1401</v>
      </c>
      <c r="J194">
        <v>21.438638999999998</v>
      </c>
      <c r="K194">
        <v>-157.75847200000001</v>
      </c>
      <c r="L194">
        <v>4952</v>
      </c>
      <c r="M194" s="175" t="str">
        <f>VLOOKUP(L194, '2022 SIC to NAICS'!A:D, 2)</f>
        <v>Manufacturing Industries, Nec</v>
      </c>
      <c r="N194" s="184">
        <f>VLOOKUP(L194, '2022 SIC to NAICS'!A:D, 3)</f>
        <v>339999</v>
      </c>
      <c r="O194" s="184" t="str">
        <f>VLOOKUP(L194, '2022 SIC to NAICS'!A:D, 4)</f>
        <v xml:space="preserve">All Other Miscellaneous Manufacturing </v>
      </c>
      <c r="P194" s="185" t="str">
        <f>VLOOKUP(N194, 'NAICS OES crosswalk'!A:C, 3, FALSE)</f>
        <v>TBD</v>
      </c>
      <c r="T194">
        <v>200600000205</v>
      </c>
      <c r="U194" t="s">
        <v>1109</v>
      </c>
      <c r="V194">
        <v>0.99055342499999999</v>
      </c>
      <c r="X194" t="b">
        <f t="shared" si="3"/>
        <v>0</v>
      </c>
      <c r="Y194" s="186" t="s">
        <v>1402</v>
      </c>
      <c r="Z194" t="s">
        <v>1403</v>
      </c>
    </row>
    <row r="195" spans="1:26" x14ac:dyDescent="0.25">
      <c r="A195">
        <v>2020</v>
      </c>
      <c r="B195" t="s">
        <v>1400</v>
      </c>
      <c r="C195" t="s">
        <v>764</v>
      </c>
      <c r="D195" s="1">
        <v>110060340162</v>
      </c>
      <c r="E195" t="s">
        <v>302</v>
      </c>
      <c r="F195" t="s">
        <v>303</v>
      </c>
      <c r="G195" t="s">
        <v>638</v>
      </c>
      <c r="H195" t="s">
        <v>114</v>
      </c>
      <c r="I195" t="s">
        <v>1405</v>
      </c>
      <c r="J195">
        <v>29.741954</v>
      </c>
      <c r="K195">
        <v>-95.165228999999997</v>
      </c>
      <c r="L195">
        <v>2869</v>
      </c>
      <c r="M195" s="175" t="str">
        <f>VLOOKUP(L195, '2022 SIC to NAICS'!A:D, 2)</f>
        <v>Industrial Organic Chemicals, Nec</v>
      </c>
      <c r="N195" s="184">
        <f>VLOOKUP(L195, '2022 SIC to NAICS'!A:D, 3)</f>
        <v>325180</v>
      </c>
      <c r="O195" s="184" t="str">
        <f>VLOOKUP(L195, '2022 SIC to NAICS'!A:D, 4)</f>
        <v xml:space="preserve">Other Basic Inorganic Chemical Manufacturing </v>
      </c>
      <c r="P195" s="185" t="str">
        <f>VLOOKUP(N195, 'NAICS OES crosswalk'!A:C, 3, FALSE)</f>
        <v>Processing as a reactant</v>
      </c>
      <c r="T195">
        <v>120401040703</v>
      </c>
      <c r="U195" t="s">
        <v>765</v>
      </c>
      <c r="V195">
        <v>0.75983875000000001</v>
      </c>
      <c r="X195" t="b">
        <f t="shared" si="3"/>
        <v>0</v>
      </c>
      <c r="Y195" s="186" t="s">
        <v>1402</v>
      </c>
      <c r="Z195" t="s">
        <v>1403</v>
      </c>
    </row>
    <row r="196" spans="1:26" x14ac:dyDescent="0.25">
      <c r="A196">
        <v>2020</v>
      </c>
      <c r="B196" t="s">
        <v>1400</v>
      </c>
      <c r="C196" t="s">
        <v>881</v>
      </c>
      <c r="D196" s="1">
        <v>110000741608</v>
      </c>
      <c r="E196" t="s">
        <v>275</v>
      </c>
      <c r="F196" t="s">
        <v>276</v>
      </c>
      <c r="G196" t="s">
        <v>620</v>
      </c>
      <c r="H196" t="s">
        <v>138</v>
      </c>
      <c r="I196" t="s">
        <v>1401</v>
      </c>
      <c r="J196">
        <v>37.047736999999998</v>
      </c>
      <c r="K196">
        <v>-88.35866</v>
      </c>
      <c r="L196">
        <v>2869</v>
      </c>
      <c r="M196" s="175" t="str">
        <f>VLOOKUP(L196, '2022 SIC to NAICS'!A:D, 2)</f>
        <v>Industrial Organic Chemicals, Nec</v>
      </c>
      <c r="N196" s="184">
        <f>VLOOKUP(L196, '2022 SIC to NAICS'!A:D, 3)</f>
        <v>325180</v>
      </c>
      <c r="O196" s="184" t="str">
        <f>VLOOKUP(L196, '2022 SIC to NAICS'!A:D, 4)</f>
        <v xml:space="preserve">Other Basic Inorganic Chemical Manufacturing </v>
      </c>
      <c r="P196" s="185" t="str">
        <f>VLOOKUP(N196, 'NAICS OES crosswalk'!A:C, 3, FALSE)</f>
        <v>Processing as a reactant</v>
      </c>
      <c r="T196" s="186" t="s">
        <v>1222</v>
      </c>
      <c r="U196" t="s">
        <v>882</v>
      </c>
      <c r="V196">
        <v>5.3027199999999999</v>
      </c>
      <c r="X196" t="b">
        <f t="shared" si="3"/>
        <v>0</v>
      </c>
      <c r="Y196" s="186" t="s">
        <v>1402</v>
      </c>
      <c r="Z196" t="s">
        <v>1403</v>
      </c>
    </row>
    <row r="197" spans="1:26" x14ac:dyDescent="0.25">
      <c r="A197">
        <v>2020</v>
      </c>
      <c r="B197" t="s">
        <v>1400</v>
      </c>
      <c r="C197" t="s">
        <v>665</v>
      </c>
      <c r="D197" s="1">
        <v>110000911309</v>
      </c>
      <c r="E197" t="s">
        <v>339</v>
      </c>
      <c r="F197" t="s">
        <v>202</v>
      </c>
      <c r="G197" t="s">
        <v>663</v>
      </c>
      <c r="H197" t="s">
        <v>106</v>
      </c>
      <c r="I197" t="s">
        <v>1405</v>
      </c>
      <c r="J197">
        <v>30.233011999999999</v>
      </c>
      <c r="K197">
        <v>-91.022057000000004</v>
      </c>
      <c r="L197">
        <v>4789</v>
      </c>
      <c r="M197" s="175" t="str">
        <f>VLOOKUP(L197, '2022 SIC to NAICS'!A:D, 2)</f>
        <v>Manufacturing Industries, Nec</v>
      </c>
      <c r="N197" s="184">
        <f>VLOOKUP(L197, '2022 SIC to NAICS'!A:D, 3)</f>
        <v>339999</v>
      </c>
      <c r="O197" s="184" t="str">
        <f>VLOOKUP(L197, '2022 SIC to NAICS'!A:D, 4)</f>
        <v xml:space="preserve">All Other Miscellaneous Manufacturing </v>
      </c>
      <c r="P197" s="185" t="str">
        <f>VLOOKUP(N197, 'NAICS OES crosswalk'!A:C, 3, FALSE)</f>
        <v>TBD</v>
      </c>
      <c r="T197" s="186" t="s">
        <v>1198</v>
      </c>
      <c r="U197" t="s">
        <v>666</v>
      </c>
      <c r="V197">
        <v>2.3930662500000002E-2</v>
      </c>
      <c r="X197" t="b">
        <f t="shared" si="3"/>
        <v>0</v>
      </c>
      <c r="Y197" s="186" t="s">
        <v>1402</v>
      </c>
      <c r="Z197" t="s">
        <v>1403</v>
      </c>
    </row>
    <row r="198" spans="1:26" x14ac:dyDescent="0.25">
      <c r="A198">
        <v>2020</v>
      </c>
      <c r="B198" t="s">
        <v>1400</v>
      </c>
      <c r="C198" t="s">
        <v>654</v>
      </c>
      <c r="D198" s="1">
        <v>110059344473</v>
      </c>
      <c r="E198" t="s">
        <v>332</v>
      </c>
      <c r="F198" t="s">
        <v>333</v>
      </c>
      <c r="G198" t="s">
        <v>653</v>
      </c>
      <c r="H198" t="s">
        <v>268</v>
      </c>
      <c r="I198" t="s">
        <v>1401</v>
      </c>
      <c r="J198">
        <v>40.655278000000003</v>
      </c>
      <c r="K198">
        <v>-80.356388999999993</v>
      </c>
      <c r="L198">
        <v>2821</v>
      </c>
      <c r="M198" s="175" t="str">
        <f>VLOOKUP(L198, '2022 SIC to NAICS'!A:D, 2)</f>
        <v>Platemaking Services</v>
      </c>
      <c r="N198" s="184">
        <f>VLOOKUP(L198, '2022 SIC to NAICS'!A:D, 3)</f>
        <v>323120</v>
      </c>
      <c r="O198" s="184" t="str">
        <f>VLOOKUP(L198, '2022 SIC to NAICS'!A:D, 4)</f>
        <v>Support Activities for Printing</v>
      </c>
      <c r="P198" s="185" t="str">
        <f>VLOOKUP(N198, 'NAICS OES crosswalk'!A:C, 3, FALSE)</f>
        <v>TBD</v>
      </c>
      <c r="T198" s="186" t="s">
        <v>1244</v>
      </c>
      <c r="U198" t="s">
        <v>655</v>
      </c>
      <c r="V198">
        <v>0.49713000000000002</v>
      </c>
      <c r="X198" t="b">
        <f t="shared" si="3"/>
        <v>0</v>
      </c>
      <c r="Y198" s="186" t="s">
        <v>1404</v>
      </c>
      <c r="Z198" t="s">
        <v>1403</v>
      </c>
    </row>
    <row r="199" spans="1:26" x14ac:dyDescent="0.25">
      <c r="A199">
        <v>2020</v>
      </c>
      <c r="B199" t="s">
        <v>1400</v>
      </c>
      <c r="C199" t="s">
        <v>661</v>
      </c>
      <c r="D199" s="1">
        <v>110044852068</v>
      </c>
      <c r="E199" t="s">
        <v>231</v>
      </c>
      <c r="F199" t="s">
        <v>232</v>
      </c>
      <c r="G199" t="s">
        <v>659</v>
      </c>
      <c r="H199" t="s">
        <v>141</v>
      </c>
      <c r="I199" t="s">
        <v>1405</v>
      </c>
      <c r="J199">
        <v>38.2774</v>
      </c>
      <c r="K199">
        <v>-89.666899999999998</v>
      </c>
      <c r="L199">
        <v>4911</v>
      </c>
      <c r="M199" s="175" t="str">
        <f>VLOOKUP(L199, '2022 SIC to NAICS'!A:D, 2)</f>
        <v>Manufacturing Industries, Nec</v>
      </c>
      <c r="N199" s="184">
        <f>VLOOKUP(L199, '2022 SIC to NAICS'!A:D, 3)</f>
        <v>339999</v>
      </c>
      <c r="O199" s="184" t="str">
        <f>VLOOKUP(L199, '2022 SIC to NAICS'!A:D, 4)</f>
        <v xml:space="preserve">All Other Miscellaneous Manufacturing </v>
      </c>
      <c r="P199" s="185" t="str">
        <f>VLOOKUP(N199, 'NAICS OES crosswalk'!A:C, 3, FALSE)</f>
        <v>TBD</v>
      </c>
      <c r="T199" s="186" t="s">
        <v>1204</v>
      </c>
      <c r="U199" t="s">
        <v>662</v>
      </c>
      <c r="V199">
        <v>2.0337429524999999</v>
      </c>
      <c r="X199" t="b">
        <f t="shared" si="3"/>
        <v>0</v>
      </c>
      <c r="Y199" s="186" t="s">
        <v>1402</v>
      </c>
      <c r="Z199" t="s">
        <v>1403</v>
      </c>
    </row>
    <row r="200" spans="1:26" x14ac:dyDescent="0.25">
      <c r="A200">
        <v>2020</v>
      </c>
      <c r="B200" t="s">
        <v>1400</v>
      </c>
      <c r="C200" t="s">
        <v>621</v>
      </c>
      <c r="D200" s="1">
        <v>110001855635</v>
      </c>
      <c r="E200" t="s">
        <v>397</v>
      </c>
      <c r="F200" t="s">
        <v>398</v>
      </c>
      <c r="G200" t="s">
        <v>620</v>
      </c>
      <c r="H200" t="s">
        <v>138</v>
      </c>
      <c r="I200" t="s">
        <v>1401</v>
      </c>
      <c r="J200">
        <v>36.866140000000001</v>
      </c>
      <c r="K200">
        <v>-88.342470000000006</v>
      </c>
      <c r="L200">
        <v>4952</v>
      </c>
      <c r="M200" s="175" t="str">
        <f>VLOOKUP(L200, '2022 SIC to NAICS'!A:D, 2)</f>
        <v>Manufacturing Industries, Nec</v>
      </c>
      <c r="N200" s="184">
        <f>VLOOKUP(L200, '2022 SIC to NAICS'!A:D, 3)</f>
        <v>339999</v>
      </c>
      <c r="O200" s="184" t="str">
        <f>VLOOKUP(L200, '2022 SIC to NAICS'!A:D, 4)</f>
        <v xml:space="preserve">All Other Miscellaneous Manufacturing </v>
      </c>
      <c r="P200" s="185" t="str">
        <f>VLOOKUP(N200, 'NAICS OES crosswalk'!A:C, 3, FALSE)</f>
        <v>TBD</v>
      </c>
      <c r="T200" s="186" t="s">
        <v>1262</v>
      </c>
      <c r="U200" t="s">
        <v>622</v>
      </c>
      <c r="V200">
        <v>5.7747745000000004</v>
      </c>
      <c r="X200" t="b">
        <f t="shared" si="3"/>
        <v>0</v>
      </c>
      <c r="Y200" s="186" t="s">
        <v>1402</v>
      </c>
      <c r="Z200" t="s">
        <v>1403</v>
      </c>
    </row>
    <row r="201" spans="1:26" x14ac:dyDescent="0.25">
      <c r="A201">
        <v>2020</v>
      </c>
      <c r="B201" t="s">
        <v>1400</v>
      </c>
      <c r="C201" t="s">
        <v>1021</v>
      </c>
      <c r="D201" s="1">
        <v>110000732253</v>
      </c>
      <c r="E201" t="s">
        <v>147</v>
      </c>
      <c r="F201" t="s">
        <v>148</v>
      </c>
      <c r="G201" t="s">
        <v>1020</v>
      </c>
      <c r="H201" t="s">
        <v>138</v>
      </c>
      <c r="I201" t="s">
        <v>1401</v>
      </c>
      <c r="J201">
        <v>37.845027999999999</v>
      </c>
      <c r="K201">
        <v>-85.940962999999996</v>
      </c>
      <c r="L201">
        <v>4952</v>
      </c>
      <c r="M201" s="175" t="str">
        <f>VLOOKUP(L201, '2022 SIC to NAICS'!A:D, 2)</f>
        <v>Manufacturing Industries, Nec</v>
      </c>
      <c r="N201" s="184">
        <f>VLOOKUP(L201, '2022 SIC to NAICS'!A:D, 3)</f>
        <v>339999</v>
      </c>
      <c r="O201" s="184" t="str">
        <f>VLOOKUP(L201, '2022 SIC to NAICS'!A:D, 4)</f>
        <v xml:space="preserve">All Other Miscellaneous Manufacturing </v>
      </c>
      <c r="P201" s="185" t="str">
        <f>VLOOKUP(N201, 'NAICS OES crosswalk'!A:C, 3, FALSE)</f>
        <v>TBD</v>
      </c>
      <c r="T201" s="186" t="s">
        <v>1185</v>
      </c>
      <c r="U201" t="s">
        <v>1022</v>
      </c>
      <c r="V201">
        <v>8.2511580625000001</v>
      </c>
      <c r="X201" t="b">
        <f t="shared" si="3"/>
        <v>0</v>
      </c>
      <c r="Y201" s="186" t="s">
        <v>1402</v>
      </c>
      <c r="Z201" t="s">
        <v>1403</v>
      </c>
    </row>
    <row r="202" spans="1:26" x14ac:dyDescent="0.25">
      <c r="A202">
        <v>2020</v>
      </c>
      <c r="B202" t="s">
        <v>1400</v>
      </c>
      <c r="C202" t="s">
        <v>699</v>
      </c>
      <c r="D202" s="1">
        <v>110001075345</v>
      </c>
      <c r="E202" t="s">
        <v>299</v>
      </c>
      <c r="F202" t="s">
        <v>300</v>
      </c>
      <c r="G202" t="s">
        <v>697</v>
      </c>
      <c r="H202" t="s">
        <v>268</v>
      </c>
      <c r="I202" t="s">
        <v>1405</v>
      </c>
      <c r="J202">
        <v>40.700989999999997</v>
      </c>
      <c r="K202">
        <v>-75.214780000000005</v>
      </c>
      <c r="L202">
        <v>4953</v>
      </c>
      <c r="M202" s="175" t="str">
        <f>VLOOKUP(L202, '2022 SIC to NAICS'!A:D, 2)</f>
        <v>Manufacturing Industries, Nec</v>
      </c>
      <c r="N202" s="184">
        <f>VLOOKUP(L202, '2022 SIC to NAICS'!A:D, 3)</f>
        <v>339999</v>
      </c>
      <c r="O202" s="184" t="str">
        <f>VLOOKUP(L202, '2022 SIC to NAICS'!A:D, 4)</f>
        <v xml:space="preserve">All Other Miscellaneous Manufacturing </v>
      </c>
      <c r="P202" s="185" t="str">
        <f>VLOOKUP(N202, 'NAICS OES crosswalk'!A:C, 3, FALSE)</f>
        <v>TBD</v>
      </c>
      <c r="T202" s="186" t="s">
        <v>1233</v>
      </c>
      <c r="U202" t="s">
        <v>700</v>
      </c>
      <c r="V202">
        <v>5.2563809000000003E-2</v>
      </c>
      <c r="X202" t="b">
        <f t="shared" si="3"/>
        <v>0</v>
      </c>
      <c r="Y202" s="186" t="s">
        <v>1402</v>
      </c>
      <c r="Z202" t="s">
        <v>1403</v>
      </c>
    </row>
    <row r="203" spans="1:26" x14ac:dyDescent="0.25">
      <c r="A203">
        <v>2020</v>
      </c>
      <c r="B203" t="s">
        <v>1400</v>
      </c>
      <c r="C203" t="s">
        <v>1412</v>
      </c>
      <c r="D203" s="1">
        <v>110041245015</v>
      </c>
      <c r="E203" t="s">
        <v>1413</v>
      </c>
      <c r="F203" t="s">
        <v>1414</v>
      </c>
      <c r="G203" t="s">
        <v>683</v>
      </c>
      <c r="H203" t="s">
        <v>364</v>
      </c>
      <c r="I203" t="s">
        <v>1405</v>
      </c>
      <c r="J203">
        <v>39.567390000000003</v>
      </c>
      <c r="K203">
        <v>-76.920410000000004</v>
      </c>
      <c r="L203"/>
      <c r="M203" s="175" t="e">
        <f>VLOOKUP(L203, '2022 SIC to NAICS'!A:D, 2)</f>
        <v>#N/A</v>
      </c>
      <c r="N203" s="184" t="e">
        <f>VLOOKUP(L203, '2022 SIC to NAICS'!A:D, 3)</f>
        <v>#N/A</v>
      </c>
      <c r="O203" s="184" t="e">
        <f>VLOOKUP(L203, '2022 SIC to NAICS'!A:D, 4)</f>
        <v>#N/A</v>
      </c>
      <c r="P203" s="185" t="e">
        <f>VLOOKUP(N203, 'NAICS OES crosswalk'!A:C, 3, FALSE)</f>
        <v>#N/A</v>
      </c>
      <c r="T203" s="186" t="s">
        <v>1415</v>
      </c>
      <c r="U203" t="s">
        <v>1416</v>
      </c>
      <c r="V203">
        <v>7.5638493749999997E-4</v>
      </c>
      <c r="X203" t="b">
        <f t="shared" si="3"/>
        <v>1</v>
      </c>
      <c r="Y203" s="186" t="s">
        <v>1402</v>
      </c>
      <c r="Z203" t="s">
        <v>1403</v>
      </c>
    </row>
    <row r="204" spans="1:26" x14ac:dyDescent="0.25">
      <c r="A204">
        <v>2020</v>
      </c>
      <c r="B204" t="s">
        <v>1400</v>
      </c>
      <c r="C204" t="s">
        <v>1089</v>
      </c>
      <c r="D204" s="1">
        <v>110000597426</v>
      </c>
      <c r="E204" t="s">
        <v>246</v>
      </c>
      <c r="F204" t="s">
        <v>194</v>
      </c>
      <c r="G204" t="s">
        <v>1087</v>
      </c>
      <c r="H204" t="s">
        <v>106</v>
      </c>
      <c r="I204" t="s">
        <v>1401</v>
      </c>
      <c r="J204">
        <v>30.241299999999999</v>
      </c>
      <c r="K204">
        <v>-91.100899999999996</v>
      </c>
      <c r="L204">
        <v>2819</v>
      </c>
      <c r="M204" s="175" t="str">
        <f>VLOOKUP(L204, '2022 SIC to NAICS'!A:D, 2)</f>
        <v>Platemaking Services</v>
      </c>
      <c r="N204" s="184">
        <f>VLOOKUP(L204, '2022 SIC to NAICS'!A:D, 3)</f>
        <v>323120</v>
      </c>
      <c r="O204" s="184" t="str">
        <f>VLOOKUP(L204, '2022 SIC to NAICS'!A:D, 4)</f>
        <v>Support Activities for Printing</v>
      </c>
      <c r="P204" s="185" t="str">
        <f>VLOOKUP(N204, 'NAICS OES crosswalk'!A:C, 3, FALSE)</f>
        <v>TBD</v>
      </c>
      <c r="T204" s="186" t="s">
        <v>1196</v>
      </c>
      <c r="U204" t="s">
        <v>1090</v>
      </c>
      <c r="V204">
        <v>0.82855000000000001</v>
      </c>
      <c r="X204" t="b">
        <f t="shared" si="3"/>
        <v>0</v>
      </c>
      <c r="Y204">
        <v>301</v>
      </c>
      <c r="Z204" t="s">
        <v>1403</v>
      </c>
    </row>
    <row r="205" spans="1:26" x14ac:dyDescent="0.25">
      <c r="A205">
        <v>2020</v>
      </c>
      <c r="B205" t="s">
        <v>1400</v>
      </c>
      <c r="C205" t="s">
        <v>734</v>
      </c>
      <c r="D205" s="1">
        <v>110000732379</v>
      </c>
      <c r="E205" t="s">
        <v>295</v>
      </c>
      <c r="F205" t="s">
        <v>235</v>
      </c>
      <c r="G205" t="s">
        <v>600</v>
      </c>
      <c r="H205" t="s">
        <v>138</v>
      </c>
      <c r="I205" t="s">
        <v>1401</v>
      </c>
      <c r="J205">
        <v>38.08614</v>
      </c>
      <c r="K205">
        <v>-85.898780000000002</v>
      </c>
      <c r="L205">
        <v>4952</v>
      </c>
      <c r="M205" s="175" t="str">
        <f>VLOOKUP(L205, '2022 SIC to NAICS'!A:D, 2)</f>
        <v>Manufacturing Industries, Nec</v>
      </c>
      <c r="N205" s="184">
        <f>VLOOKUP(L205, '2022 SIC to NAICS'!A:D, 3)</f>
        <v>339999</v>
      </c>
      <c r="O205" s="184" t="str">
        <f>VLOOKUP(L205, '2022 SIC to NAICS'!A:D, 4)</f>
        <v xml:space="preserve">All Other Miscellaneous Manufacturing </v>
      </c>
      <c r="P205" s="185" t="str">
        <f>VLOOKUP(N205, 'NAICS OES crosswalk'!A:C, 3, FALSE)</f>
        <v>TBD</v>
      </c>
      <c r="T205" s="186" t="s">
        <v>1230</v>
      </c>
      <c r="U205" t="s">
        <v>735</v>
      </c>
      <c r="V205">
        <v>167.30267749999999</v>
      </c>
      <c r="X205" t="b">
        <f t="shared" si="3"/>
        <v>0</v>
      </c>
      <c r="Y205" s="186" t="s">
        <v>1402</v>
      </c>
      <c r="Z205" t="s">
        <v>1403</v>
      </c>
    </row>
    <row r="206" spans="1:26" x14ac:dyDescent="0.25">
      <c r="A206">
        <v>2020</v>
      </c>
      <c r="B206" t="s">
        <v>1400</v>
      </c>
      <c r="C206" t="s">
        <v>1010</v>
      </c>
      <c r="D206" s="1">
        <v>110006644872</v>
      </c>
      <c r="E206" t="s">
        <v>349</v>
      </c>
      <c r="F206" t="s">
        <v>350</v>
      </c>
      <c r="G206" t="s">
        <v>677</v>
      </c>
      <c r="H206" t="s">
        <v>138</v>
      </c>
      <c r="I206" t="s">
        <v>1401</v>
      </c>
      <c r="J206">
        <v>37.491857000000003</v>
      </c>
      <c r="K206">
        <v>-82.539703000000003</v>
      </c>
      <c r="L206">
        <v>4952</v>
      </c>
      <c r="M206" s="175" t="str">
        <f>VLOOKUP(L206, '2022 SIC to NAICS'!A:D, 2)</f>
        <v>Manufacturing Industries, Nec</v>
      </c>
      <c r="N206" s="184">
        <f>VLOOKUP(L206, '2022 SIC to NAICS'!A:D, 3)</f>
        <v>339999</v>
      </c>
      <c r="O206" s="184" t="str">
        <f>VLOOKUP(L206, '2022 SIC to NAICS'!A:D, 4)</f>
        <v xml:space="preserve">All Other Miscellaneous Manufacturing </v>
      </c>
      <c r="P206" s="185" t="str">
        <f>VLOOKUP(N206, 'NAICS OES crosswalk'!A:C, 3, FALSE)</f>
        <v>TBD</v>
      </c>
      <c r="T206" s="186" t="s">
        <v>1248</v>
      </c>
      <c r="U206" t="s">
        <v>1011</v>
      </c>
      <c r="V206">
        <v>1.3628744125000001</v>
      </c>
      <c r="X206" t="b">
        <f t="shared" si="3"/>
        <v>0</v>
      </c>
      <c r="Y206" s="186" t="s">
        <v>1402</v>
      </c>
      <c r="Z206" t="s">
        <v>1403</v>
      </c>
    </row>
    <row r="207" spans="1:26" x14ac:dyDescent="0.25">
      <c r="A207">
        <v>2020</v>
      </c>
      <c r="B207" t="s">
        <v>1400</v>
      </c>
      <c r="C207" t="s">
        <v>1455</v>
      </c>
      <c r="D207" s="1">
        <v>110037274133</v>
      </c>
      <c r="E207" t="s">
        <v>1456</v>
      </c>
      <c r="F207" t="s">
        <v>157</v>
      </c>
      <c r="G207" t="s">
        <v>554</v>
      </c>
      <c r="H207" t="s">
        <v>158</v>
      </c>
      <c r="I207" t="s">
        <v>1405</v>
      </c>
      <c r="J207">
        <v>36.119079999999997</v>
      </c>
      <c r="K207">
        <v>-115.15727</v>
      </c>
      <c r="L207">
        <v>6512</v>
      </c>
      <c r="M207" s="175" t="str">
        <f>VLOOKUP(L207, '2022 SIC to NAICS'!A:D, 2)</f>
        <v>Communication Services, Nec</v>
      </c>
      <c r="N207" s="184">
        <f>VLOOKUP(L207, '2022 SIC to NAICS'!A:D, 3)</f>
        <v>517810</v>
      </c>
      <c r="O207" s="184" t="str">
        <f>VLOOKUP(L207, '2022 SIC to NAICS'!A:D, 4)</f>
        <v xml:space="preserve">All Other Telecommunications </v>
      </c>
      <c r="P207" s="185" t="str">
        <f>VLOOKUP(N207, 'NAICS OES crosswalk'!A:C, 3, FALSE)</f>
        <v>TBD</v>
      </c>
      <c r="T207">
        <v>150100150505</v>
      </c>
      <c r="U207" t="s">
        <v>557</v>
      </c>
      <c r="V207">
        <v>2.3036929374999999E-3</v>
      </c>
      <c r="X207" t="b">
        <f t="shared" si="3"/>
        <v>1</v>
      </c>
      <c r="Y207" s="186" t="s">
        <v>1402</v>
      </c>
      <c r="Z207" t="s">
        <v>1403</v>
      </c>
    </row>
    <row r="208" spans="1:26" x14ac:dyDescent="0.25">
      <c r="A208">
        <v>2020</v>
      </c>
      <c r="B208" t="s">
        <v>1400</v>
      </c>
      <c r="C208" t="s">
        <v>1047</v>
      </c>
      <c r="D208" s="1">
        <v>110000403670</v>
      </c>
      <c r="E208" t="s">
        <v>290</v>
      </c>
      <c r="F208" t="s">
        <v>291</v>
      </c>
      <c r="G208" t="s">
        <v>1046</v>
      </c>
      <c r="H208" t="s">
        <v>292</v>
      </c>
      <c r="I208" t="s">
        <v>1401</v>
      </c>
      <c r="J208">
        <v>37.907200000000003</v>
      </c>
      <c r="K208">
        <v>-87.927099999999996</v>
      </c>
      <c r="L208">
        <v>2821</v>
      </c>
      <c r="M208" s="175" t="str">
        <f>VLOOKUP(L208, '2022 SIC to NAICS'!A:D, 2)</f>
        <v>Platemaking Services</v>
      </c>
      <c r="N208" s="184">
        <f>VLOOKUP(L208, '2022 SIC to NAICS'!A:D, 3)</f>
        <v>323120</v>
      </c>
      <c r="O208" s="184" t="str">
        <f>VLOOKUP(L208, '2022 SIC to NAICS'!A:D, 4)</f>
        <v>Support Activities for Printing</v>
      </c>
      <c r="P208" s="185" t="str">
        <f>VLOOKUP(N208, 'NAICS OES crosswalk'!A:C, 3, FALSE)</f>
        <v>TBD</v>
      </c>
      <c r="T208" s="186" t="s">
        <v>1228</v>
      </c>
      <c r="U208" t="s">
        <v>1048</v>
      </c>
      <c r="V208">
        <v>7.5182399999999996</v>
      </c>
      <c r="X208" t="b">
        <f t="shared" si="3"/>
        <v>0</v>
      </c>
      <c r="Y208" s="186" t="s">
        <v>1406</v>
      </c>
      <c r="Z208" t="s">
        <v>1403</v>
      </c>
    </row>
    <row r="209" spans="1:26" x14ac:dyDescent="0.25">
      <c r="A209">
        <v>2020</v>
      </c>
      <c r="B209" t="s">
        <v>1400</v>
      </c>
      <c r="C209" t="s">
        <v>951</v>
      </c>
      <c r="D209" s="1">
        <v>110064612557</v>
      </c>
      <c r="E209" t="s">
        <v>399</v>
      </c>
      <c r="F209" t="s">
        <v>400</v>
      </c>
      <c r="G209" t="s">
        <v>950</v>
      </c>
      <c r="H209" t="s">
        <v>138</v>
      </c>
      <c r="I209" t="s">
        <v>1401</v>
      </c>
      <c r="J209">
        <v>37.671391</v>
      </c>
      <c r="K209">
        <v>-87.828888000000006</v>
      </c>
      <c r="L209">
        <v>4952</v>
      </c>
      <c r="M209" s="175" t="str">
        <f>VLOOKUP(L209, '2022 SIC to NAICS'!A:D, 2)</f>
        <v>Manufacturing Industries, Nec</v>
      </c>
      <c r="N209" s="184">
        <f>VLOOKUP(L209, '2022 SIC to NAICS'!A:D, 3)</f>
        <v>339999</v>
      </c>
      <c r="O209" s="184" t="str">
        <f>VLOOKUP(L209, '2022 SIC to NAICS'!A:D, 4)</f>
        <v xml:space="preserve">All Other Miscellaneous Manufacturing </v>
      </c>
      <c r="P209" s="185" t="str">
        <f>VLOOKUP(N209, 'NAICS OES crosswalk'!A:C, 3, FALSE)</f>
        <v>TBD</v>
      </c>
      <c r="T209" s="186" t="s">
        <v>1263</v>
      </c>
      <c r="U209" t="s">
        <v>952</v>
      </c>
      <c r="V209">
        <v>5.2463411874999997</v>
      </c>
      <c r="X209" t="b">
        <f t="shared" si="3"/>
        <v>0</v>
      </c>
      <c r="Y209" s="186" t="s">
        <v>1402</v>
      </c>
      <c r="Z209" t="s">
        <v>1403</v>
      </c>
    </row>
    <row r="210" spans="1:26" x14ac:dyDescent="0.25">
      <c r="A210">
        <v>2020</v>
      </c>
      <c r="B210" t="s">
        <v>1400</v>
      </c>
      <c r="C210" t="s">
        <v>583</v>
      </c>
      <c r="D210" s="1">
        <v>110000846602</v>
      </c>
      <c r="E210" t="s">
        <v>401</v>
      </c>
      <c r="F210" t="s">
        <v>402</v>
      </c>
      <c r="G210" t="s">
        <v>402</v>
      </c>
      <c r="H210" t="s">
        <v>106</v>
      </c>
      <c r="I210" t="s">
        <v>1405</v>
      </c>
      <c r="J210">
        <v>30.27083</v>
      </c>
      <c r="K210">
        <v>-92.037279999999996</v>
      </c>
      <c r="L210">
        <v>2821</v>
      </c>
      <c r="M210" s="175" t="str">
        <f>VLOOKUP(L210, '2022 SIC to NAICS'!A:D, 2)</f>
        <v>Platemaking Services</v>
      </c>
      <c r="N210" s="184">
        <f>VLOOKUP(L210, '2022 SIC to NAICS'!A:D, 3)</f>
        <v>323120</v>
      </c>
      <c r="O210" s="184" t="str">
        <f>VLOOKUP(L210, '2022 SIC to NAICS'!A:D, 4)</f>
        <v>Support Activities for Printing</v>
      </c>
      <c r="P210" s="185" t="str">
        <f>VLOOKUP(N210, 'NAICS OES crosswalk'!A:C, 3, FALSE)</f>
        <v>TBD</v>
      </c>
      <c r="T210" s="186" t="s">
        <v>1264</v>
      </c>
      <c r="U210" t="s">
        <v>584</v>
      </c>
      <c r="V210">
        <v>2.6525279999999999E-3</v>
      </c>
      <c r="X210" t="b">
        <f t="shared" si="3"/>
        <v>0</v>
      </c>
      <c r="Y210" s="186" t="s">
        <v>1402</v>
      </c>
    </row>
    <row r="211" spans="1:26" x14ac:dyDescent="0.25">
      <c r="A211">
        <v>2020</v>
      </c>
      <c r="B211" t="s">
        <v>1400</v>
      </c>
      <c r="C211" t="s">
        <v>840</v>
      </c>
      <c r="D211" s="1">
        <v>110064616296</v>
      </c>
      <c r="E211" t="s">
        <v>337</v>
      </c>
      <c r="F211" t="s">
        <v>338</v>
      </c>
      <c r="G211" t="s">
        <v>839</v>
      </c>
      <c r="H211" t="s">
        <v>146</v>
      </c>
      <c r="I211" t="s">
        <v>1405</v>
      </c>
      <c r="J211">
        <v>38.273180000000004</v>
      </c>
      <c r="K211">
        <v>-120.91082</v>
      </c>
      <c r="L211">
        <v>4952</v>
      </c>
      <c r="M211" s="175" t="str">
        <f>VLOOKUP(L211, '2022 SIC to NAICS'!A:D, 2)</f>
        <v>Manufacturing Industries, Nec</v>
      </c>
      <c r="N211" s="184">
        <f>VLOOKUP(L211, '2022 SIC to NAICS'!A:D, 3)</f>
        <v>339999</v>
      </c>
      <c r="O211" s="184" t="str">
        <f>VLOOKUP(L211, '2022 SIC to NAICS'!A:D, 4)</f>
        <v xml:space="preserve">All Other Miscellaneous Manufacturing </v>
      </c>
      <c r="P211" s="185" t="str">
        <f>VLOOKUP(N211, 'NAICS OES crosswalk'!A:C, 3, FALSE)</f>
        <v>TBD</v>
      </c>
      <c r="T211">
        <v>180400120703</v>
      </c>
      <c r="U211" t="s">
        <v>841</v>
      </c>
      <c r="V211">
        <v>5.1807187500000004E-3</v>
      </c>
      <c r="X211" t="b">
        <f t="shared" si="3"/>
        <v>0</v>
      </c>
      <c r="Y211" s="186" t="s">
        <v>1402</v>
      </c>
      <c r="Z211" t="s">
        <v>1403</v>
      </c>
    </row>
    <row r="212" spans="1:26" x14ac:dyDescent="0.25">
      <c r="A212">
        <v>2020</v>
      </c>
      <c r="B212" t="s">
        <v>1400</v>
      </c>
      <c r="C212" t="s">
        <v>598</v>
      </c>
      <c r="D212" s="1">
        <v>110070828339</v>
      </c>
      <c r="E212" t="s">
        <v>328</v>
      </c>
      <c r="F212" t="s">
        <v>308</v>
      </c>
      <c r="G212" t="s">
        <v>596</v>
      </c>
      <c r="H212" t="s">
        <v>309</v>
      </c>
      <c r="I212" t="s">
        <v>1401</v>
      </c>
      <c r="J212">
        <v>36.550454999999999</v>
      </c>
      <c r="K212">
        <v>-82.634793999999999</v>
      </c>
      <c r="L212">
        <v>2892</v>
      </c>
      <c r="M212" s="175" t="str">
        <f>VLOOKUP(L212, '2022 SIC to NAICS'!A:D, 2)</f>
        <v>Toilet Preparations</v>
      </c>
      <c r="N212" s="184">
        <f>VLOOKUP(L212, '2022 SIC to NAICS'!A:D, 3)</f>
        <v>325620</v>
      </c>
      <c r="O212" s="184" t="str">
        <f>VLOOKUP(L212, '2022 SIC to NAICS'!A:D, 4)</f>
        <v>Toilet Preparation Manufacturing</v>
      </c>
      <c r="P212" s="185" t="str">
        <f>VLOOKUP(N212, 'NAICS OES crosswalk'!A:C, 3, FALSE)</f>
        <v>Formulation of cleaning and furnishing care products</v>
      </c>
      <c r="T212" s="186" t="s">
        <v>1242</v>
      </c>
      <c r="U212" t="s">
        <v>599</v>
      </c>
      <c r="V212">
        <v>1.077115</v>
      </c>
      <c r="X212" t="b">
        <f t="shared" ref="X212:X275" si="4">V212 &lt;= _xlfn.PERCENTILE.INC($V$147:$V$304, 0.1)</f>
        <v>0</v>
      </c>
      <c r="Y212" s="186" t="s">
        <v>1444</v>
      </c>
      <c r="Z212" t="s">
        <v>1403</v>
      </c>
    </row>
    <row r="213" spans="1:26" x14ac:dyDescent="0.25">
      <c r="A213">
        <v>2020</v>
      </c>
      <c r="B213" t="s">
        <v>1400</v>
      </c>
      <c r="C213" t="s">
        <v>864</v>
      </c>
      <c r="D213" s="1">
        <v>110000748095</v>
      </c>
      <c r="E213" t="s">
        <v>368</v>
      </c>
      <c r="F213" t="s">
        <v>369</v>
      </c>
      <c r="G213" t="s">
        <v>712</v>
      </c>
      <c r="H213" t="s">
        <v>114</v>
      </c>
      <c r="I213" t="s">
        <v>1401</v>
      </c>
      <c r="J213">
        <v>30.311361000000002</v>
      </c>
      <c r="K213">
        <v>-95.387083000000004</v>
      </c>
      <c r="L213">
        <v>2869</v>
      </c>
      <c r="M213" s="175" t="str">
        <f>VLOOKUP(L213, '2022 SIC to NAICS'!A:D, 2)</f>
        <v>Industrial Organic Chemicals, Nec</v>
      </c>
      <c r="N213" s="184">
        <f>VLOOKUP(L213, '2022 SIC to NAICS'!A:D, 3)</f>
        <v>325180</v>
      </c>
      <c r="O213" s="184" t="str">
        <f>VLOOKUP(L213, '2022 SIC to NAICS'!A:D, 4)</f>
        <v xml:space="preserve">Other Basic Inorganic Chemical Manufacturing </v>
      </c>
      <c r="P213" s="185" t="str">
        <f>VLOOKUP(N213, 'NAICS OES crosswalk'!A:C, 3, FALSE)</f>
        <v>Processing as a reactant</v>
      </c>
      <c r="T213">
        <v>120401010403</v>
      </c>
      <c r="U213" t="s">
        <v>865</v>
      </c>
      <c r="V213">
        <v>1.193112</v>
      </c>
      <c r="X213" t="b">
        <f t="shared" si="4"/>
        <v>0</v>
      </c>
      <c r="Y213" s="186" t="s">
        <v>1404</v>
      </c>
    </row>
    <row r="214" spans="1:26" x14ac:dyDescent="0.25">
      <c r="A214">
        <v>2020</v>
      </c>
      <c r="B214" t="s">
        <v>1400</v>
      </c>
      <c r="C214" t="s">
        <v>980</v>
      </c>
      <c r="D214" s="1">
        <v>110000575244</v>
      </c>
      <c r="E214" t="s">
        <v>403</v>
      </c>
      <c r="F214" t="s">
        <v>404</v>
      </c>
      <c r="G214" t="s">
        <v>979</v>
      </c>
      <c r="H214" t="s">
        <v>106</v>
      </c>
      <c r="I214" t="s">
        <v>1401</v>
      </c>
      <c r="J214">
        <v>29.808250000000001</v>
      </c>
      <c r="K214">
        <v>-90.01</v>
      </c>
      <c r="L214">
        <v>2869</v>
      </c>
      <c r="M214" s="175" t="str">
        <f>VLOOKUP(L214, '2022 SIC to NAICS'!A:D, 2)</f>
        <v>Industrial Organic Chemicals, Nec</v>
      </c>
      <c r="N214" s="184">
        <f>VLOOKUP(L214, '2022 SIC to NAICS'!A:D, 3)</f>
        <v>325180</v>
      </c>
      <c r="O214" s="184" t="str">
        <f>VLOOKUP(L214, '2022 SIC to NAICS'!A:D, 4)</f>
        <v xml:space="preserve">Other Basic Inorganic Chemical Manufacturing </v>
      </c>
      <c r="P214" s="185" t="str">
        <f>VLOOKUP(N214, 'NAICS OES crosswalk'!A:C, 3, FALSE)</f>
        <v>Processing as a reactant</v>
      </c>
      <c r="T214" s="186" t="s">
        <v>1265</v>
      </c>
      <c r="U214" t="s">
        <v>981</v>
      </c>
      <c r="V214">
        <v>3.1064280387500001E-2</v>
      </c>
      <c r="X214" t="b">
        <f t="shared" si="4"/>
        <v>0</v>
      </c>
      <c r="Y214" s="186" t="s">
        <v>1428</v>
      </c>
    </row>
    <row r="215" spans="1:26" x14ac:dyDescent="0.25">
      <c r="A215">
        <v>2020</v>
      </c>
      <c r="B215" t="s">
        <v>1400</v>
      </c>
      <c r="C215" t="s">
        <v>1080</v>
      </c>
      <c r="D215" s="1">
        <v>110013317614</v>
      </c>
      <c r="E215" t="s">
        <v>405</v>
      </c>
      <c r="F215" t="s">
        <v>406</v>
      </c>
      <c r="G215" t="s">
        <v>731</v>
      </c>
      <c r="H215" t="s">
        <v>153</v>
      </c>
      <c r="I215" t="s">
        <v>1401</v>
      </c>
      <c r="J215">
        <v>39.845474000000003</v>
      </c>
      <c r="K215">
        <v>-75.209485999999998</v>
      </c>
      <c r="L215">
        <v>2821</v>
      </c>
      <c r="M215" s="175" t="str">
        <f>VLOOKUP(L215, '2022 SIC to NAICS'!A:D, 2)</f>
        <v>Platemaking Services</v>
      </c>
      <c r="N215" s="184">
        <f>VLOOKUP(L215, '2022 SIC to NAICS'!A:D, 3)</f>
        <v>323120</v>
      </c>
      <c r="O215" s="184" t="str">
        <f>VLOOKUP(L215, '2022 SIC to NAICS'!A:D, 4)</f>
        <v>Support Activities for Printing</v>
      </c>
      <c r="P215" s="185" t="str">
        <f>VLOOKUP(N215, 'NAICS OES crosswalk'!A:C, 3, FALSE)</f>
        <v>TBD</v>
      </c>
      <c r="T215" s="186" t="s">
        <v>1195</v>
      </c>
      <c r="U215" t="s">
        <v>852</v>
      </c>
      <c r="V215">
        <v>8.8350000000000008E-3</v>
      </c>
      <c r="X215" t="b">
        <f t="shared" si="4"/>
        <v>0</v>
      </c>
      <c r="Y215" s="186" t="s">
        <v>1402</v>
      </c>
      <c r="Z215" t="s">
        <v>1403</v>
      </c>
    </row>
    <row r="216" spans="1:26" x14ac:dyDescent="0.25">
      <c r="A216">
        <v>2020</v>
      </c>
      <c r="B216" t="s">
        <v>1400</v>
      </c>
      <c r="C216" t="s">
        <v>628</v>
      </c>
      <c r="D216" s="1">
        <v>110040000398</v>
      </c>
      <c r="E216" t="s">
        <v>407</v>
      </c>
      <c r="F216" t="s">
        <v>298</v>
      </c>
      <c r="G216" t="s">
        <v>627</v>
      </c>
      <c r="H216" t="s">
        <v>138</v>
      </c>
      <c r="I216" t="s">
        <v>1401</v>
      </c>
      <c r="J216">
        <v>37.608496000000002</v>
      </c>
      <c r="K216">
        <v>-84.287074000000004</v>
      </c>
      <c r="L216">
        <v>4952</v>
      </c>
      <c r="M216" s="175" t="str">
        <f>VLOOKUP(L216, '2022 SIC to NAICS'!A:D, 2)</f>
        <v>Manufacturing Industries, Nec</v>
      </c>
      <c r="N216" s="184">
        <f>VLOOKUP(L216, '2022 SIC to NAICS'!A:D, 3)</f>
        <v>339999</v>
      </c>
      <c r="O216" s="184" t="str">
        <f>VLOOKUP(L216, '2022 SIC to NAICS'!A:D, 4)</f>
        <v xml:space="preserve">All Other Miscellaneous Manufacturing </v>
      </c>
      <c r="P216" s="185" t="str">
        <f>VLOOKUP(N216, 'NAICS OES crosswalk'!A:C, 3, FALSE)</f>
        <v>TBD</v>
      </c>
      <c r="T216" s="186" t="s">
        <v>1266</v>
      </c>
      <c r="U216" t="s">
        <v>629</v>
      </c>
      <c r="V216">
        <v>2.8480137874999998</v>
      </c>
      <c r="X216" t="b">
        <f t="shared" si="4"/>
        <v>0</v>
      </c>
      <c r="Y216" s="186" t="s">
        <v>1402</v>
      </c>
      <c r="Z216" t="s">
        <v>1403</v>
      </c>
    </row>
    <row r="217" spans="1:26" x14ac:dyDescent="0.25">
      <c r="A217">
        <v>2020</v>
      </c>
      <c r="B217" t="s">
        <v>1400</v>
      </c>
      <c r="C217" t="s">
        <v>1078</v>
      </c>
      <c r="D217" s="1">
        <v>110000572782</v>
      </c>
      <c r="E217" t="s">
        <v>163</v>
      </c>
      <c r="F217" t="s">
        <v>164</v>
      </c>
      <c r="G217" t="s">
        <v>1077</v>
      </c>
      <c r="H217" t="s">
        <v>135</v>
      </c>
      <c r="I217" t="s">
        <v>1401</v>
      </c>
      <c r="J217">
        <v>39.599829999999997</v>
      </c>
      <c r="K217">
        <v>-79.97148</v>
      </c>
      <c r="L217">
        <v>2869</v>
      </c>
      <c r="M217" s="175" t="str">
        <f>VLOOKUP(L217, '2022 SIC to NAICS'!A:D, 2)</f>
        <v>Industrial Organic Chemicals, Nec</v>
      </c>
      <c r="N217" s="184">
        <f>VLOOKUP(L217, '2022 SIC to NAICS'!A:D, 3)</f>
        <v>325180</v>
      </c>
      <c r="O217" s="184" t="str">
        <f>VLOOKUP(L217, '2022 SIC to NAICS'!A:D, 4)</f>
        <v xml:space="preserve">Other Basic Inorganic Chemical Manufacturing </v>
      </c>
      <c r="P217" s="185" t="str">
        <f>VLOOKUP(N217, 'NAICS OES crosswalk'!A:C, 3, FALSE)</f>
        <v>Processing as a reactant</v>
      </c>
      <c r="T217" s="186" t="s">
        <v>1190</v>
      </c>
      <c r="U217" t="s">
        <v>1079</v>
      </c>
      <c r="V217">
        <v>0.74926344</v>
      </c>
      <c r="X217" t="b">
        <f t="shared" si="4"/>
        <v>0</v>
      </c>
      <c r="Y217" s="186" t="s">
        <v>1402</v>
      </c>
    </row>
    <row r="218" spans="1:26" x14ac:dyDescent="0.25">
      <c r="A218">
        <v>2020</v>
      </c>
      <c r="B218" t="s">
        <v>1400</v>
      </c>
      <c r="C218" t="s">
        <v>1452</v>
      </c>
      <c r="D218" s="1">
        <v>110059861065</v>
      </c>
      <c r="E218" t="s">
        <v>1453</v>
      </c>
      <c r="F218" t="s">
        <v>157</v>
      </c>
      <c r="G218" t="s">
        <v>554</v>
      </c>
      <c r="H218" t="s">
        <v>158</v>
      </c>
      <c r="I218" t="s">
        <v>1405</v>
      </c>
      <c r="J218">
        <v>36.108890000000002</v>
      </c>
      <c r="K218">
        <v>-115.18118</v>
      </c>
      <c r="L218">
        <v>6531</v>
      </c>
      <c r="M218" s="175" t="str">
        <f>VLOOKUP(L218, '2022 SIC to NAICS'!A:D, 2)</f>
        <v>Communication Services, Nec</v>
      </c>
      <c r="N218" s="184">
        <f>VLOOKUP(L218, '2022 SIC to NAICS'!A:D, 3)</f>
        <v>517810</v>
      </c>
      <c r="O218" s="184" t="str">
        <f>VLOOKUP(L218, '2022 SIC to NAICS'!A:D, 4)</f>
        <v xml:space="preserve">All Other Telecommunications </v>
      </c>
      <c r="P218" s="185" t="str">
        <f>VLOOKUP(N218, 'NAICS OES crosswalk'!A:C, 3, FALSE)</f>
        <v>TBD</v>
      </c>
      <c r="T218">
        <v>150100150505</v>
      </c>
      <c r="U218" t="s">
        <v>557</v>
      </c>
      <c r="V218">
        <v>7.0803156250000005E-4</v>
      </c>
      <c r="X218" t="b">
        <f t="shared" si="4"/>
        <v>1</v>
      </c>
      <c r="Y218" s="186" t="s">
        <v>1404</v>
      </c>
      <c r="Z218" t="s">
        <v>1403</v>
      </c>
    </row>
    <row r="219" spans="1:26" x14ac:dyDescent="0.25">
      <c r="A219">
        <v>2020</v>
      </c>
      <c r="B219" t="s">
        <v>1400</v>
      </c>
      <c r="C219" t="s">
        <v>772</v>
      </c>
      <c r="D219" s="1">
        <v>110000433013</v>
      </c>
      <c r="E219" t="s">
        <v>223</v>
      </c>
      <c r="F219" t="s">
        <v>224</v>
      </c>
      <c r="G219" t="s">
        <v>771</v>
      </c>
      <c r="H219" t="s">
        <v>141</v>
      </c>
      <c r="I219" t="s">
        <v>1401</v>
      </c>
      <c r="J219">
        <v>41.412897000000001</v>
      </c>
      <c r="K219">
        <v>-88.329773000000003</v>
      </c>
      <c r="L219">
        <v>2821</v>
      </c>
      <c r="M219" s="175" t="str">
        <f>VLOOKUP(L219, '2022 SIC to NAICS'!A:D, 2)</f>
        <v>Platemaking Services</v>
      </c>
      <c r="N219" s="184">
        <f>VLOOKUP(L219, '2022 SIC to NAICS'!A:D, 3)</f>
        <v>323120</v>
      </c>
      <c r="O219" s="184" t="str">
        <f>VLOOKUP(L219, '2022 SIC to NAICS'!A:D, 4)</f>
        <v>Support Activities for Printing</v>
      </c>
      <c r="P219" s="185" t="str">
        <f>VLOOKUP(N219, 'NAICS OES crosswalk'!A:C, 3, FALSE)</f>
        <v>TBD</v>
      </c>
      <c r="T219" s="186" t="s">
        <v>1202</v>
      </c>
      <c r="U219" t="s">
        <v>773</v>
      </c>
      <c r="V219">
        <v>0.83082</v>
      </c>
      <c r="X219" t="b">
        <f t="shared" si="4"/>
        <v>0</v>
      </c>
      <c r="Y219" s="186" t="s">
        <v>1430</v>
      </c>
      <c r="Z219" t="s">
        <v>1403</v>
      </c>
    </row>
    <row r="220" spans="1:26" x14ac:dyDescent="0.25">
      <c r="A220">
        <v>2020</v>
      </c>
      <c r="B220" t="s">
        <v>1400</v>
      </c>
      <c r="C220" t="s">
        <v>1117</v>
      </c>
      <c r="D220" s="1">
        <v>110004306938</v>
      </c>
      <c r="E220" t="s">
        <v>156</v>
      </c>
      <c r="F220" t="s">
        <v>157</v>
      </c>
      <c r="G220" t="s">
        <v>575</v>
      </c>
      <c r="H220" t="s">
        <v>158</v>
      </c>
      <c r="I220" t="s">
        <v>1405</v>
      </c>
      <c r="J220">
        <v>36.122100000000003</v>
      </c>
      <c r="K220">
        <v>-115.17139</v>
      </c>
      <c r="L220">
        <v>7011</v>
      </c>
      <c r="M220" s="175" t="str">
        <f>VLOOKUP(L220, '2022 SIC to NAICS'!A:D, 2)</f>
        <v>Communication Services, Nec</v>
      </c>
      <c r="N220" s="184">
        <f>VLOOKUP(L220, '2022 SIC to NAICS'!A:D, 3)</f>
        <v>517810</v>
      </c>
      <c r="O220" s="184" t="str">
        <f>VLOOKUP(L220, '2022 SIC to NAICS'!A:D, 4)</f>
        <v xml:space="preserve">All Other Telecommunications </v>
      </c>
      <c r="P220" s="185" t="str">
        <f>VLOOKUP(N220, 'NAICS OES crosswalk'!A:C, 3, FALSE)</f>
        <v>TBD</v>
      </c>
      <c r="T220">
        <v>150100150604</v>
      </c>
      <c r="U220" t="s">
        <v>578</v>
      </c>
      <c r="V220">
        <v>3.1084312499999998E-4</v>
      </c>
      <c r="X220" t="b">
        <f t="shared" si="4"/>
        <v>1</v>
      </c>
      <c r="Y220" s="186" t="s">
        <v>1418</v>
      </c>
      <c r="Z220" t="s">
        <v>1403</v>
      </c>
    </row>
    <row r="221" spans="1:26" x14ac:dyDescent="0.25">
      <c r="A221">
        <v>2020</v>
      </c>
      <c r="B221" t="s">
        <v>1400</v>
      </c>
      <c r="C221" t="s">
        <v>910</v>
      </c>
      <c r="D221" s="1">
        <v>110020039402</v>
      </c>
      <c r="E221" t="s">
        <v>470</v>
      </c>
      <c r="F221" t="s">
        <v>157</v>
      </c>
      <c r="G221" t="s">
        <v>554</v>
      </c>
      <c r="H221" t="s">
        <v>158</v>
      </c>
      <c r="I221" t="s">
        <v>1405</v>
      </c>
      <c r="J221">
        <v>36.137529999999998</v>
      </c>
      <c r="K221">
        <v>-115.15479000000001</v>
      </c>
      <c r="L221">
        <v>7011</v>
      </c>
      <c r="M221" s="175" t="str">
        <f>VLOOKUP(L221, '2022 SIC to NAICS'!A:D, 2)</f>
        <v>Communication Services, Nec</v>
      </c>
      <c r="N221" s="184">
        <f>VLOOKUP(L221, '2022 SIC to NAICS'!A:D, 3)</f>
        <v>517810</v>
      </c>
      <c r="O221" s="184" t="str">
        <f>VLOOKUP(L221, '2022 SIC to NAICS'!A:D, 4)</f>
        <v xml:space="preserve">All Other Telecommunications </v>
      </c>
      <c r="P221" s="185" t="str">
        <f>VLOOKUP(N221, 'NAICS OES crosswalk'!A:C, 3, FALSE)</f>
        <v>TBD</v>
      </c>
      <c r="T221">
        <v>150100150604</v>
      </c>
      <c r="U221" t="s">
        <v>578</v>
      </c>
      <c r="V221">
        <v>2.00586075E-8</v>
      </c>
      <c r="X221" t="b">
        <f t="shared" si="4"/>
        <v>1</v>
      </c>
      <c r="Y221" t="s">
        <v>1426</v>
      </c>
      <c r="Z221" t="s">
        <v>1403</v>
      </c>
    </row>
    <row r="222" spans="1:26" x14ac:dyDescent="0.25">
      <c r="A222">
        <v>2020</v>
      </c>
      <c r="B222" t="s">
        <v>1400</v>
      </c>
      <c r="C222" t="s">
        <v>732</v>
      </c>
      <c r="D222" s="1">
        <v>110000582003</v>
      </c>
      <c r="E222" t="s">
        <v>151</v>
      </c>
      <c r="F222" t="s">
        <v>152</v>
      </c>
      <c r="G222" t="s">
        <v>731</v>
      </c>
      <c r="H222" t="s">
        <v>153</v>
      </c>
      <c r="I222" t="s">
        <v>1401</v>
      </c>
      <c r="J222">
        <v>39.80142</v>
      </c>
      <c r="K222">
        <v>-75.354990000000001</v>
      </c>
      <c r="L222">
        <v>2869</v>
      </c>
      <c r="M222" s="175" t="str">
        <f>VLOOKUP(L222, '2022 SIC to NAICS'!A:D, 2)</f>
        <v>Industrial Organic Chemicals, Nec</v>
      </c>
      <c r="N222" s="184">
        <f>VLOOKUP(L222, '2022 SIC to NAICS'!A:D, 3)</f>
        <v>325180</v>
      </c>
      <c r="O222" s="184" t="str">
        <f>VLOOKUP(L222, '2022 SIC to NAICS'!A:D, 4)</f>
        <v xml:space="preserve">Other Basic Inorganic Chemical Manufacturing </v>
      </c>
      <c r="P222" s="185" t="str">
        <f>VLOOKUP(N222, 'NAICS OES crosswalk'!A:C, 3, FALSE)</f>
        <v>Processing as a reactant</v>
      </c>
      <c r="T222" s="186" t="s">
        <v>1187</v>
      </c>
      <c r="U222" t="s">
        <v>733</v>
      </c>
      <c r="V222">
        <v>0.22900000000000001</v>
      </c>
      <c r="X222" t="b">
        <f t="shared" si="4"/>
        <v>0</v>
      </c>
      <c r="Y222" s="186" t="s">
        <v>1402</v>
      </c>
      <c r="Z222" t="s">
        <v>1403</v>
      </c>
    </row>
    <row r="223" spans="1:26" x14ac:dyDescent="0.25">
      <c r="A223">
        <v>2020</v>
      </c>
      <c r="B223" t="s">
        <v>1400</v>
      </c>
      <c r="C223" t="s">
        <v>1117</v>
      </c>
      <c r="D223" s="1">
        <v>110004306938</v>
      </c>
      <c r="E223" t="s">
        <v>156</v>
      </c>
      <c r="F223" t="s">
        <v>157</v>
      </c>
      <c r="G223" t="s">
        <v>575</v>
      </c>
      <c r="H223" t="s">
        <v>158</v>
      </c>
      <c r="I223" t="s">
        <v>1405</v>
      </c>
      <c r="J223">
        <v>36.122100000000003</v>
      </c>
      <c r="K223">
        <v>-115.17139</v>
      </c>
      <c r="L223">
        <v>7011</v>
      </c>
      <c r="M223" s="175" t="str">
        <f>VLOOKUP(L223, '2022 SIC to NAICS'!A:D, 2)</f>
        <v>Communication Services, Nec</v>
      </c>
      <c r="N223" s="184">
        <f>VLOOKUP(L223, '2022 SIC to NAICS'!A:D, 3)</f>
        <v>517810</v>
      </c>
      <c r="O223" s="184" t="str">
        <f>VLOOKUP(L223, '2022 SIC to NAICS'!A:D, 4)</f>
        <v xml:space="preserve">All Other Telecommunications </v>
      </c>
      <c r="P223" s="185" t="str">
        <f>VLOOKUP(N223, 'NAICS OES crosswalk'!A:C, 3, FALSE)</f>
        <v>TBD</v>
      </c>
      <c r="T223">
        <v>150100150604</v>
      </c>
      <c r="U223" t="s">
        <v>578</v>
      </c>
      <c r="V223">
        <v>3.2673066249999999E-3</v>
      </c>
      <c r="X223" t="b">
        <f t="shared" si="4"/>
        <v>0</v>
      </c>
      <c r="Y223" s="186" t="s">
        <v>1428</v>
      </c>
      <c r="Z223" t="s">
        <v>1403</v>
      </c>
    </row>
    <row r="224" spans="1:26" x14ac:dyDescent="0.25">
      <c r="A224">
        <v>2020</v>
      </c>
      <c r="B224" t="s">
        <v>1400</v>
      </c>
      <c r="C224" t="s">
        <v>831</v>
      </c>
      <c r="D224" s="1">
        <v>110009937499</v>
      </c>
      <c r="E224" t="s">
        <v>227</v>
      </c>
      <c r="F224" t="s">
        <v>228</v>
      </c>
      <c r="G224" t="s">
        <v>830</v>
      </c>
      <c r="H224" t="s">
        <v>138</v>
      </c>
      <c r="I224" t="s">
        <v>1405</v>
      </c>
      <c r="J224">
        <v>36.644849999999998</v>
      </c>
      <c r="K224">
        <v>-87.187950000000001</v>
      </c>
      <c r="L224">
        <v>4952</v>
      </c>
      <c r="M224" s="175" t="str">
        <f>VLOOKUP(L224, '2022 SIC to NAICS'!A:D, 2)</f>
        <v>Manufacturing Industries, Nec</v>
      </c>
      <c r="N224" s="184">
        <f>VLOOKUP(L224, '2022 SIC to NAICS'!A:D, 3)</f>
        <v>339999</v>
      </c>
      <c r="O224" s="184" t="str">
        <f>VLOOKUP(L224, '2022 SIC to NAICS'!A:D, 4)</f>
        <v xml:space="preserve">All Other Miscellaneous Manufacturing </v>
      </c>
      <c r="P224" s="185" t="str">
        <f>VLOOKUP(N224, 'NAICS OES crosswalk'!A:C, 3, FALSE)</f>
        <v>TBD</v>
      </c>
      <c r="T224" s="186" t="s">
        <v>1203</v>
      </c>
      <c r="U224" t="s">
        <v>832</v>
      </c>
      <c r="V224">
        <v>0.1540400375</v>
      </c>
      <c r="X224" t="b">
        <f t="shared" si="4"/>
        <v>0</v>
      </c>
      <c r="Y224" s="186" t="s">
        <v>1402</v>
      </c>
      <c r="Z224" t="s">
        <v>1403</v>
      </c>
    </row>
    <row r="225" spans="1:26" x14ac:dyDescent="0.25">
      <c r="A225">
        <v>2020</v>
      </c>
      <c r="B225" t="s">
        <v>1400</v>
      </c>
      <c r="C225" t="s">
        <v>1034</v>
      </c>
      <c r="D225" s="1">
        <v>110009933484</v>
      </c>
      <c r="E225" t="s">
        <v>297</v>
      </c>
      <c r="F225" t="s">
        <v>298</v>
      </c>
      <c r="G225" t="s">
        <v>627</v>
      </c>
      <c r="H225" t="s">
        <v>138</v>
      </c>
      <c r="I225" t="s">
        <v>1401</v>
      </c>
      <c r="J225">
        <v>37.640973000000002</v>
      </c>
      <c r="K225">
        <v>-84.312661000000006</v>
      </c>
      <c r="L225">
        <v>4952</v>
      </c>
      <c r="M225" s="175" t="str">
        <f>VLOOKUP(L225, '2022 SIC to NAICS'!A:D, 2)</f>
        <v>Manufacturing Industries, Nec</v>
      </c>
      <c r="N225" s="184">
        <f>VLOOKUP(L225, '2022 SIC to NAICS'!A:D, 3)</f>
        <v>339999</v>
      </c>
      <c r="O225" s="184" t="str">
        <f>VLOOKUP(L225, '2022 SIC to NAICS'!A:D, 4)</f>
        <v xml:space="preserve">All Other Miscellaneous Manufacturing </v>
      </c>
      <c r="P225" s="185" t="str">
        <f>VLOOKUP(N225, 'NAICS OES crosswalk'!A:C, 3, FALSE)</f>
        <v>TBD</v>
      </c>
      <c r="T225" s="186" t="s">
        <v>1232</v>
      </c>
      <c r="U225" t="s">
        <v>1035</v>
      </c>
      <c r="V225">
        <v>2.5420060000000002</v>
      </c>
      <c r="X225" t="b">
        <f t="shared" si="4"/>
        <v>0</v>
      </c>
      <c r="Y225" s="186" t="s">
        <v>1402</v>
      </c>
    </row>
    <row r="226" spans="1:26" x14ac:dyDescent="0.25">
      <c r="A226">
        <v>2020</v>
      </c>
      <c r="B226" t="s">
        <v>1400</v>
      </c>
      <c r="C226" t="s">
        <v>692</v>
      </c>
      <c r="D226" s="1">
        <v>110064265496</v>
      </c>
      <c r="E226" t="s">
        <v>244</v>
      </c>
      <c r="F226" t="s">
        <v>245</v>
      </c>
      <c r="G226" t="s">
        <v>691</v>
      </c>
      <c r="H226" t="s">
        <v>138</v>
      </c>
      <c r="I226" t="s">
        <v>1401</v>
      </c>
      <c r="J226">
        <v>37.304611999999999</v>
      </c>
      <c r="K226">
        <v>-87.145292999999995</v>
      </c>
      <c r="L226">
        <v>4952</v>
      </c>
      <c r="M226" s="175" t="str">
        <f>VLOOKUP(L226, '2022 SIC to NAICS'!A:D, 2)</f>
        <v>Manufacturing Industries, Nec</v>
      </c>
      <c r="N226" s="184">
        <f>VLOOKUP(L226, '2022 SIC to NAICS'!A:D, 3)</f>
        <v>339999</v>
      </c>
      <c r="O226" s="184" t="str">
        <f>VLOOKUP(L226, '2022 SIC to NAICS'!A:D, 4)</f>
        <v xml:space="preserve">All Other Miscellaneous Manufacturing </v>
      </c>
      <c r="P226" s="185" t="str">
        <f>VLOOKUP(N226, 'NAICS OES crosswalk'!A:C, 3, FALSE)</f>
        <v>TBD</v>
      </c>
      <c r="T226" s="186" t="s">
        <v>1208</v>
      </c>
      <c r="U226" t="s">
        <v>693</v>
      </c>
      <c r="V226">
        <v>3.5401578124999999</v>
      </c>
      <c r="X226" t="b">
        <f t="shared" si="4"/>
        <v>0</v>
      </c>
      <c r="Y226" s="186" t="s">
        <v>1402</v>
      </c>
      <c r="Z226" t="s">
        <v>1403</v>
      </c>
    </row>
    <row r="227" spans="1:26" x14ac:dyDescent="0.25">
      <c r="A227">
        <v>2020</v>
      </c>
      <c r="B227" t="s">
        <v>1400</v>
      </c>
      <c r="C227" t="s">
        <v>1139</v>
      </c>
      <c r="D227" s="1">
        <v>110006751737</v>
      </c>
      <c r="E227" t="s">
        <v>317</v>
      </c>
      <c r="F227" t="s">
        <v>318</v>
      </c>
      <c r="G227" t="s">
        <v>1138</v>
      </c>
      <c r="H227" t="s">
        <v>138</v>
      </c>
      <c r="I227" t="s">
        <v>1401</v>
      </c>
      <c r="J227">
        <v>36.747222000000001</v>
      </c>
      <c r="K227">
        <v>-84.171943999999996</v>
      </c>
      <c r="L227">
        <v>4952</v>
      </c>
      <c r="M227" s="175" t="str">
        <f>VLOOKUP(L227, '2022 SIC to NAICS'!A:D, 2)</f>
        <v>Manufacturing Industries, Nec</v>
      </c>
      <c r="N227" s="184">
        <f>VLOOKUP(L227, '2022 SIC to NAICS'!A:D, 3)</f>
        <v>339999</v>
      </c>
      <c r="O227" s="184" t="str">
        <f>VLOOKUP(L227, '2022 SIC to NAICS'!A:D, 4)</f>
        <v xml:space="preserve">All Other Miscellaneous Manufacturing </v>
      </c>
      <c r="P227" s="185" t="str">
        <f>VLOOKUP(N227, 'NAICS OES crosswalk'!A:C, 3, FALSE)</f>
        <v>TBD</v>
      </c>
      <c r="T227" s="186" t="s">
        <v>1238</v>
      </c>
      <c r="U227" t="s">
        <v>1140</v>
      </c>
      <c r="V227">
        <v>5.4673851874999997</v>
      </c>
      <c r="X227" t="b">
        <f t="shared" si="4"/>
        <v>0</v>
      </c>
      <c r="Y227" s="186" t="s">
        <v>1402</v>
      </c>
      <c r="Z227" t="s">
        <v>1403</v>
      </c>
    </row>
    <row r="228" spans="1:26" x14ac:dyDescent="0.25">
      <c r="A228">
        <v>2020</v>
      </c>
      <c r="B228" t="s">
        <v>1400</v>
      </c>
      <c r="C228" t="s">
        <v>982</v>
      </c>
      <c r="D228" s="1">
        <v>110022905588</v>
      </c>
      <c r="E228" t="s">
        <v>408</v>
      </c>
      <c r="F228" t="s">
        <v>409</v>
      </c>
      <c r="G228" t="s">
        <v>901</v>
      </c>
      <c r="H228" t="s">
        <v>138</v>
      </c>
      <c r="I228" t="s">
        <v>1401</v>
      </c>
      <c r="J228">
        <v>38.417499999999997</v>
      </c>
      <c r="K228">
        <v>-85.611109999999996</v>
      </c>
      <c r="L228">
        <v>4952</v>
      </c>
      <c r="M228" s="175" t="str">
        <f>VLOOKUP(L228, '2022 SIC to NAICS'!A:D, 2)</f>
        <v>Manufacturing Industries, Nec</v>
      </c>
      <c r="N228" s="184">
        <f>VLOOKUP(L228, '2022 SIC to NAICS'!A:D, 3)</f>
        <v>339999</v>
      </c>
      <c r="O228" s="184" t="str">
        <f>VLOOKUP(L228, '2022 SIC to NAICS'!A:D, 4)</f>
        <v xml:space="preserve">All Other Miscellaneous Manufacturing </v>
      </c>
      <c r="P228" s="185" t="str">
        <f>VLOOKUP(N228, 'NAICS OES crosswalk'!A:C, 3, FALSE)</f>
        <v>TBD</v>
      </c>
      <c r="T228" s="186" t="s">
        <v>1267</v>
      </c>
      <c r="U228" t="s">
        <v>983</v>
      </c>
      <c r="V228">
        <v>2.1310023125000002</v>
      </c>
      <c r="X228" t="b">
        <f t="shared" si="4"/>
        <v>0</v>
      </c>
      <c r="Y228" s="186" t="s">
        <v>1402</v>
      </c>
      <c r="Z228" t="s">
        <v>1403</v>
      </c>
    </row>
    <row r="229" spans="1:26" x14ac:dyDescent="0.25">
      <c r="A229">
        <v>2020</v>
      </c>
      <c r="B229" t="s">
        <v>1400</v>
      </c>
      <c r="C229" t="s">
        <v>668</v>
      </c>
      <c r="D229" s="1">
        <v>110041253256</v>
      </c>
      <c r="E229" t="s">
        <v>171</v>
      </c>
      <c r="F229" t="s">
        <v>157</v>
      </c>
      <c r="G229" t="s">
        <v>554</v>
      </c>
      <c r="H229" t="s">
        <v>158</v>
      </c>
      <c r="I229" t="s">
        <v>1405</v>
      </c>
      <c r="J229">
        <v>36.132570000000001</v>
      </c>
      <c r="K229">
        <v>-115.16477</v>
      </c>
      <c r="L229">
        <v>7011</v>
      </c>
      <c r="M229" s="175" t="str">
        <f>VLOOKUP(L229, '2022 SIC to NAICS'!A:D, 2)</f>
        <v>Communication Services, Nec</v>
      </c>
      <c r="N229" s="184">
        <f>VLOOKUP(L229, '2022 SIC to NAICS'!A:D, 3)</f>
        <v>517810</v>
      </c>
      <c r="O229" s="184" t="str">
        <f>VLOOKUP(L229, '2022 SIC to NAICS'!A:D, 4)</f>
        <v xml:space="preserve">All Other Telecommunications </v>
      </c>
      <c r="P229" s="185" t="str">
        <f>VLOOKUP(N229, 'NAICS OES crosswalk'!A:C, 3, FALSE)</f>
        <v>TBD</v>
      </c>
      <c r="T229">
        <v>150100150604</v>
      </c>
      <c r="U229" t="s">
        <v>578</v>
      </c>
      <c r="V229">
        <v>0.1222649625</v>
      </c>
      <c r="X229" t="b">
        <f t="shared" si="4"/>
        <v>0</v>
      </c>
      <c r="Y229" s="186" t="s">
        <v>1402</v>
      </c>
      <c r="Z229" t="s">
        <v>1403</v>
      </c>
    </row>
    <row r="230" spans="1:26" x14ac:dyDescent="0.25">
      <c r="A230">
        <v>2020</v>
      </c>
      <c r="B230" t="s">
        <v>1400</v>
      </c>
      <c r="C230" t="s">
        <v>1434</v>
      </c>
      <c r="D230" s="1">
        <v>110000339027</v>
      </c>
      <c r="E230" t="s">
        <v>1435</v>
      </c>
      <c r="F230" t="s">
        <v>1436</v>
      </c>
      <c r="G230" t="s">
        <v>1437</v>
      </c>
      <c r="H230" t="s">
        <v>344</v>
      </c>
      <c r="I230" t="s">
        <v>1401</v>
      </c>
      <c r="J230">
        <v>38.631867</v>
      </c>
      <c r="K230">
        <v>-75.628372999999996</v>
      </c>
      <c r="L230">
        <v>2821</v>
      </c>
      <c r="M230" s="175" t="str">
        <f>VLOOKUP(L230, '2022 SIC to NAICS'!A:D, 2)</f>
        <v>Platemaking Services</v>
      </c>
      <c r="N230" s="184">
        <f>VLOOKUP(L230, '2022 SIC to NAICS'!A:D, 3)</f>
        <v>323120</v>
      </c>
      <c r="O230" s="184" t="str">
        <f>VLOOKUP(L230, '2022 SIC to NAICS'!A:D, 4)</f>
        <v>Support Activities for Printing</v>
      </c>
      <c r="P230" s="185" t="str">
        <f>VLOOKUP(N230, 'NAICS OES crosswalk'!A:C, 3, FALSE)</f>
        <v>TBD</v>
      </c>
      <c r="T230" s="186" t="s">
        <v>1438</v>
      </c>
      <c r="U230" t="s">
        <v>1439</v>
      </c>
      <c r="V230">
        <v>7.0370000000000003E-4</v>
      </c>
      <c r="X230" t="b">
        <f t="shared" si="4"/>
        <v>1</v>
      </c>
      <c r="Y230" s="186" t="s">
        <v>1427</v>
      </c>
      <c r="Z230" t="s">
        <v>1403</v>
      </c>
    </row>
    <row r="231" spans="1:26" x14ac:dyDescent="0.25">
      <c r="A231">
        <v>2020</v>
      </c>
      <c r="B231" t="s">
        <v>1400</v>
      </c>
      <c r="C231" t="s">
        <v>639</v>
      </c>
      <c r="D231" s="1">
        <v>110000463631</v>
      </c>
      <c r="E231" t="s">
        <v>410</v>
      </c>
      <c r="F231" t="s">
        <v>372</v>
      </c>
      <c r="G231" t="s">
        <v>638</v>
      </c>
      <c r="H231" t="s">
        <v>114</v>
      </c>
      <c r="I231" t="s">
        <v>1401</v>
      </c>
      <c r="J231">
        <v>29.704027</v>
      </c>
      <c r="K231">
        <v>-95.079931999999999</v>
      </c>
      <c r="L231">
        <v>2821</v>
      </c>
      <c r="M231" s="175" t="str">
        <f>VLOOKUP(L231, '2022 SIC to NAICS'!A:D, 2)</f>
        <v>Platemaking Services</v>
      </c>
      <c r="N231" s="184">
        <f>VLOOKUP(L231, '2022 SIC to NAICS'!A:D, 3)</f>
        <v>323120</v>
      </c>
      <c r="O231" s="184" t="str">
        <f>VLOOKUP(L231, '2022 SIC to NAICS'!A:D, 4)</f>
        <v>Support Activities for Printing</v>
      </c>
      <c r="P231" s="185" t="str">
        <f>VLOOKUP(N231, 'NAICS OES crosswalk'!A:C, 3, FALSE)</f>
        <v>TBD</v>
      </c>
      <c r="T231">
        <v>120401040706</v>
      </c>
      <c r="U231" t="s">
        <v>640</v>
      </c>
      <c r="V231">
        <v>9.6111799999999997E-2</v>
      </c>
      <c r="X231" t="b">
        <f t="shared" si="4"/>
        <v>0</v>
      </c>
      <c r="Y231" s="186" t="s">
        <v>1402</v>
      </c>
    </row>
    <row r="232" spans="1:26" x14ac:dyDescent="0.25">
      <c r="A232">
        <v>2020</v>
      </c>
      <c r="B232" t="s">
        <v>1400</v>
      </c>
      <c r="C232" t="s">
        <v>602</v>
      </c>
      <c r="D232" s="1">
        <v>110000378467</v>
      </c>
      <c r="E232" t="s">
        <v>234</v>
      </c>
      <c r="F232" t="s">
        <v>235</v>
      </c>
      <c r="G232" t="s">
        <v>600</v>
      </c>
      <c r="H232" t="s">
        <v>138</v>
      </c>
      <c r="I232" t="s">
        <v>1401</v>
      </c>
      <c r="J232">
        <v>38.195278000000002</v>
      </c>
      <c r="K232">
        <v>-85.872221999999994</v>
      </c>
      <c r="L232">
        <v>2869</v>
      </c>
      <c r="M232" s="175" t="str">
        <f>VLOOKUP(L232, '2022 SIC to NAICS'!A:D, 2)</f>
        <v>Industrial Organic Chemicals, Nec</v>
      </c>
      <c r="N232" s="184">
        <f>VLOOKUP(L232, '2022 SIC to NAICS'!A:D, 3)</f>
        <v>325180</v>
      </c>
      <c r="O232" s="184" t="str">
        <f>VLOOKUP(L232, '2022 SIC to NAICS'!A:D, 4)</f>
        <v xml:space="preserve">Other Basic Inorganic Chemical Manufacturing </v>
      </c>
      <c r="P232" s="185" t="str">
        <f>VLOOKUP(N232, 'NAICS OES crosswalk'!A:C, 3, FALSE)</f>
        <v>Processing as a reactant</v>
      </c>
      <c r="T232" s="186" t="s">
        <v>1205</v>
      </c>
      <c r="U232" t="s">
        <v>603</v>
      </c>
      <c r="V232">
        <v>0.57998499999999997</v>
      </c>
      <c r="X232" t="b">
        <f t="shared" si="4"/>
        <v>0</v>
      </c>
      <c r="Y232" s="186" t="s">
        <v>1402</v>
      </c>
      <c r="Z232" t="s">
        <v>1403</v>
      </c>
    </row>
    <row r="233" spans="1:26" x14ac:dyDescent="0.25">
      <c r="A233">
        <v>2020</v>
      </c>
      <c r="B233" t="s">
        <v>1400</v>
      </c>
      <c r="C233" t="s">
        <v>645</v>
      </c>
      <c r="D233" s="1">
        <v>110000614746</v>
      </c>
      <c r="E233" t="s">
        <v>208</v>
      </c>
      <c r="F233" t="s">
        <v>209</v>
      </c>
      <c r="G233" t="s">
        <v>643</v>
      </c>
      <c r="H233" t="s">
        <v>170</v>
      </c>
      <c r="I233" t="s">
        <v>1405</v>
      </c>
      <c r="J233">
        <v>39.248446999999999</v>
      </c>
      <c r="K233">
        <v>-94.293233000000001</v>
      </c>
      <c r="L233">
        <v>4953</v>
      </c>
      <c r="M233" s="175" t="str">
        <f>VLOOKUP(L233, '2022 SIC to NAICS'!A:D, 2)</f>
        <v>Manufacturing Industries, Nec</v>
      </c>
      <c r="N233" s="184">
        <f>VLOOKUP(L233, '2022 SIC to NAICS'!A:D, 3)</f>
        <v>339999</v>
      </c>
      <c r="O233" s="184" t="str">
        <f>VLOOKUP(L233, '2022 SIC to NAICS'!A:D, 4)</f>
        <v xml:space="preserve">All Other Miscellaneous Manufacturing </v>
      </c>
      <c r="P233" s="185" t="str">
        <f>VLOOKUP(N233, 'NAICS OES crosswalk'!A:C, 3, FALSE)</f>
        <v>TBD</v>
      </c>
      <c r="T233">
        <v>103001010307</v>
      </c>
      <c r="U233" t="s">
        <v>646</v>
      </c>
      <c r="V233">
        <v>3.4146349112500002E-2</v>
      </c>
      <c r="X233" t="b">
        <f t="shared" si="4"/>
        <v>0</v>
      </c>
      <c r="Y233" s="186" t="s">
        <v>1418</v>
      </c>
      <c r="Z233" t="s">
        <v>1403</v>
      </c>
    </row>
    <row r="234" spans="1:26" x14ac:dyDescent="0.25">
      <c r="A234">
        <v>2020</v>
      </c>
      <c r="B234" t="s">
        <v>1400</v>
      </c>
      <c r="C234" t="s">
        <v>625</v>
      </c>
      <c r="D234" s="1">
        <v>110000597355</v>
      </c>
      <c r="E234" t="s">
        <v>180</v>
      </c>
      <c r="F234" t="s">
        <v>181</v>
      </c>
      <c r="G234" t="s">
        <v>623</v>
      </c>
      <c r="H234" t="s">
        <v>106</v>
      </c>
      <c r="I234" t="s">
        <v>1405</v>
      </c>
      <c r="J234">
        <v>30.486767</v>
      </c>
      <c r="K234">
        <v>-90.925479999999993</v>
      </c>
      <c r="L234">
        <v>2899</v>
      </c>
      <c r="M234" s="175" t="str">
        <f>VLOOKUP(L234, '2022 SIC to NAICS'!A:D, 2)</f>
        <v>Explosives</v>
      </c>
      <c r="N234" s="184">
        <f>VLOOKUP(L234, '2022 SIC to NAICS'!A:D, 3)</f>
        <v>325920</v>
      </c>
      <c r="O234" s="184" t="str">
        <f>VLOOKUP(L234, '2022 SIC to NAICS'!A:D, 4)</f>
        <v>Explosives Manufacturing</v>
      </c>
      <c r="P234" s="185" t="str">
        <f>VLOOKUP(N234, 'NAICS OES crosswalk'!A:C, 3, FALSE)</f>
        <v>TBD</v>
      </c>
      <c r="T234" s="186" t="s">
        <v>1193</v>
      </c>
      <c r="U234" t="s">
        <v>626</v>
      </c>
      <c r="V234">
        <v>3.3141999999999998E-2</v>
      </c>
      <c r="X234" t="b">
        <f t="shared" si="4"/>
        <v>0</v>
      </c>
      <c r="Y234" s="186" t="s">
        <v>1418</v>
      </c>
      <c r="Z234" t="s">
        <v>1403</v>
      </c>
    </row>
    <row r="235" spans="1:26" x14ac:dyDescent="0.25">
      <c r="A235">
        <v>2020</v>
      </c>
      <c r="B235" t="s">
        <v>1400</v>
      </c>
      <c r="C235" t="s">
        <v>678</v>
      </c>
      <c r="D235" s="1">
        <v>110054612558</v>
      </c>
      <c r="E235" t="s">
        <v>340</v>
      </c>
      <c r="F235" t="s">
        <v>341</v>
      </c>
      <c r="G235" t="s">
        <v>677</v>
      </c>
      <c r="H235" t="s">
        <v>170</v>
      </c>
      <c r="I235" t="s">
        <v>1401</v>
      </c>
      <c r="J235">
        <v>39.423425000000002</v>
      </c>
      <c r="K235">
        <v>-91.025666000000001</v>
      </c>
      <c r="L235">
        <v>2869</v>
      </c>
      <c r="M235" s="175" t="str">
        <f>VLOOKUP(L235, '2022 SIC to NAICS'!A:D, 2)</f>
        <v>Industrial Organic Chemicals, Nec</v>
      </c>
      <c r="N235" s="184">
        <f>VLOOKUP(L235, '2022 SIC to NAICS'!A:D, 3)</f>
        <v>325180</v>
      </c>
      <c r="O235" s="184" t="str">
        <f>VLOOKUP(L235, '2022 SIC to NAICS'!A:D, 4)</f>
        <v xml:space="preserve">Other Basic Inorganic Chemical Manufacturing </v>
      </c>
      <c r="P235" s="185" t="str">
        <f>VLOOKUP(N235, 'NAICS OES crosswalk'!A:C, 3, FALSE)</f>
        <v>Processing as a reactant</v>
      </c>
      <c r="T235" s="186" t="s">
        <v>1245</v>
      </c>
      <c r="U235" t="s">
        <v>679</v>
      </c>
      <c r="V235">
        <v>3.0617760000000001E-2</v>
      </c>
      <c r="X235" t="b">
        <f t="shared" si="4"/>
        <v>0</v>
      </c>
      <c r="Y235" s="186" t="s">
        <v>1404</v>
      </c>
      <c r="Z235" t="s">
        <v>1403</v>
      </c>
    </row>
    <row r="236" spans="1:26" x14ac:dyDescent="0.25">
      <c r="A236">
        <v>2020</v>
      </c>
      <c r="B236" t="s">
        <v>1400</v>
      </c>
      <c r="C236" t="s">
        <v>959</v>
      </c>
      <c r="D236" s="1">
        <v>110022302417</v>
      </c>
      <c r="E236" t="s">
        <v>411</v>
      </c>
      <c r="F236" t="s">
        <v>412</v>
      </c>
      <c r="G236" t="s">
        <v>185</v>
      </c>
      <c r="H236" t="s">
        <v>186</v>
      </c>
      <c r="I236" t="s">
        <v>1401</v>
      </c>
      <c r="J236">
        <v>21.348493999999999</v>
      </c>
      <c r="K236">
        <v>-157.94398899999999</v>
      </c>
      <c r="L236">
        <v>4952</v>
      </c>
      <c r="M236" s="175" t="str">
        <f>VLOOKUP(L236, '2022 SIC to NAICS'!A:D, 2)</f>
        <v>Manufacturing Industries, Nec</v>
      </c>
      <c r="N236" s="184">
        <f>VLOOKUP(L236, '2022 SIC to NAICS'!A:D, 3)</f>
        <v>339999</v>
      </c>
      <c r="O236" s="184" t="str">
        <f>VLOOKUP(L236, '2022 SIC to NAICS'!A:D, 4)</f>
        <v xml:space="preserve">All Other Miscellaneous Manufacturing </v>
      </c>
      <c r="P236" s="185" t="str">
        <f>VLOOKUP(N236, 'NAICS OES crosswalk'!A:C, 3, FALSE)</f>
        <v>TBD</v>
      </c>
      <c r="T236">
        <v>200600000401</v>
      </c>
      <c r="U236" t="s">
        <v>658</v>
      </c>
      <c r="V236">
        <v>3.8682699999999999</v>
      </c>
      <c r="X236" t="b">
        <f t="shared" si="4"/>
        <v>0</v>
      </c>
      <c r="Y236" s="186" t="s">
        <v>1402</v>
      </c>
      <c r="Z236" t="s">
        <v>1403</v>
      </c>
    </row>
    <row r="237" spans="1:26" x14ac:dyDescent="0.25">
      <c r="A237">
        <v>2020</v>
      </c>
      <c r="B237" t="s">
        <v>1400</v>
      </c>
      <c r="C237" t="s">
        <v>1136</v>
      </c>
      <c r="D237" s="1">
        <v>110055043705</v>
      </c>
      <c r="E237" t="s">
        <v>413</v>
      </c>
      <c r="F237" t="s">
        <v>414</v>
      </c>
      <c r="G237" t="s">
        <v>1135</v>
      </c>
      <c r="H237" t="s">
        <v>138</v>
      </c>
      <c r="I237" t="s">
        <v>1401</v>
      </c>
      <c r="J237">
        <v>39.00703</v>
      </c>
      <c r="K237">
        <v>-84.841210000000004</v>
      </c>
      <c r="L237">
        <v>4952</v>
      </c>
      <c r="M237" s="175" t="str">
        <f>VLOOKUP(L237, '2022 SIC to NAICS'!A:D, 2)</f>
        <v>Manufacturing Industries, Nec</v>
      </c>
      <c r="N237" s="184">
        <f>VLOOKUP(L237, '2022 SIC to NAICS'!A:D, 3)</f>
        <v>339999</v>
      </c>
      <c r="O237" s="184" t="str">
        <f>VLOOKUP(L237, '2022 SIC to NAICS'!A:D, 4)</f>
        <v xml:space="preserve">All Other Miscellaneous Manufacturing </v>
      </c>
      <c r="P237" s="185" t="str">
        <f>VLOOKUP(N237, 'NAICS OES crosswalk'!A:C, 3, FALSE)</f>
        <v>TBD</v>
      </c>
      <c r="T237" s="186" t="s">
        <v>1268</v>
      </c>
      <c r="U237" t="s">
        <v>1137</v>
      </c>
      <c r="V237">
        <v>5.7747744999999996E-3</v>
      </c>
      <c r="X237" t="b">
        <f t="shared" si="4"/>
        <v>0</v>
      </c>
      <c r="Y237" s="186" t="s">
        <v>1402</v>
      </c>
      <c r="Z237" t="s">
        <v>1403</v>
      </c>
    </row>
    <row r="238" spans="1:26" x14ac:dyDescent="0.25">
      <c r="A238">
        <v>2020</v>
      </c>
      <c r="B238" t="s">
        <v>1400</v>
      </c>
      <c r="C238" t="s">
        <v>912</v>
      </c>
      <c r="D238" s="1">
        <v>110059844156</v>
      </c>
      <c r="E238" t="s">
        <v>415</v>
      </c>
      <c r="F238" t="s">
        <v>157</v>
      </c>
      <c r="G238" t="s">
        <v>554</v>
      </c>
      <c r="H238" t="s">
        <v>158</v>
      </c>
      <c r="I238" t="s">
        <v>1405</v>
      </c>
      <c r="J238">
        <v>36.131489999999999</v>
      </c>
      <c r="K238">
        <v>-115.15483</v>
      </c>
      <c r="L238">
        <v>1799</v>
      </c>
      <c r="M238" s="175" t="str">
        <f>VLOOKUP(L238, '2022 SIC to NAICS'!A:D, 2)</f>
        <v>Special Trade Contractors, Nec</v>
      </c>
      <c r="N238" s="184">
        <f>VLOOKUP(L238, '2022 SIC to NAICS'!A:D, 3)</f>
        <v>238990</v>
      </c>
      <c r="O238" s="184" t="str">
        <f>VLOOKUP(L238, '2022 SIC to NAICS'!A:D, 4)</f>
        <v>All Other Specialty Trade Contractors</v>
      </c>
      <c r="P238" s="185" t="str">
        <f>VLOOKUP(N238, 'NAICS OES crosswalk'!A:C, 3, FALSE)</f>
        <v>TBD</v>
      </c>
      <c r="T238">
        <v>150100150604</v>
      </c>
      <c r="U238" t="s">
        <v>578</v>
      </c>
      <c r="V238">
        <v>4.5219040156250001E-2</v>
      </c>
      <c r="X238" t="b">
        <f t="shared" si="4"/>
        <v>0</v>
      </c>
      <c r="Y238" t="s">
        <v>1457</v>
      </c>
      <c r="Z238" t="s">
        <v>1403</v>
      </c>
    </row>
    <row r="239" spans="1:26" x14ac:dyDescent="0.25">
      <c r="A239">
        <v>2020</v>
      </c>
      <c r="B239" t="s">
        <v>1400</v>
      </c>
      <c r="C239" t="s">
        <v>986</v>
      </c>
      <c r="D239" s="1">
        <v>110043734983</v>
      </c>
      <c r="E239" t="s">
        <v>286</v>
      </c>
      <c r="F239" t="s">
        <v>150</v>
      </c>
      <c r="G239" t="s">
        <v>985</v>
      </c>
      <c r="H239" t="s">
        <v>138</v>
      </c>
      <c r="I239" t="s">
        <v>1401</v>
      </c>
      <c r="J239">
        <v>37.770769999999999</v>
      </c>
      <c r="K239">
        <v>-87.065669999999997</v>
      </c>
      <c r="L239">
        <v>4952</v>
      </c>
      <c r="M239" s="175" t="str">
        <f>VLOOKUP(L239, '2022 SIC to NAICS'!A:D, 2)</f>
        <v>Manufacturing Industries, Nec</v>
      </c>
      <c r="N239" s="184">
        <f>VLOOKUP(L239, '2022 SIC to NAICS'!A:D, 3)</f>
        <v>339999</v>
      </c>
      <c r="O239" s="184" t="str">
        <f>VLOOKUP(L239, '2022 SIC to NAICS'!A:D, 4)</f>
        <v xml:space="preserve">All Other Miscellaneous Manufacturing </v>
      </c>
      <c r="P239" s="185" t="str">
        <f>VLOOKUP(N239, 'NAICS OES crosswalk'!A:C, 3, FALSE)</f>
        <v>TBD</v>
      </c>
      <c r="T239" s="186" t="s">
        <v>1226</v>
      </c>
      <c r="U239" t="s">
        <v>987</v>
      </c>
      <c r="V239">
        <v>29.9790925</v>
      </c>
      <c r="X239" t="b">
        <f t="shared" si="4"/>
        <v>0</v>
      </c>
      <c r="Y239" s="186" t="s">
        <v>1402</v>
      </c>
      <c r="Z239" t="s">
        <v>1403</v>
      </c>
    </row>
    <row r="240" spans="1:26" x14ac:dyDescent="0.25">
      <c r="A240">
        <v>2020</v>
      </c>
      <c r="B240" t="s">
        <v>1400</v>
      </c>
      <c r="C240" t="s">
        <v>614</v>
      </c>
      <c r="D240" s="1">
        <v>110055992993</v>
      </c>
      <c r="E240" t="s">
        <v>416</v>
      </c>
      <c r="F240" t="s">
        <v>417</v>
      </c>
      <c r="G240" t="s">
        <v>613</v>
      </c>
      <c r="H240" t="s">
        <v>146</v>
      </c>
      <c r="I240" t="s">
        <v>1401</v>
      </c>
      <c r="J240">
        <v>33.926245999999999</v>
      </c>
      <c r="K240">
        <v>-116.992552</v>
      </c>
      <c r="L240">
        <v>4952</v>
      </c>
      <c r="M240" s="175" t="str">
        <f>VLOOKUP(L240, '2022 SIC to NAICS'!A:D, 2)</f>
        <v>Manufacturing Industries, Nec</v>
      </c>
      <c r="N240" s="184">
        <f>VLOOKUP(L240, '2022 SIC to NAICS'!A:D, 3)</f>
        <v>339999</v>
      </c>
      <c r="O240" s="184" t="str">
        <f>VLOOKUP(L240, '2022 SIC to NAICS'!A:D, 4)</f>
        <v xml:space="preserve">All Other Miscellaneous Manufacturing </v>
      </c>
      <c r="P240" s="185" t="str">
        <f>VLOOKUP(N240, 'NAICS OES crosswalk'!A:C, 3, FALSE)</f>
        <v>TBD</v>
      </c>
      <c r="T240">
        <v>180702030401</v>
      </c>
      <c r="U240" t="s">
        <v>615</v>
      </c>
      <c r="V240">
        <v>0.15787929547499999</v>
      </c>
      <c r="X240" t="b">
        <f t="shared" si="4"/>
        <v>0</v>
      </c>
      <c r="Y240" s="186" t="s">
        <v>1402</v>
      </c>
      <c r="Z240" t="s">
        <v>1403</v>
      </c>
    </row>
    <row r="241" spans="1:26" x14ac:dyDescent="0.25">
      <c r="A241">
        <v>2020</v>
      </c>
      <c r="B241" t="s">
        <v>1400</v>
      </c>
      <c r="C241" t="s">
        <v>942</v>
      </c>
      <c r="D241" s="1">
        <v>110000460983</v>
      </c>
      <c r="E241" t="s">
        <v>418</v>
      </c>
      <c r="F241" t="s">
        <v>313</v>
      </c>
      <c r="G241" t="s">
        <v>904</v>
      </c>
      <c r="H241" t="s">
        <v>114</v>
      </c>
      <c r="I241" t="s">
        <v>1405</v>
      </c>
      <c r="J241">
        <v>29.75487</v>
      </c>
      <c r="K241">
        <v>-95.103269999999995</v>
      </c>
      <c r="L241">
        <v>2869</v>
      </c>
      <c r="M241" s="175" t="str">
        <f>VLOOKUP(L241, '2022 SIC to NAICS'!A:D, 2)</f>
        <v>Industrial Organic Chemicals, Nec</v>
      </c>
      <c r="N241" s="184">
        <f>VLOOKUP(L241, '2022 SIC to NAICS'!A:D, 3)</f>
        <v>325180</v>
      </c>
      <c r="O241" s="184" t="str">
        <f>VLOOKUP(L241, '2022 SIC to NAICS'!A:D, 4)</f>
        <v xml:space="preserve">Other Basic Inorganic Chemical Manufacturing </v>
      </c>
      <c r="P241" s="185" t="str">
        <f>VLOOKUP(N241, 'NAICS OES crosswalk'!A:C, 3, FALSE)</f>
        <v>Processing as a reactant</v>
      </c>
      <c r="T241">
        <v>120401040702</v>
      </c>
      <c r="U241" t="s">
        <v>943</v>
      </c>
      <c r="V241">
        <v>0.10605439999999999</v>
      </c>
      <c r="X241" t="b">
        <f t="shared" si="4"/>
        <v>0</v>
      </c>
      <c r="Y241" s="186" t="s">
        <v>1402</v>
      </c>
    </row>
    <row r="242" spans="1:26" x14ac:dyDescent="0.25">
      <c r="A242">
        <v>2020</v>
      </c>
      <c r="B242" t="s">
        <v>1400</v>
      </c>
      <c r="C242" t="s">
        <v>794</v>
      </c>
      <c r="D242" s="1">
        <v>110070215141</v>
      </c>
      <c r="E242" t="s">
        <v>419</v>
      </c>
      <c r="F242" t="s">
        <v>420</v>
      </c>
      <c r="G242" t="s">
        <v>781</v>
      </c>
      <c r="H242" t="s">
        <v>153</v>
      </c>
      <c r="I242" t="s">
        <v>1405</v>
      </c>
      <c r="J242">
        <v>40.515906999999999</v>
      </c>
      <c r="K242">
        <v>-74.325175999999999</v>
      </c>
      <c r="L242"/>
      <c r="M242" s="175" t="e">
        <f>VLOOKUP(L242, '2022 SIC to NAICS'!A:D, 2)</f>
        <v>#N/A</v>
      </c>
      <c r="N242" s="184" t="e">
        <f>VLOOKUP(L242, '2022 SIC to NAICS'!A:D, 3)</f>
        <v>#N/A</v>
      </c>
      <c r="O242" s="184" t="e">
        <f>VLOOKUP(L242, '2022 SIC to NAICS'!A:D, 4)</f>
        <v>#N/A</v>
      </c>
      <c r="P242" s="185" t="e">
        <f>VLOOKUP(N242, 'NAICS OES crosswalk'!A:C, 3, FALSE)</f>
        <v>#N/A</v>
      </c>
      <c r="T242" s="186" t="s">
        <v>1269</v>
      </c>
      <c r="U242" t="s">
        <v>795</v>
      </c>
      <c r="V242">
        <v>3.27622787E-3</v>
      </c>
      <c r="X242" t="b">
        <f t="shared" si="4"/>
        <v>0</v>
      </c>
      <c r="Y242" s="186" t="s">
        <v>1404</v>
      </c>
      <c r="Z242" t="s">
        <v>1403</v>
      </c>
    </row>
    <row r="243" spans="1:26" x14ac:dyDescent="0.25">
      <c r="A243">
        <v>2020</v>
      </c>
      <c r="B243" t="s">
        <v>1400</v>
      </c>
      <c r="C243" t="s">
        <v>573</v>
      </c>
      <c r="D243" s="1">
        <v>110070053140</v>
      </c>
      <c r="E243" t="s">
        <v>216</v>
      </c>
      <c r="F243" t="s">
        <v>217</v>
      </c>
      <c r="G243" t="s">
        <v>571</v>
      </c>
      <c r="H243" t="s">
        <v>218</v>
      </c>
      <c r="I243" t="s">
        <v>1405</v>
      </c>
      <c r="J243">
        <v>40.393799999999999</v>
      </c>
      <c r="K243">
        <v>-105.074</v>
      </c>
      <c r="L243">
        <v>7521</v>
      </c>
      <c r="M243" s="175" t="str">
        <f>VLOOKUP(L243, '2022 SIC to NAICS'!A:D, 2)</f>
        <v>Barber Shops</v>
      </c>
      <c r="N243" s="184">
        <f>VLOOKUP(L243, '2022 SIC to NAICS'!A:D, 3)</f>
        <v>611511</v>
      </c>
      <c r="O243" s="184" t="str">
        <f>VLOOKUP(L243, '2022 SIC to NAICS'!A:D, 4)</f>
        <v xml:space="preserve">Cosmetology and Barber Schools </v>
      </c>
      <c r="P243" s="185" t="str">
        <f>VLOOKUP(N243, 'NAICS OES crosswalk'!A:C, 3, FALSE)</f>
        <v>All purpose liquid cleaner/polish</v>
      </c>
      <c r="T243">
        <v>101900060605</v>
      </c>
      <c r="U243" t="s">
        <v>574</v>
      </c>
      <c r="V243">
        <v>5.4609980000000002E-2</v>
      </c>
      <c r="X243" t="b">
        <f t="shared" si="4"/>
        <v>0</v>
      </c>
      <c r="Y243" s="186" t="s">
        <v>1402</v>
      </c>
      <c r="Z243" t="s">
        <v>1403</v>
      </c>
    </row>
    <row r="244" spans="1:26" x14ac:dyDescent="0.25">
      <c r="A244">
        <v>2020</v>
      </c>
      <c r="B244" t="s">
        <v>1400</v>
      </c>
      <c r="C244" t="s">
        <v>1038</v>
      </c>
      <c r="D244" s="1">
        <v>110064634686</v>
      </c>
      <c r="E244" t="s">
        <v>273</v>
      </c>
      <c r="F244" t="s">
        <v>274</v>
      </c>
      <c r="G244" t="s">
        <v>1036</v>
      </c>
      <c r="H244" t="s">
        <v>268</v>
      </c>
      <c r="I244" t="s">
        <v>1401</v>
      </c>
      <c r="J244">
        <v>40.094276999999998</v>
      </c>
      <c r="K244">
        <v>-74.865442000000002</v>
      </c>
      <c r="L244">
        <v>2821</v>
      </c>
      <c r="M244" s="175" t="str">
        <f>VLOOKUP(L244, '2022 SIC to NAICS'!A:D, 2)</f>
        <v>Platemaking Services</v>
      </c>
      <c r="N244" s="184">
        <f>VLOOKUP(L244, '2022 SIC to NAICS'!A:D, 3)</f>
        <v>323120</v>
      </c>
      <c r="O244" s="184" t="str">
        <f>VLOOKUP(L244, '2022 SIC to NAICS'!A:D, 4)</f>
        <v>Support Activities for Printing</v>
      </c>
      <c r="P244" s="185" t="str">
        <f>VLOOKUP(N244, 'NAICS OES crosswalk'!A:C, 3, FALSE)</f>
        <v>TBD</v>
      </c>
      <c r="T244" s="186" t="s">
        <v>1221</v>
      </c>
      <c r="U244" t="s">
        <v>1039</v>
      </c>
      <c r="V244">
        <v>0.16709470000000001</v>
      </c>
      <c r="X244" t="b">
        <f t="shared" si="4"/>
        <v>0</v>
      </c>
      <c r="Y244" s="186" t="s">
        <v>1433</v>
      </c>
      <c r="Z244" t="s">
        <v>1403</v>
      </c>
    </row>
    <row r="245" spans="1:26" x14ac:dyDescent="0.25">
      <c r="A245">
        <v>2020</v>
      </c>
      <c r="B245" t="s">
        <v>1400</v>
      </c>
      <c r="C245" t="s">
        <v>920</v>
      </c>
      <c r="D245" s="1">
        <v>110000557013</v>
      </c>
      <c r="E245" t="s">
        <v>421</v>
      </c>
      <c r="F245" t="s">
        <v>422</v>
      </c>
      <c r="G245" t="s">
        <v>919</v>
      </c>
      <c r="H245" t="s">
        <v>138</v>
      </c>
      <c r="I245" t="s">
        <v>1401</v>
      </c>
      <c r="J245">
        <v>37.106380000000001</v>
      </c>
      <c r="K245">
        <v>-84.066829999999996</v>
      </c>
      <c r="L245">
        <v>4952</v>
      </c>
      <c r="M245" s="175" t="str">
        <f>VLOOKUP(L245, '2022 SIC to NAICS'!A:D, 2)</f>
        <v>Manufacturing Industries, Nec</v>
      </c>
      <c r="N245" s="184">
        <f>VLOOKUP(L245, '2022 SIC to NAICS'!A:D, 3)</f>
        <v>339999</v>
      </c>
      <c r="O245" s="184" t="str">
        <f>VLOOKUP(L245, '2022 SIC to NAICS'!A:D, 4)</f>
        <v xml:space="preserve">All Other Miscellaneous Manufacturing </v>
      </c>
      <c r="P245" s="185" t="str">
        <f>VLOOKUP(N245, 'NAICS OES crosswalk'!A:C, 3, FALSE)</f>
        <v>TBD</v>
      </c>
      <c r="T245" s="186" t="s">
        <v>1270</v>
      </c>
      <c r="U245" t="s">
        <v>921</v>
      </c>
      <c r="V245">
        <v>2.8348892999999999</v>
      </c>
      <c r="X245" t="b">
        <f t="shared" si="4"/>
        <v>0</v>
      </c>
      <c r="Y245" s="186" t="s">
        <v>1402</v>
      </c>
      <c r="Z245" t="s">
        <v>1403</v>
      </c>
    </row>
    <row r="246" spans="1:26" x14ac:dyDescent="0.25">
      <c r="A246">
        <v>2020</v>
      </c>
      <c r="B246" t="s">
        <v>1400</v>
      </c>
      <c r="C246" t="s">
        <v>1117</v>
      </c>
      <c r="D246" s="1">
        <v>110004306938</v>
      </c>
      <c r="E246" t="s">
        <v>156</v>
      </c>
      <c r="F246" t="s">
        <v>157</v>
      </c>
      <c r="G246" t="s">
        <v>575</v>
      </c>
      <c r="H246" t="s">
        <v>158</v>
      </c>
      <c r="I246" t="s">
        <v>1405</v>
      </c>
      <c r="J246">
        <v>36.122100000000003</v>
      </c>
      <c r="K246">
        <v>-115.17139</v>
      </c>
      <c r="L246">
        <v>7011</v>
      </c>
      <c r="M246" s="175" t="str">
        <f>VLOOKUP(L246, '2022 SIC to NAICS'!A:D, 2)</f>
        <v>Communication Services, Nec</v>
      </c>
      <c r="N246" s="184">
        <f>VLOOKUP(L246, '2022 SIC to NAICS'!A:D, 3)</f>
        <v>517810</v>
      </c>
      <c r="O246" s="184" t="str">
        <f>VLOOKUP(L246, '2022 SIC to NAICS'!A:D, 4)</f>
        <v xml:space="preserve">All Other Telecommunications </v>
      </c>
      <c r="P246" s="185" t="str">
        <f>VLOOKUP(N246, 'NAICS OES crosswalk'!A:C, 3, FALSE)</f>
        <v>TBD</v>
      </c>
      <c r="T246">
        <v>150100150604</v>
      </c>
      <c r="U246" t="s">
        <v>578</v>
      </c>
      <c r="V246">
        <v>4.2388640812500003E-2</v>
      </c>
      <c r="X246" t="b">
        <f t="shared" si="4"/>
        <v>0</v>
      </c>
      <c r="Y246" s="186" t="s">
        <v>1411</v>
      </c>
      <c r="Z246" t="s">
        <v>1403</v>
      </c>
    </row>
    <row r="247" spans="1:26" x14ac:dyDescent="0.25">
      <c r="A247">
        <v>2020</v>
      </c>
      <c r="B247" t="s">
        <v>1400</v>
      </c>
      <c r="C247" t="s">
        <v>1041</v>
      </c>
      <c r="D247" s="1">
        <v>110000719045</v>
      </c>
      <c r="E247" t="s">
        <v>251</v>
      </c>
      <c r="F247" t="s">
        <v>252</v>
      </c>
      <c r="G247" t="s">
        <v>1040</v>
      </c>
      <c r="H247" t="s">
        <v>138</v>
      </c>
      <c r="I247" t="s">
        <v>1401</v>
      </c>
      <c r="J247">
        <v>36.946111000000002</v>
      </c>
      <c r="K247">
        <v>-85.020832999999996</v>
      </c>
      <c r="L247">
        <v>4952</v>
      </c>
      <c r="M247" s="175" t="str">
        <f>VLOOKUP(L247, '2022 SIC to NAICS'!A:D, 2)</f>
        <v>Manufacturing Industries, Nec</v>
      </c>
      <c r="N247" s="184">
        <f>VLOOKUP(L247, '2022 SIC to NAICS'!A:D, 3)</f>
        <v>339999</v>
      </c>
      <c r="O247" s="184" t="str">
        <f>VLOOKUP(L247, '2022 SIC to NAICS'!A:D, 4)</f>
        <v xml:space="preserve">All Other Miscellaneous Manufacturing </v>
      </c>
      <c r="P247" s="185" t="str">
        <f>VLOOKUP(N247, 'NAICS OES crosswalk'!A:C, 3, FALSE)</f>
        <v>TBD</v>
      </c>
      <c r="T247" s="186" t="s">
        <v>1211</v>
      </c>
      <c r="U247" t="s">
        <v>1042</v>
      </c>
      <c r="V247">
        <v>0.5353409375</v>
      </c>
      <c r="X247" t="b">
        <f t="shared" si="4"/>
        <v>0</v>
      </c>
      <c r="Y247" s="186" t="s">
        <v>1402</v>
      </c>
      <c r="Z247" t="s">
        <v>1403</v>
      </c>
    </row>
    <row r="248" spans="1:26" x14ac:dyDescent="0.25">
      <c r="A248">
        <v>2020</v>
      </c>
      <c r="B248" t="s">
        <v>1400</v>
      </c>
      <c r="C248" t="s">
        <v>1458</v>
      </c>
      <c r="D248" s="1">
        <v>110069334134</v>
      </c>
      <c r="E248" t="s">
        <v>1459</v>
      </c>
      <c r="F248" t="s">
        <v>498</v>
      </c>
      <c r="G248" t="s">
        <v>498</v>
      </c>
      <c r="H248" t="s">
        <v>218</v>
      </c>
      <c r="I248" t="s">
        <v>1405</v>
      </c>
      <c r="J248">
        <v>39.741010000000003</v>
      </c>
      <c r="K248">
        <v>-105.03149999999999</v>
      </c>
      <c r="L248">
        <v>1522</v>
      </c>
      <c r="M248" s="175" t="str">
        <f>VLOOKUP(L248, '2022 SIC to NAICS'!A:D, 2)</f>
        <v>Nonmetallic Minerals Services, Except Fuels</v>
      </c>
      <c r="N248" s="184">
        <f>VLOOKUP(L248, '2022 SIC to NAICS'!A:D, 3)</f>
        <v>213115</v>
      </c>
      <c r="O248" s="184" t="str">
        <f>VLOOKUP(L248, '2022 SIC to NAICS'!A:D, 4)</f>
        <v xml:space="preserve">Support Activities for Nonmetallic Minerals (except Fuels) Mining </v>
      </c>
      <c r="P248" s="185" t="str">
        <f>VLOOKUP(N248, 'NAICS OES crosswalk'!A:C, 3, FALSE)</f>
        <v>TBD</v>
      </c>
      <c r="T248">
        <v>101900020904</v>
      </c>
      <c r="U248">
        <v>101900020904</v>
      </c>
      <c r="V248">
        <v>1.0381308749999999E-3</v>
      </c>
      <c r="X248" t="b">
        <f t="shared" si="4"/>
        <v>1</v>
      </c>
      <c r="Y248" s="186" t="s">
        <v>1402</v>
      </c>
      <c r="Z248" t="s">
        <v>1403</v>
      </c>
    </row>
    <row r="249" spans="1:26" x14ac:dyDescent="0.25">
      <c r="A249">
        <v>2020</v>
      </c>
      <c r="B249" t="s">
        <v>1400</v>
      </c>
      <c r="C249" t="s">
        <v>1131</v>
      </c>
      <c r="D249" s="1">
        <v>110010731262</v>
      </c>
      <c r="E249" t="s">
        <v>423</v>
      </c>
      <c r="F249" t="s">
        <v>424</v>
      </c>
      <c r="G249" t="s">
        <v>752</v>
      </c>
      <c r="H249" t="s">
        <v>186</v>
      </c>
      <c r="I249" t="s">
        <v>1401</v>
      </c>
      <c r="J249">
        <v>22.079093</v>
      </c>
      <c r="K249">
        <v>-159.35138900000001</v>
      </c>
      <c r="L249">
        <v>4952</v>
      </c>
      <c r="M249" s="175" t="str">
        <f>VLOOKUP(L249, '2022 SIC to NAICS'!A:D, 2)</f>
        <v>Manufacturing Industries, Nec</v>
      </c>
      <c r="N249" s="184">
        <f>VLOOKUP(L249, '2022 SIC to NAICS'!A:D, 3)</f>
        <v>339999</v>
      </c>
      <c r="O249" s="184" t="str">
        <f>VLOOKUP(L249, '2022 SIC to NAICS'!A:D, 4)</f>
        <v xml:space="preserve">All Other Miscellaneous Manufacturing </v>
      </c>
      <c r="P249" s="185" t="str">
        <f>VLOOKUP(N249, 'NAICS OES crosswalk'!A:C, 3, FALSE)</f>
        <v>TBD</v>
      </c>
      <c r="T249">
        <v>200700000202</v>
      </c>
      <c r="U249" t="s">
        <v>1132</v>
      </c>
      <c r="V249">
        <v>0.1692368125</v>
      </c>
      <c r="X249" t="b">
        <f t="shared" si="4"/>
        <v>0</v>
      </c>
      <c r="Y249" s="186" t="s">
        <v>1402</v>
      </c>
      <c r="Z249" t="s">
        <v>1403</v>
      </c>
    </row>
    <row r="250" spans="1:26" x14ac:dyDescent="0.25">
      <c r="A250">
        <v>2020</v>
      </c>
      <c r="B250" t="s">
        <v>1400</v>
      </c>
      <c r="C250" t="s">
        <v>611</v>
      </c>
      <c r="D250" s="1">
        <v>110000443226</v>
      </c>
      <c r="E250" t="s">
        <v>425</v>
      </c>
      <c r="F250" t="s">
        <v>426</v>
      </c>
      <c r="G250" t="s">
        <v>454</v>
      </c>
      <c r="H250" t="s">
        <v>170</v>
      </c>
      <c r="I250" t="s">
        <v>1401</v>
      </c>
      <c r="J250">
        <v>39.121471999999997</v>
      </c>
      <c r="K250">
        <v>-94.473416999999998</v>
      </c>
      <c r="L250">
        <v>2879</v>
      </c>
      <c r="M250" s="175" t="str">
        <f>VLOOKUP(L250, '2022 SIC to NAICS'!A:D, 2)</f>
        <v>Agricultural Chemicals, Nec</v>
      </c>
      <c r="N250" s="184">
        <f>VLOOKUP(L250, '2022 SIC to NAICS'!A:D, 3)</f>
        <v>325320</v>
      </c>
      <c r="O250" s="184" t="str">
        <f>VLOOKUP(L250, '2022 SIC to NAICS'!A:D, 4)</f>
        <v>Pesticide and Other Agricultural Chemical Manufacturing</v>
      </c>
      <c r="P250" s="185" t="str">
        <f>VLOOKUP(N250, 'NAICS OES crosswalk'!A:C, 3, FALSE)</f>
        <v>TBD</v>
      </c>
      <c r="T250">
        <v>103001010301</v>
      </c>
      <c r="U250" t="s">
        <v>612</v>
      </c>
      <c r="V250">
        <v>3.3142</v>
      </c>
      <c r="X250" t="b">
        <f t="shared" si="4"/>
        <v>0</v>
      </c>
      <c r="Y250" s="186" t="s">
        <v>1402</v>
      </c>
    </row>
    <row r="251" spans="1:26" x14ac:dyDescent="0.25">
      <c r="A251">
        <v>2020</v>
      </c>
      <c r="B251" t="s">
        <v>1400</v>
      </c>
      <c r="C251" t="s">
        <v>851</v>
      </c>
      <c r="D251" s="1">
        <v>110070210457</v>
      </c>
      <c r="E251" t="s">
        <v>191</v>
      </c>
      <c r="F251" t="s">
        <v>192</v>
      </c>
      <c r="G251" t="s">
        <v>731</v>
      </c>
      <c r="H251" t="s">
        <v>153</v>
      </c>
      <c r="I251" t="s">
        <v>1405</v>
      </c>
      <c r="J251">
        <v>39.827696000000003</v>
      </c>
      <c r="K251">
        <v>-75.277782000000002</v>
      </c>
      <c r="L251">
        <v>2869</v>
      </c>
      <c r="M251" s="175" t="str">
        <f>VLOOKUP(L251, '2022 SIC to NAICS'!A:D, 2)</f>
        <v>Industrial Organic Chemicals, Nec</v>
      </c>
      <c r="N251" s="184">
        <f>VLOOKUP(L251, '2022 SIC to NAICS'!A:D, 3)</f>
        <v>325180</v>
      </c>
      <c r="O251" s="184" t="str">
        <f>VLOOKUP(L251, '2022 SIC to NAICS'!A:D, 4)</f>
        <v xml:space="preserve">Other Basic Inorganic Chemical Manufacturing </v>
      </c>
      <c r="P251" s="185" t="str">
        <f>VLOOKUP(N251, 'NAICS OES crosswalk'!A:C, 3, FALSE)</f>
        <v>Processing as a reactant</v>
      </c>
      <c r="T251" s="186" t="s">
        <v>1195</v>
      </c>
      <c r="U251" t="s">
        <v>852</v>
      </c>
      <c r="V251">
        <v>6.2537794974999996E-3</v>
      </c>
      <c r="X251" t="b">
        <f t="shared" si="4"/>
        <v>0</v>
      </c>
      <c r="Y251" s="186" t="s">
        <v>1402</v>
      </c>
      <c r="Z251" t="s">
        <v>1403</v>
      </c>
    </row>
    <row r="252" spans="1:26" x14ac:dyDescent="0.25">
      <c r="A252">
        <v>2020</v>
      </c>
      <c r="B252" t="s">
        <v>1400</v>
      </c>
      <c r="C252" t="s">
        <v>856</v>
      </c>
      <c r="D252" s="1">
        <v>110000732271</v>
      </c>
      <c r="E252" t="s">
        <v>327</v>
      </c>
      <c r="F252" t="s">
        <v>235</v>
      </c>
      <c r="G252" t="s">
        <v>600</v>
      </c>
      <c r="H252" t="s">
        <v>138</v>
      </c>
      <c r="I252" t="s">
        <v>1401</v>
      </c>
      <c r="J252">
        <v>38.322221999999996</v>
      </c>
      <c r="K252">
        <v>-85.555000000000007</v>
      </c>
      <c r="L252">
        <v>4952</v>
      </c>
      <c r="M252" s="175" t="str">
        <f>VLOOKUP(L252, '2022 SIC to NAICS'!A:D, 2)</f>
        <v>Manufacturing Industries, Nec</v>
      </c>
      <c r="N252" s="184">
        <f>VLOOKUP(L252, '2022 SIC to NAICS'!A:D, 3)</f>
        <v>339999</v>
      </c>
      <c r="O252" s="184" t="str">
        <f>VLOOKUP(L252, '2022 SIC to NAICS'!A:D, 4)</f>
        <v xml:space="preserve">All Other Miscellaneous Manufacturing </v>
      </c>
      <c r="P252" s="185" t="str">
        <f>VLOOKUP(N252, 'NAICS OES crosswalk'!A:C, 3, FALSE)</f>
        <v>TBD</v>
      </c>
      <c r="T252" s="186" t="s">
        <v>1241</v>
      </c>
      <c r="U252" t="s">
        <v>857</v>
      </c>
      <c r="V252">
        <v>14.022478749999999</v>
      </c>
      <c r="X252" t="b">
        <f t="shared" si="4"/>
        <v>0</v>
      </c>
      <c r="Y252" s="186" t="s">
        <v>1402</v>
      </c>
      <c r="Z252" t="s">
        <v>1403</v>
      </c>
    </row>
    <row r="253" spans="1:26" x14ac:dyDescent="0.25">
      <c r="A253">
        <v>2020</v>
      </c>
      <c r="B253" t="s">
        <v>1400</v>
      </c>
      <c r="C253" t="s">
        <v>1460</v>
      </c>
      <c r="D253" s="1">
        <v>110013680837</v>
      </c>
      <c r="E253" t="s">
        <v>1461</v>
      </c>
      <c r="F253" t="s">
        <v>1462</v>
      </c>
      <c r="G253" t="s">
        <v>1463</v>
      </c>
      <c r="H253" t="s">
        <v>138</v>
      </c>
      <c r="I253" t="s">
        <v>1401</v>
      </c>
      <c r="J253">
        <v>38.947969999999998</v>
      </c>
      <c r="K253">
        <v>-84.370490000000004</v>
      </c>
      <c r="L253">
        <v>4952</v>
      </c>
      <c r="M253" s="175" t="str">
        <f>VLOOKUP(L253, '2022 SIC to NAICS'!A:D, 2)</f>
        <v>Manufacturing Industries, Nec</v>
      </c>
      <c r="N253" s="184">
        <f>VLOOKUP(L253, '2022 SIC to NAICS'!A:D, 3)</f>
        <v>339999</v>
      </c>
      <c r="O253" s="184" t="str">
        <f>VLOOKUP(L253, '2022 SIC to NAICS'!A:D, 4)</f>
        <v xml:space="preserve">All Other Miscellaneous Manufacturing </v>
      </c>
      <c r="P253" s="185" t="str">
        <f>VLOOKUP(N253, 'NAICS OES crosswalk'!A:C, 3, FALSE)</f>
        <v>TBD</v>
      </c>
      <c r="T253" s="186" t="s">
        <v>1464</v>
      </c>
      <c r="U253" t="s">
        <v>1465</v>
      </c>
      <c r="V253">
        <v>7.5293112500000002E-4</v>
      </c>
      <c r="X253" t="b">
        <f t="shared" si="4"/>
        <v>1</v>
      </c>
      <c r="Y253" s="186" t="s">
        <v>1402</v>
      </c>
      <c r="Z253" t="s">
        <v>1403</v>
      </c>
    </row>
    <row r="254" spans="1:26" x14ac:dyDescent="0.25">
      <c r="A254">
        <v>2020</v>
      </c>
      <c r="B254" t="s">
        <v>1400</v>
      </c>
      <c r="C254" t="s">
        <v>988</v>
      </c>
      <c r="D254" s="1">
        <v>110000747835</v>
      </c>
      <c r="E254" t="s">
        <v>149</v>
      </c>
      <c r="F254" t="s">
        <v>150</v>
      </c>
      <c r="G254" t="s">
        <v>985</v>
      </c>
      <c r="H254" t="s">
        <v>138</v>
      </c>
      <c r="I254" t="s">
        <v>1401</v>
      </c>
      <c r="J254">
        <v>37.8125</v>
      </c>
      <c r="K254">
        <v>-87.05</v>
      </c>
      <c r="L254">
        <v>2821</v>
      </c>
      <c r="M254" s="175" t="str">
        <f>VLOOKUP(L254, '2022 SIC to NAICS'!A:D, 2)</f>
        <v>Platemaking Services</v>
      </c>
      <c r="N254" s="184">
        <f>VLOOKUP(L254, '2022 SIC to NAICS'!A:D, 3)</f>
        <v>323120</v>
      </c>
      <c r="O254" s="184" t="str">
        <f>VLOOKUP(L254, '2022 SIC to NAICS'!A:D, 4)</f>
        <v>Support Activities for Printing</v>
      </c>
      <c r="P254" s="185" t="str">
        <f>VLOOKUP(N254, 'NAICS OES crosswalk'!A:C, 3, FALSE)</f>
        <v>TBD</v>
      </c>
      <c r="T254" s="186" t="s">
        <v>1186</v>
      </c>
      <c r="U254" t="s">
        <v>989</v>
      </c>
      <c r="V254">
        <v>0.67941099999999999</v>
      </c>
      <c r="X254" t="b">
        <f t="shared" si="4"/>
        <v>0</v>
      </c>
      <c r="Y254" s="186" t="s">
        <v>1404</v>
      </c>
      <c r="Z254" t="s">
        <v>1403</v>
      </c>
    </row>
    <row r="255" spans="1:26" x14ac:dyDescent="0.25">
      <c r="A255">
        <v>2020</v>
      </c>
      <c r="B255" t="s">
        <v>1400</v>
      </c>
      <c r="C255" t="s">
        <v>1466</v>
      </c>
      <c r="D255" s="1">
        <v>110000730745</v>
      </c>
      <c r="E255" t="s">
        <v>1467</v>
      </c>
      <c r="F255" t="s">
        <v>1468</v>
      </c>
      <c r="G255" t="s">
        <v>616</v>
      </c>
      <c r="H255" t="s">
        <v>146</v>
      </c>
      <c r="I255" t="s">
        <v>1401</v>
      </c>
      <c r="J255">
        <v>40.162660000000002</v>
      </c>
      <c r="K255">
        <v>-122.22068</v>
      </c>
      <c r="L255">
        <v>4952</v>
      </c>
      <c r="M255" s="175" t="str">
        <f>VLOOKUP(L255, '2022 SIC to NAICS'!A:D, 2)</f>
        <v>Manufacturing Industries, Nec</v>
      </c>
      <c r="N255" s="184">
        <f>VLOOKUP(L255, '2022 SIC to NAICS'!A:D, 3)</f>
        <v>339999</v>
      </c>
      <c r="O255" s="184" t="str">
        <f>VLOOKUP(L255, '2022 SIC to NAICS'!A:D, 4)</f>
        <v xml:space="preserve">All Other Miscellaneous Manufacturing </v>
      </c>
      <c r="P255" s="185" t="str">
        <f>VLOOKUP(N255, 'NAICS OES crosswalk'!A:C, 3, FALSE)</f>
        <v>TBD</v>
      </c>
      <c r="T255">
        <v>180201550405</v>
      </c>
      <c r="U255" t="s">
        <v>1469</v>
      </c>
      <c r="V255">
        <v>1.1003752000000001E-3</v>
      </c>
      <c r="X255" t="b">
        <f t="shared" si="4"/>
        <v>1</v>
      </c>
      <c r="Y255" s="186" t="s">
        <v>1402</v>
      </c>
      <c r="Z255" t="s">
        <v>1403</v>
      </c>
    </row>
    <row r="256" spans="1:26" x14ac:dyDescent="0.25">
      <c r="A256">
        <v>2020</v>
      </c>
      <c r="B256" t="s">
        <v>1400</v>
      </c>
      <c r="C256" t="s">
        <v>687</v>
      </c>
      <c r="D256" s="1">
        <v>110000613685</v>
      </c>
      <c r="E256" t="s">
        <v>370</v>
      </c>
      <c r="F256" t="s">
        <v>175</v>
      </c>
      <c r="G256" t="s">
        <v>630</v>
      </c>
      <c r="H256" t="s">
        <v>106</v>
      </c>
      <c r="I256" t="s">
        <v>1405</v>
      </c>
      <c r="J256">
        <v>30.321895000000001</v>
      </c>
      <c r="K256">
        <v>-93.300735000000003</v>
      </c>
      <c r="L256">
        <v>4953</v>
      </c>
      <c r="M256" s="175" t="str">
        <f>VLOOKUP(L256, '2022 SIC to NAICS'!A:D, 2)</f>
        <v>Manufacturing Industries, Nec</v>
      </c>
      <c r="N256" s="184">
        <f>VLOOKUP(L256, '2022 SIC to NAICS'!A:D, 3)</f>
        <v>339999</v>
      </c>
      <c r="O256" s="184" t="str">
        <f>VLOOKUP(L256, '2022 SIC to NAICS'!A:D, 4)</f>
        <v xml:space="preserve">All Other Miscellaneous Manufacturing </v>
      </c>
      <c r="P256" s="185" t="str">
        <f>VLOOKUP(N256, 'NAICS OES crosswalk'!A:C, 3, FALSE)</f>
        <v>TBD</v>
      </c>
      <c r="T256" s="186" t="s">
        <v>1254</v>
      </c>
      <c r="U256" t="s">
        <v>688</v>
      </c>
      <c r="V256">
        <v>0.38682699999999998</v>
      </c>
      <c r="X256" t="b">
        <f t="shared" si="4"/>
        <v>0</v>
      </c>
      <c r="Y256" s="186" t="s">
        <v>1402</v>
      </c>
      <c r="Z256" t="s">
        <v>1403</v>
      </c>
    </row>
    <row r="257" spans="1:26" x14ac:dyDescent="0.25">
      <c r="A257">
        <v>2020</v>
      </c>
      <c r="B257" t="s">
        <v>1400</v>
      </c>
      <c r="C257" t="s">
        <v>787</v>
      </c>
      <c r="D257" s="1">
        <v>110043486457</v>
      </c>
      <c r="E257" t="s">
        <v>277</v>
      </c>
      <c r="F257" t="s">
        <v>235</v>
      </c>
      <c r="G257" t="s">
        <v>600</v>
      </c>
      <c r="H257" t="s">
        <v>138</v>
      </c>
      <c r="I257" t="s">
        <v>1401</v>
      </c>
      <c r="J257">
        <v>38.236699999999999</v>
      </c>
      <c r="K257">
        <v>-85.466710000000006</v>
      </c>
      <c r="L257">
        <v>4952</v>
      </c>
      <c r="M257" s="175" t="str">
        <f>VLOOKUP(L257, '2022 SIC to NAICS'!A:D, 2)</f>
        <v>Manufacturing Industries, Nec</v>
      </c>
      <c r="N257" s="184">
        <f>VLOOKUP(L257, '2022 SIC to NAICS'!A:D, 3)</f>
        <v>339999</v>
      </c>
      <c r="O257" s="184" t="str">
        <f>VLOOKUP(L257, '2022 SIC to NAICS'!A:D, 4)</f>
        <v xml:space="preserve">All Other Miscellaneous Manufacturing </v>
      </c>
      <c r="P257" s="185" t="str">
        <f>VLOOKUP(N257, 'NAICS OES crosswalk'!A:C, 3, FALSE)</f>
        <v>TBD</v>
      </c>
      <c r="T257" s="186" t="s">
        <v>1223</v>
      </c>
      <c r="U257" t="s">
        <v>788</v>
      </c>
      <c r="V257">
        <v>12.509708874999999</v>
      </c>
      <c r="X257" t="b">
        <f t="shared" si="4"/>
        <v>0</v>
      </c>
      <c r="Y257" s="186" t="s">
        <v>1402</v>
      </c>
      <c r="Z257" t="s">
        <v>1403</v>
      </c>
    </row>
    <row r="258" spans="1:26" x14ac:dyDescent="0.25">
      <c r="A258">
        <v>2020</v>
      </c>
      <c r="B258" t="s">
        <v>1400</v>
      </c>
      <c r="C258" t="s">
        <v>687</v>
      </c>
      <c r="D258" s="1">
        <v>110000613685</v>
      </c>
      <c r="E258" t="s">
        <v>370</v>
      </c>
      <c r="F258" t="s">
        <v>175</v>
      </c>
      <c r="G258" t="s">
        <v>630</v>
      </c>
      <c r="H258" t="s">
        <v>106</v>
      </c>
      <c r="I258" t="s">
        <v>1405</v>
      </c>
      <c r="J258">
        <v>30.321895000000001</v>
      </c>
      <c r="K258">
        <v>-93.300735000000003</v>
      </c>
      <c r="L258">
        <v>4953</v>
      </c>
      <c r="M258" s="175" t="str">
        <f>VLOOKUP(L258, '2022 SIC to NAICS'!A:D, 2)</f>
        <v>Manufacturing Industries, Nec</v>
      </c>
      <c r="N258" s="184">
        <f>VLOOKUP(L258, '2022 SIC to NAICS'!A:D, 3)</f>
        <v>339999</v>
      </c>
      <c r="O258" s="184" t="str">
        <f>VLOOKUP(L258, '2022 SIC to NAICS'!A:D, 4)</f>
        <v xml:space="preserve">All Other Miscellaneous Manufacturing </v>
      </c>
      <c r="P258" s="185" t="str">
        <f>VLOOKUP(N258, 'NAICS OES crosswalk'!A:C, 3, FALSE)</f>
        <v>TBD</v>
      </c>
      <c r="T258" s="186" t="s">
        <v>1254</v>
      </c>
      <c r="U258" t="s">
        <v>688</v>
      </c>
      <c r="V258">
        <v>0.1346986875</v>
      </c>
      <c r="X258" t="b">
        <f t="shared" si="4"/>
        <v>0</v>
      </c>
      <c r="Y258" s="186" t="s">
        <v>1418</v>
      </c>
      <c r="Z258" t="s">
        <v>1403</v>
      </c>
    </row>
    <row r="259" spans="1:26" x14ac:dyDescent="0.25">
      <c r="A259">
        <v>2020</v>
      </c>
      <c r="B259" t="s">
        <v>1400</v>
      </c>
      <c r="C259" t="s">
        <v>1142</v>
      </c>
      <c r="D259" s="1">
        <v>110045091379</v>
      </c>
      <c r="E259" t="s">
        <v>427</v>
      </c>
      <c r="F259" t="s">
        <v>428</v>
      </c>
      <c r="G259" t="s">
        <v>1141</v>
      </c>
      <c r="H259" t="s">
        <v>138</v>
      </c>
      <c r="I259" t="s">
        <v>1401</v>
      </c>
      <c r="J259">
        <v>38.631208000000001</v>
      </c>
      <c r="K259">
        <v>-84.618809999999996</v>
      </c>
      <c r="L259">
        <v>4952</v>
      </c>
      <c r="M259" s="175" t="str">
        <f>VLOOKUP(L259, '2022 SIC to NAICS'!A:D, 2)</f>
        <v>Manufacturing Industries, Nec</v>
      </c>
      <c r="N259" s="184">
        <f>VLOOKUP(L259, '2022 SIC to NAICS'!A:D, 3)</f>
        <v>339999</v>
      </c>
      <c r="O259" s="184" t="str">
        <f>VLOOKUP(L259, '2022 SIC to NAICS'!A:D, 4)</f>
        <v xml:space="preserve">All Other Miscellaneous Manufacturing </v>
      </c>
      <c r="P259" s="185" t="str">
        <f>VLOOKUP(N259, 'NAICS OES crosswalk'!A:C, 3, FALSE)</f>
        <v>TBD</v>
      </c>
      <c r="T259" s="186" t="s">
        <v>1271</v>
      </c>
      <c r="U259" t="s">
        <v>1143</v>
      </c>
      <c r="V259">
        <v>4.1445749999999997</v>
      </c>
      <c r="X259" t="b">
        <f t="shared" si="4"/>
        <v>0</v>
      </c>
      <c r="Y259" s="186" t="s">
        <v>1402</v>
      </c>
      <c r="Z259" t="s">
        <v>1403</v>
      </c>
    </row>
    <row r="260" spans="1:26" x14ac:dyDescent="0.25">
      <c r="A260">
        <v>2020</v>
      </c>
      <c r="B260" t="s">
        <v>1400</v>
      </c>
      <c r="C260" t="s">
        <v>791</v>
      </c>
      <c r="D260" s="1">
        <v>110001847761</v>
      </c>
      <c r="E260" t="s">
        <v>263</v>
      </c>
      <c r="F260" t="s">
        <v>264</v>
      </c>
      <c r="G260" t="s">
        <v>789</v>
      </c>
      <c r="H260" t="s">
        <v>118</v>
      </c>
      <c r="I260" t="s">
        <v>1405</v>
      </c>
      <c r="J260">
        <v>41.775967999999999</v>
      </c>
      <c r="K260">
        <v>-86.654864000000003</v>
      </c>
      <c r="L260">
        <v>4953</v>
      </c>
      <c r="M260" s="175" t="str">
        <f>VLOOKUP(L260, '2022 SIC to NAICS'!A:D, 2)</f>
        <v>Manufacturing Industries, Nec</v>
      </c>
      <c r="N260" s="184">
        <f>VLOOKUP(L260, '2022 SIC to NAICS'!A:D, 3)</f>
        <v>339999</v>
      </c>
      <c r="O260" s="184" t="str">
        <f>VLOOKUP(L260, '2022 SIC to NAICS'!A:D, 4)</f>
        <v xml:space="preserve">All Other Miscellaneous Manufacturing </v>
      </c>
      <c r="P260" s="185" t="str">
        <f>VLOOKUP(N260, 'NAICS OES crosswalk'!A:C, 3, FALSE)</f>
        <v>TBD</v>
      </c>
      <c r="T260" s="186" t="s">
        <v>1217</v>
      </c>
      <c r="U260" t="s">
        <v>792</v>
      </c>
      <c r="V260">
        <v>5.8307924999999997E-2</v>
      </c>
      <c r="X260" t="b">
        <f t="shared" si="4"/>
        <v>0</v>
      </c>
      <c r="Y260" s="186" t="s">
        <v>1402</v>
      </c>
      <c r="Z260" t="s">
        <v>1403</v>
      </c>
    </row>
    <row r="261" spans="1:26" x14ac:dyDescent="0.25">
      <c r="A261">
        <v>2020</v>
      </c>
      <c r="B261" t="s">
        <v>1400</v>
      </c>
      <c r="C261" t="s">
        <v>1144</v>
      </c>
      <c r="D261" s="1">
        <v>110064596361</v>
      </c>
      <c r="E261" t="s">
        <v>314</v>
      </c>
      <c r="F261" t="s">
        <v>315</v>
      </c>
      <c r="G261" t="s">
        <v>554</v>
      </c>
      <c r="H261" t="s">
        <v>138</v>
      </c>
      <c r="I261" t="s">
        <v>1401</v>
      </c>
      <c r="J261">
        <v>37.915556000000002</v>
      </c>
      <c r="K261">
        <v>-84.268332999999998</v>
      </c>
      <c r="L261">
        <v>4952</v>
      </c>
      <c r="M261" s="175" t="str">
        <f>VLOOKUP(L261, '2022 SIC to NAICS'!A:D, 2)</f>
        <v>Manufacturing Industries, Nec</v>
      </c>
      <c r="N261" s="184">
        <f>VLOOKUP(L261, '2022 SIC to NAICS'!A:D, 3)</f>
        <v>339999</v>
      </c>
      <c r="O261" s="184" t="str">
        <f>VLOOKUP(L261, '2022 SIC to NAICS'!A:D, 4)</f>
        <v xml:space="preserve">All Other Miscellaneous Manufacturing </v>
      </c>
      <c r="P261" s="185" t="str">
        <f>VLOOKUP(N261, 'NAICS OES crosswalk'!A:C, 3, FALSE)</f>
        <v>TBD</v>
      </c>
      <c r="T261" s="186" t="s">
        <v>1237</v>
      </c>
      <c r="U261" t="s">
        <v>1145</v>
      </c>
      <c r="V261">
        <v>9.3943700000000003</v>
      </c>
      <c r="X261" t="b">
        <f t="shared" si="4"/>
        <v>0</v>
      </c>
      <c r="Y261" s="186" t="s">
        <v>1402</v>
      </c>
      <c r="Z261" t="s">
        <v>1403</v>
      </c>
    </row>
    <row r="262" spans="1:26" x14ac:dyDescent="0.25">
      <c r="A262">
        <v>2020</v>
      </c>
      <c r="B262" t="s">
        <v>1400</v>
      </c>
      <c r="C262" t="s">
        <v>974</v>
      </c>
      <c r="D262" s="1">
        <v>110000547196</v>
      </c>
      <c r="E262" t="s">
        <v>329</v>
      </c>
      <c r="F262" t="s">
        <v>224</v>
      </c>
      <c r="G262" t="s">
        <v>973</v>
      </c>
      <c r="H262" t="s">
        <v>141</v>
      </c>
      <c r="I262" t="s">
        <v>1405</v>
      </c>
      <c r="J262">
        <v>41.405655000000003</v>
      </c>
      <c r="K262">
        <v>-88.335212999999996</v>
      </c>
      <c r="L262">
        <v>2869</v>
      </c>
      <c r="M262" s="175" t="str">
        <f>VLOOKUP(L262, '2022 SIC to NAICS'!A:D, 2)</f>
        <v>Industrial Organic Chemicals, Nec</v>
      </c>
      <c r="N262" s="184">
        <f>VLOOKUP(L262, '2022 SIC to NAICS'!A:D, 3)</f>
        <v>325180</v>
      </c>
      <c r="O262" s="184" t="str">
        <f>VLOOKUP(L262, '2022 SIC to NAICS'!A:D, 4)</f>
        <v xml:space="preserve">Other Basic Inorganic Chemical Manufacturing </v>
      </c>
      <c r="P262" s="185" t="str">
        <f>VLOOKUP(N262, 'NAICS OES crosswalk'!A:C, 3, FALSE)</f>
        <v>Processing as a reactant</v>
      </c>
      <c r="T262" s="186" t="s">
        <v>1202</v>
      </c>
      <c r="U262" t="s">
        <v>773</v>
      </c>
      <c r="V262">
        <v>6.1278649999999997E-2</v>
      </c>
      <c r="X262" t="b">
        <f t="shared" si="4"/>
        <v>0</v>
      </c>
      <c r="Y262" s="186" t="s">
        <v>1402</v>
      </c>
      <c r="Z262" t="s">
        <v>1403</v>
      </c>
    </row>
    <row r="263" spans="1:26" x14ac:dyDescent="0.25">
      <c r="A263">
        <v>2020</v>
      </c>
      <c r="B263" t="s">
        <v>1400</v>
      </c>
      <c r="C263" t="s">
        <v>868</v>
      </c>
      <c r="D263" s="1">
        <v>110000607772</v>
      </c>
      <c r="E263" t="s">
        <v>133</v>
      </c>
      <c r="F263" t="s">
        <v>134</v>
      </c>
      <c r="G263" t="s">
        <v>866</v>
      </c>
      <c r="H263" t="s">
        <v>135</v>
      </c>
      <c r="I263" t="s">
        <v>1401</v>
      </c>
      <c r="J263">
        <v>38.772219999999997</v>
      </c>
      <c r="K263">
        <v>-82.205560000000006</v>
      </c>
      <c r="L263">
        <v>2869</v>
      </c>
      <c r="M263" s="175" t="str">
        <f>VLOOKUP(L263, '2022 SIC to NAICS'!A:D, 2)</f>
        <v>Industrial Organic Chemicals, Nec</v>
      </c>
      <c r="N263" s="184">
        <f>VLOOKUP(L263, '2022 SIC to NAICS'!A:D, 3)</f>
        <v>325180</v>
      </c>
      <c r="O263" s="184" t="str">
        <f>VLOOKUP(L263, '2022 SIC to NAICS'!A:D, 4)</f>
        <v xml:space="preserve">Other Basic Inorganic Chemical Manufacturing </v>
      </c>
      <c r="P263" s="185" t="str">
        <f>VLOOKUP(N263, 'NAICS OES crosswalk'!A:C, 3, FALSE)</f>
        <v>Processing as a reactant</v>
      </c>
      <c r="T263" s="186" t="s">
        <v>1252</v>
      </c>
      <c r="U263" t="s">
        <v>869</v>
      </c>
      <c r="V263">
        <v>3.1309656000000001</v>
      </c>
      <c r="X263" t="b">
        <f t="shared" si="4"/>
        <v>0</v>
      </c>
      <c r="Y263" s="186" t="s">
        <v>1402</v>
      </c>
    </row>
    <row r="264" spans="1:26" x14ac:dyDescent="0.25">
      <c r="A264">
        <v>2020</v>
      </c>
      <c r="B264" t="s">
        <v>1400</v>
      </c>
      <c r="C264" t="s">
        <v>743</v>
      </c>
      <c r="D264" s="1">
        <v>110000460901</v>
      </c>
      <c r="E264" t="s">
        <v>312</v>
      </c>
      <c r="F264" t="s">
        <v>313</v>
      </c>
      <c r="G264" t="s">
        <v>638</v>
      </c>
      <c r="H264" t="s">
        <v>114</v>
      </c>
      <c r="I264" t="s">
        <v>1401</v>
      </c>
      <c r="J264">
        <v>29.718139000000001</v>
      </c>
      <c r="K264">
        <v>-95.268749999999997</v>
      </c>
      <c r="L264">
        <v>2819</v>
      </c>
      <c r="M264" s="175" t="str">
        <f>VLOOKUP(L264, '2022 SIC to NAICS'!A:D, 2)</f>
        <v>Platemaking Services</v>
      </c>
      <c r="N264" s="184">
        <f>VLOOKUP(L264, '2022 SIC to NAICS'!A:D, 3)</f>
        <v>323120</v>
      </c>
      <c r="O264" s="184" t="str">
        <f>VLOOKUP(L264, '2022 SIC to NAICS'!A:D, 4)</f>
        <v>Support Activities for Printing</v>
      </c>
      <c r="P264" s="185" t="str">
        <f>VLOOKUP(N264, 'NAICS OES crosswalk'!A:C, 3, FALSE)</f>
        <v>TBD</v>
      </c>
      <c r="T264">
        <v>120401040502</v>
      </c>
      <c r="U264" t="s">
        <v>744</v>
      </c>
      <c r="V264">
        <v>9.9426000000000005</v>
      </c>
      <c r="X264" t="b">
        <f t="shared" si="4"/>
        <v>0</v>
      </c>
      <c r="Y264" s="186" t="s">
        <v>1402</v>
      </c>
    </row>
    <row r="265" spans="1:26" x14ac:dyDescent="0.25">
      <c r="A265">
        <v>2020</v>
      </c>
      <c r="B265" t="s">
        <v>1400</v>
      </c>
      <c r="C265" t="s">
        <v>671</v>
      </c>
      <c r="D265" s="1">
        <v>110042004915</v>
      </c>
      <c r="E265" t="s">
        <v>240</v>
      </c>
      <c r="F265" t="s">
        <v>241</v>
      </c>
      <c r="G265" t="s">
        <v>669</v>
      </c>
      <c r="H265" t="s">
        <v>114</v>
      </c>
      <c r="I265" t="s">
        <v>1405</v>
      </c>
      <c r="J265">
        <v>29.378699999999998</v>
      </c>
      <c r="K265">
        <v>-98.551670000000001</v>
      </c>
      <c r="L265">
        <v>9711</v>
      </c>
      <c r="M265" s="175" t="str">
        <f>VLOOKUP(L265, '2022 SIC to NAICS'!A:D, 2)</f>
        <v>National Security</v>
      </c>
      <c r="N265" s="184">
        <f>VLOOKUP(L265, '2022 SIC to NAICS'!A:D, 3)</f>
        <v>928110</v>
      </c>
      <c r="O265" s="184" t="str">
        <f>VLOOKUP(L265, '2022 SIC to NAICS'!A:D, 4)</f>
        <v xml:space="preserve">National Security </v>
      </c>
      <c r="P265" s="185" t="str">
        <f>VLOOKUP(N265, 'NAICS OES crosswalk'!A:C, 3, FALSE)</f>
        <v>TBD</v>
      </c>
      <c r="T265">
        <v>121003010203</v>
      </c>
      <c r="U265" t="s">
        <v>672</v>
      </c>
      <c r="V265">
        <v>2.5634075444250001E-2</v>
      </c>
      <c r="X265" t="b">
        <f t="shared" si="4"/>
        <v>0</v>
      </c>
      <c r="Y265" s="186" t="s">
        <v>1402</v>
      </c>
      <c r="Z265" t="s">
        <v>1403</v>
      </c>
    </row>
    <row r="266" spans="1:26" x14ac:dyDescent="0.25">
      <c r="A266">
        <v>2020</v>
      </c>
      <c r="B266" t="s">
        <v>1400</v>
      </c>
      <c r="C266" t="s">
        <v>689</v>
      </c>
      <c r="D266" s="1">
        <v>110043485421</v>
      </c>
      <c r="E266" t="s">
        <v>247</v>
      </c>
      <c r="F266" t="s">
        <v>235</v>
      </c>
      <c r="G266" t="s">
        <v>600</v>
      </c>
      <c r="H266" t="s">
        <v>138</v>
      </c>
      <c r="I266" t="s">
        <v>1401</v>
      </c>
      <c r="J266">
        <v>38.122354000000001</v>
      </c>
      <c r="K266">
        <v>-85.587648000000002</v>
      </c>
      <c r="L266">
        <v>4952</v>
      </c>
      <c r="M266" s="175" t="str">
        <f>VLOOKUP(L266, '2022 SIC to NAICS'!A:D, 2)</f>
        <v>Manufacturing Industries, Nec</v>
      </c>
      <c r="N266" s="184">
        <f>VLOOKUP(L266, '2022 SIC to NAICS'!A:D, 3)</f>
        <v>339999</v>
      </c>
      <c r="O266" s="184" t="str">
        <f>VLOOKUP(L266, '2022 SIC to NAICS'!A:D, 4)</f>
        <v xml:space="preserve">All Other Miscellaneous Manufacturing </v>
      </c>
      <c r="P266" s="185" t="str">
        <f>VLOOKUP(N266, 'NAICS OES crosswalk'!A:C, 3, FALSE)</f>
        <v>TBD</v>
      </c>
      <c r="T266" s="186" t="s">
        <v>1209</v>
      </c>
      <c r="U266" t="s">
        <v>690</v>
      </c>
      <c r="V266">
        <v>25.751626000000002</v>
      </c>
      <c r="X266" t="b">
        <f t="shared" si="4"/>
        <v>0</v>
      </c>
      <c r="Y266" s="186" t="s">
        <v>1402</v>
      </c>
      <c r="Z266" t="s">
        <v>1403</v>
      </c>
    </row>
    <row r="267" spans="1:26" x14ac:dyDescent="0.25">
      <c r="A267">
        <v>2020</v>
      </c>
      <c r="B267" t="s">
        <v>1400</v>
      </c>
      <c r="C267" t="s">
        <v>825</v>
      </c>
      <c r="D267" s="1">
        <v>110000595981</v>
      </c>
      <c r="E267" t="s">
        <v>257</v>
      </c>
      <c r="F267" t="s">
        <v>258</v>
      </c>
      <c r="G267" t="s">
        <v>823</v>
      </c>
      <c r="H267" t="s">
        <v>170</v>
      </c>
      <c r="I267" t="s">
        <v>1405</v>
      </c>
      <c r="J267">
        <v>39.683477000000003</v>
      </c>
      <c r="K267">
        <v>-91.334682999999998</v>
      </c>
      <c r="L267">
        <v>3241</v>
      </c>
      <c r="M267" s="175" t="str">
        <f>VLOOKUP(L267, '2022 SIC to NAICS'!A:D, 2)</f>
        <v>Fabricated Rubber Products, Nec</v>
      </c>
      <c r="N267" s="184">
        <f>VLOOKUP(L267, '2022 SIC to NAICS'!A:D, 3)</f>
        <v>326299</v>
      </c>
      <c r="O267" s="184" t="str">
        <f>VLOOKUP(L267, '2022 SIC to NAICS'!A:D, 4)</f>
        <v xml:space="preserve">All Other Rubber Product Manufacturing </v>
      </c>
      <c r="P267" s="185" t="str">
        <f>VLOOKUP(N267, 'NAICS OES crosswalk'!A:C, 3, FALSE)</f>
        <v>TBD</v>
      </c>
      <c r="T267" s="186" t="s">
        <v>1214</v>
      </c>
      <c r="U267" t="s">
        <v>826</v>
      </c>
      <c r="V267">
        <v>0.10361437499999999</v>
      </c>
      <c r="X267" t="b">
        <f t="shared" si="4"/>
        <v>0</v>
      </c>
      <c r="Y267" s="186" t="s">
        <v>1427</v>
      </c>
      <c r="Z267" t="s">
        <v>1403</v>
      </c>
    </row>
    <row r="268" spans="1:26" x14ac:dyDescent="0.25">
      <c r="A268">
        <v>2020</v>
      </c>
      <c r="B268" t="s">
        <v>1400</v>
      </c>
      <c r="C268" t="s">
        <v>937</v>
      </c>
      <c r="D268" s="1">
        <v>110000463677</v>
      </c>
      <c r="E268" t="s">
        <v>502</v>
      </c>
      <c r="F268" t="s">
        <v>372</v>
      </c>
      <c r="G268" t="s">
        <v>638</v>
      </c>
      <c r="H268" t="s">
        <v>114</v>
      </c>
      <c r="I268" t="s">
        <v>1405</v>
      </c>
      <c r="J268">
        <v>29.726065999999999</v>
      </c>
      <c r="K268">
        <v>-95.079583999999997</v>
      </c>
      <c r="L268">
        <v>2821</v>
      </c>
      <c r="M268" s="175" t="str">
        <f>VLOOKUP(L268, '2022 SIC to NAICS'!A:D, 2)</f>
        <v>Platemaking Services</v>
      </c>
      <c r="N268" s="184">
        <f>VLOOKUP(L268, '2022 SIC to NAICS'!A:D, 3)</f>
        <v>323120</v>
      </c>
      <c r="O268" s="184" t="str">
        <f>VLOOKUP(L268, '2022 SIC to NAICS'!A:D, 4)</f>
        <v>Support Activities for Printing</v>
      </c>
      <c r="P268" s="185" t="str">
        <f>VLOOKUP(N268, 'NAICS OES crosswalk'!A:C, 3, FALSE)</f>
        <v>TBD</v>
      </c>
      <c r="T268">
        <v>120401040706</v>
      </c>
      <c r="U268" t="s">
        <v>640</v>
      </c>
      <c r="V268">
        <v>1.3091089999999999E-3</v>
      </c>
      <c r="X268" t="b">
        <f t="shared" si="4"/>
        <v>1</v>
      </c>
      <c r="Y268" s="186" t="s">
        <v>1402</v>
      </c>
      <c r="Z268" t="s">
        <v>1403</v>
      </c>
    </row>
    <row r="269" spans="1:26" x14ac:dyDescent="0.25">
      <c r="A269">
        <v>2020</v>
      </c>
      <c r="B269" t="s">
        <v>1400</v>
      </c>
      <c r="C269" t="s">
        <v>1106</v>
      </c>
      <c r="D269" s="1">
        <v>110024409344</v>
      </c>
      <c r="E269" t="s">
        <v>429</v>
      </c>
      <c r="F269" t="s">
        <v>430</v>
      </c>
      <c r="G269" t="s">
        <v>1105</v>
      </c>
      <c r="H269" t="s">
        <v>367</v>
      </c>
      <c r="I269" t="s">
        <v>1401</v>
      </c>
      <c r="J269">
        <v>36.091380999999998</v>
      </c>
      <c r="K269">
        <v>-111.289585</v>
      </c>
      <c r="L269">
        <v>4952</v>
      </c>
      <c r="M269" s="175" t="str">
        <f>VLOOKUP(L269, '2022 SIC to NAICS'!A:D, 2)</f>
        <v>Manufacturing Industries, Nec</v>
      </c>
      <c r="N269" s="184">
        <f>VLOOKUP(L269, '2022 SIC to NAICS'!A:D, 3)</f>
        <v>339999</v>
      </c>
      <c r="O269" s="184" t="str">
        <f>VLOOKUP(L269, '2022 SIC to NAICS'!A:D, 4)</f>
        <v xml:space="preserve">All Other Miscellaneous Manufacturing </v>
      </c>
      <c r="P269" s="185" t="str">
        <f>VLOOKUP(N269, 'NAICS OES crosswalk'!A:C, 3, FALSE)</f>
        <v>TBD</v>
      </c>
      <c r="T269">
        <v>150200181004</v>
      </c>
      <c r="U269" t="s">
        <v>1107</v>
      </c>
      <c r="V269">
        <v>0.75772671999999996</v>
      </c>
      <c r="X269" t="b">
        <f t="shared" si="4"/>
        <v>0</v>
      </c>
      <c r="Y269" s="186" t="s">
        <v>1402</v>
      </c>
      <c r="Z269" t="s">
        <v>1403</v>
      </c>
    </row>
    <row r="270" spans="1:26" x14ac:dyDescent="0.25">
      <c r="A270">
        <v>2020</v>
      </c>
      <c r="B270" t="s">
        <v>1400</v>
      </c>
      <c r="C270" t="s">
        <v>556</v>
      </c>
      <c r="D270" s="1">
        <v>110015972562</v>
      </c>
      <c r="E270" t="s">
        <v>167</v>
      </c>
      <c r="F270" t="s">
        <v>157</v>
      </c>
      <c r="G270" t="s">
        <v>554</v>
      </c>
      <c r="H270" t="s">
        <v>158</v>
      </c>
      <c r="I270" t="s">
        <v>1405</v>
      </c>
      <c r="J270">
        <v>36.116160999999998</v>
      </c>
      <c r="K270">
        <v>-115.172741</v>
      </c>
      <c r="L270">
        <v>7011</v>
      </c>
      <c r="M270" s="175" t="str">
        <f>VLOOKUP(L270, '2022 SIC to NAICS'!A:D, 2)</f>
        <v>Communication Services, Nec</v>
      </c>
      <c r="N270" s="184">
        <f>VLOOKUP(L270, '2022 SIC to NAICS'!A:D, 3)</f>
        <v>517810</v>
      </c>
      <c r="O270" s="184" t="str">
        <f>VLOOKUP(L270, '2022 SIC to NAICS'!A:D, 4)</f>
        <v xml:space="preserve">All Other Telecommunications </v>
      </c>
      <c r="P270" s="185" t="str">
        <f>VLOOKUP(N270, 'NAICS OES crosswalk'!A:C, 3, FALSE)</f>
        <v>TBD</v>
      </c>
      <c r="T270">
        <v>150100150505</v>
      </c>
      <c r="U270" t="s">
        <v>557</v>
      </c>
      <c r="V270">
        <v>3.1545571525000003E-2</v>
      </c>
      <c r="X270" t="b">
        <f t="shared" si="4"/>
        <v>0</v>
      </c>
      <c r="Y270" s="186" t="s">
        <v>1404</v>
      </c>
      <c r="Z270" t="s">
        <v>1403</v>
      </c>
    </row>
    <row r="271" spans="1:26" x14ac:dyDescent="0.25">
      <c r="A271">
        <v>2020</v>
      </c>
      <c r="B271" t="s">
        <v>1400</v>
      </c>
      <c r="C271" t="s">
        <v>605</v>
      </c>
      <c r="D271" s="1">
        <v>110000452082</v>
      </c>
      <c r="E271" t="s">
        <v>203</v>
      </c>
      <c r="F271" t="s">
        <v>204</v>
      </c>
      <c r="G271" t="s">
        <v>604</v>
      </c>
      <c r="H271" t="s">
        <v>205</v>
      </c>
      <c r="I271" t="s">
        <v>1401</v>
      </c>
      <c r="J271">
        <v>35.136057000000001</v>
      </c>
      <c r="K271">
        <v>-90.096892999999994</v>
      </c>
      <c r="L271">
        <v>2869</v>
      </c>
      <c r="M271" s="175" t="str">
        <f>VLOOKUP(L271, '2022 SIC to NAICS'!A:D, 2)</f>
        <v>Industrial Organic Chemicals, Nec</v>
      </c>
      <c r="N271" s="184">
        <f>VLOOKUP(L271, '2022 SIC to NAICS'!A:D, 3)</f>
        <v>325180</v>
      </c>
      <c r="O271" s="184" t="str">
        <f>VLOOKUP(L271, '2022 SIC to NAICS'!A:D, 4)</f>
        <v xml:space="preserve">Other Basic Inorganic Chemical Manufacturing </v>
      </c>
      <c r="P271" s="185" t="str">
        <f>VLOOKUP(N271, 'NAICS OES crosswalk'!A:C, 3, FALSE)</f>
        <v>Processing as a reactant</v>
      </c>
      <c r="T271" s="186" t="s">
        <v>1199</v>
      </c>
      <c r="U271" t="s">
        <v>606</v>
      </c>
      <c r="V271">
        <v>4.1563700000000002E-2</v>
      </c>
      <c r="X271" t="b">
        <f t="shared" si="4"/>
        <v>0</v>
      </c>
      <c r="Y271" s="186" t="s">
        <v>1402</v>
      </c>
      <c r="Z271" t="s">
        <v>1403</v>
      </c>
    </row>
    <row r="272" spans="1:26" x14ac:dyDescent="0.25">
      <c r="A272">
        <v>2020</v>
      </c>
      <c r="B272" t="s">
        <v>1400</v>
      </c>
      <c r="C272" t="s">
        <v>858</v>
      </c>
      <c r="D272" s="1">
        <v>110033659878</v>
      </c>
      <c r="E272" t="s">
        <v>201</v>
      </c>
      <c r="F272" t="s">
        <v>202</v>
      </c>
      <c r="G272" t="s">
        <v>663</v>
      </c>
      <c r="H272" t="s">
        <v>106</v>
      </c>
      <c r="I272" t="s">
        <v>1401</v>
      </c>
      <c r="J272">
        <v>30.221900000000002</v>
      </c>
      <c r="K272">
        <v>-91.051500000000004</v>
      </c>
      <c r="L272">
        <v>2869</v>
      </c>
      <c r="M272" s="175" t="str">
        <f>VLOOKUP(L272, '2022 SIC to NAICS'!A:D, 2)</f>
        <v>Industrial Organic Chemicals, Nec</v>
      </c>
      <c r="N272" s="184">
        <f>VLOOKUP(L272, '2022 SIC to NAICS'!A:D, 3)</f>
        <v>325180</v>
      </c>
      <c r="O272" s="184" t="str">
        <f>VLOOKUP(L272, '2022 SIC to NAICS'!A:D, 4)</f>
        <v xml:space="preserve">Other Basic Inorganic Chemical Manufacturing </v>
      </c>
      <c r="P272" s="185" t="str">
        <f>VLOOKUP(N272, 'NAICS OES crosswalk'!A:C, 3, FALSE)</f>
        <v>Processing as a reactant</v>
      </c>
      <c r="T272" s="186" t="s">
        <v>1198</v>
      </c>
      <c r="U272" t="s">
        <v>666</v>
      </c>
      <c r="V272">
        <v>3.1484899999999998</v>
      </c>
      <c r="X272" t="b">
        <f t="shared" si="4"/>
        <v>0</v>
      </c>
      <c r="Y272" s="186" t="s">
        <v>1402</v>
      </c>
    </row>
    <row r="273" spans="1:26" x14ac:dyDescent="0.25">
      <c r="A273">
        <v>2020</v>
      </c>
      <c r="B273" t="s">
        <v>1400</v>
      </c>
      <c r="C273" t="s">
        <v>749</v>
      </c>
      <c r="D273" s="1">
        <v>110064418553</v>
      </c>
      <c r="E273" t="s">
        <v>431</v>
      </c>
      <c r="F273" t="s">
        <v>157</v>
      </c>
      <c r="G273" t="s">
        <v>575</v>
      </c>
      <c r="H273" t="s">
        <v>158</v>
      </c>
      <c r="I273" t="s">
        <v>1405</v>
      </c>
      <c r="J273">
        <v>36.19997</v>
      </c>
      <c r="K273">
        <v>-115.19658</v>
      </c>
      <c r="L273">
        <v>5541</v>
      </c>
      <c r="M273" s="175" t="str">
        <f>VLOOKUP(L273, '2022 SIC to NAICS'!A:D, 2)</f>
        <v>Meat and Fish Markets</v>
      </c>
      <c r="N273" s="184">
        <f>VLOOKUP(L273, '2022 SIC to NAICS'!A:D, 3)</f>
        <v>445250</v>
      </c>
      <c r="O273" s="184" t="str">
        <f>VLOOKUP(L273, '2022 SIC to NAICS'!A:D, 4)</f>
        <v xml:space="preserve">Fish and Seafood Retailers </v>
      </c>
      <c r="P273" s="185" t="str">
        <f>VLOOKUP(N273, 'NAICS OES crosswalk'!A:C, 3, FALSE)</f>
        <v>TBD</v>
      </c>
      <c r="T273">
        <v>150100150604</v>
      </c>
      <c r="U273" t="s">
        <v>578</v>
      </c>
      <c r="V273">
        <v>7.2530062500000001E-3</v>
      </c>
      <c r="X273" t="b">
        <f t="shared" si="4"/>
        <v>0</v>
      </c>
      <c r="Y273" s="186" t="s">
        <v>1402</v>
      </c>
      <c r="Z273" t="s">
        <v>1403</v>
      </c>
    </row>
    <row r="274" spans="1:26" x14ac:dyDescent="0.25">
      <c r="A274">
        <v>2020</v>
      </c>
      <c r="B274" t="s">
        <v>1400</v>
      </c>
      <c r="C274" t="s">
        <v>673</v>
      </c>
      <c r="D274" s="1">
        <v>110000730825</v>
      </c>
      <c r="E274" t="s">
        <v>214</v>
      </c>
      <c r="F274" t="s">
        <v>215</v>
      </c>
      <c r="G274" t="s">
        <v>566</v>
      </c>
      <c r="H274" t="s">
        <v>146</v>
      </c>
      <c r="I274" t="s">
        <v>1401</v>
      </c>
      <c r="J274">
        <v>32.664450000000002</v>
      </c>
      <c r="K274">
        <v>-115.55970499999999</v>
      </c>
      <c r="L274">
        <v>4952</v>
      </c>
      <c r="M274" s="175" t="str">
        <f>VLOOKUP(L274, '2022 SIC to NAICS'!A:D, 2)</f>
        <v>Manufacturing Industries, Nec</v>
      </c>
      <c r="N274" s="184">
        <f>VLOOKUP(L274, '2022 SIC to NAICS'!A:D, 3)</f>
        <v>339999</v>
      </c>
      <c r="O274" s="184" t="str">
        <f>VLOOKUP(L274, '2022 SIC to NAICS'!A:D, 4)</f>
        <v xml:space="preserve">All Other Miscellaneous Manufacturing </v>
      </c>
      <c r="P274" s="185" t="str">
        <f>VLOOKUP(N274, 'NAICS OES crosswalk'!A:C, 3, FALSE)</f>
        <v>TBD</v>
      </c>
      <c r="T274">
        <v>181002040902</v>
      </c>
      <c r="U274" t="s">
        <v>674</v>
      </c>
      <c r="V274">
        <v>0.180309735375</v>
      </c>
      <c r="X274" t="b">
        <f t="shared" si="4"/>
        <v>0</v>
      </c>
      <c r="Y274" s="186" t="s">
        <v>1402</v>
      </c>
      <c r="Z274" t="s">
        <v>1403</v>
      </c>
    </row>
    <row r="275" spans="1:26" x14ac:dyDescent="0.25">
      <c r="A275">
        <v>2020</v>
      </c>
      <c r="B275" t="s">
        <v>1400</v>
      </c>
      <c r="C275" t="s">
        <v>862</v>
      </c>
      <c r="D275" s="1">
        <v>110039994897</v>
      </c>
      <c r="E275" t="s">
        <v>259</v>
      </c>
      <c r="F275" t="s">
        <v>260</v>
      </c>
      <c r="G275" t="s">
        <v>861</v>
      </c>
      <c r="H275" t="s">
        <v>138</v>
      </c>
      <c r="I275" t="s">
        <v>1401</v>
      </c>
      <c r="J275">
        <v>36.803610999999997</v>
      </c>
      <c r="K275">
        <v>-87.516389000000004</v>
      </c>
      <c r="L275">
        <v>4952</v>
      </c>
      <c r="M275" s="175" t="str">
        <f>VLOOKUP(L275, '2022 SIC to NAICS'!A:D, 2)</f>
        <v>Manufacturing Industries, Nec</v>
      </c>
      <c r="N275" s="184">
        <f>VLOOKUP(L275, '2022 SIC to NAICS'!A:D, 3)</f>
        <v>339999</v>
      </c>
      <c r="O275" s="184" t="str">
        <f>VLOOKUP(L275, '2022 SIC to NAICS'!A:D, 4)</f>
        <v xml:space="preserve">All Other Miscellaneous Manufacturing </v>
      </c>
      <c r="P275" s="185" t="str">
        <f>VLOOKUP(N275, 'NAICS OES crosswalk'!A:C, 3, FALSE)</f>
        <v>TBD</v>
      </c>
      <c r="T275" s="186" t="s">
        <v>1215</v>
      </c>
      <c r="U275" t="s">
        <v>863</v>
      </c>
      <c r="V275">
        <v>4.1459565249999999</v>
      </c>
      <c r="X275" t="b">
        <f t="shared" si="4"/>
        <v>0</v>
      </c>
      <c r="Y275" s="186" t="s">
        <v>1402</v>
      </c>
      <c r="Z275" t="s">
        <v>1403</v>
      </c>
    </row>
    <row r="276" spans="1:26" x14ac:dyDescent="0.25">
      <c r="A276">
        <v>2020</v>
      </c>
      <c r="B276" t="s">
        <v>1400</v>
      </c>
      <c r="C276" t="s">
        <v>1078</v>
      </c>
      <c r="D276" s="1">
        <v>110000572782</v>
      </c>
      <c r="E276" t="s">
        <v>163</v>
      </c>
      <c r="F276" t="s">
        <v>164</v>
      </c>
      <c r="G276" t="s">
        <v>1077</v>
      </c>
      <c r="H276" t="s">
        <v>135</v>
      </c>
      <c r="I276" t="s">
        <v>1401</v>
      </c>
      <c r="J276">
        <v>39.599829999999997</v>
      </c>
      <c r="K276">
        <v>-79.97148</v>
      </c>
      <c r="L276">
        <v>2869</v>
      </c>
      <c r="M276" s="175" t="str">
        <f>VLOOKUP(L276, '2022 SIC to NAICS'!A:D, 2)</f>
        <v>Industrial Organic Chemicals, Nec</v>
      </c>
      <c r="N276" s="184">
        <f>VLOOKUP(L276, '2022 SIC to NAICS'!A:D, 3)</f>
        <v>325180</v>
      </c>
      <c r="O276" s="184" t="str">
        <f>VLOOKUP(L276, '2022 SIC to NAICS'!A:D, 4)</f>
        <v xml:space="preserve">Other Basic Inorganic Chemical Manufacturing </v>
      </c>
      <c r="P276" s="185" t="str">
        <f>VLOOKUP(N276, 'NAICS OES crosswalk'!A:C, 3, FALSE)</f>
        <v>Processing as a reactant</v>
      </c>
      <c r="T276" s="186" t="s">
        <v>1190</v>
      </c>
      <c r="U276" t="s">
        <v>1079</v>
      </c>
      <c r="V276">
        <v>0.67729536000000001</v>
      </c>
      <c r="X276" t="b">
        <f t="shared" ref="X276:X304" si="5">V276 &lt;= _xlfn.PERCENTILE.INC($V$147:$V$304, 0.1)</f>
        <v>0</v>
      </c>
      <c r="Y276">
        <v>101</v>
      </c>
    </row>
    <row r="277" spans="1:26" x14ac:dyDescent="0.25">
      <c r="A277">
        <v>2020</v>
      </c>
      <c r="B277" t="s">
        <v>1400</v>
      </c>
      <c r="C277" t="s">
        <v>1117</v>
      </c>
      <c r="D277" s="1">
        <v>110004306938</v>
      </c>
      <c r="E277" t="s">
        <v>156</v>
      </c>
      <c r="F277" t="s">
        <v>157</v>
      </c>
      <c r="G277" t="s">
        <v>575</v>
      </c>
      <c r="H277" t="s">
        <v>158</v>
      </c>
      <c r="I277" t="s">
        <v>1405</v>
      </c>
      <c r="J277">
        <v>36.122100000000003</v>
      </c>
      <c r="K277">
        <v>-115.17139</v>
      </c>
      <c r="L277">
        <v>7011</v>
      </c>
      <c r="M277" s="175" t="str">
        <f>VLOOKUP(L277, '2022 SIC to NAICS'!A:D, 2)</f>
        <v>Communication Services, Nec</v>
      </c>
      <c r="N277" s="184">
        <f>VLOOKUP(L277, '2022 SIC to NAICS'!A:D, 3)</f>
        <v>517810</v>
      </c>
      <c r="O277" s="184" t="str">
        <f>VLOOKUP(L277, '2022 SIC to NAICS'!A:D, 4)</f>
        <v xml:space="preserve">All Other Telecommunications </v>
      </c>
      <c r="P277" s="185" t="str">
        <f>VLOOKUP(N277, 'NAICS OES crosswalk'!A:C, 3, FALSE)</f>
        <v>TBD</v>
      </c>
      <c r="T277">
        <v>150100150604</v>
      </c>
      <c r="U277" t="s">
        <v>578</v>
      </c>
      <c r="V277">
        <v>6.6727657500000002E-3</v>
      </c>
      <c r="X277" t="b">
        <f t="shared" si="5"/>
        <v>0</v>
      </c>
      <c r="Y277" s="186" t="s">
        <v>1404</v>
      </c>
      <c r="Z277" t="s">
        <v>1403</v>
      </c>
    </row>
    <row r="278" spans="1:26" x14ac:dyDescent="0.25">
      <c r="A278">
        <v>2020</v>
      </c>
      <c r="B278" t="s">
        <v>1400</v>
      </c>
      <c r="C278" t="s">
        <v>695</v>
      </c>
      <c r="D278" s="1">
        <v>110007970142</v>
      </c>
      <c r="E278" t="s">
        <v>355</v>
      </c>
      <c r="F278" t="s">
        <v>356</v>
      </c>
      <c r="G278" t="s">
        <v>694</v>
      </c>
      <c r="H278" t="s">
        <v>153</v>
      </c>
      <c r="I278" t="s">
        <v>1401</v>
      </c>
      <c r="J278">
        <v>39.698279999999997</v>
      </c>
      <c r="K278">
        <v>-75.503974999999997</v>
      </c>
      <c r="L278">
        <v>2869</v>
      </c>
      <c r="M278" s="175" t="str">
        <f>VLOOKUP(L278, '2022 SIC to NAICS'!A:D, 2)</f>
        <v>Industrial Organic Chemicals, Nec</v>
      </c>
      <c r="N278" s="184">
        <f>VLOOKUP(L278, '2022 SIC to NAICS'!A:D, 3)</f>
        <v>325180</v>
      </c>
      <c r="O278" s="184" t="str">
        <f>VLOOKUP(L278, '2022 SIC to NAICS'!A:D, 4)</f>
        <v xml:space="preserve">Other Basic Inorganic Chemical Manufacturing </v>
      </c>
      <c r="P278" s="185" t="str">
        <f>VLOOKUP(N278, 'NAICS OES crosswalk'!A:C, 3, FALSE)</f>
        <v>Processing as a reactant</v>
      </c>
      <c r="T278" s="186" t="s">
        <v>1250</v>
      </c>
      <c r="U278" t="s">
        <v>696</v>
      </c>
      <c r="V278">
        <v>0.68400000000000005</v>
      </c>
      <c r="X278" t="b">
        <f t="shared" si="5"/>
        <v>0</v>
      </c>
      <c r="Y278">
        <v>662</v>
      </c>
      <c r="Z278" t="s">
        <v>1403</v>
      </c>
    </row>
    <row r="279" spans="1:26" x14ac:dyDescent="0.25">
      <c r="A279">
        <v>2020</v>
      </c>
      <c r="B279" t="s">
        <v>1400</v>
      </c>
      <c r="C279" t="s">
        <v>953</v>
      </c>
      <c r="D279" s="1">
        <v>110039705361</v>
      </c>
      <c r="E279" t="s">
        <v>178</v>
      </c>
      <c r="F279" t="s">
        <v>179</v>
      </c>
      <c r="G279" t="s">
        <v>712</v>
      </c>
      <c r="H279" t="s">
        <v>138</v>
      </c>
      <c r="I279" t="s">
        <v>1401</v>
      </c>
      <c r="J279">
        <v>38.101582000000001</v>
      </c>
      <c r="K279">
        <v>-83.919770999999997</v>
      </c>
      <c r="L279">
        <v>4952</v>
      </c>
      <c r="M279" s="175" t="str">
        <f>VLOOKUP(L279, '2022 SIC to NAICS'!A:D, 2)</f>
        <v>Manufacturing Industries, Nec</v>
      </c>
      <c r="N279" s="184">
        <f>VLOOKUP(L279, '2022 SIC to NAICS'!A:D, 3)</f>
        <v>339999</v>
      </c>
      <c r="O279" s="184" t="str">
        <f>VLOOKUP(L279, '2022 SIC to NAICS'!A:D, 4)</f>
        <v xml:space="preserve">All Other Miscellaneous Manufacturing </v>
      </c>
      <c r="P279" s="185" t="str">
        <f>VLOOKUP(N279, 'NAICS OES crosswalk'!A:C, 3, FALSE)</f>
        <v>TBD</v>
      </c>
      <c r="T279" s="186" t="s">
        <v>1192</v>
      </c>
      <c r="U279" t="s">
        <v>954</v>
      </c>
      <c r="V279">
        <v>6.7349343749999999</v>
      </c>
      <c r="X279" t="b">
        <f t="shared" si="5"/>
        <v>0</v>
      </c>
      <c r="Y279" s="186" t="s">
        <v>1402</v>
      </c>
      <c r="Z279" t="s">
        <v>1403</v>
      </c>
    </row>
    <row r="280" spans="1:26" x14ac:dyDescent="0.25">
      <c r="A280">
        <v>2020</v>
      </c>
      <c r="B280" t="s">
        <v>1400</v>
      </c>
      <c r="C280" t="s">
        <v>715</v>
      </c>
      <c r="D280" s="1">
        <v>110017237373</v>
      </c>
      <c r="E280" t="s">
        <v>432</v>
      </c>
      <c r="F280" t="s">
        <v>157</v>
      </c>
      <c r="G280" t="s">
        <v>554</v>
      </c>
      <c r="H280" t="s">
        <v>158</v>
      </c>
      <c r="I280" t="s">
        <v>1405</v>
      </c>
      <c r="J280">
        <v>36.16478</v>
      </c>
      <c r="K280">
        <v>-115.14067</v>
      </c>
      <c r="L280">
        <v>8211</v>
      </c>
      <c r="M280" s="175" t="str">
        <f>VLOOKUP(L280, '2022 SIC to NAICS'!A:D, 2)</f>
        <v>Amusement and Recreation, Nec</v>
      </c>
      <c r="N280" s="184">
        <f>VLOOKUP(L280, '2022 SIC to NAICS'!A:D, 3)</f>
        <v>812990</v>
      </c>
      <c r="O280" s="184" t="str">
        <f>VLOOKUP(L280, '2022 SIC to NAICS'!A:D, 4)</f>
        <v xml:space="preserve">All Other Personal Services </v>
      </c>
      <c r="P280" s="185" t="str">
        <f>VLOOKUP(N280, 'NAICS OES crosswalk'!A:C, 3, FALSE)</f>
        <v>TBD</v>
      </c>
      <c r="T280">
        <v>150100150604</v>
      </c>
      <c r="U280" t="s">
        <v>578</v>
      </c>
      <c r="V280">
        <v>3.3501981249999999E-3</v>
      </c>
      <c r="X280" t="b">
        <f t="shared" si="5"/>
        <v>0</v>
      </c>
      <c r="Y280" s="186" t="s">
        <v>1402</v>
      </c>
      <c r="Z280" t="s">
        <v>1403</v>
      </c>
    </row>
    <row r="281" spans="1:26" x14ac:dyDescent="0.25">
      <c r="A281">
        <v>2020</v>
      </c>
      <c r="B281" t="s">
        <v>1400</v>
      </c>
      <c r="C281" t="s">
        <v>843</v>
      </c>
      <c r="D281" s="1">
        <v>110000732324</v>
      </c>
      <c r="E281" t="s">
        <v>219</v>
      </c>
      <c r="F281" t="s">
        <v>220</v>
      </c>
      <c r="G281" t="s">
        <v>842</v>
      </c>
      <c r="H281" t="s">
        <v>138</v>
      </c>
      <c r="I281" t="s">
        <v>1401</v>
      </c>
      <c r="J281">
        <v>37.776316000000001</v>
      </c>
      <c r="K281">
        <v>-84.867384999999999</v>
      </c>
      <c r="L281">
        <v>4952</v>
      </c>
      <c r="M281" s="175" t="str">
        <f>VLOOKUP(L281, '2022 SIC to NAICS'!A:D, 2)</f>
        <v>Manufacturing Industries, Nec</v>
      </c>
      <c r="N281" s="184">
        <f>VLOOKUP(L281, '2022 SIC to NAICS'!A:D, 3)</f>
        <v>339999</v>
      </c>
      <c r="O281" s="184" t="str">
        <f>VLOOKUP(L281, '2022 SIC to NAICS'!A:D, 4)</f>
        <v xml:space="preserve">All Other Miscellaneous Manufacturing </v>
      </c>
      <c r="P281" s="185" t="str">
        <f>VLOOKUP(N281, 'NAICS OES crosswalk'!A:C, 3, FALSE)</f>
        <v>TBD</v>
      </c>
      <c r="T281" s="186" t="s">
        <v>1201</v>
      </c>
      <c r="U281" t="s">
        <v>844</v>
      </c>
      <c r="V281">
        <v>1.24613555</v>
      </c>
      <c r="X281" t="b">
        <f t="shared" si="5"/>
        <v>0</v>
      </c>
      <c r="Y281" s="186" t="s">
        <v>1402</v>
      </c>
      <c r="Z281" t="s">
        <v>1403</v>
      </c>
    </row>
    <row r="282" spans="1:26" x14ac:dyDescent="0.25">
      <c r="A282">
        <v>2020</v>
      </c>
      <c r="B282" t="s">
        <v>1400</v>
      </c>
      <c r="C282" t="s">
        <v>1059</v>
      </c>
      <c r="D282" s="1">
        <v>110008476327</v>
      </c>
      <c r="E282" t="s">
        <v>266</v>
      </c>
      <c r="F282" t="s">
        <v>267</v>
      </c>
      <c r="G282" t="s">
        <v>1057</v>
      </c>
      <c r="H282" t="s">
        <v>268</v>
      </c>
      <c r="I282" t="s">
        <v>1405</v>
      </c>
      <c r="J282">
        <v>41.452778000000002</v>
      </c>
      <c r="K282">
        <v>-79.690278000000006</v>
      </c>
      <c r="L282">
        <v>2865</v>
      </c>
      <c r="M282" s="175" t="str">
        <f>VLOOKUP(L282, '2022 SIC to NAICS'!A:D, 2)</f>
        <v>Platemaking Services</v>
      </c>
      <c r="N282" s="184">
        <f>VLOOKUP(L282, '2022 SIC to NAICS'!A:D, 3)</f>
        <v>323120</v>
      </c>
      <c r="O282" s="184" t="str">
        <f>VLOOKUP(L282, '2022 SIC to NAICS'!A:D, 4)</f>
        <v>Support Activities for Printing</v>
      </c>
      <c r="P282" s="185" t="str">
        <f>VLOOKUP(N282, 'NAICS OES crosswalk'!A:C, 3, FALSE)</f>
        <v>TBD</v>
      </c>
      <c r="T282" s="186" t="s">
        <v>1219</v>
      </c>
      <c r="U282" t="s">
        <v>1060</v>
      </c>
      <c r="V282">
        <v>3.3141999999999998E-3</v>
      </c>
      <c r="X282" t="b">
        <f t="shared" si="5"/>
        <v>0</v>
      </c>
      <c r="Y282" s="186" t="s">
        <v>1402</v>
      </c>
      <c r="Z282" t="s">
        <v>1403</v>
      </c>
    </row>
    <row r="283" spans="1:26" x14ac:dyDescent="0.25">
      <c r="A283">
        <v>2020</v>
      </c>
      <c r="B283" t="s">
        <v>1400</v>
      </c>
      <c r="C283" t="s">
        <v>1063</v>
      </c>
      <c r="D283" s="1">
        <v>110064786085</v>
      </c>
      <c r="E283" t="s">
        <v>330</v>
      </c>
      <c r="F283" t="s">
        <v>331</v>
      </c>
      <c r="G283" t="s">
        <v>1061</v>
      </c>
      <c r="H283" t="s">
        <v>250</v>
      </c>
      <c r="I283" t="s">
        <v>1405</v>
      </c>
      <c r="J283">
        <v>44.700833000000003</v>
      </c>
      <c r="K283">
        <v>-73.591667000000001</v>
      </c>
      <c r="L283">
        <v>9511</v>
      </c>
      <c r="M283" s="175" t="str">
        <f>VLOOKUP(L283, '2022 SIC to NAICS'!A:D, 2)</f>
        <v>Air, Water, and Solid Waste Management</v>
      </c>
      <c r="N283" s="184">
        <f>VLOOKUP(L283, '2022 SIC to NAICS'!A:D, 3)</f>
        <v>924110</v>
      </c>
      <c r="O283" s="184" t="str">
        <f>VLOOKUP(L283, '2022 SIC to NAICS'!A:D, 4)</f>
        <v xml:space="preserve">Administration of Air and Water Resource and Solid Waste Management Programs </v>
      </c>
      <c r="P283" s="185" t="str">
        <f>VLOOKUP(N283, 'NAICS OES crosswalk'!A:C, 3, FALSE)</f>
        <v>TBD</v>
      </c>
      <c r="T283" s="186" t="s">
        <v>1243</v>
      </c>
      <c r="U283" t="s">
        <v>1064</v>
      </c>
      <c r="V283">
        <v>0.14247291852999999</v>
      </c>
      <c r="X283" t="b">
        <f t="shared" si="5"/>
        <v>0</v>
      </c>
      <c r="Y283" s="186" t="s">
        <v>1402</v>
      </c>
      <c r="Z283" t="s">
        <v>1403</v>
      </c>
    </row>
    <row r="284" spans="1:26" x14ac:dyDescent="0.25">
      <c r="A284">
        <v>2020</v>
      </c>
      <c r="B284" t="s">
        <v>1400</v>
      </c>
      <c r="C284" t="s">
        <v>924</v>
      </c>
      <c r="D284" s="1">
        <v>110002041380</v>
      </c>
      <c r="E284" t="s">
        <v>433</v>
      </c>
      <c r="F284" t="s">
        <v>434</v>
      </c>
      <c r="G284" t="s">
        <v>923</v>
      </c>
      <c r="H284" t="s">
        <v>138</v>
      </c>
      <c r="I284" t="s">
        <v>1401</v>
      </c>
      <c r="J284">
        <v>37.318492999999997</v>
      </c>
      <c r="K284">
        <v>-87.549857000000003</v>
      </c>
      <c r="L284">
        <v>4952</v>
      </c>
      <c r="M284" s="175" t="str">
        <f>VLOOKUP(L284, '2022 SIC to NAICS'!A:D, 2)</f>
        <v>Manufacturing Industries, Nec</v>
      </c>
      <c r="N284" s="184">
        <f>VLOOKUP(L284, '2022 SIC to NAICS'!A:D, 3)</f>
        <v>339999</v>
      </c>
      <c r="O284" s="184" t="str">
        <f>VLOOKUP(L284, '2022 SIC to NAICS'!A:D, 4)</f>
        <v xml:space="preserve">All Other Miscellaneous Manufacturing </v>
      </c>
      <c r="P284" s="185" t="str">
        <f>VLOOKUP(N284, 'NAICS OES crosswalk'!A:C, 3, FALSE)</f>
        <v>TBD</v>
      </c>
      <c r="T284" s="186" t="s">
        <v>1272</v>
      </c>
      <c r="U284" t="s">
        <v>925</v>
      </c>
      <c r="V284">
        <v>6.6741472750000002</v>
      </c>
      <c r="X284" t="b">
        <f t="shared" si="5"/>
        <v>0</v>
      </c>
      <c r="Y284" s="186" t="s">
        <v>1402</v>
      </c>
      <c r="Z284" t="s">
        <v>1403</v>
      </c>
    </row>
    <row r="285" spans="1:26" x14ac:dyDescent="0.25">
      <c r="A285">
        <v>2020</v>
      </c>
      <c r="B285" t="s">
        <v>1400</v>
      </c>
      <c r="C285" t="s">
        <v>726</v>
      </c>
      <c r="D285" s="1">
        <v>110000611703</v>
      </c>
      <c r="E285" t="s">
        <v>287</v>
      </c>
      <c r="F285" t="s">
        <v>288</v>
      </c>
      <c r="G285" t="s">
        <v>725</v>
      </c>
      <c r="H285" t="s">
        <v>289</v>
      </c>
      <c r="I285" t="s">
        <v>1405</v>
      </c>
      <c r="J285">
        <v>34.632592000000002</v>
      </c>
      <c r="K285">
        <v>-84.927667999999997</v>
      </c>
      <c r="L285">
        <v>2821</v>
      </c>
      <c r="M285" s="175" t="str">
        <f>VLOOKUP(L285, '2022 SIC to NAICS'!A:D, 2)</f>
        <v>Platemaking Services</v>
      </c>
      <c r="N285" s="184">
        <f>VLOOKUP(L285, '2022 SIC to NAICS'!A:D, 3)</f>
        <v>323120</v>
      </c>
      <c r="O285" s="184" t="str">
        <f>VLOOKUP(L285, '2022 SIC to NAICS'!A:D, 4)</f>
        <v>Support Activities for Printing</v>
      </c>
      <c r="P285" s="185" t="str">
        <f>VLOOKUP(N285, 'NAICS OES crosswalk'!A:C, 3, FALSE)</f>
        <v>TBD</v>
      </c>
      <c r="T285" s="186" t="s">
        <v>1227</v>
      </c>
      <c r="U285" t="s">
        <v>727</v>
      </c>
      <c r="V285">
        <v>2.8147999999999999E-2</v>
      </c>
      <c r="X285" t="b">
        <f t="shared" si="5"/>
        <v>0</v>
      </c>
      <c r="Y285" s="186" t="s">
        <v>1402</v>
      </c>
    </row>
    <row r="286" spans="1:26" x14ac:dyDescent="0.25">
      <c r="A286">
        <v>2020</v>
      </c>
      <c r="B286" t="s">
        <v>1400</v>
      </c>
      <c r="C286" t="s">
        <v>886</v>
      </c>
      <c r="D286" s="1">
        <v>110009933402</v>
      </c>
      <c r="E286" t="s">
        <v>435</v>
      </c>
      <c r="F286" t="s">
        <v>436</v>
      </c>
      <c r="G286" t="s">
        <v>885</v>
      </c>
      <c r="H286" t="s">
        <v>138</v>
      </c>
      <c r="I286" t="s">
        <v>1401</v>
      </c>
      <c r="J286">
        <v>37.780760000000001</v>
      </c>
      <c r="K286">
        <v>-85.510740999999996</v>
      </c>
      <c r="L286">
        <v>4952</v>
      </c>
      <c r="M286" s="175" t="str">
        <f>VLOOKUP(L286, '2022 SIC to NAICS'!A:D, 2)</f>
        <v>Manufacturing Industries, Nec</v>
      </c>
      <c r="N286" s="184">
        <f>VLOOKUP(L286, '2022 SIC to NAICS'!A:D, 3)</f>
        <v>339999</v>
      </c>
      <c r="O286" s="184" t="str">
        <f>VLOOKUP(L286, '2022 SIC to NAICS'!A:D, 4)</f>
        <v xml:space="preserve">All Other Miscellaneous Manufacturing </v>
      </c>
      <c r="P286" s="185" t="str">
        <f>VLOOKUP(N286, 'NAICS OES crosswalk'!A:C, 3, FALSE)</f>
        <v>TBD</v>
      </c>
      <c r="T286" s="186" t="s">
        <v>1273</v>
      </c>
      <c r="U286" t="s">
        <v>887</v>
      </c>
      <c r="V286">
        <v>1.2212681000000001</v>
      </c>
      <c r="X286" t="b">
        <f t="shared" si="5"/>
        <v>0</v>
      </c>
      <c r="Y286" s="186" t="s">
        <v>1402</v>
      </c>
      <c r="Z286" t="s">
        <v>1403</v>
      </c>
    </row>
    <row r="287" spans="1:26" x14ac:dyDescent="0.25">
      <c r="A287">
        <v>2020</v>
      </c>
      <c r="B287" t="s">
        <v>1400</v>
      </c>
      <c r="C287" t="s">
        <v>1445</v>
      </c>
      <c r="D287" s="1">
        <v>110056966699</v>
      </c>
      <c r="E287" t="s">
        <v>1446</v>
      </c>
      <c r="F287" t="s">
        <v>1447</v>
      </c>
      <c r="G287" t="s">
        <v>1448</v>
      </c>
      <c r="H287" t="s">
        <v>118</v>
      </c>
      <c r="I287" t="s">
        <v>1401</v>
      </c>
      <c r="J287">
        <v>41.948850999999998</v>
      </c>
      <c r="K287">
        <v>-83.958619999999996</v>
      </c>
      <c r="L287">
        <v>2821</v>
      </c>
      <c r="M287" s="175" t="str">
        <f>VLOOKUP(L287, '2022 SIC to NAICS'!A:D, 2)</f>
        <v>Platemaking Services</v>
      </c>
      <c r="N287" s="184">
        <f>VLOOKUP(L287, '2022 SIC to NAICS'!A:D, 3)</f>
        <v>323120</v>
      </c>
      <c r="O287" s="184" t="str">
        <f>VLOOKUP(L287, '2022 SIC to NAICS'!A:D, 4)</f>
        <v>Support Activities for Printing</v>
      </c>
      <c r="P287" s="185" t="str">
        <f>VLOOKUP(N287, 'NAICS OES crosswalk'!A:C, 3, FALSE)</f>
        <v>TBD</v>
      </c>
      <c r="T287" s="186" t="s">
        <v>1449</v>
      </c>
      <c r="U287" t="s">
        <v>1450</v>
      </c>
      <c r="V287">
        <v>4.6221000000000002E-6</v>
      </c>
      <c r="X287" t="b">
        <f t="shared" si="5"/>
        <v>1</v>
      </c>
      <c r="Y287" s="186" t="s">
        <v>1402</v>
      </c>
      <c r="Z287" t="s">
        <v>1403</v>
      </c>
    </row>
    <row r="288" spans="1:26" x14ac:dyDescent="0.25">
      <c r="A288">
        <v>2020</v>
      </c>
      <c r="B288" t="s">
        <v>1400</v>
      </c>
      <c r="C288" t="s">
        <v>632</v>
      </c>
      <c r="D288" s="1">
        <v>110064611969</v>
      </c>
      <c r="E288" t="s">
        <v>265</v>
      </c>
      <c r="F288" t="s">
        <v>175</v>
      </c>
      <c r="G288" t="s">
        <v>630</v>
      </c>
      <c r="H288" t="s">
        <v>106</v>
      </c>
      <c r="I288" t="s">
        <v>1401</v>
      </c>
      <c r="J288">
        <v>30.23771</v>
      </c>
      <c r="K288">
        <v>-93.258650000000003</v>
      </c>
      <c r="L288">
        <v>2819</v>
      </c>
      <c r="M288" s="175" t="str">
        <f>VLOOKUP(L288, '2022 SIC to NAICS'!A:D, 2)</f>
        <v>Platemaking Services</v>
      </c>
      <c r="N288" s="184">
        <f>VLOOKUP(L288, '2022 SIC to NAICS'!A:D, 3)</f>
        <v>323120</v>
      </c>
      <c r="O288" s="184" t="str">
        <f>VLOOKUP(L288, '2022 SIC to NAICS'!A:D, 4)</f>
        <v>Support Activities for Printing</v>
      </c>
      <c r="P288" s="185" t="str">
        <f>VLOOKUP(N288, 'NAICS OES crosswalk'!A:C, 3, FALSE)</f>
        <v>TBD</v>
      </c>
      <c r="T288" s="186" t="s">
        <v>1218</v>
      </c>
      <c r="U288" t="s">
        <v>633</v>
      </c>
      <c r="V288">
        <v>1.826641</v>
      </c>
      <c r="X288" t="b">
        <f t="shared" si="5"/>
        <v>0</v>
      </c>
      <c r="Y288" s="186" t="s">
        <v>1432</v>
      </c>
      <c r="Z288" t="s">
        <v>1403</v>
      </c>
    </row>
    <row r="289" spans="1:26" x14ac:dyDescent="0.25">
      <c r="A289">
        <v>2020</v>
      </c>
      <c r="B289" t="s">
        <v>1400</v>
      </c>
      <c r="C289" t="s">
        <v>1091</v>
      </c>
      <c r="D289" s="1">
        <v>110056972432</v>
      </c>
      <c r="E289" t="s">
        <v>193</v>
      </c>
      <c r="F289" t="s">
        <v>194</v>
      </c>
      <c r="G289" t="s">
        <v>1087</v>
      </c>
      <c r="H289" t="s">
        <v>106</v>
      </c>
      <c r="I289" t="s">
        <v>1401</v>
      </c>
      <c r="J289">
        <v>30.250833</v>
      </c>
      <c r="K289">
        <v>-91.092277999999993</v>
      </c>
      <c r="L289">
        <v>2869</v>
      </c>
      <c r="M289" s="175" t="str">
        <f>VLOOKUP(L289, '2022 SIC to NAICS'!A:D, 2)</f>
        <v>Industrial Organic Chemicals, Nec</v>
      </c>
      <c r="N289" s="184">
        <f>VLOOKUP(L289, '2022 SIC to NAICS'!A:D, 3)</f>
        <v>325180</v>
      </c>
      <c r="O289" s="184" t="str">
        <f>VLOOKUP(L289, '2022 SIC to NAICS'!A:D, 4)</f>
        <v xml:space="preserve">Other Basic Inorganic Chemical Manufacturing </v>
      </c>
      <c r="P289" s="185" t="str">
        <f>VLOOKUP(N289, 'NAICS OES crosswalk'!A:C, 3, FALSE)</f>
        <v>Processing as a reactant</v>
      </c>
      <c r="T289" s="186" t="s">
        <v>1196</v>
      </c>
      <c r="U289" t="s">
        <v>1090</v>
      </c>
      <c r="V289">
        <v>0.414275</v>
      </c>
      <c r="X289" t="b">
        <f t="shared" si="5"/>
        <v>0</v>
      </c>
      <c r="Y289" s="186" t="s">
        <v>1402</v>
      </c>
      <c r="Z289" t="s">
        <v>1403</v>
      </c>
    </row>
    <row r="290" spans="1:26" x14ac:dyDescent="0.25">
      <c r="A290">
        <v>2020</v>
      </c>
      <c r="B290" t="s">
        <v>1400</v>
      </c>
      <c r="C290" t="s">
        <v>912</v>
      </c>
      <c r="D290" s="1">
        <v>110059844156</v>
      </c>
      <c r="E290" t="s">
        <v>415</v>
      </c>
      <c r="F290" t="s">
        <v>157</v>
      </c>
      <c r="G290" t="s">
        <v>554</v>
      </c>
      <c r="H290" t="s">
        <v>158</v>
      </c>
      <c r="I290" t="s">
        <v>1405</v>
      </c>
      <c r="J290">
        <v>36.131489999999999</v>
      </c>
      <c r="K290">
        <v>-115.15483</v>
      </c>
      <c r="L290">
        <v>1799</v>
      </c>
      <c r="M290" s="175" t="str">
        <f>VLOOKUP(L290, '2022 SIC to NAICS'!A:D, 2)</f>
        <v>Special Trade Contractors, Nec</v>
      </c>
      <c r="N290" s="184">
        <f>VLOOKUP(L290, '2022 SIC to NAICS'!A:D, 3)</f>
        <v>238990</v>
      </c>
      <c r="O290" s="184" t="str">
        <f>VLOOKUP(L290, '2022 SIC to NAICS'!A:D, 4)</f>
        <v>All Other Specialty Trade Contractors</v>
      </c>
      <c r="P290" s="185" t="str">
        <f>VLOOKUP(N290, 'NAICS OES crosswalk'!A:C, 3, FALSE)</f>
        <v>TBD</v>
      </c>
      <c r="T290">
        <v>150100150604</v>
      </c>
      <c r="U290" t="s">
        <v>578</v>
      </c>
      <c r="V290">
        <v>1.8325238362499999E-2</v>
      </c>
      <c r="X290" t="b">
        <f t="shared" si="5"/>
        <v>0</v>
      </c>
      <c r="Y290" t="s">
        <v>1470</v>
      </c>
      <c r="Z290" t="s">
        <v>1403</v>
      </c>
    </row>
    <row r="291" spans="1:26" x14ac:dyDescent="0.25">
      <c r="A291">
        <v>2020</v>
      </c>
      <c r="B291" t="s">
        <v>1400</v>
      </c>
      <c r="C291" t="s">
        <v>684</v>
      </c>
      <c r="D291" s="1">
        <v>110015632216</v>
      </c>
      <c r="E291" t="s">
        <v>142</v>
      </c>
      <c r="F291" t="s">
        <v>143</v>
      </c>
      <c r="G291" t="s">
        <v>683</v>
      </c>
      <c r="H291" t="s">
        <v>138</v>
      </c>
      <c r="I291" t="s">
        <v>1401</v>
      </c>
      <c r="J291">
        <v>38.627777999999999</v>
      </c>
      <c r="K291">
        <v>-85.115832999999995</v>
      </c>
      <c r="L291">
        <v>4952</v>
      </c>
      <c r="M291" s="175" t="str">
        <f>VLOOKUP(L291, '2022 SIC to NAICS'!A:D, 2)</f>
        <v>Manufacturing Industries, Nec</v>
      </c>
      <c r="N291" s="184">
        <f>VLOOKUP(L291, '2022 SIC to NAICS'!A:D, 3)</f>
        <v>339999</v>
      </c>
      <c r="O291" s="184" t="str">
        <f>VLOOKUP(L291, '2022 SIC to NAICS'!A:D, 4)</f>
        <v xml:space="preserve">All Other Miscellaneous Manufacturing </v>
      </c>
      <c r="P291" s="185" t="str">
        <f>VLOOKUP(N291, 'NAICS OES crosswalk'!A:C, 3, FALSE)</f>
        <v>TBD</v>
      </c>
      <c r="T291" s="186" t="s">
        <v>1184</v>
      </c>
      <c r="U291" t="s">
        <v>685</v>
      </c>
      <c r="V291">
        <v>3.557426875</v>
      </c>
      <c r="X291" t="b">
        <f t="shared" si="5"/>
        <v>0</v>
      </c>
      <c r="Y291" s="186" t="s">
        <v>1402</v>
      </c>
      <c r="Z291" t="s">
        <v>1403</v>
      </c>
    </row>
    <row r="292" spans="1:26" x14ac:dyDescent="0.25">
      <c r="A292">
        <v>2020</v>
      </c>
      <c r="B292" t="s">
        <v>1400</v>
      </c>
      <c r="C292" t="s">
        <v>1114</v>
      </c>
      <c r="D292" s="1">
        <v>110000571373</v>
      </c>
      <c r="E292" t="s">
        <v>136</v>
      </c>
      <c r="F292" t="s">
        <v>137</v>
      </c>
      <c r="G292" t="s">
        <v>1020</v>
      </c>
      <c r="H292" t="s">
        <v>138</v>
      </c>
      <c r="I292" t="s">
        <v>1401</v>
      </c>
      <c r="J292">
        <v>37.642310000000002</v>
      </c>
      <c r="K292">
        <v>-85.903570000000002</v>
      </c>
      <c r="L292">
        <v>4952</v>
      </c>
      <c r="M292" s="175" t="str">
        <f>VLOOKUP(L292, '2022 SIC to NAICS'!A:D, 2)</f>
        <v>Manufacturing Industries, Nec</v>
      </c>
      <c r="N292" s="184">
        <f>VLOOKUP(L292, '2022 SIC to NAICS'!A:D, 3)</f>
        <v>339999</v>
      </c>
      <c r="O292" s="184" t="str">
        <f>VLOOKUP(L292, '2022 SIC to NAICS'!A:D, 4)</f>
        <v xml:space="preserve">All Other Miscellaneous Manufacturing </v>
      </c>
      <c r="P292" s="185" t="str">
        <f>VLOOKUP(N292, 'NAICS OES crosswalk'!A:C, 3, FALSE)</f>
        <v>TBD</v>
      </c>
      <c r="T292" s="186" t="s">
        <v>1182</v>
      </c>
      <c r="U292" t="s">
        <v>1115</v>
      </c>
      <c r="V292">
        <v>40.754987499999999</v>
      </c>
      <c r="X292" t="b">
        <f t="shared" si="5"/>
        <v>0</v>
      </c>
      <c r="Y292" s="186" t="s">
        <v>1402</v>
      </c>
      <c r="Z292" t="s">
        <v>1403</v>
      </c>
    </row>
    <row r="293" spans="1:26" x14ac:dyDescent="0.25">
      <c r="A293">
        <v>2020</v>
      </c>
      <c r="B293" t="s">
        <v>1400</v>
      </c>
      <c r="C293" t="s">
        <v>1050</v>
      </c>
      <c r="D293" s="1">
        <v>110005726802</v>
      </c>
      <c r="E293" t="s">
        <v>357</v>
      </c>
      <c r="F293" t="s">
        <v>185</v>
      </c>
      <c r="G293" t="s">
        <v>1049</v>
      </c>
      <c r="H293" t="s">
        <v>186</v>
      </c>
      <c r="I293" t="s">
        <v>1401</v>
      </c>
      <c r="J293">
        <v>21.304500000000001</v>
      </c>
      <c r="K293">
        <v>-157.88205600000001</v>
      </c>
      <c r="L293">
        <v>4952</v>
      </c>
      <c r="M293" s="175" t="str">
        <f>VLOOKUP(L293, '2022 SIC to NAICS'!A:D, 2)</f>
        <v>Manufacturing Industries, Nec</v>
      </c>
      <c r="N293" s="184">
        <f>VLOOKUP(L293, '2022 SIC to NAICS'!A:D, 3)</f>
        <v>339999</v>
      </c>
      <c r="O293" s="184" t="str">
        <f>VLOOKUP(L293, '2022 SIC to NAICS'!A:D, 4)</f>
        <v xml:space="preserve">All Other Miscellaneous Manufacturing </v>
      </c>
      <c r="P293" s="185" t="str">
        <f>VLOOKUP(N293, 'NAICS OES crosswalk'!A:C, 3, FALSE)</f>
        <v>TBD</v>
      </c>
      <c r="T293">
        <v>200600000304</v>
      </c>
      <c r="U293" t="s">
        <v>1051</v>
      </c>
      <c r="V293">
        <v>10.63046016</v>
      </c>
      <c r="X293" t="b">
        <f t="shared" si="5"/>
        <v>0</v>
      </c>
      <c r="Y293" s="186" t="s">
        <v>1402</v>
      </c>
      <c r="Z293" t="s">
        <v>1403</v>
      </c>
    </row>
    <row r="294" spans="1:26" x14ac:dyDescent="0.25">
      <c r="A294">
        <v>2020</v>
      </c>
      <c r="B294" t="s">
        <v>1400</v>
      </c>
      <c r="C294" t="s">
        <v>657</v>
      </c>
      <c r="D294" s="1">
        <v>110046184516</v>
      </c>
      <c r="E294" t="s">
        <v>184</v>
      </c>
      <c r="F294" t="s">
        <v>185</v>
      </c>
      <c r="G294" t="s">
        <v>185</v>
      </c>
      <c r="H294" t="s">
        <v>186</v>
      </c>
      <c r="I294" t="s">
        <v>1405</v>
      </c>
      <c r="J294">
        <v>21.352499999999999</v>
      </c>
      <c r="K294">
        <v>-157.95813899999999</v>
      </c>
      <c r="L294">
        <v>3731</v>
      </c>
      <c r="M294" s="175" t="str">
        <f>VLOOKUP(L294, '2022 SIC to NAICS'!A:D, 2)</f>
        <v>Office Machines, Nec</v>
      </c>
      <c r="N294" s="184">
        <f>VLOOKUP(L294, '2022 SIC to NAICS'!A:D, 3)</f>
        <v>339940</v>
      </c>
      <c r="O294" s="184" t="str">
        <f>VLOOKUP(L294, '2022 SIC to NAICS'!A:D, 4)</f>
        <v>Office Supplies (except Paper) Manufacturing</v>
      </c>
      <c r="P294" s="185" t="str">
        <f>VLOOKUP(N294, 'NAICS OES crosswalk'!A:C, 3, FALSE)</f>
        <v>TBD</v>
      </c>
      <c r="T294">
        <v>200600000401</v>
      </c>
      <c r="U294" t="s">
        <v>658</v>
      </c>
      <c r="V294">
        <v>0.46971849999999998</v>
      </c>
      <c r="X294" t="b">
        <f t="shared" si="5"/>
        <v>0</v>
      </c>
      <c r="Y294" t="s">
        <v>1419</v>
      </c>
      <c r="Z294" t="s">
        <v>1403</v>
      </c>
    </row>
    <row r="295" spans="1:26" x14ac:dyDescent="0.25">
      <c r="A295">
        <v>2020</v>
      </c>
      <c r="B295" t="s">
        <v>1400</v>
      </c>
      <c r="C295" t="s">
        <v>1422</v>
      </c>
      <c r="D295" s="1">
        <v>110041022274</v>
      </c>
      <c r="E295" t="s">
        <v>1423</v>
      </c>
      <c r="F295" t="s">
        <v>1424</v>
      </c>
      <c r="G295" t="s">
        <v>694</v>
      </c>
      <c r="H295" t="s">
        <v>153</v>
      </c>
      <c r="I295" t="s">
        <v>1401</v>
      </c>
      <c r="J295">
        <v>39.766944000000002</v>
      </c>
      <c r="K295">
        <v>-75.421361000000005</v>
      </c>
      <c r="L295">
        <v>2821</v>
      </c>
      <c r="M295" s="175" t="str">
        <f>VLOOKUP(L295, '2022 SIC to NAICS'!A:D, 2)</f>
        <v>Platemaking Services</v>
      </c>
      <c r="N295" s="184">
        <f>VLOOKUP(L295, '2022 SIC to NAICS'!A:D, 3)</f>
        <v>323120</v>
      </c>
      <c r="O295" s="184" t="str">
        <f>VLOOKUP(L295, '2022 SIC to NAICS'!A:D, 4)</f>
        <v>Support Activities for Printing</v>
      </c>
      <c r="P295" s="185" t="str">
        <f>VLOOKUP(N295, 'NAICS OES crosswalk'!A:C, 3, FALSE)</f>
        <v>TBD</v>
      </c>
      <c r="T295" s="186" t="s">
        <v>1250</v>
      </c>
      <c r="U295" t="s">
        <v>696</v>
      </c>
      <c r="V295">
        <v>1.0499999999999999E-5</v>
      </c>
      <c r="X295" t="b">
        <f t="shared" si="5"/>
        <v>1</v>
      </c>
      <c r="Y295" s="186" t="s">
        <v>1402</v>
      </c>
      <c r="Z295" t="s">
        <v>1403</v>
      </c>
    </row>
    <row r="296" spans="1:26" x14ac:dyDescent="0.25">
      <c r="A296">
        <v>2020</v>
      </c>
      <c r="B296" t="s">
        <v>1400</v>
      </c>
      <c r="C296" t="s">
        <v>782</v>
      </c>
      <c r="D296" s="1">
        <v>110000321651</v>
      </c>
      <c r="E296" t="s">
        <v>282</v>
      </c>
      <c r="F296" t="s">
        <v>283</v>
      </c>
      <c r="G296" t="s">
        <v>781</v>
      </c>
      <c r="H296" t="s">
        <v>153</v>
      </c>
      <c r="I296" t="s">
        <v>1401</v>
      </c>
      <c r="J296">
        <v>40.331944</v>
      </c>
      <c r="K296">
        <v>-74.619721999999996</v>
      </c>
      <c r="L296">
        <v>2869</v>
      </c>
      <c r="M296" s="175" t="str">
        <f>VLOOKUP(L296, '2022 SIC to NAICS'!A:D, 2)</f>
        <v>Industrial Organic Chemicals, Nec</v>
      </c>
      <c r="N296" s="184">
        <f>VLOOKUP(L296, '2022 SIC to NAICS'!A:D, 3)</f>
        <v>325180</v>
      </c>
      <c r="O296" s="184" t="str">
        <f>VLOOKUP(L296, '2022 SIC to NAICS'!A:D, 4)</f>
        <v xml:space="preserve">Other Basic Inorganic Chemical Manufacturing </v>
      </c>
      <c r="P296" s="185" t="str">
        <f>VLOOKUP(N296, 'NAICS OES crosswalk'!A:C, 3, FALSE)</f>
        <v>Processing as a reactant</v>
      </c>
      <c r="T296" s="186" t="s">
        <v>1225</v>
      </c>
      <c r="U296" t="s">
        <v>783</v>
      </c>
      <c r="V296">
        <v>9.0500000000000008E-3</v>
      </c>
      <c r="X296" t="b">
        <f t="shared" si="5"/>
        <v>0</v>
      </c>
      <c r="Y296" s="186" t="s">
        <v>1404</v>
      </c>
      <c r="Z296" t="s">
        <v>1403</v>
      </c>
    </row>
    <row r="297" spans="1:26" x14ac:dyDescent="0.25">
      <c r="A297">
        <v>2020</v>
      </c>
      <c r="B297" t="s">
        <v>1400</v>
      </c>
      <c r="C297" t="s">
        <v>1045</v>
      </c>
      <c r="D297" s="1">
        <v>110039998214</v>
      </c>
      <c r="E297" t="s">
        <v>316</v>
      </c>
      <c r="F297" t="s">
        <v>150</v>
      </c>
      <c r="G297" t="s">
        <v>985</v>
      </c>
      <c r="H297" t="s">
        <v>138</v>
      </c>
      <c r="I297" t="s">
        <v>1401</v>
      </c>
      <c r="J297">
        <v>37.790278000000001</v>
      </c>
      <c r="K297">
        <v>-87.140277999999995</v>
      </c>
      <c r="L297">
        <v>4952</v>
      </c>
      <c r="M297" s="175" t="str">
        <f>VLOOKUP(L297, '2022 SIC to NAICS'!A:D, 2)</f>
        <v>Manufacturing Industries, Nec</v>
      </c>
      <c r="N297" s="184">
        <f>VLOOKUP(L297, '2022 SIC to NAICS'!A:D, 3)</f>
        <v>339999</v>
      </c>
      <c r="O297" s="184" t="str">
        <f>VLOOKUP(L297, '2022 SIC to NAICS'!A:D, 4)</f>
        <v xml:space="preserve">All Other Miscellaneous Manufacturing </v>
      </c>
      <c r="P297" s="185" t="str">
        <f>VLOOKUP(N297, 'NAICS OES crosswalk'!A:C, 3, FALSE)</f>
        <v>TBD</v>
      </c>
      <c r="T297" s="186" t="s">
        <v>1186</v>
      </c>
      <c r="U297" t="s">
        <v>989</v>
      </c>
      <c r="V297">
        <v>49.955944000000002</v>
      </c>
      <c r="X297" t="b">
        <f t="shared" si="5"/>
        <v>0</v>
      </c>
      <c r="Y297" s="186" t="s">
        <v>1402</v>
      </c>
      <c r="Z297" t="s">
        <v>1403</v>
      </c>
    </row>
    <row r="298" spans="1:26" x14ac:dyDescent="0.25">
      <c r="A298">
        <v>2020</v>
      </c>
      <c r="B298" t="s">
        <v>1400</v>
      </c>
      <c r="C298" t="s">
        <v>580</v>
      </c>
      <c r="D298" s="1">
        <v>110064134459</v>
      </c>
      <c r="E298" t="s">
        <v>233</v>
      </c>
      <c r="F298" t="s">
        <v>157</v>
      </c>
      <c r="G298" t="s">
        <v>554</v>
      </c>
      <c r="H298" t="s">
        <v>158</v>
      </c>
      <c r="I298" t="s">
        <v>1405</v>
      </c>
      <c r="J298">
        <v>36.075400000000002</v>
      </c>
      <c r="K298">
        <v>-115.1669</v>
      </c>
      <c r="L298">
        <v>4581</v>
      </c>
      <c r="M298" s="175" t="str">
        <f>VLOOKUP(L298, '2022 SIC to NAICS'!A:D, 2)</f>
        <v>Manufacturing Industries, Nec</v>
      </c>
      <c r="N298" s="184">
        <f>VLOOKUP(L298, '2022 SIC to NAICS'!A:D, 3)</f>
        <v>339999</v>
      </c>
      <c r="O298" s="184" t="str">
        <f>VLOOKUP(L298, '2022 SIC to NAICS'!A:D, 4)</f>
        <v xml:space="preserve">All Other Miscellaneous Manufacturing </v>
      </c>
      <c r="P298" s="185" t="str">
        <f>VLOOKUP(N298, 'NAICS OES crosswalk'!A:C, 3, FALSE)</f>
        <v>TBD</v>
      </c>
      <c r="T298">
        <v>150100150704</v>
      </c>
      <c r="U298" t="s">
        <v>581</v>
      </c>
      <c r="V298">
        <v>2.847020225E-2</v>
      </c>
      <c r="X298" t="b">
        <f t="shared" si="5"/>
        <v>0</v>
      </c>
      <c r="Y298" s="186" t="s">
        <v>1402</v>
      </c>
      <c r="Z298" t="s">
        <v>1403</v>
      </c>
    </row>
    <row r="299" spans="1:26" x14ac:dyDescent="0.25">
      <c r="A299">
        <v>2020</v>
      </c>
      <c r="B299" t="s">
        <v>1400</v>
      </c>
      <c r="C299" t="s">
        <v>1117</v>
      </c>
      <c r="D299" s="1">
        <v>110004306938</v>
      </c>
      <c r="E299" t="s">
        <v>156</v>
      </c>
      <c r="F299" t="s">
        <v>157</v>
      </c>
      <c r="G299" t="s">
        <v>575</v>
      </c>
      <c r="H299" t="s">
        <v>158</v>
      </c>
      <c r="I299" t="s">
        <v>1405</v>
      </c>
      <c r="J299">
        <v>36.122100000000003</v>
      </c>
      <c r="K299">
        <v>-115.17139</v>
      </c>
      <c r="L299">
        <v>7011</v>
      </c>
      <c r="M299" s="175" t="str">
        <f>VLOOKUP(L299, '2022 SIC to NAICS'!A:D, 2)</f>
        <v>Communication Services, Nec</v>
      </c>
      <c r="N299" s="184">
        <f>VLOOKUP(L299, '2022 SIC to NAICS'!A:D, 3)</f>
        <v>517810</v>
      </c>
      <c r="O299" s="184" t="str">
        <f>VLOOKUP(L299, '2022 SIC to NAICS'!A:D, 4)</f>
        <v xml:space="preserve">All Other Telecommunications </v>
      </c>
      <c r="P299" s="185" t="str">
        <f>VLOOKUP(N299, 'NAICS OES crosswalk'!A:C, 3, FALSE)</f>
        <v>TBD</v>
      </c>
      <c r="T299">
        <v>150100150604</v>
      </c>
      <c r="U299" t="s">
        <v>578</v>
      </c>
      <c r="V299">
        <v>8.7864989999999997E-3</v>
      </c>
      <c r="X299" t="b">
        <f t="shared" si="5"/>
        <v>0</v>
      </c>
      <c r="Y299" s="186" t="s">
        <v>1406</v>
      </c>
      <c r="Z299" t="s">
        <v>1403</v>
      </c>
    </row>
    <row r="300" spans="1:26" x14ac:dyDescent="0.25">
      <c r="A300">
        <v>2020</v>
      </c>
      <c r="B300" t="s">
        <v>1400</v>
      </c>
      <c r="C300" t="s">
        <v>848</v>
      </c>
      <c r="D300" s="1">
        <v>110000433022</v>
      </c>
      <c r="E300" t="s">
        <v>296</v>
      </c>
      <c r="F300" t="s">
        <v>224</v>
      </c>
      <c r="G300" t="s">
        <v>771</v>
      </c>
      <c r="H300" t="s">
        <v>141</v>
      </c>
      <c r="I300" t="s">
        <v>1405</v>
      </c>
      <c r="J300">
        <v>41.305320000000002</v>
      </c>
      <c r="K300">
        <v>-88.561769999999996</v>
      </c>
      <c r="L300">
        <v>2821</v>
      </c>
      <c r="M300" s="175" t="str">
        <f>VLOOKUP(L300, '2022 SIC to NAICS'!A:D, 2)</f>
        <v>Platemaking Services</v>
      </c>
      <c r="N300" s="184">
        <f>VLOOKUP(L300, '2022 SIC to NAICS'!A:D, 3)</f>
        <v>323120</v>
      </c>
      <c r="O300" s="184" t="str">
        <f>VLOOKUP(L300, '2022 SIC to NAICS'!A:D, 4)</f>
        <v>Support Activities for Printing</v>
      </c>
      <c r="P300" s="185" t="str">
        <f>VLOOKUP(N300, 'NAICS OES crosswalk'!A:C, 3, FALSE)</f>
        <v>TBD</v>
      </c>
      <c r="T300" s="186" t="s">
        <v>1231</v>
      </c>
      <c r="U300" t="s">
        <v>849</v>
      </c>
      <c r="V300">
        <v>0.20465185</v>
      </c>
      <c r="X300" t="b">
        <f t="shared" si="5"/>
        <v>0</v>
      </c>
      <c r="Y300" s="186" t="s">
        <v>1402</v>
      </c>
      <c r="Z300" t="s">
        <v>1403</v>
      </c>
    </row>
    <row r="301" spans="1:26" x14ac:dyDescent="0.25">
      <c r="A301">
        <v>2020</v>
      </c>
      <c r="B301" t="s">
        <v>1400</v>
      </c>
      <c r="C301" t="s">
        <v>1043</v>
      </c>
      <c r="D301" s="1">
        <v>110000736730</v>
      </c>
      <c r="E301" t="s">
        <v>242</v>
      </c>
      <c r="F301" t="s">
        <v>243</v>
      </c>
      <c r="G301" t="s">
        <v>589</v>
      </c>
      <c r="H301" t="s">
        <v>138</v>
      </c>
      <c r="I301" t="s">
        <v>1401</v>
      </c>
      <c r="J301">
        <v>36.856732000000001</v>
      </c>
      <c r="K301">
        <v>-86.889048000000003</v>
      </c>
      <c r="L301">
        <v>4952</v>
      </c>
      <c r="M301" s="175" t="str">
        <f>VLOOKUP(L301, '2022 SIC to NAICS'!A:D, 2)</f>
        <v>Manufacturing Industries, Nec</v>
      </c>
      <c r="N301" s="184">
        <f>VLOOKUP(L301, '2022 SIC to NAICS'!A:D, 3)</f>
        <v>339999</v>
      </c>
      <c r="O301" s="184" t="str">
        <f>VLOOKUP(L301, '2022 SIC to NAICS'!A:D, 4)</f>
        <v xml:space="preserve">All Other Miscellaneous Manufacturing </v>
      </c>
      <c r="P301" s="185" t="str">
        <f>VLOOKUP(N301, 'NAICS OES crosswalk'!A:C, 3, FALSE)</f>
        <v>TBD</v>
      </c>
      <c r="T301" s="186" t="s">
        <v>1207</v>
      </c>
      <c r="U301" t="s">
        <v>1044</v>
      </c>
      <c r="V301">
        <v>0.6762564875</v>
      </c>
      <c r="X301" t="b">
        <f t="shared" si="5"/>
        <v>0</v>
      </c>
      <c r="Y301" s="186" t="s">
        <v>1402</v>
      </c>
      <c r="Z301" t="s">
        <v>1403</v>
      </c>
    </row>
    <row r="302" spans="1:26" x14ac:dyDescent="0.25">
      <c r="A302">
        <v>2020</v>
      </c>
      <c r="B302" t="s">
        <v>1400</v>
      </c>
      <c r="C302" t="s">
        <v>569</v>
      </c>
      <c r="D302" s="1">
        <v>110002672484</v>
      </c>
      <c r="E302" t="s">
        <v>189</v>
      </c>
      <c r="F302" t="s">
        <v>190</v>
      </c>
      <c r="G302" t="s">
        <v>566</v>
      </c>
      <c r="H302" t="s">
        <v>146</v>
      </c>
      <c r="I302" t="s">
        <v>1405</v>
      </c>
      <c r="J302">
        <v>32.803809999999999</v>
      </c>
      <c r="K302">
        <v>-115.53973999999999</v>
      </c>
      <c r="L302" s="186" t="s">
        <v>567</v>
      </c>
      <c r="M302" s="175" t="str">
        <f>VLOOKUP(L302, '2022 SIC to NAICS'!A:D, 2)</f>
        <v>Fish Hatcheries and Preserves</v>
      </c>
      <c r="N302" s="184">
        <f>VLOOKUP(L302, '2022 SIC to NAICS'!A:D, 3)</f>
        <v>112511</v>
      </c>
      <c r="O302" s="184" t="str">
        <f>VLOOKUP(L302, '2022 SIC to NAICS'!A:D, 4)</f>
        <v xml:space="preserve">Finfish Farming and Fish Hatcheries </v>
      </c>
      <c r="P302" s="185" t="str">
        <f>VLOOKUP(N302, 'NAICS OES crosswalk'!A:C, 3, FALSE)</f>
        <v>TBD</v>
      </c>
      <c r="T302">
        <v>181002040701</v>
      </c>
      <c r="U302" t="s">
        <v>570</v>
      </c>
      <c r="V302">
        <v>3.38473625E-3</v>
      </c>
      <c r="X302" t="b">
        <f t="shared" si="5"/>
        <v>0</v>
      </c>
      <c r="Y302" s="186" t="s">
        <v>1404</v>
      </c>
      <c r="Z302" t="s">
        <v>1403</v>
      </c>
    </row>
    <row r="303" spans="1:26" x14ac:dyDescent="0.25">
      <c r="A303">
        <v>2020</v>
      </c>
      <c r="B303" t="s">
        <v>1400</v>
      </c>
      <c r="C303" t="s">
        <v>828</v>
      </c>
      <c r="D303" s="1">
        <v>110000759723</v>
      </c>
      <c r="E303" t="s">
        <v>437</v>
      </c>
      <c r="F303" t="s">
        <v>438</v>
      </c>
      <c r="G303" t="s">
        <v>827</v>
      </c>
      <c r="H303" t="s">
        <v>138</v>
      </c>
      <c r="I303" t="s">
        <v>1401</v>
      </c>
      <c r="J303">
        <v>38.551630000000003</v>
      </c>
      <c r="K303">
        <v>-82.778199999999998</v>
      </c>
      <c r="L303">
        <v>4952</v>
      </c>
      <c r="M303" s="175" t="str">
        <f>VLOOKUP(L303, '2022 SIC to NAICS'!A:D, 2)</f>
        <v>Manufacturing Industries, Nec</v>
      </c>
      <c r="N303" s="184">
        <f>VLOOKUP(L303, '2022 SIC to NAICS'!A:D, 3)</f>
        <v>339999</v>
      </c>
      <c r="O303" s="184" t="str">
        <f>VLOOKUP(L303, '2022 SIC to NAICS'!A:D, 4)</f>
        <v xml:space="preserve">All Other Miscellaneous Manufacturing </v>
      </c>
      <c r="P303" s="185" t="str">
        <f>VLOOKUP(N303, 'NAICS OES crosswalk'!A:C, 3, FALSE)</f>
        <v>TBD</v>
      </c>
      <c r="T303" s="186" t="s">
        <v>1274</v>
      </c>
      <c r="U303" t="s">
        <v>829</v>
      </c>
      <c r="V303">
        <v>1.3815249999999999</v>
      </c>
      <c r="X303" t="b">
        <f t="shared" si="5"/>
        <v>0</v>
      </c>
      <c r="Y303" s="186" t="s">
        <v>1402</v>
      </c>
      <c r="Z303" t="s">
        <v>1403</v>
      </c>
    </row>
    <row r="304" spans="1:26" x14ac:dyDescent="0.25">
      <c r="A304">
        <v>2020</v>
      </c>
      <c r="B304" t="s">
        <v>1400</v>
      </c>
      <c r="C304" t="s">
        <v>806</v>
      </c>
      <c r="D304" s="1">
        <v>110037256867</v>
      </c>
      <c r="E304" t="s">
        <v>165</v>
      </c>
      <c r="F304" t="s">
        <v>166</v>
      </c>
      <c r="G304" t="s">
        <v>804</v>
      </c>
      <c r="H304" t="s">
        <v>146</v>
      </c>
      <c r="I304" t="s">
        <v>1405</v>
      </c>
      <c r="J304">
        <v>35.178620000000002</v>
      </c>
      <c r="K304">
        <v>-120.62067500000001</v>
      </c>
      <c r="L304">
        <v>2911</v>
      </c>
      <c r="M304" s="175" t="str">
        <f>VLOOKUP(L304, '2022 SIC to NAICS'!A:D, 2)</f>
        <v>Explosives</v>
      </c>
      <c r="N304" s="184">
        <f>VLOOKUP(L304, '2022 SIC to NAICS'!A:D, 3)</f>
        <v>325920</v>
      </c>
      <c r="O304" s="184" t="str">
        <f>VLOOKUP(L304, '2022 SIC to NAICS'!A:D, 4)</f>
        <v>Explosives Manufacturing</v>
      </c>
      <c r="P304" s="185" t="str">
        <f>VLOOKUP(N304, 'NAICS OES crosswalk'!A:C, 3, FALSE)</f>
        <v>TBD</v>
      </c>
      <c r="T304">
        <v>180600060703</v>
      </c>
      <c r="U304" t="s">
        <v>807</v>
      </c>
      <c r="V304">
        <v>1.7465239050000001E-2</v>
      </c>
      <c r="X304" t="b">
        <f t="shared" si="5"/>
        <v>0</v>
      </c>
      <c r="Y304" s="186" t="s">
        <v>1402</v>
      </c>
      <c r="Z304" t="s">
        <v>1403</v>
      </c>
    </row>
    <row r="305" spans="1:26" x14ac:dyDescent="0.25">
      <c r="A305">
        <v>2021</v>
      </c>
      <c r="B305" t="s">
        <v>1400</v>
      </c>
      <c r="C305" t="s">
        <v>723</v>
      </c>
      <c r="D305" s="1">
        <v>110000732351</v>
      </c>
      <c r="E305" t="s">
        <v>439</v>
      </c>
      <c r="F305" t="s">
        <v>440</v>
      </c>
      <c r="G305" t="s">
        <v>722</v>
      </c>
      <c r="H305" t="s">
        <v>138</v>
      </c>
      <c r="I305" t="s">
        <v>1401</v>
      </c>
      <c r="J305">
        <v>37.621431000000001</v>
      </c>
      <c r="K305">
        <v>-84.733756</v>
      </c>
      <c r="L305">
        <v>4952</v>
      </c>
      <c r="M305" s="175" t="str">
        <f>VLOOKUP(L305, '2022 SIC to NAICS'!A:D, 2)</f>
        <v>Manufacturing Industries, Nec</v>
      </c>
      <c r="N305" s="184">
        <f>VLOOKUP(L305, '2022 SIC to NAICS'!A:D, 3)</f>
        <v>339999</v>
      </c>
      <c r="O305" s="184" t="str">
        <f>VLOOKUP(L305, '2022 SIC to NAICS'!A:D, 4)</f>
        <v xml:space="preserve">All Other Miscellaneous Manufacturing </v>
      </c>
      <c r="P305" s="185" t="str">
        <f>VLOOKUP(N305, 'NAICS OES crosswalk'!A:C, 3, FALSE)</f>
        <v>TBD</v>
      </c>
      <c r="T305" s="186" t="s">
        <v>1275</v>
      </c>
      <c r="U305" t="s">
        <v>724</v>
      </c>
      <c r="V305">
        <v>25.316445625</v>
      </c>
      <c r="X305" t="b">
        <f>V305 &lt;= _xlfn.PERCENTILE.INC($V$305:$V$463, 0.1)</f>
        <v>0</v>
      </c>
      <c r="Y305" s="186" t="s">
        <v>1402</v>
      </c>
      <c r="Z305" t="s">
        <v>1403</v>
      </c>
    </row>
    <row r="306" spans="1:26" x14ac:dyDescent="0.25">
      <c r="A306">
        <v>2021</v>
      </c>
      <c r="B306" t="s">
        <v>1400</v>
      </c>
      <c r="C306" t="s">
        <v>986</v>
      </c>
      <c r="D306" s="1">
        <v>110043734983</v>
      </c>
      <c r="E306" t="s">
        <v>286</v>
      </c>
      <c r="F306" t="s">
        <v>150</v>
      </c>
      <c r="G306" t="s">
        <v>985</v>
      </c>
      <c r="H306" t="s">
        <v>138</v>
      </c>
      <c r="I306" t="s">
        <v>1401</v>
      </c>
      <c r="J306">
        <v>37.770769999999999</v>
      </c>
      <c r="K306">
        <v>-87.065669999999997</v>
      </c>
      <c r="L306">
        <v>4952</v>
      </c>
      <c r="M306" s="175" t="str">
        <f>VLOOKUP(L306, '2022 SIC to NAICS'!A:D, 2)</f>
        <v>Manufacturing Industries, Nec</v>
      </c>
      <c r="N306" s="184">
        <f>VLOOKUP(L306, '2022 SIC to NAICS'!A:D, 3)</f>
        <v>339999</v>
      </c>
      <c r="O306" s="184" t="str">
        <f>VLOOKUP(L306, '2022 SIC to NAICS'!A:D, 4)</f>
        <v xml:space="preserve">All Other Miscellaneous Manufacturing </v>
      </c>
      <c r="P306" s="185" t="str">
        <f>VLOOKUP(N306, 'NAICS OES crosswalk'!A:C, 3, FALSE)</f>
        <v>TBD</v>
      </c>
      <c r="T306" s="186" t="s">
        <v>1226</v>
      </c>
      <c r="U306" t="s">
        <v>987</v>
      </c>
      <c r="V306">
        <v>14.333321874999999</v>
      </c>
      <c r="X306" t="b">
        <f t="shared" ref="X306:X369" si="6">V306 &lt;= _xlfn.PERCENTILE.INC($V$305:$V$463, 0.1)</f>
        <v>0</v>
      </c>
      <c r="Y306" s="186" t="s">
        <v>1402</v>
      </c>
      <c r="Z306" t="s">
        <v>1403</v>
      </c>
    </row>
    <row r="307" spans="1:26" x14ac:dyDescent="0.25">
      <c r="A307">
        <v>2021</v>
      </c>
      <c r="B307" t="s">
        <v>1400</v>
      </c>
      <c r="C307" t="s">
        <v>1117</v>
      </c>
      <c r="D307" s="1">
        <v>110004306938</v>
      </c>
      <c r="E307" t="s">
        <v>156</v>
      </c>
      <c r="F307" t="s">
        <v>157</v>
      </c>
      <c r="G307" t="s">
        <v>575</v>
      </c>
      <c r="H307" t="s">
        <v>158</v>
      </c>
      <c r="I307" t="s">
        <v>1405</v>
      </c>
      <c r="J307">
        <v>36.122100000000003</v>
      </c>
      <c r="K307">
        <v>-115.17139</v>
      </c>
      <c r="L307">
        <v>7011</v>
      </c>
      <c r="M307" s="175" t="str">
        <f>VLOOKUP(L307, '2022 SIC to NAICS'!A:D, 2)</f>
        <v>Communication Services, Nec</v>
      </c>
      <c r="N307" s="184">
        <f>VLOOKUP(L307, '2022 SIC to NAICS'!A:D, 3)</f>
        <v>517810</v>
      </c>
      <c r="O307" s="184" t="str">
        <f>VLOOKUP(L307, '2022 SIC to NAICS'!A:D, 4)</f>
        <v xml:space="preserve">All Other Telecommunications </v>
      </c>
      <c r="P307" s="185" t="str">
        <f>VLOOKUP(N307, 'NAICS OES crosswalk'!A:C, 3, FALSE)</f>
        <v>TBD</v>
      </c>
      <c r="T307">
        <v>150100150604</v>
      </c>
      <c r="U307" t="s">
        <v>578</v>
      </c>
      <c r="V307">
        <v>2.3333957249999999E-2</v>
      </c>
      <c r="X307" t="b">
        <f t="shared" si="6"/>
        <v>0</v>
      </c>
      <c r="Y307" s="186" t="s">
        <v>1411</v>
      </c>
      <c r="Z307" t="s">
        <v>1403</v>
      </c>
    </row>
    <row r="308" spans="1:26" x14ac:dyDescent="0.25">
      <c r="A308">
        <v>2021</v>
      </c>
      <c r="B308" t="s">
        <v>1400</v>
      </c>
      <c r="C308" t="s">
        <v>872</v>
      </c>
      <c r="D308" s="1">
        <v>110018199377</v>
      </c>
      <c r="E308" t="s">
        <v>212</v>
      </c>
      <c r="F308" t="s">
        <v>213</v>
      </c>
      <c r="G308" t="s">
        <v>870</v>
      </c>
      <c r="H308" t="s">
        <v>141</v>
      </c>
      <c r="I308" t="s">
        <v>1405</v>
      </c>
      <c r="J308">
        <v>41.692782000000001</v>
      </c>
      <c r="K308">
        <v>-87.951100999999994</v>
      </c>
      <c r="L308">
        <v>4226</v>
      </c>
      <c r="M308" s="175" t="str">
        <f>VLOOKUP(L308, '2022 SIC to NAICS'!A:D, 2)</f>
        <v>Manufacturing Industries, Nec</v>
      </c>
      <c r="N308" s="184">
        <f>VLOOKUP(L308, '2022 SIC to NAICS'!A:D, 3)</f>
        <v>339999</v>
      </c>
      <c r="O308" s="184" t="str">
        <f>VLOOKUP(L308, '2022 SIC to NAICS'!A:D, 4)</f>
        <v xml:space="preserve">All Other Miscellaneous Manufacturing </v>
      </c>
      <c r="P308" s="185" t="str">
        <f>VLOOKUP(N308, 'NAICS OES crosswalk'!A:C, 3, FALSE)</f>
        <v>TBD</v>
      </c>
      <c r="T308" s="186" t="s">
        <v>1200</v>
      </c>
      <c r="U308" t="s">
        <v>873</v>
      </c>
      <c r="V308">
        <v>5.8714812499999998E-2</v>
      </c>
      <c r="X308" t="b">
        <f t="shared" si="6"/>
        <v>0</v>
      </c>
      <c r="Y308" s="186" t="s">
        <v>1418</v>
      </c>
      <c r="Z308" t="s">
        <v>1403</v>
      </c>
    </row>
    <row r="309" spans="1:26" x14ac:dyDescent="0.25">
      <c r="A309">
        <v>2021</v>
      </c>
      <c r="B309" t="s">
        <v>1400</v>
      </c>
      <c r="C309" t="s">
        <v>879</v>
      </c>
      <c r="D309" s="1">
        <v>110006749162</v>
      </c>
      <c r="E309" t="s">
        <v>373</v>
      </c>
      <c r="F309" t="s">
        <v>374</v>
      </c>
      <c r="G309" t="s">
        <v>878</v>
      </c>
      <c r="H309" t="s">
        <v>138</v>
      </c>
      <c r="I309" t="s">
        <v>1401</v>
      </c>
      <c r="J309">
        <v>37.700833000000003</v>
      </c>
      <c r="K309">
        <v>-83.984443999999996</v>
      </c>
      <c r="L309">
        <v>8711</v>
      </c>
      <c r="M309" s="175" t="str">
        <f>VLOOKUP(L309, '2022 SIC to NAICS'!A:D, 2)</f>
        <v>Civic and Social Associations</v>
      </c>
      <c r="N309" s="184">
        <f>VLOOKUP(L309, '2022 SIC to NAICS'!A:D, 3)</f>
        <v>921150</v>
      </c>
      <c r="O309" s="184" t="str">
        <f>VLOOKUP(L309, '2022 SIC to NAICS'!A:D, 4)</f>
        <v xml:space="preserve">American Indian and Alaska Native Tribal Governments </v>
      </c>
      <c r="P309" s="185" t="str">
        <f>VLOOKUP(N309, 'NAICS OES crosswalk'!A:C, 3, FALSE)</f>
        <v>TBD</v>
      </c>
      <c r="T309" s="186" t="s">
        <v>1255</v>
      </c>
      <c r="U309" t="s">
        <v>880</v>
      </c>
      <c r="V309">
        <v>0.58231278750000004</v>
      </c>
      <c r="X309" t="b">
        <f t="shared" si="6"/>
        <v>0</v>
      </c>
      <c r="Y309" s="186" t="s">
        <v>1402</v>
      </c>
      <c r="Z309" t="s">
        <v>1403</v>
      </c>
    </row>
    <row r="310" spans="1:26" x14ac:dyDescent="0.25">
      <c r="A310">
        <v>2021</v>
      </c>
      <c r="B310" t="s">
        <v>1400</v>
      </c>
      <c r="C310" t="s">
        <v>671</v>
      </c>
      <c r="D310" s="1">
        <v>110042004915</v>
      </c>
      <c r="E310" t="s">
        <v>240</v>
      </c>
      <c r="F310" t="s">
        <v>241</v>
      </c>
      <c r="G310" t="s">
        <v>669</v>
      </c>
      <c r="H310" t="s">
        <v>114</v>
      </c>
      <c r="I310" t="s">
        <v>1405</v>
      </c>
      <c r="J310">
        <v>29.378699999999998</v>
      </c>
      <c r="K310">
        <v>-98.551670000000001</v>
      </c>
      <c r="L310">
        <v>9711</v>
      </c>
      <c r="M310" s="175" t="str">
        <f>VLOOKUP(L310, '2022 SIC to NAICS'!A:D, 2)</f>
        <v>National Security</v>
      </c>
      <c r="N310" s="184">
        <f>VLOOKUP(L310, '2022 SIC to NAICS'!A:D, 3)</f>
        <v>928110</v>
      </c>
      <c r="O310" s="184" t="str">
        <f>VLOOKUP(L310, '2022 SIC to NAICS'!A:D, 4)</f>
        <v xml:space="preserve">National Security </v>
      </c>
      <c r="P310" s="185" t="str">
        <f>VLOOKUP(N310, 'NAICS OES crosswalk'!A:C, 3, FALSE)</f>
        <v>TBD</v>
      </c>
      <c r="T310">
        <v>121003010203</v>
      </c>
      <c r="U310" t="s">
        <v>672</v>
      </c>
      <c r="V310">
        <v>3.6077092752499998E-2</v>
      </c>
      <c r="X310" t="b">
        <f t="shared" si="6"/>
        <v>0</v>
      </c>
      <c r="Y310" s="186" t="s">
        <v>1402</v>
      </c>
      <c r="Z310" t="s">
        <v>1403</v>
      </c>
    </row>
    <row r="311" spans="1:26" x14ac:dyDescent="0.25">
      <c r="A311">
        <v>2021</v>
      </c>
      <c r="B311" t="s">
        <v>1400</v>
      </c>
      <c r="C311" t="s">
        <v>924</v>
      </c>
      <c r="D311" s="1">
        <v>110002041380</v>
      </c>
      <c r="E311" t="s">
        <v>433</v>
      </c>
      <c r="F311" t="s">
        <v>434</v>
      </c>
      <c r="G311" t="s">
        <v>923</v>
      </c>
      <c r="H311" t="s">
        <v>138</v>
      </c>
      <c r="I311" t="s">
        <v>1401</v>
      </c>
      <c r="J311">
        <v>37.318492999999997</v>
      </c>
      <c r="K311">
        <v>-87.549857000000003</v>
      </c>
      <c r="L311">
        <v>4952</v>
      </c>
      <c r="M311" s="175" t="str">
        <f>VLOOKUP(L311, '2022 SIC to NAICS'!A:D, 2)</f>
        <v>Manufacturing Industries, Nec</v>
      </c>
      <c r="N311" s="184">
        <f>VLOOKUP(L311, '2022 SIC to NAICS'!A:D, 3)</f>
        <v>339999</v>
      </c>
      <c r="O311" s="184" t="str">
        <f>VLOOKUP(L311, '2022 SIC to NAICS'!A:D, 4)</f>
        <v xml:space="preserve">All Other Miscellaneous Manufacturing </v>
      </c>
      <c r="P311" s="185" t="str">
        <f>VLOOKUP(N311, 'NAICS OES crosswalk'!A:C, 3, FALSE)</f>
        <v>TBD</v>
      </c>
      <c r="T311" s="186" t="s">
        <v>1272</v>
      </c>
      <c r="U311" t="s">
        <v>925</v>
      </c>
      <c r="V311">
        <v>19.372434312500001</v>
      </c>
      <c r="X311" t="b">
        <f t="shared" si="6"/>
        <v>0</v>
      </c>
      <c r="Y311" s="186" t="s">
        <v>1402</v>
      </c>
      <c r="Z311" t="s">
        <v>1403</v>
      </c>
    </row>
    <row r="312" spans="1:26" x14ac:dyDescent="0.25">
      <c r="A312">
        <v>2021</v>
      </c>
      <c r="B312" t="s">
        <v>1400</v>
      </c>
      <c r="C312" t="s">
        <v>942</v>
      </c>
      <c r="D312" s="1">
        <v>110000460983</v>
      </c>
      <c r="E312" t="s">
        <v>418</v>
      </c>
      <c r="F312" t="s">
        <v>313</v>
      </c>
      <c r="G312" t="s">
        <v>904</v>
      </c>
      <c r="H312" t="s">
        <v>114</v>
      </c>
      <c r="I312" t="s">
        <v>1405</v>
      </c>
      <c r="J312">
        <v>29.75487</v>
      </c>
      <c r="K312">
        <v>-95.103269999999995</v>
      </c>
      <c r="L312">
        <v>2869</v>
      </c>
      <c r="M312" s="175" t="str">
        <f>VLOOKUP(L312, '2022 SIC to NAICS'!A:D, 2)</f>
        <v>Industrial Organic Chemicals, Nec</v>
      </c>
      <c r="N312" s="184">
        <f>VLOOKUP(L312, '2022 SIC to NAICS'!A:D, 3)</f>
        <v>325180</v>
      </c>
      <c r="O312" s="184" t="str">
        <f>VLOOKUP(L312, '2022 SIC to NAICS'!A:D, 4)</f>
        <v xml:space="preserve">Other Basic Inorganic Chemical Manufacturing </v>
      </c>
      <c r="P312" s="185" t="str">
        <f>VLOOKUP(N312, 'NAICS OES crosswalk'!A:C, 3, FALSE)</f>
        <v>Processing as a reactant</v>
      </c>
      <c r="T312">
        <v>120401040702</v>
      </c>
      <c r="U312" t="s">
        <v>943</v>
      </c>
      <c r="V312">
        <v>0.37450460000000002</v>
      </c>
      <c r="X312" t="b">
        <f t="shared" si="6"/>
        <v>0</v>
      </c>
      <c r="Y312" s="186" t="s">
        <v>1402</v>
      </c>
      <c r="Z312" t="s">
        <v>1403</v>
      </c>
    </row>
    <row r="313" spans="1:26" x14ac:dyDescent="0.25">
      <c r="A313">
        <v>2021</v>
      </c>
      <c r="B313" t="s">
        <v>1400</v>
      </c>
      <c r="C313" t="s">
        <v>625</v>
      </c>
      <c r="D313" s="1">
        <v>110000597355</v>
      </c>
      <c r="E313" t="s">
        <v>180</v>
      </c>
      <c r="F313" t="s">
        <v>181</v>
      </c>
      <c r="G313" t="s">
        <v>623</v>
      </c>
      <c r="H313" t="s">
        <v>106</v>
      </c>
      <c r="I313" t="s">
        <v>1405</v>
      </c>
      <c r="J313">
        <v>30.486767</v>
      </c>
      <c r="K313">
        <v>-90.925479999999993</v>
      </c>
      <c r="L313">
        <v>2899</v>
      </c>
      <c r="M313" s="175" t="str">
        <f>VLOOKUP(L313, '2022 SIC to NAICS'!A:D, 2)</f>
        <v>Explosives</v>
      </c>
      <c r="N313" s="184">
        <f>VLOOKUP(L313, '2022 SIC to NAICS'!A:D, 3)</f>
        <v>325920</v>
      </c>
      <c r="O313" s="184" t="str">
        <f>VLOOKUP(L313, '2022 SIC to NAICS'!A:D, 4)</f>
        <v>Explosives Manufacturing</v>
      </c>
      <c r="P313" s="185" t="str">
        <f>VLOOKUP(N313, 'NAICS OES crosswalk'!A:C, 3, FALSE)</f>
        <v>TBD</v>
      </c>
      <c r="T313" s="186" t="s">
        <v>1193</v>
      </c>
      <c r="U313" t="s">
        <v>626</v>
      </c>
      <c r="V313">
        <v>1.6570999999999999E-2</v>
      </c>
      <c r="X313" t="b">
        <f t="shared" si="6"/>
        <v>0</v>
      </c>
      <c r="Y313" s="186" t="s">
        <v>1418</v>
      </c>
      <c r="Z313" t="s">
        <v>1403</v>
      </c>
    </row>
    <row r="314" spans="1:26" x14ac:dyDescent="0.25">
      <c r="A314">
        <v>2021</v>
      </c>
      <c r="B314" t="s">
        <v>1400</v>
      </c>
      <c r="C314" t="s">
        <v>1024</v>
      </c>
      <c r="D314" s="1">
        <v>110009938470</v>
      </c>
      <c r="E314" t="s">
        <v>441</v>
      </c>
      <c r="F314" t="s">
        <v>442</v>
      </c>
      <c r="G314" t="s">
        <v>1023</v>
      </c>
      <c r="H314" t="s">
        <v>138</v>
      </c>
      <c r="I314" t="s">
        <v>1401</v>
      </c>
      <c r="J314">
        <v>37.861111000000001</v>
      </c>
      <c r="K314">
        <v>-83.871667000000002</v>
      </c>
      <c r="L314">
        <v>4952</v>
      </c>
      <c r="M314" s="175" t="str">
        <f>VLOOKUP(L314, '2022 SIC to NAICS'!A:D, 2)</f>
        <v>Manufacturing Industries, Nec</v>
      </c>
      <c r="N314" s="184">
        <f>VLOOKUP(L314, '2022 SIC to NAICS'!A:D, 3)</f>
        <v>339999</v>
      </c>
      <c r="O314" s="184" t="str">
        <f>VLOOKUP(L314, '2022 SIC to NAICS'!A:D, 4)</f>
        <v xml:space="preserve">All Other Miscellaneous Manufacturing </v>
      </c>
      <c r="P314" s="185" t="str">
        <f>VLOOKUP(N314, 'NAICS OES crosswalk'!A:C, 3, FALSE)</f>
        <v>TBD</v>
      </c>
      <c r="T314" s="186" t="s">
        <v>1276</v>
      </c>
      <c r="U314" t="s">
        <v>1025</v>
      </c>
      <c r="V314">
        <v>3.9718843750000001</v>
      </c>
      <c r="X314" t="b">
        <f t="shared" si="6"/>
        <v>0</v>
      </c>
      <c r="Y314" s="186" t="s">
        <v>1404</v>
      </c>
      <c r="Z314" t="s">
        <v>1403</v>
      </c>
    </row>
    <row r="315" spans="1:26" x14ac:dyDescent="0.25">
      <c r="A315">
        <v>2021</v>
      </c>
      <c r="B315" t="s">
        <v>1400</v>
      </c>
      <c r="C315" t="s">
        <v>971</v>
      </c>
      <c r="D315" s="1">
        <v>110016759444</v>
      </c>
      <c r="E315" t="s">
        <v>182</v>
      </c>
      <c r="F315" t="s">
        <v>183</v>
      </c>
      <c r="G315" t="s">
        <v>627</v>
      </c>
      <c r="H315" t="s">
        <v>138</v>
      </c>
      <c r="I315" t="s">
        <v>1401</v>
      </c>
      <c r="J315">
        <v>37.852220000000003</v>
      </c>
      <c r="K315">
        <v>-84.363079999999997</v>
      </c>
      <c r="L315">
        <v>4952</v>
      </c>
      <c r="M315" s="175" t="str">
        <f>VLOOKUP(L315, '2022 SIC to NAICS'!A:D, 2)</f>
        <v>Manufacturing Industries, Nec</v>
      </c>
      <c r="N315" s="184">
        <f>VLOOKUP(L315, '2022 SIC to NAICS'!A:D, 3)</f>
        <v>339999</v>
      </c>
      <c r="O315" s="184" t="str">
        <f>VLOOKUP(L315, '2022 SIC to NAICS'!A:D, 4)</f>
        <v xml:space="preserve">All Other Miscellaneous Manufacturing </v>
      </c>
      <c r="P315" s="185" t="str">
        <f>VLOOKUP(N315, 'NAICS OES crosswalk'!A:C, 3, FALSE)</f>
        <v>TBD</v>
      </c>
      <c r="T315" s="186" t="s">
        <v>1194</v>
      </c>
      <c r="U315" t="s">
        <v>972</v>
      </c>
      <c r="V315">
        <v>0.69352555000000005</v>
      </c>
      <c r="X315" t="b">
        <f t="shared" si="6"/>
        <v>0</v>
      </c>
      <c r="Y315" s="186" t="s">
        <v>1402</v>
      </c>
    </row>
    <row r="316" spans="1:26" x14ac:dyDescent="0.25">
      <c r="A316">
        <v>2021</v>
      </c>
      <c r="B316" t="s">
        <v>1400</v>
      </c>
      <c r="C316" t="s">
        <v>734</v>
      </c>
      <c r="D316" s="1">
        <v>110000732379</v>
      </c>
      <c r="E316" t="s">
        <v>295</v>
      </c>
      <c r="F316" t="s">
        <v>235</v>
      </c>
      <c r="G316" t="s">
        <v>600</v>
      </c>
      <c r="H316" t="s">
        <v>138</v>
      </c>
      <c r="I316" t="s">
        <v>1401</v>
      </c>
      <c r="J316">
        <v>38.08614</v>
      </c>
      <c r="K316">
        <v>-85.898780000000002</v>
      </c>
      <c r="L316">
        <v>4952</v>
      </c>
      <c r="M316" s="175" t="str">
        <f>VLOOKUP(L316, '2022 SIC to NAICS'!A:D, 2)</f>
        <v>Manufacturing Industries, Nec</v>
      </c>
      <c r="N316" s="184">
        <f>VLOOKUP(L316, '2022 SIC to NAICS'!A:D, 3)</f>
        <v>339999</v>
      </c>
      <c r="O316" s="184" t="str">
        <f>VLOOKUP(L316, '2022 SIC to NAICS'!A:D, 4)</f>
        <v xml:space="preserve">All Other Miscellaneous Manufacturing </v>
      </c>
      <c r="P316" s="185" t="str">
        <f>VLOOKUP(N316, 'NAICS OES crosswalk'!A:C, 3, FALSE)</f>
        <v>TBD</v>
      </c>
      <c r="T316" s="186" t="s">
        <v>1230</v>
      </c>
      <c r="U316" t="s">
        <v>735</v>
      </c>
      <c r="V316">
        <v>123.61194937499999</v>
      </c>
      <c r="X316" t="b">
        <f t="shared" si="6"/>
        <v>0</v>
      </c>
      <c r="Y316" s="186" t="s">
        <v>1402</v>
      </c>
      <c r="Z316" t="s">
        <v>1403</v>
      </c>
    </row>
    <row r="317" spans="1:26" x14ac:dyDescent="0.25">
      <c r="A317">
        <v>2021</v>
      </c>
      <c r="B317" t="s">
        <v>1400</v>
      </c>
      <c r="C317" t="s">
        <v>661</v>
      </c>
      <c r="D317" s="1">
        <v>110044852068</v>
      </c>
      <c r="E317" t="s">
        <v>231</v>
      </c>
      <c r="F317" t="s">
        <v>232</v>
      </c>
      <c r="G317" t="s">
        <v>659</v>
      </c>
      <c r="H317" t="s">
        <v>141</v>
      </c>
      <c r="I317" t="s">
        <v>1405</v>
      </c>
      <c r="J317">
        <v>38.2774</v>
      </c>
      <c r="K317">
        <v>-89.666899999999998</v>
      </c>
      <c r="L317">
        <v>4911</v>
      </c>
      <c r="M317" s="175" t="str">
        <f>VLOOKUP(L317, '2022 SIC to NAICS'!A:D, 2)</f>
        <v>Manufacturing Industries, Nec</v>
      </c>
      <c r="N317" s="184">
        <f>VLOOKUP(L317, '2022 SIC to NAICS'!A:D, 3)</f>
        <v>339999</v>
      </c>
      <c r="O317" s="184" t="str">
        <f>VLOOKUP(L317, '2022 SIC to NAICS'!A:D, 4)</f>
        <v xml:space="preserve">All Other Miscellaneous Manufacturing </v>
      </c>
      <c r="P317" s="185" t="str">
        <f>VLOOKUP(N317, 'NAICS OES crosswalk'!A:C, 3, FALSE)</f>
        <v>TBD</v>
      </c>
      <c r="T317" s="186" t="s">
        <v>1204</v>
      </c>
      <c r="U317" t="s">
        <v>662</v>
      </c>
      <c r="V317">
        <v>1.3066463450000001</v>
      </c>
      <c r="X317" t="b">
        <f t="shared" si="6"/>
        <v>0</v>
      </c>
      <c r="Y317" s="186" t="s">
        <v>1402</v>
      </c>
      <c r="Z317" t="s">
        <v>1403</v>
      </c>
    </row>
    <row r="318" spans="1:26" x14ac:dyDescent="0.25">
      <c r="A318">
        <v>2021</v>
      </c>
      <c r="B318" t="s">
        <v>1400</v>
      </c>
      <c r="C318" t="s">
        <v>912</v>
      </c>
      <c r="D318" s="1">
        <v>110059844156</v>
      </c>
      <c r="E318" t="s">
        <v>415</v>
      </c>
      <c r="F318" t="s">
        <v>157</v>
      </c>
      <c r="G318" t="s">
        <v>554</v>
      </c>
      <c r="H318" t="s">
        <v>158</v>
      </c>
      <c r="I318" t="s">
        <v>1405</v>
      </c>
      <c r="J318">
        <v>36.131489999999999</v>
      </c>
      <c r="K318">
        <v>-115.15483</v>
      </c>
      <c r="L318">
        <v>1799</v>
      </c>
      <c r="M318" s="175" t="str">
        <f>VLOOKUP(L318, '2022 SIC to NAICS'!A:D, 2)</f>
        <v>Special Trade Contractors, Nec</v>
      </c>
      <c r="N318" s="184">
        <f>VLOOKUP(L318, '2022 SIC to NAICS'!A:D, 3)</f>
        <v>238990</v>
      </c>
      <c r="O318" s="184" t="str">
        <f>VLOOKUP(L318, '2022 SIC to NAICS'!A:D, 4)</f>
        <v>All Other Specialty Trade Contractors</v>
      </c>
      <c r="P318" s="185" t="str">
        <f>VLOOKUP(N318, 'NAICS OES crosswalk'!A:C, 3, FALSE)</f>
        <v>TBD</v>
      </c>
      <c r="T318">
        <v>150100150604</v>
      </c>
      <c r="U318" t="s">
        <v>578</v>
      </c>
      <c r="V318">
        <v>4.4369402281249998E-2</v>
      </c>
      <c r="X318" t="b">
        <f t="shared" si="6"/>
        <v>0</v>
      </c>
      <c r="Y318" t="s">
        <v>1457</v>
      </c>
      <c r="Z318" t="s">
        <v>1403</v>
      </c>
    </row>
    <row r="319" spans="1:26" x14ac:dyDescent="0.25">
      <c r="A319">
        <v>2021</v>
      </c>
      <c r="B319" t="s">
        <v>1400</v>
      </c>
      <c r="C319" t="s">
        <v>743</v>
      </c>
      <c r="D319" s="1">
        <v>110000460901</v>
      </c>
      <c r="E319" t="s">
        <v>312</v>
      </c>
      <c r="F319" t="s">
        <v>313</v>
      </c>
      <c r="G319" t="s">
        <v>638</v>
      </c>
      <c r="H319" t="s">
        <v>114</v>
      </c>
      <c r="I319" t="s">
        <v>1401</v>
      </c>
      <c r="J319">
        <v>29.718139000000001</v>
      </c>
      <c r="K319">
        <v>-95.268749999999997</v>
      </c>
      <c r="L319">
        <v>2819</v>
      </c>
      <c r="M319" s="175" t="str">
        <f>VLOOKUP(L319, '2022 SIC to NAICS'!A:D, 2)</f>
        <v>Platemaking Services</v>
      </c>
      <c r="N319" s="184">
        <f>VLOOKUP(L319, '2022 SIC to NAICS'!A:D, 3)</f>
        <v>323120</v>
      </c>
      <c r="O319" s="184" t="str">
        <f>VLOOKUP(L319, '2022 SIC to NAICS'!A:D, 4)</f>
        <v>Support Activities for Printing</v>
      </c>
      <c r="P319" s="185" t="str">
        <f>VLOOKUP(N319, 'NAICS OES crosswalk'!A:C, 3, FALSE)</f>
        <v>TBD</v>
      </c>
      <c r="T319">
        <v>120401040502</v>
      </c>
      <c r="U319" t="s">
        <v>744</v>
      </c>
      <c r="V319">
        <v>14.064920000000001</v>
      </c>
      <c r="X319" t="b">
        <f t="shared" si="6"/>
        <v>0</v>
      </c>
      <c r="Y319" s="186" t="s">
        <v>1402</v>
      </c>
    </row>
    <row r="320" spans="1:26" x14ac:dyDescent="0.25">
      <c r="A320">
        <v>2021</v>
      </c>
      <c r="B320" t="s">
        <v>1400</v>
      </c>
      <c r="C320" t="s">
        <v>665</v>
      </c>
      <c r="D320" s="1">
        <v>110000911309</v>
      </c>
      <c r="E320" t="s">
        <v>339</v>
      </c>
      <c r="F320" t="s">
        <v>202</v>
      </c>
      <c r="G320" t="s">
        <v>663</v>
      </c>
      <c r="H320" t="s">
        <v>106</v>
      </c>
      <c r="I320" t="s">
        <v>1405</v>
      </c>
      <c r="J320">
        <v>30.233011999999999</v>
      </c>
      <c r="K320">
        <v>-91.022057000000004</v>
      </c>
      <c r="L320">
        <v>4789</v>
      </c>
      <c r="M320" s="175" t="str">
        <f>VLOOKUP(L320, '2022 SIC to NAICS'!A:D, 2)</f>
        <v>Manufacturing Industries, Nec</v>
      </c>
      <c r="N320" s="184">
        <f>VLOOKUP(L320, '2022 SIC to NAICS'!A:D, 3)</f>
        <v>339999</v>
      </c>
      <c r="O320" s="184" t="str">
        <f>VLOOKUP(L320, '2022 SIC to NAICS'!A:D, 4)</f>
        <v xml:space="preserve">All Other Miscellaneous Manufacturing </v>
      </c>
      <c r="P320" s="185" t="str">
        <f>VLOOKUP(N320, 'NAICS OES crosswalk'!A:C, 3, FALSE)</f>
        <v>TBD</v>
      </c>
      <c r="T320" s="186" t="s">
        <v>1198</v>
      </c>
      <c r="U320" t="s">
        <v>666</v>
      </c>
      <c r="V320">
        <v>3.45241547164E-3</v>
      </c>
      <c r="X320" t="b">
        <f t="shared" si="6"/>
        <v>0</v>
      </c>
      <c r="Y320" s="186" t="s">
        <v>1402</v>
      </c>
      <c r="Z320" t="s">
        <v>1403</v>
      </c>
    </row>
    <row r="321" spans="1:26" x14ac:dyDescent="0.25">
      <c r="A321">
        <v>2021</v>
      </c>
      <c r="B321" t="s">
        <v>1400</v>
      </c>
      <c r="C321" t="s">
        <v>864</v>
      </c>
      <c r="D321" s="1">
        <v>110000748095</v>
      </c>
      <c r="E321" t="s">
        <v>368</v>
      </c>
      <c r="F321" t="s">
        <v>369</v>
      </c>
      <c r="G321" t="s">
        <v>712</v>
      </c>
      <c r="H321" t="s">
        <v>114</v>
      </c>
      <c r="I321" t="s">
        <v>1401</v>
      </c>
      <c r="J321">
        <v>30.311361000000002</v>
      </c>
      <c r="K321">
        <v>-95.387083000000004</v>
      </c>
      <c r="L321">
        <v>2869</v>
      </c>
      <c r="M321" s="175" t="str">
        <f>VLOOKUP(L321, '2022 SIC to NAICS'!A:D, 2)</f>
        <v>Industrial Organic Chemicals, Nec</v>
      </c>
      <c r="N321" s="184">
        <f>VLOOKUP(L321, '2022 SIC to NAICS'!A:D, 3)</f>
        <v>325180</v>
      </c>
      <c r="O321" s="184" t="str">
        <f>VLOOKUP(L321, '2022 SIC to NAICS'!A:D, 4)</f>
        <v xml:space="preserve">Other Basic Inorganic Chemical Manufacturing </v>
      </c>
      <c r="P321" s="185" t="str">
        <f>VLOOKUP(N321, 'NAICS OES crosswalk'!A:C, 3, FALSE)</f>
        <v>Processing as a reactant</v>
      </c>
      <c r="T321">
        <v>120401010403</v>
      </c>
      <c r="U321" t="s">
        <v>865</v>
      </c>
      <c r="V321">
        <v>1.3836785</v>
      </c>
      <c r="X321" t="b">
        <f t="shared" si="6"/>
        <v>0</v>
      </c>
      <c r="Y321" s="186" t="s">
        <v>1404</v>
      </c>
      <c r="Z321" t="s">
        <v>1403</v>
      </c>
    </row>
    <row r="322" spans="1:26" x14ac:dyDescent="0.25">
      <c r="A322">
        <v>2021</v>
      </c>
      <c r="B322" t="s">
        <v>1400</v>
      </c>
      <c r="C322" t="s">
        <v>605</v>
      </c>
      <c r="D322" s="1">
        <v>110000452082</v>
      </c>
      <c r="E322" t="s">
        <v>203</v>
      </c>
      <c r="F322" t="s">
        <v>204</v>
      </c>
      <c r="G322" t="s">
        <v>604</v>
      </c>
      <c r="H322" t="s">
        <v>205</v>
      </c>
      <c r="I322" t="s">
        <v>1401</v>
      </c>
      <c r="J322">
        <v>35.136057000000001</v>
      </c>
      <c r="K322">
        <v>-90.096892999999994</v>
      </c>
      <c r="L322">
        <v>2869</v>
      </c>
      <c r="M322" s="175" t="str">
        <f>VLOOKUP(L322, '2022 SIC to NAICS'!A:D, 2)</f>
        <v>Industrial Organic Chemicals, Nec</v>
      </c>
      <c r="N322" s="184">
        <f>VLOOKUP(L322, '2022 SIC to NAICS'!A:D, 3)</f>
        <v>325180</v>
      </c>
      <c r="O322" s="184" t="str">
        <f>VLOOKUP(L322, '2022 SIC to NAICS'!A:D, 4)</f>
        <v xml:space="preserve">Other Basic Inorganic Chemical Manufacturing </v>
      </c>
      <c r="P322" s="185" t="str">
        <f>VLOOKUP(N322, 'NAICS OES crosswalk'!A:C, 3, FALSE)</f>
        <v>Processing as a reactant</v>
      </c>
      <c r="T322" s="186" t="s">
        <v>1199</v>
      </c>
      <c r="U322" t="s">
        <v>606</v>
      </c>
      <c r="V322">
        <v>5.9301479999999997E-2</v>
      </c>
      <c r="X322" t="b">
        <f t="shared" si="6"/>
        <v>0</v>
      </c>
      <c r="Y322" s="186" t="s">
        <v>1402</v>
      </c>
      <c r="Z322" t="s">
        <v>1403</v>
      </c>
    </row>
    <row r="323" spans="1:26" x14ac:dyDescent="0.25">
      <c r="A323">
        <v>2021</v>
      </c>
      <c r="B323" t="s">
        <v>1400</v>
      </c>
      <c r="C323" t="s">
        <v>1452</v>
      </c>
      <c r="D323" s="1">
        <v>110059861065</v>
      </c>
      <c r="E323" t="s">
        <v>1453</v>
      </c>
      <c r="F323" t="s">
        <v>157</v>
      </c>
      <c r="G323" t="s">
        <v>554</v>
      </c>
      <c r="H323" t="s">
        <v>158</v>
      </c>
      <c r="I323" t="s">
        <v>1405</v>
      </c>
      <c r="J323">
        <v>36.108890000000002</v>
      </c>
      <c r="K323">
        <v>-115.18118</v>
      </c>
      <c r="L323">
        <v>6531</v>
      </c>
      <c r="M323" s="175" t="str">
        <f>VLOOKUP(L323, '2022 SIC to NAICS'!A:D, 2)</f>
        <v>Communication Services, Nec</v>
      </c>
      <c r="N323" s="184">
        <f>VLOOKUP(L323, '2022 SIC to NAICS'!A:D, 3)</f>
        <v>517810</v>
      </c>
      <c r="O323" s="184" t="str">
        <f>VLOOKUP(L323, '2022 SIC to NAICS'!A:D, 4)</f>
        <v xml:space="preserve">All Other Telecommunications </v>
      </c>
      <c r="P323" s="185" t="str">
        <f>VLOOKUP(N323, 'NAICS OES crosswalk'!A:C, 3, FALSE)</f>
        <v>TBD</v>
      </c>
      <c r="T323">
        <v>150100150505</v>
      </c>
      <c r="U323" t="s">
        <v>557</v>
      </c>
      <c r="V323">
        <v>6.8730868750000004E-4</v>
      </c>
      <c r="X323" t="b">
        <f t="shared" si="6"/>
        <v>1</v>
      </c>
      <c r="Y323" s="186" t="s">
        <v>1404</v>
      </c>
      <c r="Z323" t="s">
        <v>1403</v>
      </c>
    </row>
    <row r="324" spans="1:26" x14ac:dyDescent="0.25">
      <c r="A324">
        <v>2021</v>
      </c>
      <c r="B324" t="s">
        <v>1400</v>
      </c>
      <c r="C324" t="s">
        <v>573</v>
      </c>
      <c r="D324" s="1">
        <v>110070053140</v>
      </c>
      <c r="E324" t="s">
        <v>216</v>
      </c>
      <c r="F324" t="s">
        <v>217</v>
      </c>
      <c r="G324" t="s">
        <v>571</v>
      </c>
      <c r="H324" t="s">
        <v>218</v>
      </c>
      <c r="I324" t="s">
        <v>1405</v>
      </c>
      <c r="J324">
        <v>40.393799999999999</v>
      </c>
      <c r="K324">
        <v>-105.074</v>
      </c>
      <c r="L324">
        <v>7521</v>
      </c>
      <c r="M324" s="175" t="str">
        <f>VLOOKUP(L324, '2022 SIC to NAICS'!A:D, 2)</f>
        <v>Barber Shops</v>
      </c>
      <c r="N324" s="184">
        <f>VLOOKUP(L324, '2022 SIC to NAICS'!A:D, 3)</f>
        <v>611511</v>
      </c>
      <c r="O324" s="184" t="str">
        <f>VLOOKUP(L324, '2022 SIC to NAICS'!A:D, 4)</f>
        <v xml:space="preserve">Cosmetology and Barber Schools </v>
      </c>
      <c r="P324" s="185" t="str">
        <f>VLOOKUP(N324, 'NAICS OES crosswalk'!A:C, 3, FALSE)</f>
        <v>All purpose liquid cleaner/polish</v>
      </c>
      <c r="T324">
        <v>101900060605</v>
      </c>
      <c r="U324" t="s">
        <v>574</v>
      </c>
      <c r="V324">
        <v>3.9208815000000001E-2</v>
      </c>
      <c r="X324" t="b">
        <f t="shared" si="6"/>
        <v>0</v>
      </c>
      <c r="Y324" s="186" t="s">
        <v>1402</v>
      </c>
      <c r="Z324" t="s">
        <v>1403</v>
      </c>
    </row>
    <row r="325" spans="1:26" x14ac:dyDescent="0.25">
      <c r="A325">
        <v>2021</v>
      </c>
      <c r="B325" t="s">
        <v>1400</v>
      </c>
      <c r="C325" t="s">
        <v>984</v>
      </c>
      <c r="D325" s="1">
        <v>110064615590</v>
      </c>
      <c r="E325" t="s">
        <v>443</v>
      </c>
      <c r="F325" t="s">
        <v>444</v>
      </c>
      <c r="G325" t="s">
        <v>901</v>
      </c>
      <c r="H325" t="s">
        <v>138</v>
      </c>
      <c r="I325" t="s">
        <v>1401</v>
      </c>
      <c r="J325">
        <v>38.32978</v>
      </c>
      <c r="K325">
        <v>-85.540719999999993</v>
      </c>
      <c r="L325">
        <v>4952</v>
      </c>
      <c r="M325" s="175" t="str">
        <f>VLOOKUP(L325, '2022 SIC to NAICS'!A:D, 2)</f>
        <v>Manufacturing Industries, Nec</v>
      </c>
      <c r="N325" s="184">
        <f>VLOOKUP(L325, '2022 SIC to NAICS'!A:D, 3)</f>
        <v>339999</v>
      </c>
      <c r="O325" s="184" t="str">
        <f>VLOOKUP(L325, '2022 SIC to NAICS'!A:D, 4)</f>
        <v xml:space="preserve">All Other Miscellaneous Manufacturing </v>
      </c>
      <c r="P325" s="185" t="str">
        <f>VLOOKUP(N325, 'NAICS OES crosswalk'!A:C, 3, FALSE)</f>
        <v>TBD</v>
      </c>
      <c r="T325" s="186" t="s">
        <v>1241</v>
      </c>
      <c r="U325" t="s">
        <v>857</v>
      </c>
      <c r="V325">
        <v>1.1846576874999999</v>
      </c>
      <c r="X325" t="b">
        <f t="shared" si="6"/>
        <v>0</v>
      </c>
      <c r="Y325" s="186" t="s">
        <v>1402</v>
      </c>
      <c r="Z325" t="s">
        <v>1403</v>
      </c>
    </row>
    <row r="326" spans="1:26" x14ac:dyDescent="0.25">
      <c r="A326">
        <v>2021</v>
      </c>
      <c r="B326" t="s">
        <v>1400</v>
      </c>
      <c r="C326" t="s">
        <v>1038</v>
      </c>
      <c r="D326" s="1">
        <v>110064634686</v>
      </c>
      <c r="E326" t="s">
        <v>273</v>
      </c>
      <c r="F326" t="s">
        <v>274</v>
      </c>
      <c r="G326" t="s">
        <v>1036</v>
      </c>
      <c r="H326" t="s">
        <v>268</v>
      </c>
      <c r="I326" t="s">
        <v>1401</v>
      </c>
      <c r="J326">
        <v>40.094276999999998</v>
      </c>
      <c r="K326">
        <v>-74.865442000000002</v>
      </c>
      <c r="L326">
        <v>2821</v>
      </c>
      <c r="M326" s="175" t="str">
        <f>VLOOKUP(L326, '2022 SIC to NAICS'!A:D, 2)</f>
        <v>Platemaking Services</v>
      </c>
      <c r="N326" s="184">
        <f>VLOOKUP(L326, '2022 SIC to NAICS'!A:D, 3)</f>
        <v>323120</v>
      </c>
      <c r="O326" s="184" t="str">
        <f>VLOOKUP(L326, '2022 SIC to NAICS'!A:D, 4)</f>
        <v>Support Activities for Printing</v>
      </c>
      <c r="P326" s="185" t="str">
        <f>VLOOKUP(N326, 'NAICS OES crosswalk'!A:C, 3, FALSE)</f>
        <v>TBD</v>
      </c>
      <c r="T326" s="186" t="s">
        <v>1221</v>
      </c>
      <c r="U326" t="s">
        <v>1039</v>
      </c>
      <c r="V326">
        <v>0.1848688</v>
      </c>
      <c r="X326" t="b">
        <f t="shared" si="6"/>
        <v>0</v>
      </c>
      <c r="Y326" s="186" t="s">
        <v>1433</v>
      </c>
      <c r="Z326" t="s">
        <v>1403</v>
      </c>
    </row>
    <row r="327" spans="1:26" x14ac:dyDescent="0.25">
      <c r="A327">
        <v>2021</v>
      </c>
      <c r="B327" t="s">
        <v>1400</v>
      </c>
      <c r="C327" t="s">
        <v>1452</v>
      </c>
      <c r="D327" s="1">
        <v>110059861065</v>
      </c>
      <c r="E327" t="s">
        <v>1453</v>
      </c>
      <c r="F327" t="s">
        <v>157</v>
      </c>
      <c r="G327" t="s">
        <v>554</v>
      </c>
      <c r="H327" t="s">
        <v>158</v>
      </c>
      <c r="I327" t="s">
        <v>1405</v>
      </c>
      <c r="J327">
        <v>36.108890000000002</v>
      </c>
      <c r="K327">
        <v>-115.18118</v>
      </c>
      <c r="L327">
        <v>6531</v>
      </c>
      <c r="M327" s="175" t="str">
        <f>VLOOKUP(L327, '2022 SIC to NAICS'!A:D, 2)</f>
        <v>Communication Services, Nec</v>
      </c>
      <c r="N327" s="184">
        <f>VLOOKUP(L327, '2022 SIC to NAICS'!A:D, 3)</f>
        <v>517810</v>
      </c>
      <c r="O327" s="184" t="str">
        <f>VLOOKUP(L327, '2022 SIC to NAICS'!A:D, 4)</f>
        <v xml:space="preserve">All Other Telecommunications </v>
      </c>
      <c r="P327" s="185" t="str">
        <f>VLOOKUP(N327, 'NAICS OES crosswalk'!A:C, 3, FALSE)</f>
        <v>TBD</v>
      </c>
      <c r="T327">
        <v>150100150505</v>
      </c>
      <c r="U327" t="s">
        <v>557</v>
      </c>
      <c r="V327">
        <v>2.1206408750000001E-4</v>
      </c>
      <c r="X327" t="b">
        <f t="shared" si="6"/>
        <v>1</v>
      </c>
      <c r="Y327" s="186" t="s">
        <v>1402</v>
      </c>
      <c r="Z327" t="s">
        <v>1403</v>
      </c>
    </row>
    <row r="328" spans="1:26" x14ac:dyDescent="0.25">
      <c r="A328">
        <v>2021</v>
      </c>
      <c r="B328" t="s">
        <v>1400</v>
      </c>
      <c r="C328" t="s">
        <v>933</v>
      </c>
      <c r="D328" s="1">
        <v>110056125376</v>
      </c>
      <c r="E328" t="s">
        <v>497</v>
      </c>
      <c r="F328" t="s">
        <v>498</v>
      </c>
      <c r="G328" t="s">
        <v>498</v>
      </c>
      <c r="H328" t="s">
        <v>218</v>
      </c>
      <c r="I328" t="s">
        <v>1405</v>
      </c>
      <c r="J328">
        <v>39.754530000000003</v>
      </c>
      <c r="K328">
        <v>-105.00681</v>
      </c>
      <c r="L328">
        <v>1799</v>
      </c>
      <c r="M328" s="175" t="str">
        <f>VLOOKUP(L328, '2022 SIC to NAICS'!A:D, 2)</f>
        <v>Special Trade Contractors, Nec</v>
      </c>
      <c r="N328" s="184">
        <f>VLOOKUP(L328, '2022 SIC to NAICS'!A:D, 3)</f>
        <v>238990</v>
      </c>
      <c r="O328" s="184" t="str">
        <f>VLOOKUP(L328, '2022 SIC to NAICS'!A:D, 4)</f>
        <v>All Other Specialty Trade Contractors</v>
      </c>
      <c r="P328" s="185" t="str">
        <f>VLOOKUP(N328, 'NAICS OES crosswalk'!A:C, 3, FALSE)</f>
        <v>TBD</v>
      </c>
      <c r="T328">
        <v>101900030304</v>
      </c>
      <c r="U328" t="s">
        <v>934</v>
      </c>
      <c r="V328">
        <v>1.0655532E-3</v>
      </c>
      <c r="X328" t="b">
        <f t="shared" si="6"/>
        <v>1</v>
      </c>
      <c r="Y328" s="186" t="s">
        <v>1402</v>
      </c>
      <c r="Z328" t="s">
        <v>1403</v>
      </c>
    </row>
    <row r="329" spans="1:26" x14ac:dyDescent="0.25">
      <c r="A329">
        <v>2021</v>
      </c>
      <c r="B329" t="s">
        <v>1400</v>
      </c>
      <c r="C329" t="s">
        <v>821</v>
      </c>
      <c r="D329" s="1">
        <v>110064624018</v>
      </c>
      <c r="E329" t="s">
        <v>445</v>
      </c>
      <c r="F329" t="s">
        <v>446</v>
      </c>
      <c r="G329" t="s">
        <v>446</v>
      </c>
      <c r="H329" t="s">
        <v>146</v>
      </c>
      <c r="I329" t="s">
        <v>1401</v>
      </c>
      <c r="J329">
        <v>33.990146000000003</v>
      </c>
      <c r="K329">
        <v>-118.36358</v>
      </c>
      <c r="L329">
        <v>2911</v>
      </c>
      <c r="M329" s="175" t="str">
        <f>VLOOKUP(L329, '2022 SIC to NAICS'!A:D, 2)</f>
        <v>Explosives</v>
      </c>
      <c r="N329" s="184">
        <f>VLOOKUP(L329, '2022 SIC to NAICS'!A:D, 3)</f>
        <v>325920</v>
      </c>
      <c r="O329" s="184" t="str">
        <f>VLOOKUP(L329, '2022 SIC to NAICS'!A:D, 4)</f>
        <v>Explosives Manufacturing</v>
      </c>
      <c r="P329" s="185" t="str">
        <f>VLOOKUP(N329, 'NAICS OES crosswalk'!A:C, 3, FALSE)</f>
        <v>TBD</v>
      </c>
      <c r="T329">
        <v>180701040300</v>
      </c>
      <c r="U329" t="s">
        <v>822</v>
      </c>
      <c r="V329">
        <v>1.3677097500000001E-2</v>
      </c>
      <c r="X329" t="b">
        <f t="shared" si="6"/>
        <v>0</v>
      </c>
      <c r="Y329" s="186" t="s">
        <v>1402</v>
      </c>
      <c r="Z329" t="s">
        <v>1403</v>
      </c>
    </row>
    <row r="330" spans="1:26" x14ac:dyDescent="0.25">
      <c r="A330">
        <v>2021</v>
      </c>
      <c r="B330" t="s">
        <v>1400</v>
      </c>
      <c r="C330" t="s">
        <v>828</v>
      </c>
      <c r="D330" s="1">
        <v>110000759723</v>
      </c>
      <c r="E330" t="s">
        <v>437</v>
      </c>
      <c r="F330" t="s">
        <v>438</v>
      </c>
      <c r="G330" t="s">
        <v>827</v>
      </c>
      <c r="H330" t="s">
        <v>138</v>
      </c>
      <c r="I330" t="s">
        <v>1401</v>
      </c>
      <c r="J330">
        <v>38.551630000000003</v>
      </c>
      <c r="K330">
        <v>-82.778199999999998</v>
      </c>
      <c r="L330">
        <v>4952</v>
      </c>
      <c r="M330" s="175" t="str">
        <f>VLOOKUP(L330, '2022 SIC to NAICS'!A:D, 2)</f>
        <v>Manufacturing Industries, Nec</v>
      </c>
      <c r="N330" s="184">
        <f>VLOOKUP(L330, '2022 SIC to NAICS'!A:D, 3)</f>
        <v>339999</v>
      </c>
      <c r="O330" s="184" t="str">
        <f>VLOOKUP(L330, '2022 SIC to NAICS'!A:D, 4)</f>
        <v xml:space="preserve">All Other Miscellaneous Manufacturing </v>
      </c>
      <c r="P330" s="185" t="str">
        <f>VLOOKUP(N330, 'NAICS OES crosswalk'!A:C, 3, FALSE)</f>
        <v>TBD</v>
      </c>
      <c r="T330" s="186" t="s">
        <v>1274</v>
      </c>
      <c r="U330" t="s">
        <v>829</v>
      </c>
      <c r="V330">
        <v>1.0050594374999999</v>
      </c>
      <c r="X330" t="b">
        <f t="shared" si="6"/>
        <v>0</v>
      </c>
      <c r="Y330" s="186" t="s">
        <v>1402</v>
      </c>
      <c r="Z330" t="s">
        <v>1403</v>
      </c>
    </row>
    <row r="331" spans="1:26" x14ac:dyDescent="0.25">
      <c r="A331">
        <v>2021</v>
      </c>
      <c r="B331" t="s">
        <v>1400</v>
      </c>
      <c r="C331" t="s">
        <v>1052</v>
      </c>
      <c r="D331" s="1">
        <v>110013848453</v>
      </c>
      <c r="E331" t="s">
        <v>229</v>
      </c>
      <c r="F331" t="s">
        <v>230</v>
      </c>
      <c r="G331" t="s">
        <v>230</v>
      </c>
      <c r="H331" t="s">
        <v>146</v>
      </c>
      <c r="I331" t="s">
        <v>1401</v>
      </c>
      <c r="J331">
        <v>36.963245999999998</v>
      </c>
      <c r="K331">
        <v>-122.034009</v>
      </c>
      <c r="L331">
        <v>4952</v>
      </c>
      <c r="M331" s="175" t="str">
        <f>VLOOKUP(L331, '2022 SIC to NAICS'!A:D, 2)</f>
        <v>Manufacturing Industries, Nec</v>
      </c>
      <c r="N331" s="184">
        <f>VLOOKUP(L331, '2022 SIC to NAICS'!A:D, 3)</f>
        <v>339999</v>
      </c>
      <c r="O331" s="184" t="str">
        <f>VLOOKUP(L331, '2022 SIC to NAICS'!A:D, 4)</f>
        <v xml:space="preserve">All Other Miscellaneous Manufacturing </v>
      </c>
      <c r="P331" s="185" t="str">
        <f>VLOOKUP(N331, 'NAICS OES crosswalk'!A:C, 3, FALSE)</f>
        <v>TBD</v>
      </c>
      <c r="T331">
        <v>180600150305</v>
      </c>
      <c r="U331" t="s">
        <v>1053</v>
      </c>
      <c r="V331">
        <v>5.997047111E-2</v>
      </c>
      <c r="X331" t="b">
        <f t="shared" si="6"/>
        <v>0</v>
      </c>
      <c r="Y331" s="186" t="s">
        <v>1402</v>
      </c>
      <c r="Z331" t="s">
        <v>1403</v>
      </c>
    </row>
    <row r="332" spans="1:26" x14ac:dyDescent="0.25">
      <c r="A332">
        <v>2021</v>
      </c>
      <c r="B332" t="s">
        <v>1400</v>
      </c>
      <c r="C332" t="s">
        <v>1089</v>
      </c>
      <c r="D332" s="1">
        <v>110000597426</v>
      </c>
      <c r="E332" t="s">
        <v>246</v>
      </c>
      <c r="F332" t="s">
        <v>194</v>
      </c>
      <c r="G332" t="s">
        <v>1087</v>
      </c>
      <c r="H332" t="s">
        <v>106</v>
      </c>
      <c r="I332" t="s">
        <v>1401</v>
      </c>
      <c r="J332">
        <v>30.241299999999999</v>
      </c>
      <c r="K332">
        <v>-91.100899999999996</v>
      </c>
      <c r="L332">
        <v>2819</v>
      </c>
      <c r="M332" s="175" t="str">
        <f>VLOOKUP(L332, '2022 SIC to NAICS'!A:D, 2)</f>
        <v>Platemaking Services</v>
      </c>
      <c r="N332" s="184">
        <f>VLOOKUP(L332, '2022 SIC to NAICS'!A:D, 3)</f>
        <v>323120</v>
      </c>
      <c r="O332" s="184" t="str">
        <f>VLOOKUP(L332, '2022 SIC to NAICS'!A:D, 4)</f>
        <v>Support Activities for Printing</v>
      </c>
      <c r="P332" s="185" t="str">
        <f>VLOOKUP(N332, 'NAICS OES crosswalk'!A:C, 3, FALSE)</f>
        <v>TBD</v>
      </c>
      <c r="T332" s="186" t="s">
        <v>1196</v>
      </c>
      <c r="U332" t="s">
        <v>1090</v>
      </c>
      <c r="V332">
        <v>0.82855000000000001</v>
      </c>
      <c r="X332" t="b">
        <f t="shared" si="6"/>
        <v>0</v>
      </c>
      <c r="Y332">
        <v>301</v>
      </c>
      <c r="Z332" t="s">
        <v>1403</v>
      </c>
    </row>
    <row r="333" spans="1:26" x14ac:dyDescent="0.25">
      <c r="A333">
        <v>2021</v>
      </c>
      <c r="B333" t="s">
        <v>1400</v>
      </c>
      <c r="C333" t="s">
        <v>1117</v>
      </c>
      <c r="D333" s="1">
        <v>110004306938</v>
      </c>
      <c r="E333" t="s">
        <v>156</v>
      </c>
      <c r="F333" t="s">
        <v>157</v>
      </c>
      <c r="G333" t="s">
        <v>575</v>
      </c>
      <c r="H333" t="s">
        <v>158</v>
      </c>
      <c r="I333" t="s">
        <v>1405</v>
      </c>
      <c r="J333">
        <v>36.122100000000003</v>
      </c>
      <c r="K333">
        <v>-115.17139</v>
      </c>
      <c r="L333">
        <v>7011</v>
      </c>
      <c r="M333" s="175" t="str">
        <f>VLOOKUP(L333, '2022 SIC to NAICS'!A:D, 2)</f>
        <v>Communication Services, Nec</v>
      </c>
      <c r="N333" s="184">
        <f>VLOOKUP(L333, '2022 SIC to NAICS'!A:D, 3)</f>
        <v>517810</v>
      </c>
      <c r="O333" s="184" t="str">
        <f>VLOOKUP(L333, '2022 SIC to NAICS'!A:D, 4)</f>
        <v xml:space="preserve">All Other Telecommunications </v>
      </c>
      <c r="P333" s="185" t="str">
        <f>VLOOKUP(N333, 'NAICS OES crosswalk'!A:C, 3, FALSE)</f>
        <v>TBD</v>
      </c>
      <c r="T333">
        <v>150100150604</v>
      </c>
      <c r="U333" t="s">
        <v>578</v>
      </c>
      <c r="V333">
        <v>1.53591041875E-2</v>
      </c>
      <c r="X333" t="b">
        <f t="shared" si="6"/>
        <v>0</v>
      </c>
      <c r="Y333" s="186" t="s">
        <v>1404</v>
      </c>
      <c r="Z333" t="s">
        <v>1403</v>
      </c>
    </row>
    <row r="334" spans="1:26" x14ac:dyDescent="0.25">
      <c r="A334">
        <v>2021</v>
      </c>
      <c r="B334" t="s">
        <v>1400</v>
      </c>
      <c r="C334" t="s">
        <v>886</v>
      </c>
      <c r="D334" s="1">
        <v>110009933402</v>
      </c>
      <c r="E334" t="s">
        <v>435</v>
      </c>
      <c r="F334" t="s">
        <v>436</v>
      </c>
      <c r="G334" t="s">
        <v>885</v>
      </c>
      <c r="H334" t="s">
        <v>138</v>
      </c>
      <c r="I334" t="s">
        <v>1401</v>
      </c>
      <c r="J334">
        <v>37.780760000000001</v>
      </c>
      <c r="K334">
        <v>-85.510740999999996</v>
      </c>
      <c r="L334">
        <v>4952</v>
      </c>
      <c r="M334" s="175" t="str">
        <f>VLOOKUP(L334, '2022 SIC to NAICS'!A:D, 2)</f>
        <v>Manufacturing Industries, Nec</v>
      </c>
      <c r="N334" s="184">
        <f>VLOOKUP(L334, '2022 SIC to NAICS'!A:D, 3)</f>
        <v>339999</v>
      </c>
      <c r="O334" s="184" t="str">
        <f>VLOOKUP(L334, '2022 SIC to NAICS'!A:D, 4)</f>
        <v xml:space="preserve">All Other Miscellaneous Manufacturing </v>
      </c>
      <c r="P334" s="185" t="str">
        <f>VLOOKUP(N334, 'NAICS OES crosswalk'!A:C, 3, FALSE)</f>
        <v>TBD</v>
      </c>
      <c r="T334" s="186" t="s">
        <v>1273</v>
      </c>
      <c r="U334" t="s">
        <v>887</v>
      </c>
      <c r="V334">
        <v>1.6219103500000001</v>
      </c>
      <c r="X334" t="b">
        <f t="shared" si="6"/>
        <v>0</v>
      </c>
      <c r="Y334" s="186" t="s">
        <v>1402</v>
      </c>
      <c r="Z334" t="s">
        <v>1403</v>
      </c>
    </row>
    <row r="335" spans="1:26" x14ac:dyDescent="0.25">
      <c r="A335">
        <v>2021</v>
      </c>
      <c r="B335" t="s">
        <v>1400</v>
      </c>
      <c r="C335" t="s">
        <v>991</v>
      </c>
      <c r="D335" s="1">
        <v>110006367136</v>
      </c>
      <c r="E335" t="s">
        <v>387</v>
      </c>
      <c r="F335" t="s">
        <v>388</v>
      </c>
      <c r="G335" t="s">
        <v>990</v>
      </c>
      <c r="H335" t="s">
        <v>138</v>
      </c>
      <c r="I335" t="s">
        <v>1401</v>
      </c>
      <c r="J335">
        <v>37.021974</v>
      </c>
      <c r="K335">
        <v>-88.512833000000001</v>
      </c>
      <c r="L335">
        <v>4952</v>
      </c>
      <c r="M335" s="175" t="str">
        <f>VLOOKUP(L335, '2022 SIC to NAICS'!A:D, 2)</f>
        <v>Manufacturing Industries, Nec</v>
      </c>
      <c r="N335" s="184">
        <f>VLOOKUP(L335, '2022 SIC to NAICS'!A:D, 3)</f>
        <v>339999</v>
      </c>
      <c r="O335" s="184" t="str">
        <f>VLOOKUP(L335, '2022 SIC to NAICS'!A:D, 4)</f>
        <v xml:space="preserve">All Other Miscellaneous Manufacturing </v>
      </c>
      <c r="P335" s="185" t="str">
        <f>VLOOKUP(N335, 'NAICS OES crosswalk'!A:C, 3, FALSE)</f>
        <v>TBD</v>
      </c>
      <c r="T335" s="186" t="s">
        <v>1259</v>
      </c>
      <c r="U335" t="s">
        <v>992</v>
      </c>
      <c r="V335">
        <v>0.79437687499999998</v>
      </c>
      <c r="X335" t="b">
        <f t="shared" si="6"/>
        <v>0</v>
      </c>
      <c r="Y335" s="186" t="s">
        <v>1402</v>
      </c>
      <c r="Z335" t="s">
        <v>1403</v>
      </c>
    </row>
    <row r="336" spans="1:26" x14ac:dyDescent="0.25">
      <c r="A336">
        <v>2021</v>
      </c>
      <c r="B336" t="s">
        <v>1400</v>
      </c>
      <c r="C336" t="s">
        <v>858</v>
      </c>
      <c r="D336" s="1">
        <v>110033659878</v>
      </c>
      <c r="E336" t="s">
        <v>201</v>
      </c>
      <c r="F336" t="s">
        <v>202</v>
      </c>
      <c r="G336" t="s">
        <v>663</v>
      </c>
      <c r="H336" t="s">
        <v>106</v>
      </c>
      <c r="I336" t="s">
        <v>1401</v>
      </c>
      <c r="J336">
        <v>30.221900000000002</v>
      </c>
      <c r="K336">
        <v>-91.051500000000004</v>
      </c>
      <c r="L336">
        <v>2869</v>
      </c>
      <c r="M336" s="175" t="str">
        <f>VLOOKUP(L336, '2022 SIC to NAICS'!A:D, 2)</f>
        <v>Industrial Organic Chemicals, Nec</v>
      </c>
      <c r="N336" s="184">
        <f>VLOOKUP(L336, '2022 SIC to NAICS'!A:D, 3)</f>
        <v>325180</v>
      </c>
      <c r="O336" s="184" t="str">
        <f>VLOOKUP(L336, '2022 SIC to NAICS'!A:D, 4)</f>
        <v xml:space="preserve">Other Basic Inorganic Chemical Manufacturing </v>
      </c>
      <c r="P336" s="185" t="str">
        <f>VLOOKUP(N336, 'NAICS OES crosswalk'!A:C, 3, FALSE)</f>
        <v>Processing as a reactant</v>
      </c>
      <c r="T336" s="186" t="s">
        <v>1198</v>
      </c>
      <c r="U336" t="s">
        <v>666</v>
      </c>
      <c r="V336">
        <v>3.9770400000000001</v>
      </c>
      <c r="X336" t="b">
        <f t="shared" si="6"/>
        <v>0</v>
      </c>
      <c r="Y336" s="186" t="s">
        <v>1402</v>
      </c>
    </row>
    <row r="337" spans="1:26" x14ac:dyDescent="0.25">
      <c r="A337">
        <v>2021</v>
      </c>
      <c r="B337" t="s">
        <v>1400</v>
      </c>
      <c r="C337" t="s">
        <v>726</v>
      </c>
      <c r="D337" s="1">
        <v>110000611703</v>
      </c>
      <c r="E337" t="s">
        <v>287</v>
      </c>
      <c r="F337" t="s">
        <v>288</v>
      </c>
      <c r="G337" t="s">
        <v>725</v>
      </c>
      <c r="H337" t="s">
        <v>289</v>
      </c>
      <c r="I337" t="s">
        <v>1405</v>
      </c>
      <c r="J337">
        <v>34.632592000000002</v>
      </c>
      <c r="K337">
        <v>-84.927667999999997</v>
      </c>
      <c r="L337">
        <v>2821</v>
      </c>
      <c r="M337" s="175" t="str">
        <f>VLOOKUP(L337, '2022 SIC to NAICS'!A:D, 2)</f>
        <v>Platemaking Services</v>
      </c>
      <c r="N337" s="184">
        <f>VLOOKUP(L337, '2022 SIC to NAICS'!A:D, 3)</f>
        <v>323120</v>
      </c>
      <c r="O337" s="184" t="str">
        <f>VLOOKUP(L337, '2022 SIC to NAICS'!A:D, 4)</f>
        <v>Support Activities for Printing</v>
      </c>
      <c r="P337" s="185" t="str">
        <f>VLOOKUP(N337, 'NAICS OES crosswalk'!A:C, 3, FALSE)</f>
        <v>TBD</v>
      </c>
      <c r="T337" s="186" t="s">
        <v>1227</v>
      </c>
      <c r="U337" t="s">
        <v>727</v>
      </c>
      <c r="V337">
        <v>7.0369999999999999E-3</v>
      </c>
      <c r="X337" t="b">
        <f t="shared" si="6"/>
        <v>0</v>
      </c>
      <c r="Y337" s="186" t="s">
        <v>1402</v>
      </c>
      <c r="Z337" t="s">
        <v>1403</v>
      </c>
    </row>
    <row r="338" spans="1:26" x14ac:dyDescent="0.25">
      <c r="A338">
        <v>2021</v>
      </c>
      <c r="B338" t="s">
        <v>1400</v>
      </c>
      <c r="C338" t="s">
        <v>1455</v>
      </c>
      <c r="D338" s="1">
        <v>110037274133</v>
      </c>
      <c r="E338" t="s">
        <v>1456</v>
      </c>
      <c r="F338" t="s">
        <v>157</v>
      </c>
      <c r="G338" t="s">
        <v>554</v>
      </c>
      <c r="H338" t="s">
        <v>158</v>
      </c>
      <c r="I338" t="s">
        <v>1405</v>
      </c>
      <c r="J338">
        <v>36.119079999999997</v>
      </c>
      <c r="K338">
        <v>-115.15727</v>
      </c>
      <c r="L338">
        <v>6512</v>
      </c>
      <c r="M338" s="175" t="str">
        <f>VLOOKUP(L338, '2022 SIC to NAICS'!A:D, 2)</f>
        <v>Communication Services, Nec</v>
      </c>
      <c r="N338" s="184">
        <f>VLOOKUP(L338, '2022 SIC to NAICS'!A:D, 3)</f>
        <v>517810</v>
      </c>
      <c r="O338" s="184" t="str">
        <f>VLOOKUP(L338, '2022 SIC to NAICS'!A:D, 4)</f>
        <v xml:space="preserve">All Other Telecommunications </v>
      </c>
      <c r="P338" s="185" t="str">
        <f>VLOOKUP(N338, 'NAICS OES crosswalk'!A:C, 3, FALSE)</f>
        <v>TBD</v>
      </c>
      <c r="T338">
        <v>150100150505</v>
      </c>
      <c r="U338" t="s">
        <v>557</v>
      </c>
      <c r="V338">
        <v>6.4102759999999995E-4</v>
      </c>
      <c r="X338" t="b">
        <f t="shared" si="6"/>
        <v>1</v>
      </c>
      <c r="Y338" s="186" t="s">
        <v>1402</v>
      </c>
      <c r="Z338" t="s">
        <v>1403</v>
      </c>
    </row>
    <row r="339" spans="1:26" x14ac:dyDescent="0.25">
      <c r="A339">
        <v>2021</v>
      </c>
      <c r="B339" t="s">
        <v>1400</v>
      </c>
      <c r="C339" t="s">
        <v>611</v>
      </c>
      <c r="D339" s="1">
        <v>110000443226</v>
      </c>
      <c r="E339" t="s">
        <v>425</v>
      </c>
      <c r="F339" t="s">
        <v>426</v>
      </c>
      <c r="G339" t="s">
        <v>454</v>
      </c>
      <c r="H339" t="s">
        <v>170</v>
      </c>
      <c r="I339" t="s">
        <v>1401</v>
      </c>
      <c r="J339">
        <v>39.121471999999997</v>
      </c>
      <c r="K339">
        <v>-94.473416999999998</v>
      </c>
      <c r="L339">
        <v>2879</v>
      </c>
      <c r="M339" s="175" t="str">
        <f>VLOOKUP(L339, '2022 SIC to NAICS'!A:D, 2)</f>
        <v>Agricultural Chemicals, Nec</v>
      </c>
      <c r="N339" s="184">
        <f>VLOOKUP(L339, '2022 SIC to NAICS'!A:D, 3)</f>
        <v>325320</v>
      </c>
      <c r="O339" s="184" t="str">
        <f>VLOOKUP(L339, '2022 SIC to NAICS'!A:D, 4)</f>
        <v>Pesticide and Other Agricultural Chemical Manufacturing</v>
      </c>
      <c r="P339" s="185" t="str">
        <f>VLOOKUP(N339, 'NAICS OES crosswalk'!A:C, 3, FALSE)</f>
        <v>TBD</v>
      </c>
      <c r="T339">
        <v>103001010301</v>
      </c>
      <c r="U339" t="s">
        <v>612</v>
      </c>
      <c r="V339">
        <v>9.9426000000000005</v>
      </c>
      <c r="X339" t="b">
        <f t="shared" si="6"/>
        <v>0</v>
      </c>
      <c r="Y339" s="186" t="s">
        <v>1402</v>
      </c>
    </row>
    <row r="340" spans="1:26" x14ac:dyDescent="0.25">
      <c r="A340">
        <v>2021</v>
      </c>
      <c r="B340" t="s">
        <v>1400</v>
      </c>
      <c r="C340" t="s">
        <v>995</v>
      </c>
      <c r="D340" s="1">
        <v>110000520026</v>
      </c>
      <c r="E340" t="s">
        <v>447</v>
      </c>
      <c r="F340" t="s">
        <v>448</v>
      </c>
      <c r="G340" t="s">
        <v>993</v>
      </c>
      <c r="H340" t="s">
        <v>146</v>
      </c>
      <c r="I340" t="s">
        <v>1405</v>
      </c>
      <c r="J340">
        <v>39.814332999999998</v>
      </c>
      <c r="K340">
        <v>-121.58030599999999</v>
      </c>
      <c r="L340">
        <v>4941</v>
      </c>
      <c r="M340" s="175" t="str">
        <f>VLOOKUP(L340, '2022 SIC to NAICS'!A:D, 2)</f>
        <v>Manufacturing Industries, Nec</v>
      </c>
      <c r="N340" s="184">
        <f>VLOOKUP(L340, '2022 SIC to NAICS'!A:D, 3)</f>
        <v>339999</v>
      </c>
      <c r="O340" s="184" t="str">
        <f>VLOOKUP(L340, '2022 SIC to NAICS'!A:D, 4)</f>
        <v xml:space="preserve">All Other Miscellaneous Manufacturing </v>
      </c>
      <c r="P340" s="185" t="str">
        <f>VLOOKUP(N340, 'NAICS OES crosswalk'!A:C, 3, FALSE)</f>
        <v>TBD</v>
      </c>
      <c r="T340">
        <v>180201580201</v>
      </c>
      <c r="U340" t="s">
        <v>996</v>
      </c>
      <c r="V340">
        <v>1.84323500775E-2</v>
      </c>
      <c r="X340" t="b">
        <f t="shared" si="6"/>
        <v>0</v>
      </c>
      <c r="Y340" s="186" t="s">
        <v>1402</v>
      </c>
      <c r="Z340" t="s">
        <v>1403</v>
      </c>
    </row>
    <row r="341" spans="1:26" x14ac:dyDescent="0.25">
      <c r="A341">
        <v>2021</v>
      </c>
      <c r="B341" t="s">
        <v>1400</v>
      </c>
      <c r="C341" t="s">
        <v>766</v>
      </c>
      <c r="D341" s="1">
        <v>110000597266</v>
      </c>
      <c r="E341" t="s">
        <v>174</v>
      </c>
      <c r="F341" t="s">
        <v>175</v>
      </c>
      <c r="G341" t="s">
        <v>630</v>
      </c>
      <c r="H341" t="s">
        <v>106</v>
      </c>
      <c r="I341" t="s">
        <v>1401</v>
      </c>
      <c r="J341">
        <v>30.193916000000002</v>
      </c>
      <c r="K341">
        <v>-93.321347000000003</v>
      </c>
      <c r="L341">
        <v>2821</v>
      </c>
      <c r="M341" s="175" t="str">
        <f>VLOOKUP(L341, '2022 SIC to NAICS'!A:D, 2)</f>
        <v>Platemaking Services</v>
      </c>
      <c r="N341" s="184">
        <f>VLOOKUP(L341, '2022 SIC to NAICS'!A:D, 3)</f>
        <v>323120</v>
      </c>
      <c r="O341" s="184" t="str">
        <f>VLOOKUP(L341, '2022 SIC to NAICS'!A:D, 4)</f>
        <v>Support Activities for Printing</v>
      </c>
      <c r="P341" s="185" t="str">
        <f>VLOOKUP(N341, 'NAICS OES crosswalk'!A:C, 3, FALSE)</f>
        <v>TBD</v>
      </c>
      <c r="T341" s="186" t="s">
        <v>1191</v>
      </c>
      <c r="U341" t="s">
        <v>767</v>
      </c>
      <c r="V341">
        <v>0.82855000000000001</v>
      </c>
      <c r="X341" t="b">
        <f t="shared" si="6"/>
        <v>0</v>
      </c>
      <c r="Y341" s="186" t="s">
        <v>1402</v>
      </c>
    </row>
    <row r="342" spans="1:26" x14ac:dyDescent="0.25">
      <c r="A342">
        <v>2021</v>
      </c>
      <c r="B342" t="s">
        <v>1400</v>
      </c>
      <c r="C342" t="s">
        <v>937</v>
      </c>
      <c r="D342" s="1">
        <v>110000463677</v>
      </c>
      <c r="E342" t="s">
        <v>502</v>
      </c>
      <c r="F342" t="s">
        <v>372</v>
      </c>
      <c r="G342" t="s">
        <v>638</v>
      </c>
      <c r="H342" t="s">
        <v>114</v>
      </c>
      <c r="I342" t="s">
        <v>1405</v>
      </c>
      <c r="J342">
        <v>29.726065999999999</v>
      </c>
      <c r="K342">
        <v>-95.079583999999997</v>
      </c>
      <c r="L342">
        <v>2821</v>
      </c>
      <c r="M342" s="175" t="str">
        <f>VLOOKUP(L342, '2022 SIC to NAICS'!A:D, 2)</f>
        <v>Platemaking Services</v>
      </c>
      <c r="N342" s="184">
        <f>VLOOKUP(L342, '2022 SIC to NAICS'!A:D, 3)</f>
        <v>323120</v>
      </c>
      <c r="O342" s="184" t="str">
        <f>VLOOKUP(L342, '2022 SIC to NAICS'!A:D, 4)</f>
        <v>Support Activities for Printing</v>
      </c>
      <c r="P342" s="185" t="str">
        <f>VLOOKUP(N342, 'NAICS OES crosswalk'!A:C, 3, FALSE)</f>
        <v>TBD</v>
      </c>
      <c r="T342">
        <v>120401040706</v>
      </c>
      <c r="U342" t="s">
        <v>640</v>
      </c>
      <c r="V342">
        <v>3.0822060000000001E-3</v>
      </c>
      <c r="X342" t="b">
        <f t="shared" si="6"/>
        <v>1</v>
      </c>
      <c r="Y342" s="186" t="s">
        <v>1402</v>
      </c>
    </row>
    <row r="343" spans="1:26" x14ac:dyDescent="0.25">
      <c r="A343">
        <v>2021</v>
      </c>
      <c r="B343" t="s">
        <v>1400</v>
      </c>
      <c r="C343" t="s">
        <v>695</v>
      </c>
      <c r="D343" s="1">
        <v>110007970142</v>
      </c>
      <c r="E343" t="s">
        <v>355</v>
      </c>
      <c r="F343" t="s">
        <v>356</v>
      </c>
      <c r="G343" t="s">
        <v>694</v>
      </c>
      <c r="H343" t="s">
        <v>153</v>
      </c>
      <c r="I343" t="s">
        <v>1401</v>
      </c>
      <c r="J343">
        <v>39.698279999999997</v>
      </c>
      <c r="K343">
        <v>-75.503974999999997</v>
      </c>
      <c r="L343">
        <v>2869</v>
      </c>
      <c r="M343" s="175" t="str">
        <f>VLOOKUP(L343, '2022 SIC to NAICS'!A:D, 2)</f>
        <v>Industrial Organic Chemicals, Nec</v>
      </c>
      <c r="N343" s="184">
        <f>VLOOKUP(L343, '2022 SIC to NAICS'!A:D, 3)</f>
        <v>325180</v>
      </c>
      <c r="O343" s="184" t="str">
        <f>VLOOKUP(L343, '2022 SIC to NAICS'!A:D, 4)</f>
        <v xml:space="preserve">Other Basic Inorganic Chemical Manufacturing </v>
      </c>
      <c r="P343" s="185" t="str">
        <f>VLOOKUP(N343, 'NAICS OES crosswalk'!A:C, 3, FALSE)</f>
        <v>Processing as a reactant</v>
      </c>
      <c r="T343" s="186" t="s">
        <v>1250</v>
      </c>
      <c r="U343" t="s">
        <v>696</v>
      </c>
      <c r="V343">
        <v>1.77</v>
      </c>
      <c r="X343" t="b">
        <f t="shared" si="6"/>
        <v>0</v>
      </c>
      <c r="Y343">
        <v>662</v>
      </c>
      <c r="Z343" t="s">
        <v>1403</v>
      </c>
    </row>
    <row r="344" spans="1:26" x14ac:dyDescent="0.25">
      <c r="A344">
        <v>2021</v>
      </c>
      <c r="B344" t="s">
        <v>1400</v>
      </c>
      <c r="C344" t="s">
        <v>848</v>
      </c>
      <c r="D344" s="1">
        <v>110000433022</v>
      </c>
      <c r="E344" t="s">
        <v>296</v>
      </c>
      <c r="F344" t="s">
        <v>224</v>
      </c>
      <c r="G344" t="s">
        <v>771</v>
      </c>
      <c r="H344" t="s">
        <v>141</v>
      </c>
      <c r="I344" t="s">
        <v>1405</v>
      </c>
      <c r="J344">
        <v>41.305320000000002</v>
      </c>
      <c r="K344">
        <v>-88.561769999999996</v>
      </c>
      <c r="L344">
        <v>2821</v>
      </c>
      <c r="M344" s="175" t="str">
        <f>VLOOKUP(L344, '2022 SIC to NAICS'!A:D, 2)</f>
        <v>Platemaking Services</v>
      </c>
      <c r="N344" s="184">
        <f>VLOOKUP(L344, '2022 SIC to NAICS'!A:D, 3)</f>
        <v>323120</v>
      </c>
      <c r="O344" s="184" t="str">
        <f>VLOOKUP(L344, '2022 SIC to NAICS'!A:D, 4)</f>
        <v>Support Activities for Printing</v>
      </c>
      <c r="P344" s="185" t="str">
        <f>VLOOKUP(N344, 'NAICS OES crosswalk'!A:C, 3, FALSE)</f>
        <v>TBD</v>
      </c>
      <c r="T344" s="186" t="s">
        <v>1231</v>
      </c>
      <c r="U344" t="s">
        <v>849</v>
      </c>
      <c r="V344">
        <v>2.8120987E-2</v>
      </c>
      <c r="X344" t="b">
        <f t="shared" si="6"/>
        <v>0</v>
      </c>
      <c r="Y344" s="186" t="s">
        <v>1402</v>
      </c>
      <c r="Z344" t="s">
        <v>1403</v>
      </c>
    </row>
    <row r="345" spans="1:26" x14ac:dyDescent="0.25">
      <c r="A345">
        <v>2021</v>
      </c>
      <c r="B345" t="s">
        <v>1400</v>
      </c>
      <c r="C345" t="s">
        <v>580</v>
      </c>
      <c r="D345" s="1">
        <v>110064134459</v>
      </c>
      <c r="E345" t="s">
        <v>233</v>
      </c>
      <c r="F345" t="s">
        <v>157</v>
      </c>
      <c r="G345" t="s">
        <v>554</v>
      </c>
      <c r="H345" t="s">
        <v>158</v>
      </c>
      <c r="I345" t="s">
        <v>1405</v>
      </c>
      <c r="J345">
        <v>36.075400000000002</v>
      </c>
      <c r="K345">
        <v>-115.1669</v>
      </c>
      <c r="L345">
        <v>4581</v>
      </c>
      <c r="M345" s="175" t="str">
        <f>VLOOKUP(L345, '2022 SIC to NAICS'!A:D, 2)</f>
        <v>Manufacturing Industries, Nec</v>
      </c>
      <c r="N345" s="184">
        <f>VLOOKUP(L345, '2022 SIC to NAICS'!A:D, 3)</f>
        <v>339999</v>
      </c>
      <c r="O345" s="184" t="str">
        <f>VLOOKUP(L345, '2022 SIC to NAICS'!A:D, 4)</f>
        <v xml:space="preserve">All Other Miscellaneous Manufacturing </v>
      </c>
      <c r="P345" s="185" t="str">
        <f>VLOOKUP(N345, 'NAICS OES crosswalk'!A:C, 3, FALSE)</f>
        <v>TBD</v>
      </c>
      <c r="T345">
        <v>150100150704</v>
      </c>
      <c r="U345" t="s">
        <v>581</v>
      </c>
      <c r="V345">
        <v>2.1833772500000001E-3</v>
      </c>
      <c r="X345" t="b">
        <f t="shared" si="6"/>
        <v>1</v>
      </c>
      <c r="Y345" s="186" t="s">
        <v>1404</v>
      </c>
      <c r="Z345" t="s">
        <v>1403</v>
      </c>
    </row>
    <row r="346" spans="1:26" x14ac:dyDescent="0.25">
      <c r="A346">
        <v>2021</v>
      </c>
      <c r="B346" t="s">
        <v>1400</v>
      </c>
      <c r="C346" t="s">
        <v>998</v>
      </c>
      <c r="D346" s="1">
        <v>110000551082</v>
      </c>
      <c r="E346" t="s">
        <v>345</v>
      </c>
      <c r="F346" t="s">
        <v>346</v>
      </c>
      <c r="G346" t="s">
        <v>997</v>
      </c>
      <c r="H346" t="s">
        <v>138</v>
      </c>
      <c r="I346" t="s">
        <v>1401</v>
      </c>
      <c r="J346">
        <v>38.223610999999998</v>
      </c>
      <c r="K346">
        <v>-84.252778000000006</v>
      </c>
      <c r="L346">
        <v>4952</v>
      </c>
      <c r="M346" s="175" t="str">
        <f>VLOOKUP(L346, '2022 SIC to NAICS'!A:D, 2)</f>
        <v>Manufacturing Industries, Nec</v>
      </c>
      <c r="N346" s="184">
        <f>VLOOKUP(L346, '2022 SIC to NAICS'!A:D, 3)</f>
        <v>339999</v>
      </c>
      <c r="O346" s="184" t="str">
        <f>VLOOKUP(L346, '2022 SIC to NAICS'!A:D, 4)</f>
        <v xml:space="preserve">All Other Miscellaneous Manufacturing </v>
      </c>
      <c r="P346" s="185" t="str">
        <f>VLOOKUP(N346, 'NAICS OES crosswalk'!A:C, 3, FALSE)</f>
        <v>TBD</v>
      </c>
      <c r="T346" s="186" t="s">
        <v>1247</v>
      </c>
      <c r="U346" t="s">
        <v>999</v>
      </c>
      <c r="V346">
        <v>6.2824849374999996</v>
      </c>
      <c r="X346" t="b">
        <f t="shared" si="6"/>
        <v>0</v>
      </c>
      <c r="Y346" s="186" t="s">
        <v>1402</v>
      </c>
      <c r="Z346" t="s">
        <v>1403</v>
      </c>
    </row>
    <row r="347" spans="1:26" x14ac:dyDescent="0.25">
      <c r="A347">
        <v>2021</v>
      </c>
      <c r="B347" t="s">
        <v>1400</v>
      </c>
      <c r="C347" t="s">
        <v>794</v>
      </c>
      <c r="D347" s="1">
        <v>110070215141</v>
      </c>
      <c r="E347" t="s">
        <v>419</v>
      </c>
      <c r="F347" t="s">
        <v>420</v>
      </c>
      <c r="G347" t="s">
        <v>781</v>
      </c>
      <c r="H347" t="s">
        <v>153</v>
      </c>
      <c r="I347" t="s">
        <v>1405</v>
      </c>
      <c r="J347">
        <v>40.515906999999999</v>
      </c>
      <c r="K347">
        <v>-74.325175999999999</v>
      </c>
      <c r="L347"/>
      <c r="M347" s="175" t="e">
        <f>VLOOKUP(L347, '2022 SIC to NAICS'!A:D, 2)</f>
        <v>#N/A</v>
      </c>
      <c r="N347" s="184" t="e">
        <f>VLOOKUP(L347, '2022 SIC to NAICS'!A:D, 3)</f>
        <v>#N/A</v>
      </c>
      <c r="O347" s="184" t="e">
        <f>VLOOKUP(L347, '2022 SIC to NAICS'!A:D, 4)</f>
        <v>#N/A</v>
      </c>
      <c r="P347" s="185" t="e">
        <f>VLOOKUP(N347, 'NAICS OES crosswalk'!A:C, 3, FALSE)</f>
        <v>#N/A</v>
      </c>
      <c r="T347" s="186" t="s">
        <v>1269</v>
      </c>
      <c r="U347" t="s">
        <v>795</v>
      </c>
      <c r="V347">
        <v>7.2203965825000001E-3</v>
      </c>
      <c r="X347" t="b">
        <f t="shared" si="6"/>
        <v>0</v>
      </c>
      <c r="Y347" s="186" t="s">
        <v>1404</v>
      </c>
      <c r="Z347" t="s">
        <v>1403</v>
      </c>
    </row>
    <row r="348" spans="1:26" x14ac:dyDescent="0.25">
      <c r="A348">
        <v>2021</v>
      </c>
      <c r="B348" t="s">
        <v>1400</v>
      </c>
      <c r="C348" t="s">
        <v>1073</v>
      </c>
      <c r="D348" s="1">
        <v>110020941383</v>
      </c>
      <c r="E348" t="s">
        <v>159</v>
      </c>
      <c r="F348" t="s">
        <v>160</v>
      </c>
      <c r="G348" t="s">
        <v>1072</v>
      </c>
      <c r="H348" t="s">
        <v>138</v>
      </c>
      <c r="I348" t="s">
        <v>1401</v>
      </c>
      <c r="J348">
        <v>37.983888999999998</v>
      </c>
      <c r="K348">
        <v>-85.722778000000005</v>
      </c>
      <c r="L348">
        <v>4952</v>
      </c>
      <c r="M348" s="175" t="str">
        <f>VLOOKUP(L348, '2022 SIC to NAICS'!A:D, 2)</f>
        <v>Manufacturing Industries, Nec</v>
      </c>
      <c r="N348" s="184">
        <f>VLOOKUP(L348, '2022 SIC to NAICS'!A:D, 3)</f>
        <v>339999</v>
      </c>
      <c r="O348" s="184" t="str">
        <f>VLOOKUP(L348, '2022 SIC to NAICS'!A:D, 4)</f>
        <v xml:space="preserve">All Other Miscellaneous Manufacturing </v>
      </c>
      <c r="P348" s="185" t="str">
        <f>VLOOKUP(N348, 'NAICS OES crosswalk'!A:C, 3, FALSE)</f>
        <v>TBD</v>
      </c>
      <c r="T348" s="186" t="s">
        <v>1189</v>
      </c>
      <c r="U348" t="s">
        <v>1074</v>
      </c>
      <c r="V348">
        <v>2.1828094999999998</v>
      </c>
      <c r="X348" t="b">
        <f t="shared" si="6"/>
        <v>0</v>
      </c>
      <c r="Y348" s="186" t="s">
        <v>1402</v>
      </c>
      <c r="Z348" t="s">
        <v>1403</v>
      </c>
    </row>
    <row r="349" spans="1:26" x14ac:dyDescent="0.25">
      <c r="A349">
        <v>2021</v>
      </c>
      <c r="B349" t="s">
        <v>1400</v>
      </c>
      <c r="C349" t="s">
        <v>720</v>
      </c>
      <c r="D349" s="1">
        <v>110020737540</v>
      </c>
      <c r="E349" t="s">
        <v>449</v>
      </c>
      <c r="F349" t="s">
        <v>450</v>
      </c>
      <c r="G349" t="s">
        <v>719</v>
      </c>
      <c r="H349" t="s">
        <v>138</v>
      </c>
      <c r="I349" t="s">
        <v>1401</v>
      </c>
      <c r="J349">
        <v>38.394444</v>
      </c>
      <c r="K349">
        <v>-84.284999999999997</v>
      </c>
      <c r="L349">
        <v>4952</v>
      </c>
      <c r="M349" s="175" t="str">
        <f>VLOOKUP(L349, '2022 SIC to NAICS'!A:D, 2)</f>
        <v>Manufacturing Industries, Nec</v>
      </c>
      <c r="N349" s="184">
        <f>VLOOKUP(L349, '2022 SIC to NAICS'!A:D, 3)</f>
        <v>339999</v>
      </c>
      <c r="O349" s="184" t="str">
        <f>VLOOKUP(L349, '2022 SIC to NAICS'!A:D, 4)</f>
        <v xml:space="preserve">All Other Miscellaneous Manufacturing </v>
      </c>
      <c r="P349" s="185" t="str">
        <f>VLOOKUP(N349, 'NAICS OES crosswalk'!A:C, 3, FALSE)</f>
        <v>TBD</v>
      </c>
      <c r="T349" s="186" t="s">
        <v>1277</v>
      </c>
      <c r="U349" t="s">
        <v>721</v>
      </c>
      <c r="V349">
        <v>2.9222707562500001</v>
      </c>
      <c r="X349" t="b">
        <f t="shared" si="6"/>
        <v>0</v>
      </c>
      <c r="Y349" s="186" t="s">
        <v>1402</v>
      </c>
      <c r="Z349" t="s">
        <v>1403</v>
      </c>
    </row>
    <row r="350" spans="1:26" x14ac:dyDescent="0.25">
      <c r="A350">
        <v>2021</v>
      </c>
      <c r="B350" t="s">
        <v>1400</v>
      </c>
      <c r="C350" t="s">
        <v>569</v>
      </c>
      <c r="D350" s="1">
        <v>110002672484</v>
      </c>
      <c r="E350" t="s">
        <v>189</v>
      </c>
      <c r="F350" t="s">
        <v>190</v>
      </c>
      <c r="G350" t="s">
        <v>566</v>
      </c>
      <c r="H350" t="s">
        <v>146</v>
      </c>
      <c r="I350" t="s">
        <v>1405</v>
      </c>
      <c r="J350">
        <v>32.803809999999999</v>
      </c>
      <c r="K350">
        <v>-115.53973999999999</v>
      </c>
      <c r="L350" s="186" t="s">
        <v>567</v>
      </c>
      <c r="M350" s="175" t="str">
        <f>VLOOKUP(L350, '2022 SIC to NAICS'!A:D, 2)</f>
        <v>Fish Hatcheries and Preserves</v>
      </c>
      <c r="N350" s="184">
        <f>VLOOKUP(L350, '2022 SIC to NAICS'!A:D, 3)</f>
        <v>112511</v>
      </c>
      <c r="O350" s="184" t="str">
        <f>VLOOKUP(L350, '2022 SIC to NAICS'!A:D, 4)</f>
        <v xml:space="preserve">Finfish Farming and Fish Hatcheries </v>
      </c>
      <c r="P350" s="185" t="str">
        <f>VLOOKUP(N350, 'NAICS OES crosswalk'!A:C, 3, FALSE)</f>
        <v>TBD</v>
      </c>
      <c r="T350">
        <v>181002040701</v>
      </c>
      <c r="U350" t="s">
        <v>570</v>
      </c>
      <c r="V350">
        <v>2.0032112500000001E-2</v>
      </c>
      <c r="X350" t="b">
        <f t="shared" si="6"/>
        <v>0</v>
      </c>
      <c r="Y350" s="186" t="s">
        <v>1404</v>
      </c>
    </row>
    <row r="351" spans="1:26" x14ac:dyDescent="0.25">
      <c r="A351">
        <v>2021</v>
      </c>
      <c r="B351" t="s">
        <v>1400</v>
      </c>
      <c r="C351" t="s">
        <v>1030</v>
      </c>
      <c r="D351" s="1">
        <v>110000525842</v>
      </c>
      <c r="E351" t="s">
        <v>161</v>
      </c>
      <c r="F351" t="s">
        <v>162</v>
      </c>
      <c r="G351" t="s">
        <v>1029</v>
      </c>
      <c r="H351" t="s">
        <v>146</v>
      </c>
      <c r="I351" t="s">
        <v>1401</v>
      </c>
      <c r="J351">
        <v>34.055900000000001</v>
      </c>
      <c r="K351">
        <v>-117.36134</v>
      </c>
      <c r="L351">
        <v>4952</v>
      </c>
      <c r="M351" s="175" t="str">
        <f>VLOOKUP(L351, '2022 SIC to NAICS'!A:D, 2)</f>
        <v>Manufacturing Industries, Nec</v>
      </c>
      <c r="N351" s="184">
        <f>VLOOKUP(L351, '2022 SIC to NAICS'!A:D, 3)</f>
        <v>339999</v>
      </c>
      <c r="O351" s="184" t="str">
        <f>VLOOKUP(L351, '2022 SIC to NAICS'!A:D, 4)</f>
        <v xml:space="preserve">All Other Miscellaneous Manufacturing </v>
      </c>
      <c r="P351" s="185" t="str">
        <f>VLOOKUP(N351, 'NAICS OES crosswalk'!A:C, 3, FALSE)</f>
        <v>TBD</v>
      </c>
      <c r="T351">
        <v>180702030804</v>
      </c>
      <c r="U351" t="s">
        <v>1031</v>
      </c>
      <c r="V351">
        <v>2.4102596125</v>
      </c>
      <c r="X351" t="b">
        <f t="shared" si="6"/>
        <v>0</v>
      </c>
      <c r="Y351" s="186" t="s">
        <v>1402</v>
      </c>
      <c r="Z351" t="s">
        <v>1403</v>
      </c>
    </row>
    <row r="352" spans="1:26" x14ac:dyDescent="0.25">
      <c r="A352">
        <v>2021</v>
      </c>
      <c r="B352" t="s">
        <v>1400</v>
      </c>
      <c r="C352" t="s">
        <v>1069</v>
      </c>
      <c r="D352" s="1">
        <v>110000854246</v>
      </c>
      <c r="E352" t="s">
        <v>451</v>
      </c>
      <c r="F352" t="s">
        <v>324</v>
      </c>
      <c r="G352" t="s">
        <v>1067</v>
      </c>
      <c r="H352" t="s">
        <v>452</v>
      </c>
      <c r="I352" t="s">
        <v>1401</v>
      </c>
      <c r="J352">
        <v>34.047217000000003</v>
      </c>
      <c r="K352">
        <v>-81.151325999999997</v>
      </c>
      <c r="L352">
        <v>2824</v>
      </c>
      <c r="M352" s="175" t="str">
        <f>VLOOKUP(L352, '2022 SIC to NAICS'!A:D, 2)</f>
        <v>Platemaking Services</v>
      </c>
      <c r="N352" s="184">
        <f>VLOOKUP(L352, '2022 SIC to NAICS'!A:D, 3)</f>
        <v>323120</v>
      </c>
      <c r="O352" s="184" t="str">
        <f>VLOOKUP(L352, '2022 SIC to NAICS'!A:D, 4)</f>
        <v>Support Activities for Printing</v>
      </c>
      <c r="P352" s="185" t="str">
        <f>VLOOKUP(N352, 'NAICS OES crosswalk'!A:C, 3, FALSE)</f>
        <v>TBD</v>
      </c>
      <c r="T352" s="186" t="s">
        <v>1278</v>
      </c>
      <c r="U352" t="s">
        <v>1070</v>
      </c>
      <c r="V352">
        <v>0.33141999999999999</v>
      </c>
      <c r="X352" t="b">
        <f t="shared" si="6"/>
        <v>0</v>
      </c>
      <c r="Y352" t="s">
        <v>1471</v>
      </c>
    </row>
    <row r="353" spans="1:26" x14ac:dyDescent="0.25">
      <c r="A353">
        <v>2021</v>
      </c>
      <c r="B353" t="s">
        <v>1400</v>
      </c>
      <c r="C353" t="s">
        <v>764</v>
      </c>
      <c r="D353" s="1">
        <v>110060340162</v>
      </c>
      <c r="E353" t="s">
        <v>302</v>
      </c>
      <c r="F353" t="s">
        <v>303</v>
      </c>
      <c r="G353" t="s">
        <v>638</v>
      </c>
      <c r="H353" t="s">
        <v>114</v>
      </c>
      <c r="I353" t="s">
        <v>1405</v>
      </c>
      <c r="J353">
        <v>29.741954</v>
      </c>
      <c r="K353">
        <v>-95.165228999999997</v>
      </c>
      <c r="L353">
        <v>2869</v>
      </c>
      <c r="M353" s="175" t="str">
        <f>VLOOKUP(L353, '2022 SIC to NAICS'!A:D, 2)</f>
        <v>Industrial Organic Chemicals, Nec</v>
      </c>
      <c r="N353" s="184">
        <f>VLOOKUP(L353, '2022 SIC to NAICS'!A:D, 3)</f>
        <v>325180</v>
      </c>
      <c r="O353" s="184" t="str">
        <f>VLOOKUP(L353, '2022 SIC to NAICS'!A:D, 4)</f>
        <v xml:space="preserve">Other Basic Inorganic Chemical Manufacturing </v>
      </c>
      <c r="P353" s="185" t="str">
        <f>VLOOKUP(N353, 'NAICS OES crosswalk'!A:C, 3, FALSE)</f>
        <v>Processing as a reactant</v>
      </c>
      <c r="T353">
        <v>120401040703</v>
      </c>
      <c r="U353" t="s">
        <v>765</v>
      </c>
      <c r="V353">
        <v>0.71839299999999995</v>
      </c>
      <c r="X353" t="b">
        <f t="shared" si="6"/>
        <v>0</v>
      </c>
      <c r="Y353" s="186" t="s">
        <v>1402</v>
      </c>
      <c r="Z353" t="s">
        <v>1403</v>
      </c>
    </row>
    <row r="354" spans="1:26" x14ac:dyDescent="0.25">
      <c r="A354">
        <v>2021</v>
      </c>
      <c r="B354" t="s">
        <v>1400</v>
      </c>
      <c r="C354" t="s">
        <v>825</v>
      </c>
      <c r="D354" s="1">
        <v>110000595981</v>
      </c>
      <c r="E354" t="s">
        <v>257</v>
      </c>
      <c r="F354" t="s">
        <v>258</v>
      </c>
      <c r="G354" t="s">
        <v>823</v>
      </c>
      <c r="H354" t="s">
        <v>170</v>
      </c>
      <c r="I354" t="s">
        <v>1405</v>
      </c>
      <c r="J354">
        <v>39.683477000000003</v>
      </c>
      <c r="K354">
        <v>-91.334682999999998</v>
      </c>
      <c r="L354">
        <v>3241</v>
      </c>
      <c r="M354" s="175" t="str">
        <f>VLOOKUP(L354, '2022 SIC to NAICS'!A:D, 2)</f>
        <v>Fabricated Rubber Products, Nec</v>
      </c>
      <c r="N354" s="184">
        <f>VLOOKUP(L354, '2022 SIC to NAICS'!A:D, 3)</f>
        <v>326299</v>
      </c>
      <c r="O354" s="184" t="str">
        <f>VLOOKUP(L354, '2022 SIC to NAICS'!A:D, 4)</f>
        <v xml:space="preserve">All Other Rubber Product Manufacturing </v>
      </c>
      <c r="P354" s="185" t="str">
        <f>VLOOKUP(N354, 'NAICS OES crosswalk'!A:C, 3, FALSE)</f>
        <v>TBD</v>
      </c>
      <c r="T354" s="186" t="s">
        <v>1214</v>
      </c>
      <c r="U354" t="s">
        <v>826</v>
      </c>
      <c r="V354">
        <v>0.92907556250000001</v>
      </c>
      <c r="X354" t="b">
        <f t="shared" si="6"/>
        <v>0</v>
      </c>
      <c r="Y354" s="186" t="s">
        <v>1427</v>
      </c>
      <c r="Z354" t="s">
        <v>1403</v>
      </c>
    </row>
    <row r="355" spans="1:26" x14ac:dyDescent="0.25">
      <c r="A355">
        <v>2021</v>
      </c>
      <c r="B355" t="s">
        <v>1400</v>
      </c>
      <c r="C355" t="s">
        <v>883</v>
      </c>
      <c r="D355" s="1">
        <v>110011373637</v>
      </c>
      <c r="E355" t="s">
        <v>453</v>
      </c>
      <c r="F355" t="s">
        <v>454</v>
      </c>
      <c r="G355" t="s">
        <v>839</v>
      </c>
      <c r="H355" t="s">
        <v>146</v>
      </c>
      <c r="I355" t="s">
        <v>1405</v>
      </c>
      <c r="J355">
        <v>38.333300000000001</v>
      </c>
      <c r="K355">
        <v>-120.7833</v>
      </c>
      <c r="L355">
        <v>4952</v>
      </c>
      <c r="M355" s="175" t="str">
        <f>VLOOKUP(L355, '2022 SIC to NAICS'!A:D, 2)</f>
        <v>Manufacturing Industries, Nec</v>
      </c>
      <c r="N355" s="184">
        <f>VLOOKUP(L355, '2022 SIC to NAICS'!A:D, 3)</f>
        <v>339999</v>
      </c>
      <c r="O355" s="184" t="str">
        <f>VLOOKUP(L355, '2022 SIC to NAICS'!A:D, 4)</f>
        <v xml:space="preserve">All Other Miscellaneous Manufacturing </v>
      </c>
      <c r="P355" s="185" t="str">
        <f>VLOOKUP(N355, 'NAICS OES crosswalk'!A:C, 3, FALSE)</f>
        <v>TBD</v>
      </c>
      <c r="T355">
        <v>180400120702</v>
      </c>
      <c r="U355" t="s">
        <v>884</v>
      </c>
      <c r="V355">
        <v>0.13427665999999999</v>
      </c>
      <c r="X355" t="b">
        <f t="shared" si="6"/>
        <v>0</v>
      </c>
      <c r="Y355" s="186" t="s">
        <v>1402</v>
      </c>
      <c r="Z355" t="s">
        <v>1403</v>
      </c>
    </row>
    <row r="356" spans="1:26" x14ac:dyDescent="0.25">
      <c r="A356">
        <v>2021</v>
      </c>
      <c r="B356" t="s">
        <v>1400</v>
      </c>
      <c r="C356" t="s">
        <v>732</v>
      </c>
      <c r="D356" s="1">
        <v>110000582003</v>
      </c>
      <c r="E356" t="s">
        <v>151</v>
      </c>
      <c r="F356" t="s">
        <v>152</v>
      </c>
      <c r="G356" t="s">
        <v>731</v>
      </c>
      <c r="H356" t="s">
        <v>153</v>
      </c>
      <c r="I356" t="s">
        <v>1401</v>
      </c>
      <c r="J356">
        <v>39.80142</v>
      </c>
      <c r="K356">
        <v>-75.354990000000001</v>
      </c>
      <c r="L356">
        <v>2869</v>
      </c>
      <c r="M356" s="175" t="str">
        <f>VLOOKUP(L356, '2022 SIC to NAICS'!A:D, 2)</f>
        <v>Industrial Organic Chemicals, Nec</v>
      </c>
      <c r="N356" s="184">
        <f>VLOOKUP(L356, '2022 SIC to NAICS'!A:D, 3)</f>
        <v>325180</v>
      </c>
      <c r="O356" s="184" t="str">
        <f>VLOOKUP(L356, '2022 SIC to NAICS'!A:D, 4)</f>
        <v xml:space="preserve">Other Basic Inorganic Chemical Manufacturing </v>
      </c>
      <c r="P356" s="185" t="str">
        <f>VLOOKUP(N356, 'NAICS OES crosswalk'!A:C, 3, FALSE)</f>
        <v>Processing as a reactant</v>
      </c>
      <c r="T356" s="186" t="s">
        <v>1187</v>
      </c>
      <c r="U356" t="s">
        <v>733</v>
      </c>
      <c r="V356">
        <v>1.0629999999999999</v>
      </c>
      <c r="X356" t="b">
        <f t="shared" si="6"/>
        <v>0</v>
      </c>
      <c r="Y356" s="186" t="s">
        <v>1402</v>
      </c>
      <c r="Z356" t="s">
        <v>1403</v>
      </c>
    </row>
    <row r="357" spans="1:26" x14ac:dyDescent="0.25">
      <c r="A357">
        <v>2021</v>
      </c>
      <c r="B357" t="s">
        <v>1400</v>
      </c>
      <c r="C357" t="s">
        <v>569</v>
      </c>
      <c r="D357" s="1">
        <v>110002672484</v>
      </c>
      <c r="E357" t="s">
        <v>189</v>
      </c>
      <c r="F357" t="s">
        <v>190</v>
      </c>
      <c r="G357" t="s">
        <v>566</v>
      </c>
      <c r="H357" t="s">
        <v>146</v>
      </c>
      <c r="I357" t="s">
        <v>1405</v>
      </c>
      <c r="J357">
        <v>32.803809999999999</v>
      </c>
      <c r="K357">
        <v>-115.53973999999999</v>
      </c>
      <c r="L357" s="186" t="s">
        <v>567</v>
      </c>
      <c r="M357" s="175" t="str">
        <f>VLOOKUP(L357, '2022 SIC to NAICS'!A:D, 2)</f>
        <v>Fish Hatcheries and Preserves</v>
      </c>
      <c r="N357" s="184">
        <f>VLOOKUP(L357, '2022 SIC to NAICS'!A:D, 3)</f>
        <v>112511</v>
      </c>
      <c r="O357" s="184" t="str">
        <f>VLOOKUP(L357, '2022 SIC to NAICS'!A:D, 4)</f>
        <v xml:space="preserve">Finfish Farming and Fish Hatcheries </v>
      </c>
      <c r="P357" s="185" t="str">
        <f>VLOOKUP(N357, 'NAICS OES crosswalk'!A:C, 3, FALSE)</f>
        <v>TBD</v>
      </c>
      <c r="T357">
        <v>181002040701</v>
      </c>
      <c r="U357" t="s">
        <v>570</v>
      </c>
      <c r="V357">
        <v>5.3188712499999999E-2</v>
      </c>
      <c r="X357" t="b">
        <f t="shared" si="6"/>
        <v>0</v>
      </c>
      <c r="Y357" s="186" t="s">
        <v>1402</v>
      </c>
    </row>
    <row r="358" spans="1:26" x14ac:dyDescent="0.25">
      <c r="A358">
        <v>2021</v>
      </c>
      <c r="B358" t="s">
        <v>1400</v>
      </c>
      <c r="C358" t="s">
        <v>1422</v>
      </c>
      <c r="D358" s="1">
        <v>110041022274</v>
      </c>
      <c r="E358" t="s">
        <v>1423</v>
      </c>
      <c r="F358" t="s">
        <v>1424</v>
      </c>
      <c r="G358" t="s">
        <v>694</v>
      </c>
      <c r="H358" t="s">
        <v>153</v>
      </c>
      <c r="I358" t="s">
        <v>1401</v>
      </c>
      <c r="J358">
        <v>39.766944000000002</v>
      </c>
      <c r="K358">
        <v>-75.421361000000005</v>
      </c>
      <c r="L358">
        <v>2821</v>
      </c>
      <c r="M358" s="175" t="str">
        <f>VLOOKUP(L358, '2022 SIC to NAICS'!A:D, 2)</f>
        <v>Platemaking Services</v>
      </c>
      <c r="N358" s="184">
        <f>VLOOKUP(L358, '2022 SIC to NAICS'!A:D, 3)</f>
        <v>323120</v>
      </c>
      <c r="O358" s="184" t="str">
        <f>VLOOKUP(L358, '2022 SIC to NAICS'!A:D, 4)</f>
        <v>Support Activities for Printing</v>
      </c>
      <c r="P358" s="185" t="str">
        <f>VLOOKUP(N358, 'NAICS OES crosswalk'!A:C, 3, FALSE)</f>
        <v>TBD</v>
      </c>
      <c r="T358" s="186" t="s">
        <v>1250</v>
      </c>
      <c r="U358" t="s">
        <v>696</v>
      </c>
      <c r="V358">
        <v>1.2E-5</v>
      </c>
      <c r="X358" t="b">
        <f t="shared" si="6"/>
        <v>1</v>
      </c>
      <c r="Y358" s="186" t="s">
        <v>1402</v>
      </c>
      <c r="Z358" t="s">
        <v>1403</v>
      </c>
    </row>
    <row r="359" spans="1:26" x14ac:dyDescent="0.25">
      <c r="A359">
        <v>2021</v>
      </c>
      <c r="B359" t="s">
        <v>1400</v>
      </c>
      <c r="C359" t="s">
        <v>988</v>
      </c>
      <c r="D359" s="1">
        <v>110000747835</v>
      </c>
      <c r="E359" t="s">
        <v>149</v>
      </c>
      <c r="F359" t="s">
        <v>150</v>
      </c>
      <c r="G359" t="s">
        <v>985</v>
      </c>
      <c r="H359" t="s">
        <v>138</v>
      </c>
      <c r="I359" t="s">
        <v>1401</v>
      </c>
      <c r="J359">
        <v>37.8125</v>
      </c>
      <c r="K359">
        <v>-87.05</v>
      </c>
      <c r="L359">
        <v>2821</v>
      </c>
      <c r="M359" s="175" t="str">
        <f>VLOOKUP(L359, '2022 SIC to NAICS'!A:D, 2)</f>
        <v>Platemaking Services</v>
      </c>
      <c r="N359" s="184">
        <f>VLOOKUP(L359, '2022 SIC to NAICS'!A:D, 3)</f>
        <v>323120</v>
      </c>
      <c r="O359" s="184" t="str">
        <f>VLOOKUP(L359, '2022 SIC to NAICS'!A:D, 4)</f>
        <v>Support Activities for Printing</v>
      </c>
      <c r="P359" s="185" t="str">
        <f>VLOOKUP(N359, 'NAICS OES crosswalk'!A:C, 3, FALSE)</f>
        <v>TBD</v>
      </c>
      <c r="T359" s="186" t="s">
        <v>1186</v>
      </c>
      <c r="U359" t="s">
        <v>989</v>
      </c>
      <c r="V359">
        <v>1.6570999999999999E-2</v>
      </c>
      <c r="X359" t="b">
        <f t="shared" si="6"/>
        <v>0</v>
      </c>
      <c r="Y359" s="186" t="s">
        <v>1404</v>
      </c>
      <c r="Z359" t="s">
        <v>1403</v>
      </c>
    </row>
    <row r="360" spans="1:26" x14ac:dyDescent="0.25">
      <c r="A360">
        <v>2021</v>
      </c>
      <c r="B360" t="s">
        <v>1400</v>
      </c>
      <c r="C360" t="s">
        <v>821</v>
      </c>
      <c r="D360" s="1">
        <v>110064624018</v>
      </c>
      <c r="E360" t="s">
        <v>445</v>
      </c>
      <c r="F360" t="s">
        <v>446</v>
      </c>
      <c r="G360" t="s">
        <v>446</v>
      </c>
      <c r="H360" t="s">
        <v>146</v>
      </c>
      <c r="I360" t="s">
        <v>1401</v>
      </c>
      <c r="J360">
        <v>33.990146000000003</v>
      </c>
      <c r="K360">
        <v>-118.36358</v>
      </c>
      <c r="L360">
        <v>2911</v>
      </c>
      <c r="M360" s="175" t="str">
        <f>VLOOKUP(L360, '2022 SIC to NAICS'!A:D, 2)</f>
        <v>Explosives</v>
      </c>
      <c r="N360" s="184">
        <f>VLOOKUP(L360, '2022 SIC to NAICS'!A:D, 3)</f>
        <v>325920</v>
      </c>
      <c r="O360" s="184" t="str">
        <f>VLOOKUP(L360, '2022 SIC to NAICS'!A:D, 4)</f>
        <v>Explosives Manufacturing</v>
      </c>
      <c r="P360" s="185" t="str">
        <f>VLOOKUP(N360, 'NAICS OES crosswalk'!A:C, 3, FALSE)</f>
        <v>TBD</v>
      </c>
      <c r="T360">
        <v>180701040300</v>
      </c>
      <c r="U360" t="s">
        <v>822</v>
      </c>
      <c r="V360">
        <v>1.2710030000000001E-2</v>
      </c>
      <c r="X360" t="b">
        <f t="shared" si="6"/>
        <v>0</v>
      </c>
      <c r="Y360" s="186" t="s">
        <v>1404</v>
      </c>
      <c r="Z360" t="s">
        <v>1403</v>
      </c>
    </row>
    <row r="361" spans="1:26" x14ac:dyDescent="0.25">
      <c r="A361">
        <v>2021</v>
      </c>
      <c r="B361" t="s">
        <v>1400</v>
      </c>
      <c r="C361" t="s">
        <v>846</v>
      </c>
      <c r="D361" s="1">
        <v>110013786698</v>
      </c>
      <c r="E361" t="s">
        <v>455</v>
      </c>
      <c r="F361" t="s">
        <v>456</v>
      </c>
      <c r="G361" t="s">
        <v>845</v>
      </c>
      <c r="H361" t="s">
        <v>186</v>
      </c>
      <c r="I361" t="s">
        <v>1401</v>
      </c>
      <c r="J361">
        <v>19.713750000000001</v>
      </c>
      <c r="K361">
        <v>-155.01927800000001</v>
      </c>
      <c r="L361">
        <v>4952</v>
      </c>
      <c r="M361" s="175" t="str">
        <f>VLOOKUP(L361, '2022 SIC to NAICS'!A:D, 2)</f>
        <v>Manufacturing Industries, Nec</v>
      </c>
      <c r="N361" s="184">
        <f>VLOOKUP(L361, '2022 SIC to NAICS'!A:D, 3)</f>
        <v>339999</v>
      </c>
      <c r="O361" s="184" t="str">
        <f>VLOOKUP(L361, '2022 SIC to NAICS'!A:D, 4)</f>
        <v xml:space="preserve">All Other Miscellaneous Manufacturing </v>
      </c>
      <c r="P361" s="185" t="str">
        <f>VLOOKUP(N361, 'NAICS OES crosswalk'!A:C, 3, FALSE)</f>
        <v>TBD</v>
      </c>
      <c r="T361">
        <v>200100000407</v>
      </c>
      <c r="U361" t="s">
        <v>847</v>
      </c>
      <c r="V361">
        <v>2.305765225</v>
      </c>
      <c r="X361" t="b">
        <f t="shared" si="6"/>
        <v>0</v>
      </c>
      <c r="Y361" s="186" t="s">
        <v>1402</v>
      </c>
      <c r="Z361" t="s">
        <v>1403</v>
      </c>
    </row>
    <row r="362" spans="1:26" x14ac:dyDescent="0.25">
      <c r="A362">
        <v>2021</v>
      </c>
      <c r="B362" t="s">
        <v>1400</v>
      </c>
      <c r="C362" t="s">
        <v>614</v>
      </c>
      <c r="D362" s="1">
        <v>110055992993</v>
      </c>
      <c r="E362" t="s">
        <v>416</v>
      </c>
      <c r="F362" t="s">
        <v>417</v>
      </c>
      <c r="G362" t="s">
        <v>613</v>
      </c>
      <c r="H362" t="s">
        <v>146</v>
      </c>
      <c r="I362" t="s">
        <v>1401</v>
      </c>
      <c r="J362">
        <v>33.926245999999999</v>
      </c>
      <c r="K362">
        <v>-116.992552</v>
      </c>
      <c r="L362">
        <v>4952</v>
      </c>
      <c r="M362" s="175" t="str">
        <f>VLOOKUP(L362, '2022 SIC to NAICS'!A:D, 2)</f>
        <v>Manufacturing Industries, Nec</v>
      </c>
      <c r="N362" s="184">
        <f>VLOOKUP(L362, '2022 SIC to NAICS'!A:D, 3)</f>
        <v>339999</v>
      </c>
      <c r="O362" s="184" t="str">
        <f>VLOOKUP(L362, '2022 SIC to NAICS'!A:D, 4)</f>
        <v xml:space="preserve">All Other Miscellaneous Manufacturing </v>
      </c>
      <c r="P362" s="185" t="str">
        <f>VLOOKUP(N362, 'NAICS OES crosswalk'!A:C, 3, FALSE)</f>
        <v>TBD</v>
      </c>
      <c r="T362">
        <v>180702030401</v>
      </c>
      <c r="U362" t="s">
        <v>615</v>
      </c>
      <c r="V362">
        <v>0.29588120925</v>
      </c>
      <c r="X362" t="b">
        <f t="shared" si="6"/>
        <v>0</v>
      </c>
      <c r="Y362" s="186" t="s">
        <v>1402</v>
      </c>
    </row>
    <row r="363" spans="1:26" x14ac:dyDescent="0.25">
      <c r="A363">
        <v>2021</v>
      </c>
      <c r="B363" t="s">
        <v>1400</v>
      </c>
      <c r="C363" t="s">
        <v>751</v>
      </c>
      <c r="D363" s="1">
        <v>110070948151</v>
      </c>
      <c r="E363" t="s">
        <v>457</v>
      </c>
      <c r="F363" t="s">
        <v>157</v>
      </c>
      <c r="G363" t="s">
        <v>575</v>
      </c>
      <c r="H363" t="s">
        <v>158</v>
      </c>
      <c r="I363" t="s">
        <v>1405</v>
      </c>
      <c r="J363">
        <v>36.090899999999998</v>
      </c>
      <c r="K363">
        <v>-115.1833</v>
      </c>
      <c r="L363">
        <v>7941</v>
      </c>
      <c r="M363" s="175" t="str">
        <f>VLOOKUP(L363, '2022 SIC to NAICS'!A:D, 2)</f>
        <v>Dance Studios, Schools, and Halls</v>
      </c>
      <c r="N363" s="184">
        <f>VLOOKUP(L363, '2022 SIC to NAICS'!A:D, 3)</f>
        <v>611610</v>
      </c>
      <c r="O363" s="184" t="str">
        <f>VLOOKUP(L363, '2022 SIC to NAICS'!A:D, 4)</f>
        <v xml:space="preserve">Fine Arts Schools </v>
      </c>
      <c r="P363" s="185" t="str">
        <f>VLOOKUP(N363, 'NAICS OES crosswalk'!A:C, 3, FALSE)</f>
        <v>All purpose liquid cleaner/polish</v>
      </c>
      <c r="T363">
        <v>150100150505</v>
      </c>
      <c r="U363" t="s">
        <v>557</v>
      </c>
      <c r="V363">
        <v>4.0706634125000002E-2</v>
      </c>
      <c r="X363" t="b">
        <f t="shared" si="6"/>
        <v>0</v>
      </c>
      <c r="Y363" s="186" t="s">
        <v>1402</v>
      </c>
      <c r="Z363" t="s">
        <v>1403</v>
      </c>
    </row>
    <row r="364" spans="1:26" x14ac:dyDescent="0.25">
      <c r="A364">
        <v>2021</v>
      </c>
      <c r="B364" t="s">
        <v>1400</v>
      </c>
      <c r="C364" t="s">
        <v>782</v>
      </c>
      <c r="D364" s="1">
        <v>110000321651</v>
      </c>
      <c r="E364" t="s">
        <v>282</v>
      </c>
      <c r="F364" t="s">
        <v>283</v>
      </c>
      <c r="G364" t="s">
        <v>781</v>
      </c>
      <c r="H364" t="s">
        <v>153</v>
      </c>
      <c r="I364" t="s">
        <v>1401</v>
      </c>
      <c r="J364">
        <v>40.331944</v>
      </c>
      <c r="K364">
        <v>-74.619721999999996</v>
      </c>
      <c r="L364">
        <v>2869</v>
      </c>
      <c r="M364" s="175" t="str">
        <f>VLOOKUP(L364, '2022 SIC to NAICS'!A:D, 2)</f>
        <v>Industrial Organic Chemicals, Nec</v>
      </c>
      <c r="N364" s="184">
        <f>VLOOKUP(L364, '2022 SIC to NAICS'!A:D, 3)</f>
        <v>325180</v>
      </c>
      <c r="O364" s="184" t="str">
        <f>VLOOKUP(L364, '2022 SIC to NAICS'!A:D, 4)</f>
        <v xml:space="preserve">Other Basic Inorganic Chemical Manufacturing </v>
      </c>
      <c r="P364" s="185" t="str">
        <f>VLOOKUP(N364, 'NAICS OES crosswalk'!A:C, 3, FALSE)</f>
        <v>Processing as a reactant</v>
      </c>
      <c r="T364" s="186" t="s">
        <v>1225</v>
      </c>
      <c r="U364" t="s">
        <v>783</v>
      </c>
      <c r="V364">
        <v>1.9700499999999999E-2</v>
      </c>
      <c r="X364" t="b">
        <f t="shared" si="6"/>
        <v>0</v>
      </c>
      <c r="Y364" s="186" t="s">
        <v>1404</v>
      </c>
      <c r="Z364" t="s">
        <v>1403</v>
      </c>
    </row>
    <row r="365" spans="1:26" x14ac:dyDescent="0.25">
      <c r="A365">
        <v>2021</v>
      </c>
      <c r="B365" t="s">
        <v>1400</v>
      </c>
      <c r="C365" t="s">
        <v>1078</v>
      </c>
      <c r="D365" s="1">
        <v>110000572782</v>
      </c>
      <c r="E365" t="s">
        <v>163</v>
      </c>
      <c r="F365" t="s">
        <v>164</v>
      </c>
      <c r="G365" t="s">
        <v>1077</v>
      </c>
      <c r="H365" t="s">
        <v>135</v>
      </c>
      <c r="I365" t="s">
        <v>1401</v>
      </c>
      <c r="J365">
        <v>39.599829999999997</v>
      </c>
      <c r="K365">
        <v>-79.97148</v>
      </c>
      <c r="L365">
        <v>2869</v>
      </c>
      <c r="M365" s="175" t="str">
        <f>VLOOKUP(L365, '2022 SIC to NAICS'!A:D, 2)</f>
        <v>Industrial Organic Chemicals, Nec</v>
      </c>
      <c r="N365" s="184">
        <f>VLOOKUP(L365, '2022 SIC to NAICS'!A:D, 3)</f>
        <v>325180</v>
      </c>
      <c r="O365" s="184" t="str">
        <f>VLOOKUP(L365, '2022 SIC to NAICS'!A:D, 4)</f>
        <v xml:space="preserve">Other Basic Inorganic Chemical Manufacturing </v>
      </c>
      <c r="P365" s="185" t="str">
        <f>VLOOKUP(N365, 'NAICS OES crosswalk'!A:C, 3, FALSE)</f>
        <v>Processing as a reactant</v>
      </c>
      <c r="T365" s="186" t="s">
        <v>1190</v>
      </c>
      <c r="U365" t="s">
        <v>1079</v>
      </c>
      <c r="V365">
        <v>6.6170499999999993E-2</v>
      </c>
      <c r="X365" t="b">
        <f t="shared" si="6"/>
        <v>0</v>
      </c>
      <c r="Y365" s="186" t="s">
        <v>1402</v>
      </c>
    </row>
    <row r="366" spans="1:26" x14ac:dyDescent="0.25">
      <c r="A366">
        <v>2021</v>
      </c>
      <c r="B366" t="s">
        <v>1400</v>
      </c>
      <c r="C366" t="s">
        <v>621</v>
      </c>
      <c r="D366" s="1">
        <v>110001855635</v>
      </c>
      <c r="E366" t="s">
        <v>397</v>
      </c>
      <c r="F366" t="s">
        <v>398</v>
      </c>
      <c r="G366" t="s">
        <v>620</v>
      </c>
      <c r="H366" t="s">
        <v>138</v>
      </c>
      <c r="I366" t="s">
        <v>1401</v>
      </c>
      <c r="J366">
        <v>36.866140000000001</v>
      </c>
      <c r="K366">
        <v>-88.342470000000006</v>
      </c>
      <c r="L366">
        <v>4952</v>
      </c>
      <c r="M366" s="175" t="str">
        <f>VLOOKUP(L366, '2022 SIC to NAICS'!A:D, 2)</f>
        <v>Manufacturing Industries, Nec</v>
      </c>
      <c r="N366" s="184">
        <f>VLOOKUP(L366, '2022 SIC to NAICS'!A:D, 3)</f>
        <v>339999</v>
      </c>
      <c r="O366" s="184" t="str">
        <f>VLOOKUP(L366, '2022 SIC to NAICS'!A:D, 4)</f>
        <v xml:space="preserve">All Other Miscellaneous Manufacturing </v>
      </c>
      <c r="P366" s="185" t="str">
        <f>VLOOKUP(N366, 'NAICS OES crosswalk'!A:C, 3, FALSE)</f>
        <v>TBD</v>
      </c>
      <c r="T366" s="186" t="s">
        <v>1262</v>
      </c>
      <c r="U366" t="s">
        <v>622</v>
      </c>
      <c r="V366">
        <v>4.0568481624999997</v>
      </c>
      <c r="X366" t="b">
        <f t="shared" si="6"/>
        <v>0</v>
      </c>
      <c r="Y366" s="186" t="s">
        <v>1402</v>
      </c>
      <c r="Z366" t="s">
        <v>1403</v>
      </c>
    </row>
    <row r="367" spans="1:26" x14ac:dyDescent="0.25">
      <c r="A367">
        <v>2021</v>
      </c>
      <c r="B367" t="s">
        <v>1400</v>
      </c>
      <c r="C367" t="s">
        <v>862</v>
      </c>
      <c r="D367" s="1">
        <v>110039994897</v>
      </c>
      <c r="E367" t="s">
        <v>259</v>
      </c>
      <c r="F367" t="s">
        <v>260</v>
      </c>
      <c r="G367" t="s">
        <v>861</v>
      </c>
      <c r="H367" t="s">
        <v>138</v>
      </c>
      <c r="I367" t="s">
        <v>1401</v>
      </c>
      <c r="J367">
        <v>36.803610999999997</v>
      </c>
      <c r="K367">
        <v>-87.516389000000004</v>
      </c>
      <c r="L367">
        <v>4952</v>
      </c>
      <c r="M367" s="175" t="str">
        <f>VLOOKUP(L367, '2022 SIC to NAICS'!A:D, 2)</f>
        <v>Manufacturing Industries, Nec</v>
      </c>
      <c r="N367" s="184">
        <f>VLOOKUP(L367, '2022 SIC to NAICS'!A:D, 3)</f>
        <v>339999</v>
      </c>
      <c r="O367" s="184" t="str">
        <f>VLOOKUP(L367, '2022 SIC to NAICS'!A:D, 4)</f>
        <v xml:space="preserve">All Other Miscellaneous Manufacturing </v>
      </c>
      <c r="P367" s="185" t="str">
        <f>VLOOKUP(N367, 'NAICS OES crosswalk'!A:C, 3, FALSE)</f>
        <v>TBD</v>
      </c>
      <c r="T367" s="186" t="s">
        <v>1215</v>
      </c>
      <c r="U367" t="s">
        <v>863</v>
      </c>
      <c r="V367">
        <v>13.0519574375</v>
      </c>
      <c r="X367" t="b">
        <f t="shared" si="6"/>
        <v>0</v>
      </c>
      <c r="Y367" s="186" t="s">
        <v>1402</v>
      </c>
      <c r="Z367" t="s">
        <v>1403</v>
      </c>
    </row>
    <row r="368" spans="1:26" x14ac:dyDescent="0.25">
      <c r="A368">
        <v>2021</v>
      </c>
      <c r="B368" t="s">
        <v>1400</v>
      </c>
      <c r="C368" t="s">
        <v>1094</v>
      </c>
      <c r="D368" s="1">
        <v>110000373621</v>
      </c>
      <c r="E368" t="s">
        <v>458</v>
      </c>
      <c r="F368" t="s">
        <v>459</v>
      </c>
      <c r="G368" t="s">
        <v>1092</v>
      </c>
      <c r="H368" t="s">
        <v>309</v>
      </c>
      <c r="I368" t="s">
        <v>1405</v>
      </c>
      <c r="J368">
        <v>35.607599999999998</v>
      </c>
      <c r="K368">
        <v>-89.237700000000004</v>
      </c>
      <c r="L368">
        <v>3087</v>
      </c>
      <c r="M368" s="175" t="str">
        <f>VLOOKUP(L368, '2022 SIC to NAICS'!A:D, 2)</f>
        <v>Custom Compound Purchased Resins</v>
      </c>
      <c r="N368" s="184">
        <f>VLOOKUP(L368, '2022 SIC to NAICS'!A:D, 3)</f>
        <v>325991</v>
      </c>
      <c r="O368" s="184" t="str">
        <f>VLOOKUP(L368, '2022 SIC to NAICS'!A:D, 4)</f>
        <v xml:space="preserve">Custom Compounding of Purchased Resins </v>
      </c>
      <c r="P368" s="185" t="str">
        <f>VLOOKUP(N368, 'NAICS OES crosswalk'!A:C, 3, FALSE)</f>
        <v>TBD</v>
      </c>
      <c r="T368" s="186" t="s">
        <v>1279</v>
      </c>
      <c r="U368" t="s">
        <v>1095</v>
      </c>
      <c r="V368">
        <v>0.78056162500000004</v>
      </c>
      <c r="X368" t="b">
        <f t="shared" si="6"/>
        <v>0</v>
      </c>
      <c r="Y368" s="186" t="s">
        <v>1402</v>
      </c>
      <c r="Z368" t="s">
        <v>1403</v>
      </c>
    </row>
    <row r="369" spans="1:26" x14ac:dyDescent="0.25">
      <c r="A369">
        <v>2021</v>
      </c>
      <c r="B369" t="s">
        <v>1400</v>
      </c>
      <c r="C369" t="s">
        <v>818</v>
      </c>
      <c r="D369" s="1">
        <v>110001123276</v>
      </c>
      <c r="E369" t="s">
        <v>236</v>
      </c>
      <c r="F369" t="s">
        <v>237</v>
      </c>
      <c r="G369" t="s">
        <v>817</v>
      </c>
      <c r="H369" t="s">
        <v>138</v>
      </c>
      <c r="I369" t="s">
        <v>1401</v>
      </c>
      <c r="J369">
        <v>36.983809999999998</v>
      </c>
      <c r="K369">
        <v>-85.957089999999994</v>
      </c>
      <c r="L369">
        <v>4952</v>
      </c>
      <c r="M369" s="175" t="str">
        <f>VLOOKUP(L369, '2022 SIC to NAICS'!A:D, 2)</f>
        <v>Manufacturing Industries, Nec</v>
      </c>
      <c r="N369" s="184">
        <f>VLOOKUP(L369, '2022 SIC to NAICS'!A:D, 3)</f>
        <v>339999</v>
      </c>
      <c r="O369" s="184" t="str">
        <f>VLOOKUP(L369, '2022 SIC to NAICS'!A:D, 4)</f>
        <v xml:space="preserve">All Other Miscellaneous Manufacturing </v>
      </c>
      <c r="P369" s="185" t="str">
        <f>VLOOKUP(N369, 'NAICS OES crosswalk'!A:C, 3, FALSE)</f>
        <v>TBD</v>
      </c>
      <c r="T369" s="186" t="s">
        <v>1206</v>
      </c>
      <c r="U369" t="s">
        <v>819</v>
      </c>
      <c r="V369">
        <v>3.6251215999999999</v>
      </c>
      <c r="X369" t="b">
        <f t="shared" si="6"/>
        <v>0</v>
      </c>
      <c r="Y369" s="186" t="s">
        <v>1402</v>
      </c>
      <c r="Z369" t="s">
        <v>1403</v>
      </c>
    </row>
    <row r="370" spans="1:26" x14ac:dyDescent="0.25">
      <c r="A370">
        <v>2021</v>
      </c>
      <c r="B370" t="s">
        <v>1400</v>
      </c>
      <c r="C370" t="s">
        <v>951</v>
      </c>
      <c r="D370" s="1">
        <v>110064612557</v>
      </c>
      <c r="E370" t="s">
        <v>399</v>
      </c>
      <c r="F370" t="s">
        <v>400</v>
      </c>
      <c r="G370" t="s">
        <v>950</v>
      </c>
      <c r="H370" t="s">
        <v>138</v>
      </c>
      <c r="I370" t="s">
        <v>1401</v>
      </c>
      <c r="J370">
        <v>37.671391</v>
      </c>
      <c r="K370">
        <v>-87.828888000000006</v>
      </c>
      <c r="L370">
        <v>4952</v>
      </c>
      <c r="M370" s="175" t="str">
        <f>VLOOKUP(L370, '2022 SIC to NAICS'!A:D, 2)</f>
        <v>Manufacturing Industries, Nec</v>
      </c>
      <c r="N370" s="184">
        <f>VLOOKUP(L370, '2022 SIC to NAICS'!A:D, 3)</f>
        <v>339999</v>
      </c>
      <c r="O370" s="184" t="str">
        <f>VLOOKUP(L370, '2022 SIC to NAICS'!A:D, 4)</f>
        <v xml:space="preserve">All Other Miscellaneous Manufacturing </v>
      </c>
      <c r="P370" s="185" t="str">
        <f>VLOOKUP(N370, 'NAICS OES crosswalk'!A:C, 3, FALSE)</f>
        <v>TBD</v>
      </c>
      <c r="T370" s="186" t="s">
        <v>1263</v>
      </c>
      <c r="U370" t="s">
        <v>952</v>
      </c>
      <c r="V370">
        <v>5.9543727500000001</v>
      </c>
      <c r="X370" t="b">
        <f t="shared" ref="X370:X433" si="7">V370 &lt;= _xlfn.PERCENTILE.INC($V$305:$V$463, 0.1)</f>
        <v>0</v>
      </c>
      <c r="Y370" s="186" t="s">
        <v>1402</v>
      </c>
      <c r="Z370" t="s">
        <v>1403</v>
      </c>
    </row>
    <row r="371" spans="1:26" x14ac:dyDescent="0.25">
      <c r="A371">
        <v>2021</v>
      </c>
      <c r="B371" t="s">
        <v>1400</v>
      </c>
      <c r="C371" t="s">
        <v>1117</v>
      </c>
      <c r="D371" s="1">
        <v>110004306938</v>
      </c>
      <c r="E371" t="s">
        <v>156</v>
      </c>
      <c r="F371" t="s">
        <v>157</v>
      </c>
      <c r="G371" t="s">
        <v>575</v>
      </c>
      <c r="H371" t="s">
        <v>158</v>
      </c>
      <c r="I371" t="s">
        <v>1405</v>
      </c>
      <c r="J371">
        <v>36.122100000000003</v>
      </c>
      <c r="K371">
        <v>-115.17139</v>
      </c>
      <c r="L371">
        <v>7011</v>
      </c>
      <c r="M371" s="175" t="str">
        <f>VLOOKUP(L371, '2022 SIC to NAICS'!A:D, 2)</f>
        <v>Communication Services, Nec</v>
      </c>
      <c r="N371" s="184">
        <f>VLOOKUP(L371, '2022 SIC to NAICS'!A:D, 3)</f>
        <v>517810</v>
      </c>
      <c r="O371" s="184" t="str">
        <f>VLOOKUP(L371, '2022 SIC to NAICS'!A:D, 4)</f>
        <v xml:space="preserve">All Other Telecommunications </v>
      </c>
      <c r="P371" s="185" t="str">
        <f>VLOOKUP(N371, 'NAICS OES crosswalk'!A:C, 3, FALSE)</f>
        <v>TBD</v>
      </c>
      <c r="T371">
        <v>150100150604</v>
      </c>
      <c r="U371" t="s">
        <v>578</v>
      </c>
      <c r="V371">
        <v>7.2771829374999996E-3</v>
      </c>
      <c r="X371" t="b">
        <f t="shared" si="7"/>
        <v>0</v>
      </c>
      <c r="Y371" s="186" t="s">
        <v>1428</v>
      </c>
      <c r="Z371" t="s">
        <v>1403</v>
      </c>
    </row>
    <row r="372" spans="1:26" x14ac:dyDescent="0.25">
      <c r="A372">
        <v>2021</v>
      </c>
      <c r="B372" t="s">
        <v>1400</v>
      </c>
      <c r="C372" t="s">
        <v>1114</v>
      </c>
      <c r="D372" s="1">
        <v>110000571373</v>
      </c>
      <c r="E372" t="s">
        <v>136</v>
      </c>
      <c r="F372" t="s">
        <v>137</v>
      </c>
      <c r="G372" t="s">
        <v>1020</v>
      </c>
      <c r="H372" t="s">
        <v>138</v>
      </c>
      <c r="I372" t="s">
        <v>1401</v>
      </c>
      <c r="J372">
        <v>37.642310000000002</v>
      </c>
      <c r="K372">
        <v>-85.903570000000002</v>
      </c>
      <c r="L372">
        <v>4952</v>
      </c>
      <c r="M372" s="175" t="str">
        <f>VLOOKUP(L372, '2022 SIC to NAICS'!A:D, 2)</f>
        <v>Manufacturing Industries, Nec</v>
      </c>
      <c r="N372" s="184">
        <f>VLOOKUP(L372, '2022 SIC to NAICS'!A:D, 3)</f>
        <v>339999</v>
      </c>
      <c r="O372" s="184" t="str">
        <f>VLOOKUP(L372, '2022 SIC to NAICS'!A:D, 4)</f>
        <v xml:space="preserve">All Other Miscellaneous Manufacturing </v>
      </c>
      <c r="P372" s="185" t="str">
        <f>VLOOKUP(N372, 'NAICS OES crosswalk'!A:C, 3, FALSE)</f>
        <v>TBD</v>
      </c>
      <c r="T372" s="186" t="s">
        <v>1182</v>
      </c>
      <c r="U372" t="s">
        <v>1115</v>
      </c>
      <c r="V372">
        <v>22.7951625</v>
      </c>
      <c r="X372" t="b">
        <f t="shared" si="7"/>
        <v>0</v>
      </c>
      <c r="Y372" s="186" t="s">
        <v>1402</v>
      </c>
      <c r="Z372" t="s">
        <v>1403</v>
      </c>
    </row>
    <row r="373" spans="1:26" x14ac:dyDescent="0.25">
      <c r="A373">
        <v>2021</v>
      </c>
      <c r="B373" t="s">
        <v>1400</v>
      </c>
      <c r="C373" t="s">
        <v>912</v>
      </c>
      <c r="D373" s="1">
        <v>110059844156</v>
      </c>
      <c r="E373" t="s">
        <v>415</v>
      </c>
      <c r="F373" t="s">
        <v>157</v>
      </c>
      <c r="G373" t="s">
        <v>554</v>
      </c>
      <c r="H373" t="s">
        <v>158</v>
      </c>
      <c r="I373" t="s">
        <v>1405</v>
      </c>
      <c r="J373">
        <v>36.131489999999999</v>
      </c>
      <c r="K373">
        <v>-115.15483</v>
      </c>
      <c r="L373">
        <v>1799</v>
      </c>
      <c r="M373" s="175" t="str">
        <f>VLOOKUP(L373, '2022 SIC to NAICS'!A:D, 2)</f>
        <v>Special Trade Contractors, Nec</v>
      </c>
      <c r="N373" s="184">
        <f>VLOOKUP(L373, '2022 SIC to NAICS'!A:D, 3)</f>
        <v>238990</v>
      </c>
      <c r="O373" s="184" t="str">
        <f>VLOOKUP(L373, '2022 SIC to NAICS'!A:D, 4)</f>
        <v>All Other Specialty Trade Contractors</v>
      </c>
      <c r="P373" s="185" t="str">
        <f>VLOOKUP(N373, 'NAICS OES crosswalk'!A:C, 3, FALSE)</f>
        <v>TBD</v>
      </c>
      <c r="T373">
        <v>150100150604</v>
      </c>
      <c r="U373" t="s">
        <v>578</v>
      </c>
      <c r="V373">
        <v>1.9040868312500001E-5</v>
      </c>
      <c r="X373" t="b">
        <f t="shared" si="7"/>
        <v>1</v>
      </c>
      <c r="Y373" t="s">
        <v>1470</v>
      </c>
      <c r="Z373" t="s">
        <v>1403</v>
      </c>
    </row>
    <row r="374" spans="1:26" x14ac:dyDescent="0.25">
      <c r="A374">
        <v>2021</v>
      </c>
      <c r="B374" t="s">
        <v>1400</v>
      </c>
      <c r="C374" t="s">
        <v>977</v>
      </c>
      <c r="D374" s="1">
        <v>110064644782</v>
      </c>
      <c r="E374" t="s">
        <v>471</v>
      </c>
      <c r="F374" t="s">
        <v>472</v>
      </c>
      <c r="G374" t="s">
        <v>975</v>
      </c>
      <c r="H374" t="s">
        <v>106</v>
      </c>
      <c r="I374" t="s">
        <v>1401</v>
      </c>
      <c r="J374">
        <v>30.584540000000001</v>
      </c>
      <c r="K374">
        <v>-91.247479999999996</v>
      </c>
      <c r="L374">
        <v>4953</v>
      </c>
      <c r="M374" s="175" t="str">
        <f>VLOOKUP(L374, '2022 SIC to NAICS'!A:D, 2)</f>
        <v>Manufacturing Industries, Nec</v>
      </c>
      <c r="N374" s="184">
        <f>VLOOKUP(L374, '2022 SIC to NAICS'!A:D, 3)</f>
        <v>339999</v>
      </c>
      <c r="O374" s="184" t="str">
        <f>VLOOKUP(L374, '2022 SIC to NAICS'!A:D, 4)</f>
        <v xml:space="preserve">All Other Miscellaneous Manufacturing </v>
      </c>
      <c r="P374" s="185" t="str">
        <f>VLOOKUP(N374, 'NAICS OES crosswalk'!A:C, 3, FALSE)</f>
        <v>TBD</v>
      </c>
      <c r="T374" s="186" t="s">
        <v>1282</v>
      </c>
      <c r="U374" t="s">
        <v>978</v>
      </c>
      <c r="V374">
        <v>5.0143680000000002E-4</v>
      </c>
      <c r="X374" t="b">
        <f t="shared" si="7"/>
        <v>1</v>
      </c>
      <c r="Y374" s="186" t="s">
        <v>1472</v>
      </c>
      <c r="Z374" t="s">
        <v>1403</v>
      </c>
    </row>
    <row r="375" spans="1:26" x14ac:dyDescent="0.25">
      <c r="A375">
        <v>2021</v>
      </c>
      <c r="B375" t="s">
        <v>1400</v>
      </c>
      <c r="C375" t="s">
        <v>762</v>
      </c>
      <c r="D375" s="1">
        <v>110064268260</v>
      </c>
      <c r="E375" t="s">
        <v>460</v>
      </c>
      <c r="F375" t="s">
        <v>461</v>
      </c>
      <c r="G375" t="s">
        <v>761</v>
      </c>
      <c r="H375" t="s">
        <v>138</v>
      </c>
      <c r="I375" t="s">
        <v>1405</v>
      </c>
      <c r="J375">
        <v>38.369734999999999</v>
      </c>
      <c r="K375">
        <v>-85.180234999999996</v>
      </c>
      <c r="L375">
        <v>4952</v>
      </c>
      <c r="M375" s="175" t="str">
        <f>VLOOKUP(L375, '2022 SIC to NAICS'!A:D, 2)</f>
        <v>Manufacturing Industries, Nec</v>
      </c>
      <c r="N375" s="184">
        <f>VLOOKUP(L375, '2022 SIC to NAICS'!A:D, 3)</f>
        <v>339999</v>
      </c>
      <c r="O375" s="184" t="str">
        <f>VLOOKUP(L375, '2022 SIC to NAICS'!A:D, 4)</f>
        <v xml:space="preserve">All Other Miscellaneous Manufacturing </v>
      </c>
      <c r="P375" s="185" t="str">
        <f>VLOOKUP(N375, 'NAICS OES crosswalk'!A:C, 3, FALSE)</f>
        <v>TBD</v>
      </c>
      <c r="T375" s="186" t="s">
        <v>1280</v>
      </c>
      <c r="U375" t="s">
        <v>763</v>
      </c>
      <c r="V375">
        <v>2.3520463125000002</v>
      </c>
      <c r="X375" t="b">
        <f t="shared" si="7"/>
        <v>0</v>
      </c>
      <c r="Y375" s="186" t="s">
        <v>1402</v>
      </c>
      <c r="Z375" t="s">
        <v>1403</v>
      </c>
    </row>
    <row r="376" spans="1:26" x14ac:dyDescent="0.25">
      <c r="A376">
        <v>2021</v>
      </c>
      <c r="B376" t="s">
        <v>1400</v>
      </c>
      <c r="C376" t="s">
        <v>772</v>
      </c>
      <c r="D376" s="1">
        <v>110000433013</v>
      </c>
      <c r="E376" t="s">
        <v>223</v>
      </c>
      <c r="F376" t="s">
        <v>224</v>
      </c>
      <c r="G376" t="s">
        <v>771</v>
      </c>
      <c r="H376" t="s">
        <v>141</v>
      </c>
      <c r="I376" t="s">
        <v>1401</v>
      </c>
      <c r="J376">
        <v>41.412897000000001</v>
      </c>
      <c r="K376">
        <v>-88.329773000000003</v>
      </c>
      <c r="L376">
        <v>2821</v>
      </c>
      <c r="M376" s="175" t="str">
        <f>VLOOKUP(L376, '2022 SIC to NAICS'!A:D, 2)</f>
        <v>Platemaking Services</v>
      </c>
      <c r="N376" s="184">
        <f>VLOOKUP(L376, '2022 SIC to NAICS'!A:D, 3)</f>
        <v>323120</v>
      </c>
      <c r="O376" s="184" t="str">
        <f>VLOOKUP(L376, '2022 SIC to NAICS'!A:D, 4)</f>
        <v>Support Activities for Printing</v>
      </c>
      <c r="P376" s="185" t="str">
        <f>VLOOKUP(N376, 'NAICS OES crosswalk'!A:C, 3, FALSE)</f>
        <v>TBD</v>
      </c>
      <c r="T376" s="186" t="s">
        <v>1202</v>
      </c>
      <c r="U376" t="s">
        <v>773</v>
      </c>
      <c r="V376">
        <v>0.83082</v>
      </c>
      <c r="X376" t="b">
        <f t="shared" si="7"/>
        <v>0</v>
      </c>
      <c r="Y376" s="186" t="s">
        <v>1430</v>
      </c>
      <c r="Z376" t="s">
        <v>1403</v>
      </c>
    </row>
    <row r="377" spans="1:26" x14ac:dyDescent="0.25">
      <c r="A377">
        <v>2021</v>
      </c>
      <c r="B377" t="s">
        <v>1400</v>
      </c>
      <c r="C377" t="s">
        <v>687</v>
      </c>
      <c r="D377" s="1">
        <v>110000613685</v>
      </c>
      <c r="E377" t="s">
        <v>370</v>
      </c>
      <c r="F377" t="s">
        <v>175</v>
      </c>
      <c r="G377" t="s">
        <v>630</v>
      </c>
      <c r="H377" t="s">
        <v>106</v>
      </c>
      <c r="I377" t="s">
        <v>1405</v>
      </c>
      <c r="J377">
        <v>30.321895000000001</v>
      </c>
      <c r="K377">
        <v>-93.300735000000003</v>
      </c>
      <c r="L377">
        <v>4953</v>
      </c>
      <c r="M377" s="175" t="str">
        <f>VLOOKUP(L377, '2022 SIC to NAICS'!A:D, 2)</f>
        <v>Manufacturing Industries, Nec</v>
      </c>
      <c r="N377" s="184">
        <f>VLOOKUP(L377, '2022 SIC to NAICS'!A:D, 3)</f>
        <v>339999</v>
      </c>
      <c r="O377" s="184" t="str">
        <f>VLOOKUP(L377, '2022 SIC to NAICS'!A:D, 4)</f>
        <v xml:space="preserve">All Other Miscellaneous Manufacturing </v>
      </c>
      <c r="P377" s="185" t="str">
        <f>VLOOKUP(N377, 'NAICS OES crosswalk'!A:C, 3, FALSE)</f>
        <v>TBD</v>
      </c>
      <c r="T377" s="186" t="s">
        <v>1254</v>
      </c>
      <c r="U377" t="s">
        <v>688</v>
      </c>
      <c r="V377">
        <v>0.30393550000000003</v>
      </c>
      <c r="X377" t="b">
        <f t="shared" si="7"/>
        <v>0</v>
      </c>
      <c r="Y377" s="186" t="s">
        <v>1404</v>
      </c>
      <c r="Z377" t="s">
        <v>1403</v>
      </c>
    </row>
    <row r="378" spans="1:26" x14ac:dyDescent="0.25">
      <c r="A378">
        <v>2021</v>
      </c>
      <c r="B378" t="s">
        <v>1400</v>
      </c>
      <c r="C378" t="s">
        <v>969</v>
      </c>
      <c r="D378" s="1">
        <v>110039639736</v>
      </c>
      <c r="E378" t="s">
        <v>383</v>
      </c>
      <c r="F378" t="s">
        <v>384</v>
      </c>
      <c r="G378" t="s">
        <v>968</v>
      </c>
      <c r="H378" t="s">
        <v>138</v>
      </c>
      <c r="I378" t="s">
        <v>1401</v>
      </c>
      <c r="J378">
        <v>39.058610999999999</v>
      </c>
      <c r="K378">
        <v>-84.618055999999996</v>
      </c>
      <c r="L378">
        <v>4952</v>
      </c>
      <c r="M378" s="175" t="str">
        <f>VLOOKUP(L378, '2022 SIC to NAICS'!A:D, 2)</f>
        <v>Manufacturing Industries, Nec</v>
      </c>
      <c r="N378" s="184">
        <f>VLOOKUP(L378, '2022 SIC to NAICS'!A:D, 3)</f>
        <v>339999</v>
      </c>
      <c r="O378" s="184" t="str">
        <f>VLOOKUP(L378, '2022 SIC to NAICS'!A:D, 4)</f>
        <v xml:space="preserve">All Other Miscellaneous Manufacturing </v>
      </c>
      <c r="P378" s="185" t="str">
        <f>VLOOKUP(N378, 'NAICS OES crosswalk'!A:C, 3, FALSE)</f>
        <v>TBD</v>
      </c>
      <c r="T378" s="186" t="s">
        <v>1258</v>
      </c>
      <c r="U378" t="s">
        <v>970</v>
      </c>
      <c r="V378">
        <v>22.366889749999999</v>
      </c>
      <c r="X378" t="b">
        <f t="shared" si="7"/>
        <v>0</v>
      </c>
      <c r="Y378" s="186" t="s">
        <v>1402</v>
      </c>
      <c r="Z378" t="s">
        <v>1403</v>
      </c>
    </row>
    <row r="379" spans="1:26" x14ac:dyDescent="0.25">
      <c r="A379">
        <v>2021</v>
      </c>
      <c r="B379" t="s">
        <v>1400</v>
      </c>
      <c r="C379" t="s">
        <v>872</v>
      </c>
      <c r="D379" s="1">
        <v>110018199377</v>
      </c>
      <c r="E379" t="s">
        <v>212</v>
      </c>
      <c r="F379" t="s">
        <v>213</v>
      </c>
      <c r="G379" t="s">
        <v>870</v>
      </c>
      <c r="H379" t="s">
        <v>141</v>
      </c>
      <c r="I379" t="s">
        <v>1405</v>
      </c>
      <c r="J379">
        <v>41.692782000000001</v>
      </c>
      <c r="K379">
        <v>-87.951100999999994</v>
      </c>
      <c r="L379">
        <v>4226</v>
      </c>
      <c r="M379" s="175" t="str">
        <f>VLOOKUP(L379, '2022 SIC to NAICS'!A:D, 2)</f>
        <v>Manufacturing Industries, Nec</v>
      </c>
      <c r="N379" s="184">
        <f>VLOOKUP(L379, '2022 SIC to NAICS'!A:D, 3)</f>
        <v>339999</v>
      </c>
      <c r="O379" s="184" t="str">
        <f>VLOOKUP(L379, '2022 SIC to NAICS'!A:D, 4)</f>
        <v xml:space="preserve">All Other Miscellaneous Manufacturing </v>
      </c>
      <c r="P379" s="185" t="str">
        <f>VLOOKUP(N379, 'NAICS OES crosswalk'!A:C, 3, FALSE)</f>
        <v>TBD</v>
      </c>
      <c r="T379" s="186" t="s">
        <v>1200</v>
      </c>
      <c r="U379" t="s">
        <v>873</v>
      </c>
      <c r="V379">
        <v>9.6706749999999994E-2</v>
      </c>
      <c r="X379" t="b">
        <f t="shared" si="7"/>
        <v>0</v>
      </c>
      <c r="Y379" s="186" t="s">
        <v>1404</v>
      </c>
      <c r="Z379" t="s">
        <v>1403</v>
      </c>
    </row>
    <row r="380" spans="1:26" x14ac:dyDescent="0.25">
      <c r="A380">
        <v>2021</v>
      </c>
      <c r="B380" t="s">
        <v>1400</v>
      </c>
      <c r="C380" t="s">
        <v>936</v>
      </c>
      <c r="D380" s="1">
        <v>110070162955</v>
      </c>
      <c r="E380" t="s">
        <v>505</v>
      </c>
      <c r="F380" t="s">
        <v>498</v>
      </c>
      <c r="G380" t="s">
        <v>498</v>
      </c>
      <c r="H380" t="s">
        <v>218</v>
      </c>
      <c r="I380" t="s">
        <v>1405</v>
      </c>
      <c r="J380">
        <v>39.781474000000003</v>
      </c>
      <c r="K380">
        <v>-104.97438</v>
      </c>
      <c r="L380">
        <v>1629</v>
      </c>
      <c r="M380" s="175" t="str">
        <f>VLOOKUP(L380, '2022 SIC to NAICS'!A:D, 2)</f>
        <v>Heavy Construction, Nec</v>
      </c>
      <c r="N380" s="184">
        <f>VLOOKUP(L380, '2022 SIC to NAICS'!A:D, 3)</f>
        <v>237990</v>
      </c>
      <c r="O380" s="184" t="str">
        <f>VLOOKUP(L380, '2022 SIC to NAICS'!A:D, 4)</f>
        <v xml:space="preserve">Other Heavy and Civil Engineering Construction </v>
      </c>
      <c r="P380" s="185" t="str">
        <f>VLOOKUP(N380, 'NAICS OES crosswalk'!A:C, 3, FALSE)</f>
        <v>TBD</v>
      </c>
      <c r="T380">
        <v>101900030304</v>
      </c>
      <c r="U380" t="s">
        <v>934</v>
      </c>
      <c r="V380">
        <v>3.0584692500000002E-3</v>
      </c>
      <c r="X380" t="b">
        <f t="shared" si="7"/>
        <v>1</v>
      </c>
      <c r="Y380" s="186" t="s">
        <v>1402</v>
      </c>
      <c r="Z380" t="s">
        <v>1403</v>
      </c>
    </row>
    <row r="381" spans="1:26" x14ac:dyDescent="0.25">
      <c r="A381">
        <v>2021</v>
      </c>
      <c r="B381" t="s">
        <v>1400</v>
      </c>
      <c r="C381" t="s">
        <v>755</v>
      </c>
      <c r="D381" s="1">
        <v>110006777247</v>
      </c>
      <c r="E381" t="s">
        <v>462</v>
      </c>
      <c r="F381" t="s">
        <v>463</v>
      </c>
      <c r="G381" t="s">
        <v>752</v>
      </c>
      <c r="H381" t="s">
        <v>186</v>
      </c>
      <c r="I381" t="s">
        <v>1405</v>
      </c>
      <c r="J381">
        <v>21.994944</v>
      </c>
      <c r="K381">
        <v>-159.75363899999999</v>
      </c>
      <c r="L381" s="186" t="s">
        <v>753</v>
      </c>
      <c r="M381" s="175" t="e">
        <f>VLOOKUP(L381, '2022 SIC to NAICS'!A:D, 2)</f>
        <v>#N/A</v>
      </c>
      <c r="N381" s="184" t="e">
        <f>VLOOKUP(L381, '2022 SIC to NAICS'!A:D, 3)</f>
        <v>#N/A</v>
      </c>
      <c r="O381" s="184" t="e">
        <f>VLOOKUP(L381, '2022 SIC to NAICS'!A:D, 4)</f>
        <v>#N/A</v>
      </c>
      <c r="P381" s="185" t="e">
        <f>VLOOKUP(N381, 'NAICS OES crosswalk'!A:C, 3, FALSE)</f>
        <v>#N/A</v>
      </c>
      <c r="T381">
        <v>200700000501</v>
      </c>
      <c r="U381" t="s">
        <v>756</v>
      </c>
      <c r="V381">
        <v>0.22380705000000001</v>
      </c>
      <c r="X381" t="b">
        <f t="shared" si="7"/>
        <v>0</v>
      </c>
      <c r="Y381" s="186" t="s">
        <v>1402</v>
      </c>
      <c r="Z381" t="s">
        <v>1403</v>
      </c>
    </row>
    <row r="382" spans="1:26" x14ac:dyDescent="0.25">
      <c r="A382">
        <v>2021</v>
      </c>
      <c r="B382" t="s">
        <v>1400</v>
      </c>
      <c r="C382" t="s">
        <v>1150</v>
      </c>
      <c r="D382" s="1">
        <v>110039782349</v>
      </c>
      <c r="E382" t="s">
        <v>464</v>
      </c>
      <c r="F382" t="s">
        <v>465</v>
      </c>
      <c r="G382" t="s">
        <v>1149</v>
      </c>
      <c r="H382" t="s">
        <v>146</v>
      </c>
      <c r="I382" t="s">
        <v>1401</v>
      </c>
      <c r="J382">
        <v>38.662149999999997</v>
      </c>
      <c r="K382">
        <v>-121.71407000000001</v>
      </c>
      <c r="L382">
        <v>4952</v>
      </c>
      <c r="M382" s="175" t="str">
        <f>VLOOKUP(L382, '2022 SIC to NAICS'!A:D, 2)</f>
        <v>Manufacturing Industries, Nec</v>
      </c>
      <c r="N382" s="184">
        <f>VLOOKUP(L382, '2022 SIC to NAICS'!A:D, 3)</f>
        <v>339999</v>
      </c>
      <c r="O382" s="184" t="str">
        <f>VLOOKUP(L382, '2022 SIC to NAICS'!A:D, 4)</f>
        <v xml:space="preserve">All Other Miscellaneous Manufacturing </v>
      </c>
      <c r="P382" s="185" t="str">
        <f>VLOOKUP(N382, 'NAICS OES crosswalk'!A:C, 3, FALSE)</f>
        <v>TBD</v>
      </c>
      <c r="T382">
        <v>180201630302</v>
      </c>
      <c r="U382" t="s">
        <v>1151</v>
      </c>
      <c r="V382">
        <v>0.32078026399999998</v>
      </c>
      <c r="X382" t="b">
        <f t="shared" si="7"/>
        <v>0</v>
      </c>
      <c r="Y382" s="186" t="s">
        <v>1402</v>
      </c>
      <c r="Z382" t="s">
        <v>1403</v>
      </c>
    </row>
    <row r="383" spans="1:26" x14ac:dyDescent="0.25">
      <c r="A383">
        <v>2021</v>
      </c>
      <c r="B383" t="s">
        <v>1400</v>
      </c>
      <c r="C383" t="s">
        <v>907</v>
      </c>
      <c r="D383" s="1">
        <v>110039705049</v>
      </c>
      <c r="E383" t="s">
        <v>466</v>
      </c>
      <c r="F383" t="s">
        <v>467</v>
      </c>
      <c r="G383" t="s">
        <v>906</v>
      </c>
      <c r="H383" t="s">
        <v>138</v>
      </c>
      <c r="I383" t="s">
        <v>1401</v>
      </c>
      <c r="J383">
        <v>37.616959999999999</v>
      </c>
      <c r="K383">
        <v>-84.585099999999997</v>
      </c>
      <c r="L383">
        <v>4952</v>
      </c>
      <c r="M383" s="175" t="str">
        <f>VLOOKUP(L383, '2022 SIC to NAICS'!A:D, 2)</f>
        <v>Manufacturing Industries, Nec</v>
      </c>
      <c r="N383" s="184">
        <f>VLOOKUP(L383, '2022 SIC to NAICS'!A:D, 3)</f>
        <v>339999</v>
      </c>
      <c r="O383" s="184" t="str">
        <f>VLOOKUP(L383, '2022 SIC to NAICS'!A:D, 4)</f>
        <v xml:space="preserve">All Other Miscellaneous Manufacturing </v>
      </c>
      <c r="P383" s="185" t="str">
        <f>VLOOKUP(N383, 'NAICS OES crosswalk'!A:C, 3, FALSE)</f>
        <v>TBD</v>
      </c>
      <c r="T383" s="186" t="s">
        <v>1281</v>
      </c>
      <c r="U383" t="s">
        <v>908</v>
      </c>
      <c r="V383">
        <v>3.2700696749999998</v>
      </c>
      <c r="X383" t="b">
        <f t="shared" si="7"/>
        <v>0</v>
      </c>
      <c r="Y383" s="186" t="s">
        <v>1402</v>
      </c>
      <c r="Z383" t="s">
        <v>1403</v>
      </c>
    </row>
    <row r="384" spans="1:26" x14ac:dyDescent="0.25">
      <c r="A384">
        <v>2021</v>
      </c>
      <c r="B384" t="s">
        <v>1400</v>
      </c>
      <c r="C384" t="s">
        <v>889</v>
      </c>
      <c r="D384" s="1">
        <v>110000599479</v>
      </c>
      <c r="E384" t="s">
        <v>377</v>
      </c>
      <c r="F384" t="s">
        <v>378</v>
      </c>
      <c r="G384" t="s">
        <v>888</v>
      </c>
      <c r="H384" t="s">
        <v>114</v>
      </c>
      <c r="I384" t="s">
        <v>1405</v>
      </c>
      <c r="J384">
        <v>29.458400000000001</v>
      </c>
      <c r="K384">
        <v>-95.330399999999997</v>
      </c>
      <c r="L384">
        <v>2869</v>
      </c>
      <c r="M384" s="175" t="str">
        <f>VLOOKUP(L384, '2022 SIC to NAICS'!A:D, 2)</f>
        <v>Industrial Organic Chemicals, Nec</v>
      </c>
      <c r="N384" s="184">
        <f>VLOOKUP(L384, '2022 SIC to NAICS'!A:D, 3)</f>
        <v>325180</v>
      </c>
      <c r="O384" s="184" t="str">
        <f>VLOOKUP(L384, '2022 SIC to NAICS'!A:D, 4)</f>
        <v xml:space="preserve">Other Basic Inorganic Chemical Manufacturing </v>
      </c>
      <c r="P384" s="185" t="str">
        <f>VLOOKUP(N384, 'NAICS OES crosswalk'!A:C, 3, FALSE)</f>
        <v>Processing as a reactant</v>
      </c>
      <c r="T384">
        <v>120402040400</v>
      </c>
      <c r="U384" t="s">
        <v>890</v>
      </c>
      <c r="V384">
        <v>1.4913900000000001E-2</v>
      </c>
      <c r="X384" t="b">
        <f t="shared" si="7"/>
        <v>0</v>
      </c>
      <c r="Y384" s="186" t="s">
        <v>1402</v>
      </c>
    </row>
    <row r="385" spans="1:26" x14ac:dyDescent="0.25">
      <c r="A385">
        <v>2021</v>
      </c>
      <c r="B385" t="s">
        <v>1400</v>
      </c>
      <c r="C385" t="s">
        <v>737</v>
      </c>
      <c r="D385" s="1">
        <v>110001103911</v>
      </c>
      <c r="E385" t="s">
        <v>468</v>
      </c>
      <c r="F385" t="s">
        <v>469</v>
      </c>
      <c r="G385" t="s">
        <v>736</v>
      </c>
      <c r="H385" t="s">
        <v>146</v>
      </c>
      <c r="I385" t="s">
        <v>1401</v>
      </c>
      <c r="J385">
        <v>37.894722000000002</v>
      </c>
      <c r="K385">
        <v>-121.587222</v>
      </c>
      <c r="L385">
        <v>4952</v>
      </c>
      <c r="M385" s="175" t="str">
        <f>VLOOKUP(L385, '2022 SIC to NAICS'!A:D, 2)</f>
        <v>Manufacturing Industries, Nec</v>
      </c>
      <c r="N385" s="184">
        <f>VLOOKUP(L385, '2022 SIC to NAICS'!A:D, 3)</f>
        <v>339999</v>
      </c>
      <c r="O385" s="184" t="str">
        <f>VLOOKUP(L385, '2022 SIC to NAICS'!A:D, 4)</f>
        <v xml:space="preserve">All Other Miscellaneous Manufacturing </v>
      </c>
      <c r="P385" s="185" t="str">
        <f>VLOOKUP(N385, 'NAICS OES crosswalk'!A:C, 3, FALSE)</f>
        <v>TBD</v>
      </c>
      <c r="T385">
        <v>180400030802</v>
      </c>
      <c r="U385" t="s">
        <v>738</v>
      </c>
      <c r="V385">
        <v>6.99504336E-2</v>
      </c>
      <c r="X385" t="b">
        <f t="shared" si="7"/>
        <v>0</v>
      </c>
      <c r="Y385" s="186" t="s">
        <v>1402</v>
      </c>
      <c r="Z385" t="s">
        <v>1403</v>
      </c>
    </row>
    <row r="386" spans="1:26" x14ac:dyDescent="0.25">
      <c r="A386">
        <v>2021</v>
      </c>
      <c r="B386" t="s">
        <v>1400</v>
      </c>
      <c r="C386" t="s">
        <v>868</v>
      </c>
      <c r="D386" s="1">
        <v>110000607772</v>
      </c>
      <c r="E386" t="s">
        <v>133</v>
      </c>
      <c r="F386" t="s">
        <v>134</v>
      </c>
      <c r="G386" t="s">
        <v>866</v>
      </c>
      <c r="H386" t="s">
        <v>135</v>
      </c>
      <c r="I386" t="s">
        <v>1401</v>
      </c>
      <c r="J386">
        <v>38.772219999999997</v>
      </c>
      <c r="K386">
        <v>-82.205560000000006</v>
      </c>
      <c r="L386">
        <v>2869</v>
      </c>
      <c r="M386" s="175" t="str">
        <f>VLOOKUP(L386, '2022 SIC to NAICS'!A:D, 2)</f>
        <v>Industrial Organic Chemicals, Nec</v>
      </c>
      <c r="N386" s="184">
        <f>VLOOKUP(L386, '2022 SIC to NAICS'!A:D, 3)</f>
        <v>325180</v>
      </c>
      <c r="O386" s="184" t="str">
        <f>VLOOKUP(L386, '2022 SIC to NAICS'!A:D, 4)</f>
        <v xml:space="preserve">Other Basic Inorganic Chemical Manufacturing </v>
      </c>
      <c r="P386" s="185" t="str">
        <f>VLOOKUP(N386, 'NAICS OES crosswalk'!A:C, 3, FALSE)</f>
        <v>Processing as a reactant</v>
      </c>
      <c r="T386" s="186" t="s">
        <v>1252</v>
      </c>
      <c r="U386" t="s">
        <v>869</v>
      </c>
      <c r="V386">
        <v>6.0027198999999998</v>
      </c>
      <c r="X386" t="b">
        <f t="shared" si="7"/>
        <v>0</v>
      </c>
      <c r="Y386" s="186" t="s">
        <v>1402</v>
      </c>
    </row>
    <row r="387" spans="1:26" x14ac:dyDescent="0.25">
      <c r="A387">
        <v>2021</v>
      </c>
      <c r="B387" t="s">
        <v>1400</v>
      </c>
      <c r="C387" t="s">
        <v>678</v>
      </c>
      <c r="D387" s="1">
        <v>110054612558</v>
      </c>
      <c r="E387" t="s">
        <v>340</v>
      </c>
      <c r="F387" t="s">
        <v>341</v>
      </c>
      <c r="G387" t="s">
        <v>677</v>
      </c>
      <c r="H387" t="s">
        <v>170</v>
      </c>
      <c r="I387" t="s">
        <v>1401</v>
      </c>
      <c r="J387">
        <v>39.423425000000002</v>
      </c>
      <c r="K387">
        <v>-91.025666000000001</v>
      </c>
      <c r="L387">
        <v>2869</v>
      </c>
      <c r="M387" s="175" t="str">
        <f>VLOOKUP(L387, '2022 SIC to NAICS'!A:D, 2)</f>
        <v>Industrial Organic Chemicals, Nec</v>
      </c>
      <c r="N387" s="184">
        <f>VLOOKUP(L387, '2022 SIC to NAICS'!A:D, 3)</f>
        <v>325180</v>
      </c>
      <c r="O387" s="184" t="str">
        <f>VLOOKUP(L387, '2022 SIC to NAICS'!A:D, 4)</f>
        <v xml:space="preserve">Other Basic Inorganic Chemical Manufacturing </v>
      </c>
      <c r="P387" s="185" t="str">
        <f>VLOOKUP(N387, 'NAICS OES crosswalk'!A:C, 3, FALSE)</f>
        <v>Processing as a reactant</v>
      </c>
      <c r="T387" s="186" t="s">
        <v>1245</v>
      </c>
      <c r="U387" t="s">
        <v>679</v>
      </c>
      <c r="V387">
        <v>2.0096309999999999E-2</v>
      </c>
      <c r="X387" t="b">
        <f t="shared" si="7"/>
        <v>0</v>
      </c>
      <c r="Y387" s="186" t="s">
        <v>1404</v>
      </c>
      <c r="Z387" t="s">
        <v>1403</v>
      </c>
    </row>
    <row r="388" spans="1:26" x14ac:dyDescent="0.25">
      <c r="A388">
        <v>2021</v>
      </c>
      <c r="B388" t="s">
        <v>1400</v>
      </c>
      <c r="C388" t="s">
        <v>636</v>
      </c>
      <c r="D388" s="1">
        <v>110000487633</v>
      </c>
      <c r="E388" t="s">
        <v>195</v>
      </c>
      <c r="F388" t="s">
        <v>196</v>
      </c>
      <c r="G388" t="s">
        <v>634</v>
      </c>
      <c r="H388" t="s">
        <v>197</v>
      </c>
      <c r="I388" t="s">
        <v>1405</v>
      </c>
      <c r="J388">
        <v>45.543847</v>
      </c>
      <c r="K388">
        <v>-122.46656299999999</v>
      </c>
      <c r="L388">
        <v>3728</v>
      </c>
      <c r="M388" s="175" t="str">
        <f>VLOOKUP(L388, '2022 SIC to NAICS'!A:D, 2)</f>
        <v>Office Machines, Nec</v>
      </c>
      <c r="N388" s="184">
        <f>VLOOKUP(L388, '2022 SIC to NAICS'!A:D, 3)</f>
        <v>339940</v>
      </c>
      <c r="O388" s="184" t="str">
        <f>VLOOKUP(L388, '2022 SIC to NAICS'!A:D, 4)</f>
        <v>Office Supplies (except Paper) Manufacturing</v>
      </c>
      <c r="P388" s="185" t="str">
        <f>VLOOKUP(N388, 'NAICS OES crosswalk'!A:C, 3, FALSE)</f>
        <v>TBD</v>
      </c>
      <c r="T388">
        <v>170900120201</v>
      </c>
      <c r="U388" t="s">
        <v>637</v>
      </c>
      <c r="V388">
        <v>3.1332987E-2</v>
      </c>
      <c r="X388" t="b">
        <f t="shared" si="7"/>
        <v>0</v>
      </c>
      <c r="Y388" s="186" t="s">
        <v>1402</v>
      </c>
      <c r="Z388" t="s">
        <v>1403</v>
      </c>
    </row>
    <row r="389" spans="1:26" x14ac:dyDescent="0.25">
      <c r="A389">
        <v>2021</v>
      </c>
      <c r="B389" t="s">
        <v>1400</v>
      </c>
      <c r="C389" t="s">
        <v>1117</v>
      </c>
      <c r="D389" s="1">
        <v>110004306938</v>
      </c>
      <c r="E389" t="s">
        <v>156</v>
      </c>
      <c r="F389" t="s">
        <v>157</v>
      </c>
      <c r="G389" t="s">
        <v>575</v>
      </c>
      <c r="H389" t="s">
        <v>158</v>
      </c>
      <c r="I389" t="s">
        <v>1405</v>
      </c>
      <c r="J389">
        <v>36.122100000000003</v>
      </c>
      <c r="K389">
        <v>-115.17139</v>
      </c>
      <c r="L389">
        <v>7011</v>
      </c>
      <c r="M389" s="175" t="str">
        <f>VLOOKUP(L389, '2022 SIC to NAICS'!A:D, 2)</f>
        <v>Communication Services, Nec</v>
      </c>
      <c r="N389" s="184">
        <f>VLOOKUP(L389, '2022 SIC to NAICS'!A:D, 3)</f>
        <v>517810</v>
      </c>
      <c r="O389" s="184" t="str">
        <f>VLOOKUP(L389, '2022 SIC to NAICS'!A:D, 4)</f>
        <v xml:space="preserve">All Other Telecommunications </v>
      </c>
      <c r="P389" s="185" t="str">
        <f>VLOOKUP(N389, 'NAICS OES crosswalk'!A:C, 3, FALSE)</f>
        <v>TBD</v>
      </c>
      <c r="T389">
        <v>150100150604</v>
      </c>
      <c r="U389" t="s">
        <v>578</v>
      </c>
      <c r="V389">
        <v>4.4208799999999999E-2</v>
      </c>
      <c r="X389" t="b">
        <f t="shared" si="7"/>
        <v>0</v>
      </c>
      <c r="Y389" s="186" t="s">
        <v>1418</v>
      </c>
      <c r="Z389" t="s">
        <v>1403</v>
      </c>
    </row>
    <row r="390" spans="1:26" x14ac:dyDescent="0.25">
      <c r="A390">
        <v>2021</v>
      </c>
      <c r="B390" t="s">
        <v>1400</v>
      </c>
      <c r="C390" t="s">
        <v>699</v>
      </c>
      <c r="D390" s="1">
        <v>110001075345</v>
      </c>
      <c r="E390" t="s">
        <v>299</v>
      </c>
      <c r="F390" t="s">
        <v>300</v>
      </c>
      <c r="G390" t="s">
        <v>697</v>
      </c>
      <c r="H390" t="s">
        <v>268</v>
      </c>
      <c r="I390" t="s">
        <v>1405</v>
      </c>
      <c r="J390">
        <v>40.700989999999997</v>
      </c>
      <c r="K390">
        <v>-75.214780000000005</v>
      </c>
      <c r="L390">
        <v>4953</v>
      </c>
      <c r="M390" s="175" t="str">
        <f>VLOOKUP(L390, '2022 SIC to NAICS'!A:D, 2)</f>
        <v>Manufacturing Industries, Nec</v>
      </c>
      <c r="N390" s="184">
        <f>VLOOKUP(L390, '2022 SIC to NAICS'!A:D, 3)</f>
        <v>339999</v>
      </c>
      <c r="O390" s="184" t="str">
        <f>VLOOKUP(L390, '2022 SIC to NAICS'!A:D, 4)</f>
        <v xml:space="preserve">All Other Miscellaneous Manufacturing </v>
      </c>
      <c r="P390" s="185" t="str">
        <f>VLOOKUP(N390, 'NAICS OES crosswalk'!A:C, 3, FALSE)</f>
        <v>TBD</v>
      </c>
      <c r="T390" s="186" t="s">
        <v>1233</v>
      </c>
      <c r="U390" t="s">
        <v>700</v>
      </c>
      <c r="V390">
        <v>6.8386622999999994E-2</v>
      </c>
      <c r="X390" t="b">
        <f t="shared" si="7"/>
        <v>0</v>
      </c>
      <c r="Y390" s="186" t="s">
        <v>1402</v>
      </c>
      <c r="Z390" t="s">
        <v>1403</v>
      </c>
    </row>
    <row r="391" spans="1:26" x14ac:dyDescent="0.25">
      <c r="A391">
        <v>2021</v>
      </c>
      <c r="B391" t="s">
        <v>1400</v>
      </c>
      <c r="C391" t="s">
        <v>713</v>
      </c>
      <c r="D391" s="1">
        <v>110037096674</v>
      </c>
      <c r="E391" t="s">
        <v>362</v>
      </c>
      <c r="F391" t="s">
        <v>363</v>
      </c>
      <c r="G391" t="s">
        <v>712</v>
      </c>
      <c r="H391" t="s">
        <v>364</v>
      </c>
      <c r="I391" t="s">
        <v>1405</v>
      </c>
      <c r="J391">
        <v>38.987340000000003</v>
      </c>
      <c r="K391">
        <v>-77.026660000000007</v>
      </c>
      <c r="L391">
        <v>1522</v>
      </c>
      <c r="M391" s="175" t="str">
        <f>VLOOKUP(L391, '2022 SIC to NAICS'!A:D, 2)</f>
        <v>Nonmetallic Minerals Services, Except Fuels</v>
      </c>
      <c r="N391" s="184">
        <f>VLOOKUP(L391, '2022 SIC to NAICS'!A:D, 3)</f>
        <v>213115</v>
      </c>
      <c r="O391" s="184" t="str">
        <f>VLOOKUP(L391, '2022 SIC to NAICS'!A:D, 4)</f>
        <v xml:space="preserve">Support Activities for Nonmetallic Minerals (except Fuels) Mining </v>
      </c>
      <c r="P391" s="185" t="str">
        <f>VLOOKUP(N391, 'NAICS OES crosswalk'!A:C, 3, FALSE)</f>
        <v>TBD</v>
      </c>
      <c r="T391" s="186" t="s">
        <v>1253</v>
      </c>
      <c r="U391" t="s">
        <v>714</v>
      </c>
      <c r="V391">
        <v>6.9468385462500004E-2</v>
      </c>
      <c r="X391" t="b">
        <f t="shared" si="7"/>
        <v>0</v>
      </c>
      <c r="Y391" s="186" t="s">
        <v>1402</v>
      </c>
      <c r="Z391" t="s">
        <v>1403</v>
      </c>
    </row>
    <row r="392" spans="1:26" x14ac:dyDescent="0.25">
      <c r="A392">
        <v>2021</v>
      </c>
      <c r="B392" t="s">
        <v>1400</v>
      </c>
      <c r="C392" t="s">
        <v>598</v>
      </c>
      <c r="D392" s="1">
        <v>110070828339</v>
      </c>
      <c r="E392" t="s">
        <v>328</v>
      </c>
      <c r="F392" t="s">
        <v>308</v>
      </c>
      <c r="G392" t="s">
        <v>596</v>
      </c>
      <c r="H392" t="s">
        <v>309</v>
      </c>
      <c r="I392" t="s">
        <v>1401</v>
      </c>
      <c r="J392">
        <v>36.550454999999999</v>
      </c>
      <c r="K392">
        <v>-82.634793999999999</v>
      </c>
      <c r="L392">
        <v>2892</v>
      </c>
      <c r="M392" s="175" t="str">
        <f>VLOOKUP(L392, '2022 SIC to NAICS'!A:D, 2)</f>
        <v>Toilet Preparations</v>
      </c>
      <c r="N392" s="184">
        <f>VLOOKUP(L392, '2022 SIC to NAICS'!A:D, 3)</f>
        <v>325620</v>
      </c>
      <c r="O392" s="184" t="str">
        <f>VLOOKUP(L392, '2022 SIC to NAICS'!A:D, 4)</f>
        <v>Toilet Preparation Manufacturing</v>
      </c>
      <c r="P392" s="185" t="str">
        <f>VLOOKUP(N392, 'NAICS OES crosswalk'!A:C, 3, FALSE)</f>
        <v>Formulation of cleaning and furnishing care products</v>
      </c>
      <c r="T392" s="186" t="s">
        <v>1242</v>
      </c>
      <c r="U392" t="s">
        <v>599</v>
      </c>
      <c r="V392">
        <v>0.45570250000000001</v>
      </c>
      <c r="X392" t="b">
        <f t="shared" si="7"/>
        <v>0</v>
      </c>
      <c r="Y392" s="186" t="s">
        <v>1444</v>
      </c>
      <c r="Z392" t="s">
        <v>1403</v>
      </c>
    </row>
    <row r="393" spans="1:26" x14ac:dyDescent="0.25">
      <c r="A393">
        <v>2021</v>
      </c>
      <c r="B393" t="s">
        <v>1400</v>
      </c>
      <c r="C393" t="s">
        <v>956</v>
      </c>
      <c r="D393" s="1">
        <v>110007015871</v>
      </c>
      <c r="E393" t="s">
        <v>351</v>
      </c>
      <c r="F393" t="s">
        <v>352</v>
      </c>
      <c r="G393" t="s">
        <v>955</v>
      </c>
      <c r="H393" t="s">
        <v>106</v>
      </c>
      <c r="I393" t="s">
        <v>1401</v>
      </c>
      <c r="J393">
        <v>30.048590999999998</v>
      </c>
      <c r="K393">
        <v>-90.630941000000007</v>
      </c>
      <c r="L393">
        <v>2869</v>
      </c>
      <c r="M393" s="175" t="str">
        <f>VLOOKUP(L393, '2022 SIC to NAICS'!A:D, 2)</f>
        <v>Industrial Organic Chemicals, Nec</v>
      </c>
      <c r="N393" s="184">
        <f>VLOOKUP(L393, '2022 SIC to NAICS'!A:D, 3)</f>
        <v>325180</v>
      </c>
      <c r="O393" s="184" t="str">
        <f>VLOOKUP(L393, '2022 SIC to NAICS'!A:D, 4)</f>
        <v xml:space="preserve">Other Basic Inorganic Chemical Manufacturing </v>
      </c>
      <c r="P393" s="185" t="str">
        <f>VLOOKUP(N393, 'NAICS OES crosswalk'!A:C, 3, FALSE)</f>
        <v>Processing as a reactant</v>
      </c>
      <c r="T393" s="186" t="s">
        <v>1249</v>
      </c>
      <c r="U393" t="s">
        <v>957</v>
      </c>
      <c r="V393">
        <v>0.16571</v>
      </c>
      <c r="X393" t="b">
        <f t="shared" si="7"/>
        <v>0</v>
      </c>
      <c r="Y393" s="186" t="s">
        <v>1402</v>
      </c>
      <c r="Z393" t="s">
        <v>1403</v>
      </c>
    </row>
    <row r="394" spans="1:26" x14ac:dyDescent="0.25">
      <c r="A394">
        <v>2021</v>
      </c>
      <c r="B394" t="s">
        <v>1400</v>
      </c>
      <c r="C394" t="s">
        <v>1021</v>
      </c>
      <c r="D394" s="1">
        <v>110000732253</v>
      </c>
      <c r="E394" t="s">
        <v>147</v>
      </c>
      <c r="F394" t="s">
        <v>148</v>
      </c>
      <c r="G394" t="s">
        <v>1020</v>
      </c>
      <c r="H394" t="s">
        <v>138</v>
      </c>
      <c r="I394" t="s">
        <v>1401</v>
      </c>
      <c r="J394">
        <v>37.845027999999999</v>
      </c>
      <c r="K394">
        <v>-85.940962999999996</v>
      </c>
      <c r="L394">
        <v>4952</v>
      </c>
      <c r="M394" s="175" t="str">
        <f>VLOOKUP(L394, '2022 SIC to NAICS'!A:D, 2)</f>
        <v>Manufacturing Industries, Nec</v>
      </c>
      <c r="N394" s="184">
        <f>VLOOKUP(L394, '2022 SIC to NAICS'!A:D, 3)</f>
        <v>339999</v>
      </c>
      <c r="O394" s="184" t="str">
        <f>VLOOKUP(L394, '2022 SIC to NAICS'!A:D, 4)</f>
        <v xml:space="preserve">All Other Miscellaneous Manufacturing </v>
      </c>
      <c r="P394" s="185" t="str">
        <f>VLOOKUP(N394, 'NAICS OES crosswalk'!A:C, 3, FALSE)</f>
        <v>TBD</v>
      </c>
      <c r="T394" s="186" t="s">
        <v>1185</v>
      </c>
      <c r="U394" t="s">
        <v>1022</v>
      </c>
      <c r="V394">
        <v>8.8935671875000004</v>
      </c>
      <c r="X394" t="b">
        <f t="shared" si="7"/>
        <v>0</v>
      </c>
      <c r="Y394" s="186" t="s">
        <v>1402</v>
      </c>
      <c r="Z394" t="s">
        <v>1403</v>
      </c>
    </row>
    <row r="395" spans="1:26" x14ac:dyDescent="0.25">
      <c r="A395">
        <v>2021</v>
      </c>
      <c r="B395" t="s">
        <v>1400</v>
      </c>
      <c r="C395" t="s">
        <v>1108</v>
      </c>
      <c r="D395" s="1">
        <v>110041973460</v>
      </c>
      <c r="E395" t="s">
        <v>395</v>
      </c>
      <c r="F395" t="s">
        <v>396</v>
      </c>
      <c r="G395" t="s">
        <v>185</v>
      </c>
      <c r="H395" t="s">
        <v>186</v>
      </c>
      <c r="I395" t="s">
        <v>1401</v>
      </c>
      <c r="J395">
        <v>21.438638999999998</v>
      </c>
      <c r="K395">
        <v>-157.75847200000001</v>
      </c>
      <c r="L395">
        <v>4952</v>
      </c>
      <c r="M395" s="175" t="str">
        <f>VLOOKUP(L395, '2022 SIC to NAICS'!A:D, 2)</f>
        <v>Manufacturing Industries, Nec</v>
      </c>
      <c r="N395" s="184">
        <f>VLOOKUP(L395, '2022 SIC to NAICS'!A:D, 3)</f>
        <v>339999</v>
      </c>
      <c r="O395" s="184" t="str">
        <f>VLOOKUP(L395, '2022 SIC to NAICS'!A:D, 4)</f>
        <v xml:space="preserve">All Other Miscellaneous Manufacturing </v>
      </c>
      <c r="P395" s="185" t="str">
        <f>VLOOKUP(N395, 'NAICS OES crosswalk'!A:C, 3, FALSE)</f>
        <v>TBD</v>
      </c>
      <c r="T395">
        <v>200600000205</v>
      </c>
      <c r="U395" t="s">
        <v>1109</v>
      </c>
      <c r="V395">
        <v>1.747629125</v>
      </c>
      <c r="X395" t="b">
        <f t="shared" si="7"/>
        <v>0</v>
      </c>
      <c r="Y395" s="186" t="s">
        <v>1402</v>
      </c>
      <c r="Z395" t="s">
        <v>1403</v>
      </c>
    </row>
    <row r="396" spans="1:26" x14ac:dyDescent="0.25">
      <c r="A396">
        <v>2021</v>
      </c>
      <c r="B396" t="s">
        <v>1400</v>
      </c>
      <c r="C396" t="s">
        <v>910</v>
      </c>
      <c r="D396" s="1">
        <v>110020039402</v>
      </c>
      <c r="E396" t="s">
        <v>470</v>
      </c>
      <c r="F396" t="s">
        <v>157</v>
      </c>
      <c r="G396" t="s">
        <v>554</v>
      </c>
      <c r="H396" t="s">
        <v>158</v>
      </c>
      <c r="I396" t="s">
        <v>1405</v>
      </c>
      <c r="J396">
        <v>36.137529999999998</v>
      </c>
      <c r="K396">
        <v>-115.15479000000001</v>
      </c>
      <c r="L396">
        <v>7011</v>
      </c>
      <c r="M396" s="175" t="str">
        <f>VLOOKUP(L396, '2022 SIC to NAICS'!A:D, 2)</f>
        <v>Communication Services, Nec</v>
      </c>
      <c r="N396" s="184">
        <f>VLOOKUP(L396, '2022 SIC to NAICS'!A:D, 3)</f>
        <v>517810</v>
      </c>
      <c r="O396" s="184" t="str">
        <f>VLOOKUP(L396, '2022 SIC to NAICS'!A:D, 4)</f>
        <v xml:space="preserve">All Other Telecommunications </v>
      </c>
      <c r="P396" s="185" t="str">
        <f>VLOOKUP(N396, 'NAICS OES crosswalk'!A:C, 3, FALSE)</f>
        <v>TBD</v>
      </c>
      <c r="T396">
        <v>150100150604</v>
      </c>
      <c r="U396" t="s">
        <v>578</v>
      </c>
      <c r="V396">
        <v>3.3080986137137502E-3</v>
      </c>
      <c r="X396" t="b">
        <f t="shared" si="7"/>
        <v>0</v>
      </c>
      <c r="Y396" t="s">
        <v>1426</v>
      </c>
      <c r="Z396" t="s">
        <v>1403</v>
      </c>
    </row>
    <row r="397" spans="1:26" x14ac:dyDescent="0.25">
      <c r="A397">
        <v>2021</v>
      </c>
      <c r="B397" t="s">
        <v>1400</v>
      </c>
      <c r="C397" t="s">
        <v>632</v>
      </c>
      <c r="D397" s="1">
        <v>110064611969</v>
      </c>
      <c r="E397" t="s">
        <v>265</v>
      </c>
      <c r="F397" t="s">
        <v>175</v>
      </c>
      <c r="G397" t="s">
        <v>630</v>
      </c>
      <c r="H397" t="s">
        <v>106</v>
      </c>
      <c r="I397" t="s">
        <v>1401</v>
      </c>
      <c r="J397">
        <v>30.23771</v>
      </c>
      <c r="K397">
        <v>-93.258650000000003</v>
      </c>
      <c r="L397">
        <v>2819</v>
      </c>
      <c r="M397" s="175" t="str">
        <f>VLOOKUP(L397, '2022 SIC to NAICS'!A:D, 2)</f>
        <v>Platemaking Services</v>
      </c>
      <c r="N397" s="184">
        <f>VLOOKUP(L397, '2022 SIC to NAICS'!A:D, 3)</f>
        <v>323120</v>
      </c>
      <c r="O397" s="184" t="str">
        <f>VLOOKUP(L397, '2022 SIC to NAICS'!A:D, 4)</f>
        <v>Support Activities for Printing</v>
      </c>
      <c r="P397" s="185" t="str">
        <f>VLOOKUP(N397, 'NAICS OES crosswalk'!A:C, 3, FALSE)</f>
        <v>TBD</v>
      </c>
      <c r="T397" s="186" t="s">
        <v>1218</v>
      </c>
      <c r="U397" t="s">
        <v>633</v>
      </c>
      <c r="V397">
        <v>3.7104355</v>
      </c>
      <c r="X397" t="b">
        <f t="shared" si="7"/>
        <v>0</v>
      </c>
      <c r="Y397" s="186" t="s">
        <v>1432</v>
      </c>
      <c r="Z397" t="s">
        <v>1403</v>
      </c>
    </row>
    <row r="398" spans="1:26" x14ac:dyDescent="0.25">
      <c r="A398">
        <v>2021</v>
      </c>
      <c r="B398" t="s">
        <v>1400</v>
      </c>
      <c r="C398" t="s">
        <v>787</v>
      </c>
      <c r="D398" s="1">
        <v>110043486457</v>
      </c>
      <c r="E398" t="s">
        <v>277</v>
      </c>
      <c r="F398" t="s">
        <v>235</v>
      </c>
      <c r="G398" t="s">
        <v>600</v>
      </c>
      <c r="H398" t="s">
        <v>138</v>
      </c>
      <c r="I398" t="s">
        <v>1401</v>
      </c>
      <c r="J398">
        <v>38.236699999999999</v>
      </c>
      <c r="K398">
        <v>-85.466710000000006</v>
      </c>
      <c r="L398">
        <v>4952</v>
      </c>
      <c r="M398" s="175" t="str">
        <f>VLOOKUP(L398, '2022 SIC to NAICS'!A:D, 2)</f>
        <v>Manufacturing Industries, Nec</v>
      </c>
      <c r="N398" s="184">
        <f>VLOOKUP(L398, '2022 SIC to NAICS'!A:D, 3)</f>
        <v>339999</v>
      </c>
      <c r="O398" s="184" t="str">
        <f>VLOOKUP(L398, '2022 SIC to NAICS'!A:D, 4)</f>
        <v xml:space="preserve">All Other Miscellaneous Manufacturing </v>
      </c>
      <c r="P398" s="185" t="str">
        <f>VLOOKUP(N398, 'NAICS OES crosswalk'!A:C, 3, FALSE)</f>
        <v>TBD</v>
      </c>
      <c r="T398" s="186" t="s">
        <v>1223</v>
      </c>
      <c r="U398" t="s">
        <v>788</v>
      </c>
      <c r="V398">
        <v>12.817098187499999</v>
      </c>
      <c r="X398" t="b">
        <f t="shared" si="7"/>
        <v>0</v>
      </c>
      <c r="Y398" s="186" t="s">
        <v>1402</v>
      </c>
      <c r="Z398" t="s">
        <v>1403</v>
      </c>
    </row>
    <row r="399" spans="1:26" x14ac:dyDescent="0.25">
      <c r="A399">
        <v>2021</v>
      </c>
      <c r="B399" t="s">
        <v>1400</v>
      </c>
      <c r="C399" t="s">
        <v>953</v>
      </c>
      <c r="D399" s="1">
        <v>110039705361</v>
      </c>
      <c r="E399" t="s">
        <v>178</v>
      </c>
      <c r="F399" t="s">
        <v>179</v>
      </c>
      <c r="G399" t="s">
        <v>712</v>
      </c>
      <c r="H399" t="s">
        <v>138</v>
      </c>
      <c r="I399" t="s">
        <v>1401</v>
      </c>
      <c r="J399">
        <v>38.101582000000001</v>
      </c>
      <c r="K399">
        <v>-83.919770999999997</v>
      </c>
      <c r="L399">
        <v>4952</v>
      </c>
      <c r="M399" s="175" t="str">
        <f>VLOOKUP(L399, '2022 SIC to NAICS'!A:D, 2)</f>
        <v>Manufacturing Industries, Nec</v>
      </c>
      <c r="N399" s="184">
        <f>VLOOKUP(L399, '2022 SIC to NAICS'!A:D, 3)</f>
        <v>339999</v>
      </c>
      <c r="O399" s="184" t="str">
        <f>VLOOKUP(L399, '2022 SIC to NAICS'!A:D, 4)</f>
        <v xml:space="preserve">All Other Miscellaneous Manufacturing </v>
      </c>
      <c r="P399" s="185" t="str">
        <f>VLOOKUP(N399, 'NAICS OES crosswalk'!A:C, 3, FALSE)</f>
        <v>TBD</v>
      </c>
      <c r="T399" s="186" t="s">
        <v>1192</v>
      </c>
      <c r="U399" t="s">
        <v>954</v>
      </c>
      <c r="V399">
        <v>7.4256968749999999</v>
      </c>
      <c r="X399" t="b">
        <f t="shared" si="7"/>
        <v>0</v>
      </c>
      <c r="Y399" s="186" t="s">
        <v>1402</v>
      </c>
      <c r="Z399" t="s">
        <v>1403</v>
      </c>
    </row>
    <row r="400" spans="1:26" x14ac:dyDescent="0.25">
      <c r="A400">
        <v>2021</v>
      </c>
      <c r="B400" t="s">
        <v>1400</v>
      </c>
      <c r="C400" t="s">
        <v>628</v>
      </c>
      <c r="D400" s="1">
        <v>110040000398</v>
      </c>
      <c r="E400" t="s">
        <v>407</v>
      </c>
      <c r="F400" t="s">
        <v>298</v>
      </c>
      <c r="G400" t="s">
        <v>627</v>
      </c>
      <c r="H400" t="s">
        <v>138</v>
      </c>
      <c r="I400" t="s">
        <v>1401</v>
      </c>
      <c r="J400">
        <v>37.608496000000002</v>
      </c>
      <c r="K400">
        <v>-84.287074000000004</v>
      </c>
      <c r="L400">
        <v>4952</v>
      </c>
      <c r="M400" s="175" t="str">
        <f>VLOOKUP(L400, '2022 SIC to NAICS'!A:D, 2)</f>
        <v>Manufacturing Industries, Nec</v>
      </c>
      <c r="N400" s="184">
        <f>VLOOKUP(L400, '2022 SIC to NAICS'!A:D, 3)</f>
        <v>339999</v>
      </c>
      <c r="O400" s="184" t="str">
        <f>VLOOKUP(L400, '2022 SIC to NAICS'!A:D, 4)</f>
        <v xml:space="preserve">All Other Miscellaneous Manufacturing </v>
      </c>
      <c r="P400" s="185" t="str">
        <f>VLOOKUP(N400, 'NAICS OES crosswalk'!A:C, 3, FALSE)</f>
        <v>TBD</v>
      </c>
      <c r="T400" s="186" t="s">
        <v>1266</v>
      </c>
      <c r="U400" t="s">
        <v>629</v>
      </c>
      <c r="V400">
        <v>2.7554516124999999</v>
      </c>
      <c r="X400" t="b">
        <f t="shared" si="7"/>
        <v>0</v>
      </c>
      <c r="Y400" s="186" t="s">
        <v>1402</v>
      </c>
      <c r="Z400" t="s">
        <v>1403</v>
      </c>
    </row>
    <row r="401" spans="1:26" x14ac:dyDescent="0.25">
      <c r="A401">
        <v>2021</v>
      </c>
      <c r="B401" t="s">
        <v>1400</v>
      </c>
      <c r="C401" t="s">
        <v>692</v>
      </c>
      <c r="D401" s="1">
        <v>110064265496</v>
      </c>
      <c r="E401" t="s">
        <v>244</v>
      </c>
      <c r="F401" t="s">
        <v>245</v>
      </c>
      <c r="G401" t="s">
        <v>691</v>
      </c>
      <c r="H401" t="s">
        <v>138</v>
      </c>
      <c r="I401" t="s">
        <v>1401</v>
      </c>
      <c r="J401">
        <v>37.304611999999999</v>
      </c>
      <c r="K401">
        <v>-87.145292999999995</v>
      </c>
      <c r="L401">
        <v>4952</v>
      </c>
      <c r="M401" s="175" t="str">
        <f>VLOOKUP(L401, '2022 SIC to NAICS'!A:D, 2)</f>
        <v>Manufacturing Industries, Nec</v>
      </c>
      <c r="N401" s="184">
        <f>VLOOKUP(L401, '2022 SIC to NAICS'!A:D, 3)</f>
        <v>339999</v>
      </c>
      <c r="O401" s="184" t="str">
        <f>VLOOKUP(L401, '2022 SIC to NAICS'!A:D, 4)</f>
        <v xml:space="preserve">All Other Miscellaneous Manufacturing </v>
      </c>
      <c r="P401" s="185" t="str">
        <f>VLOOKUP(N401, 'NAICS OES crosswalk'!A:C, 3, FALSE)</f>
        <v>TBD</v>
      </c>
      <c r="T401" s="186" t="s">
        <v>1208</v>
      </c>
      <c r="U401" t="s">
        <v>693</v>
      </c>
      <c r="V401">
        <v>2.2311628749999999</v>
      </c>
      <c r="X401" t="b">
        <f t="shared" si="7"/>
        <v>0</v>
      </c>
      <c r="Y401" s="186" t="s">
        <v>1402</v>
      </c>
      <c r="Z401" t="s">
        <v>1403</v>
      </c>
    </row>
    <row r="402" spans="1:26" x14ac:dyDescent="0.25">
      <c r="A402">
        <v>2021</v>
      </c>
      <c r="B402" t="s">
        <v>1400</v>
      </c>
      <c r="C402" t="s">
        <v>977</v>
      </c>
      <c r="D402" s="1">
        <v>110064644782</v>
      </c>
      <c r="E402" t="s">
        <v>471</v>
      </c>
      <c r="F402" t="s">
        <v>472</v>
      </c>
      <c r="G402" t="s">
        <v>975</v>
      </c>
      <c r="H402" t="s">
        <v>106</v>
      </c>
      <c r="I402" t="s">
        <v>1401</v>
      </c>
      <c r="J402">
        <v>30.584540000000001</v>
      </c>
      <c r="K402">
        <v>-91.247479999999996</v>
      </c>
      <c r="L402">
        <v>4953</v>
      </c>
      <c r="M402" s="175" t="str">
        <f>VLOOKUP(L402, '2022 SIC to NAICS'!A:D, 2)</f>
        <v>Manufacturing Industries, Nec</v>
      </c>
      <c r="N402" s="184">
        <f>VLOOKUP(L402, '2022 SIC to NAICS'!A:D, 3)</f>
        <v>339999</v>
      </c>
      <c r="O402" s="184" t="str">
        <f>VLOOKUP(L402, '2022 SIC to NAICS'!A:D, 4)</f>
        <v xml:space="preserve">All Other Miscellaneous Manufacturing </v>
      </c>
      <c r="P402" s="185" t="str">
        <f>VLOOKUP(N402, 'NAICS OES crosswalk'!A:C, 3, FALSE)</f>
        <v>TBD</v>
      </c>
      <c r="T402" s="186" t="s">
        <v>1282</v>
      </c>
      <c r="U402" t="s">
        <v>978</v>
      </c>
      <c r="V402">
        <v>5.014368E-3</v>
      </c>
      <c r="X402" t="b">
        <f t="shared" si="7"/>
        <v>0</v>
      </c>
      <c r="Y402" s="186" t="s">
        <v>1427</v>
      </c>
      <c r="Z402" t="s">
        <v>1403</v>
      </c>
    </row>
    <row r="403" spans="1:26" x14ac:dyDescent="0.25">
      <c r="A403">
        <v>2021</v>
      </c>
      <c r="B403" t="s">
        <v>1400</v>
      </c>
      <c r="C403" t="s">
        <v>1045</v>
      </c>
      <c r="D403" s="1">
        <v>110039998214</v>
      </c>
      <c r="E403" t="s">
        <v>316</v>
      </c>
      <c r="F403" t="s">
        <v>150</v>
      </c>
      <c r="G403" t="s">
        <v>985</v>
      </c>
      <c r="H403" t="s">
        <v>138</v>
      </c>
      <c r="I403" t="s">
        <v>1401</v>
      </c>
      <c r="J403">
        <v>37.790278000000001</v>
      </c>
      <c r="K403">
        <v>-87.140277999999995</v>
      </c>
      <c r="L403">
        <v>4952</v>
      </c>
      <c r="M403" s="175" t="str">
        <f>VLOOKUP(L403, '2022 SIC to NAICS'!A:D, 2)</f>
        <v>Manufacturing Industries, Nec</v>
      </c>
      <c r="N403" s="184">
        <f>VLOOKUP(L403, '2022 SIC to NAICS'!A:D, 3)</f>
        <v>339999</v>
      </c>
      <c r="O403" s="184" t="str">
        <f>VLOOKUP(L403, '2022 SIC to NAICS'!A:D, 4)</f>
        <v xml:space="preserve">All Other Miscellaneous Manufacturing </v>
      </c>
      <c r="P403" s="185" t="str">
        <f>VLOOKUP(N403, 'NAICS OES crosswalk'!A:C, 3, FALSE)</f>
        <v>TBD</v>
      </c>
      <c r="T403" s="186" t="s">
        <v>1186</v>
      </c>
      <c r="U403" t="s">
        <v>989</v>
      </c>
      <c r="V403">
        <v>29.688972249999999</v>
      </c>
      <c r="X403" t="b">
        <f t="shared" si="7"/>
        <v>0</v>
      </c>
      <c r="Y403" s="186" t="s">
        <v>1402</v>
      </c>
      <c r="Z403" t="s">
        <v>1403</v>
      </c>
    </row>
    <row r="404" spans="1:26" x14ac:dyDescent="0.25">
      <c r="A404">
        <v>2021</v>
      </c>
      <c r="B404" t="s">
        <v>1400</v>
      </c>
      <c r="C404" t="s">
        <v>772</v>
      </c>
      <c r="D404" s="1">
        <v>110000433013</v>
      </c>
      <c r="E404" t="s">
        <v>223</v>
      </c>
      <c r="F404" t="s">
        <v>224</v>
      </c>
      <c r="G404" t="s">
        <v>771</v>
      </c>
      <c r="H404" t="s">
        <v>141</v>
      </c>
      <c r="I404" t="s">
        <v>1401</v>
      </c>
      <c r="J404">
        <v>41.412897000000001</v>
      </c>
      <c r="K404">
        <v>-88.329773000000003</v>
      </c>
      <c r="L404">
        <v>2821</v>
      </c>
      <c r="M404" s="175" t="str">
        <f>VLOOKUP(L404, '2022 SIC to NAICS'!A:D, 2)</f>
        <v>Platemaking Services</v>
      </c>
      <c r="N404" s="184">
        <f>VLOOKUP(L404, '2022 SIC to NAICS'!A:D, 3)</f>
        <v>323120</v>
      </c>
      <c r="O404" s="184" t="str">
        <f>VLOOKUP(L404, '2022 SIC to NAICS'!A:D, 4)</f>
        <v>Support Activities for Printing</v>
      </c>
      <c r="P404" s="185" t="str">
        <f>VLOOKUP(N404, 'NAICS OES crosswalk'!A:C, 3, FALSE)</f>
        <v>TBD</v>
      </c>
      <c r="T404" s="186" t="s">
        <v>1202</v>
      </c>
      <c r="U404" t="s">
        <v>773</v>
      </c>
      <c r="V404">
        <v>0.83082</v>
      </c>
      <c r="X404" t="b">
        <f t="shared" si="7"/>
        <v>0</v>
      </c>
      <c r="Y404" s="186" t="s">
        <v>1402</v>
      </c>
      <c r="Z404" t="s">
        <v>1403</v>
      </c>
    </row>
    <row r="405" spans="1:26" x14ac:dyDescent="0.25">
      <c r="A405">
        <v>2021</v>
      </c>
      <c r="B405" t="s">
        <v>1400</v>
      </c>
      <c r="C405" t="s">
        <v>645</v>
      </c>
      <c r="D405" s="1">
        <v>110000614746</v>
      </c>
      <c r="E405" t="s">
        <v>208</v>
      </c>
      <c r="F405" t="s">
        <v>209</v>
      </c>
      <c r="G405" t="s">
        <v>643</v>
      </c>
      <c r="H405" t="s">
        <v>170</v>
      </c>
      <c r="I405" t="s">
        <v>1405</v>
      </c>
      <c r="J405">
        <v>39.248446999999999</v>
      </c>
      <c r="K405">
        <v>-94.293233000000001</v>
      </c>
      <c r="L405">
        <v>4953</v>
      </c>
      <c r="M405" s="175" t="str">
        <f>VLOOKUP(L405, '2022 SIC to NAICS'!A:D, 2)</f>
        <v>Manufacturing Industries, Nec</v>
      </c>
      <c r="N405" s="184">
        <f>VLOOKUP(L405, '2022 SIC to NAICS'!A:D, 3)</f>
        <v>339999</v>
      </c>
      <c r="O405" s="184" t="str">
        <f>VLOOKUP(L405, '2022 SIC to NAICS'!A:D, 4)</f>
        <v xml:space="preserve">All Other Miscellaneous Manufacturing </v>
      </c>
      <c r="P405" s="185" t="str">
        <f>VLOOKUP(N405, 'NAICS OES crosswalk'!A:C, 3, FALSE)</f>
        <v>TBD</v>
      </c>
      <c r="T405">
        <v>103001010307</v>
      </c>
      <c r="U405" t="s">
        <v>646</v>
      </c>
      <c r="V405">
        <v>1.1851038784399999E-2</v>
      </c>
      <c r="X405" t="b">
        <f t="shared" si="7"/>
        <v>0</v>
      </c>
      <c r="Y405" s="186" t="s">
        <v>1418</v>
      </c>
      <c r="Z405" t="s">
        <v>1403</v>
      </c>
    </row>
    <row r="406" spans="1:26" x14ac:dyDescent="0.25">
      <c r="A406">
        <v>2021</v>
      </c>
      <c r="B406" t="s">
        <v>1400</v>
      </c>
      <c r="C406" t="s">
        <v>668</v>
      </c>
      <c r="D406" s="1">
        <v>110041253256</v>
      </c>
      <c r="E406" t="s">
        <v>171</v>
      </c>
      <c r="F406" t="s">
        <v>157</v>
      </c>
      <c r="G406" t="s">
        <v>554</v>
      </c>
      <c r="H406" t="s">
        <v>158</v>
      </c>
      <c r="I406" t="s">
        <v>1405</v>
      </c>
      <c r="J406">
        <v>36.132570000000001</v>
      </c>
      <c r="K406">
        <v>-115.16477</v>
      </c>
      <c r="L406">
        <v>7011</v>
      </c>
      <c r="M406" s="175" t="str">
        <f>VLOOKUP(L406, '2022 SIC to NAICS'!A:D, 2)</f>
        <v>Communication Services, Nec</v>
      </c>
      <c r="N406" s="184">
        <f>VLOOKUP(L406, '2022 SIC to NAICS'!A:D, 3)</f>
        <v>517810</v>
      </c>
      <c r="O406" s="184" t="str">
        <f>VLOOKUP(L406, '2022 SIC to NAICS'!A:D, 4)</f>
        <v xml:space="preserve">All Other Telecommunications </v>
      </c>
      <c r="P406" s="185" t="str">
        <f>VLOOKUP(N406, 'NAICS OES crosswalk'!A:C, 3, FALSE)</f>
        <v>TBD</v>
      </c>
      <c r="T406">
        <v>150100150604</v>
      </c>
      <c r="U406" t="s">
        <v>578</v>
      </c>
      <c r="V406">
        <v>0.10361437499999999</v>
      </c>
      <c r="X406" t="b">
        <f t="shared" si="7"/>
        <v>0</v>
      </c>
      <c r="Y406" s="186" t="s">
        <v>1402</v>
      </c>
      <c r="Z406" t="s">
        <v>1403</v>
      </c>
    </row>
    <row r="407" spans="1:26" x14ac:dyDescent="0.25">
      <c r="A407">
        <v>2021</v>
      </c>
      <c r="B407" t="s">
        <v>1400</v>
      </c>
      <c r="C407" t="s">
        <v>1117</v>
      </c>
      <c r="D407" s="1">
        <v>110004306938</v>
      </c>
      <c r="E407" t="s">
        <v>156</v>
      </c>
      <c r="F407" t="s">
        <v>157</v>
      </c>
      <c r="G407" t="s">
        <v>575</v>
      </c>
      <c r="H407" t="s">
        <v>158</v>
      </c>
      <c r="I407" t="s">
        <v>1405</v>
      </c>
      <c r="J407">
        <v>36.122100000000003</v>
      </c>
      <c r="K407">
        <v>-115.17139</v>
      </c>
      <c r="L407">
        <v>7011</v>
      </c>
      <c r="M407" s="175" t="str">
        <f>VLOOKUP(L407, '2022 SIC to NAICS'!A:D, 2)</f>
        <v>Communication Services, Nec</v>
      </c>
      <c r="N407" s="184">
        <f>VLOOKUP(L407, '2022 SIC to NAICS'!A:D, 3)</f>
        <v>517810</v>
      </c>
      <c r="O407" s="184" t="str">
        <f>VLOOKUP(L407, '2022 SIC to NAICS'!A:D, 4)</f>
        <v xml:space="preserve">All Other Telecommunications </v>
      </c>
      <c r="P407" s="185" t="str">
        <f>VLOOKUP(N407, 'NAICS OES crosswalk'!A:C, 3, FALSE)</f>
        <v>TBD</v>
      </c>
      <c r="T407">
        <v>150100150604</v>
      </c>
      <c r="U407" t="s">
        <v>578</v>
      </c>
      <c r="V407">
        <v>7.8228853124999997E-3</v>
      </c>
      <c r="X407" t="b">
        <f t="shared" si="7"/>
        <v>0</v>
      </c>
      <c r="Y407" s="186" t="s">
        <v>1427</v>
      </c>
      <c r="Z407" t="s">
        <v>1403</v>
      </c>
    </row>
    <row r="408" spans="1:26" x14ac:dyDescent="0.25">
      <c r="A408">
        <v>2021</v>
      </c>
      <c r="B408" t="s">
        <v>1400</v>
      </c>
      <c r="C408" t="s">
        <v>1078</v>
      </c>
      <c r="D408" s="1">
        <v>110000572782</v>
      </c>
      <c r="E408" t="s">
        <v>163</v>
      </c>
      <c r="F408" t="s">
        <v>164</v>
      </c>
      <c r="G408" t="s">
        <v>1077</v>
      </c>
      <c r="H408" t="s">
        <v>135</v>
      </c>
      <c r="I408" t="s">
        <v>1401</v>
      </c>
      <c r="J408">
        <v>39.599829999999997</v>
      </c>
      <c r="K408">
        <v>-79.97148</v>
      </c>
      <c r="L408">
        <v>2869</v>
      </c>
      <c r="M408" s="175" t="str">
        <f>VLOOKUP(L408, '2022 SIC to NAICS'!A:D, 2)</f>
        <v>Industrial Organic Chemicals, Nec</v>
      </c>
      <c r="N408" s="184">
        <f>VLOOKUP(L408, '2022 SIC to NAICS'!A:D, 3)</f>
        <v>325180</v>
      </c>
      <c r="O408" s="184" t="str">
        <f>VLOOKUP(L408, '2022 SIC to NAICS'!A:D, 4)</f>
        <v xml:space="preserve">Other Basic Inorganic Chemical Manufacturing </v>
      </c>
      <c r="P408" s="185" t="str">
        <f>VLOOKUP(N408, 'NAICS OES crosswalk'!A:C, 3, FALSE)</f>
        <v>Processing as a reactant</v>
      </c>
      <c r="T408" s="186" t="s">
        <v>1190</v>
      </c>
      <c r="U408" t="s">
        <v>1079</v>
      </c>
      <c r="V408">
        <v>6.4295480000000002E-2</v>
      </c>
      <c r="X408" t="b">
        <f t="shared" si="7"/>
        <v>0</v>
      </c>
      <c r="Y408">
        <v>101</v>
      </c>
    </row>
    <row r="409" spans="1:26" x14ac:dyDescent="0.25">
      <c r="A409">
        <v>2021</v>
      </c>
      <c r="B409" t="s">
        <v>1400</v>
      </c>
      <c r="C409" t="s">
        <v>1063</v>
      </c>
      <c r="D409" s="1">
        <v>110064786085</v>
      </c>
      <c r="E409" t="s">
        <v>330</v>
      </c>
      <c r="F409" t="s">
        <v>331</v>
      </c>
      <c r="G409" t="s">
        <v>1061</v>
      </c>
      <c r="H409" t="s">
        <v>250</v>
      </c>
      <c r="I409" t="s">
        <v>1405</v>
      </c>
      <c r="J409">
        <v>44.700833000000003</v>
      </c>
      <c r="K409">
        <v>-73.591667000000001</v>
      </c>
      <c r="L409">
        <v>9511</v>
      </c>
      <c r="M409" s="175" t="str">
        <f>VLOOKUP(L409, '2022 SIC to NAICS'!A:D, 2)</f>
        <v>Air, Water, and Solid Waste Management</v>
      </c>
      <c r="N409" s="184">
        <f>VLOOKUP(L409, '2022 SIC to NAICS'!A:D, 3)</f>
        <v>924110</v>
      </c>
      <c r="O409" s="184" t="str">
        <f>VLOOKUP(L409, '2022 SIC to NAICS'!A:D, 4)</f>
        <v xml:space="preserve">Administration of Air and Water Resource and Solid Waste Management Programs </v>
      </c>
      <c r="P409" s="185" t="str">
        <f>VLOOKUP(N409, 'NAICS OES crosswalk'!A:C, 3, FALSE)</f>
        <v>TBD</v>
      </c>
      <c r="T409" s="186" t="s">
        <v>1243</v>
      </c>
      <c r="U409" t="s">
        <v>1064</v>
      </c>
      <c r="V409">
        <v>0.21013461751250001</v>
      </c>
      <c r="X409" t="b">
        <f t="shared" si="7"/>
        <v>0</v>
      </c>
      <c r="Y409" s="186" t="s">
        <v>1402</v>
      </c>
      <c r="Z409" t="s">
        <v>1403</v>
      </c>
    </row>
    <row r="410" spans="1:26" x14ac:dyDescent="0.25">
      <c r="A410">
        <v>2021</v>
      </c>
      <c r="B410" t="s">
        <v>1400</v>
      </c>
      <c r="C410" t="s">
        <v>945</v>
      </c>
      <c r="D410" s="1">
        <v>110000377976</v>
      </c>
      <c r="E410" t="s">
        <v>278</v>
      </c>
      <c r="F410" t="s">
        <v>279</v>
      </c>
      <c r="G410" t="s">
        <v>944</v>
      </c>
      <c r="H410" t="s">
        <v>138</v>
      </c>
      <c r="I410" t="s">
        <v>1401</v>
      </c>
      <c r="J410">
        <v>38.002597000000002</v>
      </c>
      <c r="K410">
        <v>-86.117904999999993</v>
      </c>
      <c r="L410">
        <v>2869</v>
      </c>
      <c r="M410" s="175" t="str">
        <f>VLOOKUP(L410, '2022 SIC to NAICS'!A:D, 2)</f>
        <v>Industrial Organic Chemicals, Nec</v>
      </c>
      <c r="N410" s="184">
        <f>VLOOKUP(L410, '2022 SIC to NAICS'!A:D, 3)</f>
        <v>325180</v>
      </c>
      <c r="O410" s="184" t="str">
        <f>VLOOKUP(L410, '2022 SIC to NAICS'!A:D, 4)</f>
        <v xml:space="preserve">Other Basic Inorganic Chemical Manufacturing </v>
      </c>
      <c r="P410" s="185" t="str">
        <f>VLOOKUP(N410, 'NAICS OES crosswalk'!A:C, 3, FALSE)</f>
        <v>Processing as a reactant</v>
      </c>
      <c r="T410" s="186" t="s">
        <v>1224</v>
      </c>
      <c r="U410" t="s">
        <v>946</v>
      </c>
      <c r="V410">
        <v>0.78337699999999999</v>
      </c>
      <c r="X410" t="b">
        <f t="shared" si="7"/>
        <v>0</v>
      </c>
      <c r="Y410" s="186" t="s">
        <v>1404</v>
      </c>
    </row>
    <row r="411" spans="1:26" x14ac:dyDescent="0.25">
      <c r="A411">
        <v>2021</v>
      </c>
      <c r="B411" t="s">
        <v>1400</v>
      </c>
      <c r="C411" t="s">
        <v>1047</v>
      </c>
      <c r="D411" s="1">
        <v>110000403670</v>
      </c>
      <c r="E411" t="s">
        <v>290</v>
      </c>
      <c r="F411" t="s">
        <v>291</v>
      </c>
      <c r="G411" t="s">
        <v>1046</v>
      </c>
      <c r="H411" t="s">
        <v>292</v>
      </c>
      <c r="I411" t="s">
        <v>1401</v>
      </c>
      <c r="J411">
        <v>37.907200000000003</v>
      </c>
      <c r="K411">
        <v>-87.927099999999996</v>
      </c>
      <c r="L411">
        <v>2821</v>
      </c>
      <c r="M411" s="175" t="str">
        <f>VLOOKUP(L411, '2022 SIC to NAICS'!A:D, 2)</f>
        <v>Platemaking Services</v>
      </c>
      <c r="N411" s="184">
        <f>VLOOKUP(L411, '2022 SIC to NAICS'!A:D, 3)</f>
        <v>323120</v>
      </c>
      <c r="O411" s="184" t="str">
        <f>VLOOKUP(L411, '2022 SIC to NAICS'!A:D, 4)</f>
        <v>Support Activities for Printing</v>
      </c>
      <c r="P411" s="185" t="str">
        <f>VLOOKUP(N411, 'NAICS OES crosswalk'!A:C, 3, FALSE)</f>
        <v>TBD</v>
      </c>
      <c r="T411" s="186" t="s">
        <v>1228</v>
      </c>
      <c r="U411" t="s">
        <v>1048</v>
      </c>
      <c r="V411">
        <v>8.3536000000000001</v>
      </c>
      <c r="X411" t="b">
        <f t="shared" si="7"/>
        <v>0</v>
      </c>
      <c r="Y411" s="186" t="s">
        <v>1406</v>
      </c>
      <c r="Z411" t="s">
        <v>1403</v>
      </c>
    </row>
    <row r="412" spans="1:26" x14ac:dyDescent="0.25">
      <c r="A412">
        <v>2021</v>
      </c>
      <c r="B412" t="s">
        <v>1400</v>
      </c>
      <c r="C412" t="s">
        <v>864</v>
      </c>
      <c r="D412" s="1">
        <v>110000748095</v>
      </c>
      <c r="E412" t="s">
        <v>368</v>
      </c>
      <c r="F412" t="s">
        <v>369</v>
      </c>
      <c r="G412" t="s">
        <v>712</v>
      </c>
      <c r="H412" t="s">
        <v>114</v>
      </c>
      <c r="I412" t="s">
        <v>1401</v>
      </c>
      <c r="J412">
        <v>30.311361000000002</v>
      </c>
      <c r="K412">
        <v>-95.387083000000004</v>
      </c>
      <c r="L412">
        <v>2869</v>
      </c>
      <c r="M412" s="175" t="str">
        <f>VLOOKUP(L412, '2022 SIC to NAICS'!A:D, 2)</f>
        <v>Industrial Organic Chemicals, Nec</v>
      </c>
      <c r="N412" s="184">
        <f>VLOOKUP(L412, '2022 SIC to NAICS'!A:D, 3)</f>
        <v>325180</v>
      </c>
      <c r="O412" s="184" t="str">
        <f>VLOOKUP(L412, '2022 SIC to NAICS'!A:D, 4)</f>
        <v xml:space="preserve">Other Basic Inorganic Chemical Manufacturing </v>
      </c>
      <c r="P412" s="185" t="str">
        <f>VLOOKUP(N412, 'NAICS OES crosswalk'!A:C, 3, FALSE)</f>
        <v>Processing as a reactant</v>
      </c>
      <c r="T412">
        <v>120401010403</v>
      </c>
      <c r="U412" t="s">
        <v>865</v>
      </c>
      <c r="V412">
        <v>4.0184674999999999</v>
      </c>
      <c r="X412" t="b">
        <f t="shared" si="7"/>
        <v>0</v>
      </c>
      <c r="Y412" s="186" t="s">
        <v>1402</v>
      </c>
      <c r="Z412" t="s">
        <v>1403</v>
      </c>
    </row>
    <row r="413" spans="1:26" x14ac:dyDescent="0.25">
      <c r="A413">
        <v>2021</v>
      </c>
      <c r="B413" t="s">
        <v>1400</v>
      </c>
      <c r="C413" t="s">
        <v>689</v>
      </c>
      <c r="D413" s="1">
        <v>110043485421</v>
      </c>
      <c r="E413" t="s">
        <v>247</v>
      </c>
      <c r="F413" t="s">
        <v>235</v>
      </c>
      <c r="G413" t="s">
        <v>600</v>
      </c>
      <c r="H413" t="s">
        <v>138</v>
      </c>
      <c r="I413" t="s">
        <v>1401</v>
      </c>
      <c r="J413">
        <v>38.122354000000001</v>
      </c>
      <c r="K413">
        <v>-85.587648000000002</v>
      </c>
      <c r="L413">
        <v>4952</v>
      </c>
      <c r="M413" s="175" t="str">
        <f>VLOOKUP(L413, '2022 SIC to NAICS'!A:D, 2)</f>
        <v>Manufacturing Industries, Nec</v>
      </c>
      <c r="N413" s="184">
        <f>VLOOKUP(L413, '2022 SIC to NAICS'!A:D, 3)</f>
        <v>339999</v>
      </c>
      <c r="O413" s="184" t="str">
        <f>VLOOKUP(L413, '2022 SIC to NAICS'!A:D, 4)</f>
        <v xml:space="preserve">All Other Miscellaneous Manufacturing </v>
      </c>
      <c r="P413" s="185" t="str">
        <f>VLOOKUP(N413, 'NAICS OES crosswalk'!A:C, 3, FALSE)</f>
        <v>TBD</v>
      </c>
      <c r="T413" s="186" t="s">
        <v>1209</v>
      </c>
      <c r="U413" t="s">
        <v>690</v>
      </c>
      <c r="V413">
        <v>21.130424874999999</v>
      </c>
      <c r="X413" t="b">
        <f t="shared" si="7"/>
        <v>0</v>
      </c>
      <c r="Y413" s="186" t="s">
        <v>1402</v>
      </c>
      <c r="Z413" t="s">
        <v>1403</v>
      </c>
    </row>
    <row r="414" spans="1:26" x14ac:dyDescent="0.25">
      <c r="A414">
        <v>2021</v>
      </c>
      <c r="B414" t="s">
        <v>1400</v>
      </c>
      <c r="C414" t="s">
        <v>785</v>
      </c>
      <c r="D414" s="1">
        <v>110003251427</v>
      </c>
      <c r="E414" t="s">
        <v>154</v>
      </c>
      <c r="F414" t="s">
        <v>155</v>
      </c>
      <c r="G414" t="s">
        <v>784</v>
      </c>
      <c r="H414" t="s">
        <v>138</v>
      </c>
      <c r="I414" t="s">
        <v>1401</v>
      </c>
      <c r="J414">
        <v>38.421495999999998</v>
      </c>
      <c r="K414">
        <v>-83.734424000000004</v>
      </c>
      <c r="L414">
        <v>4952</v>
      </c>
      <c r="M414" s="175" t="str">
        <f>VLOOKUP(L414, '2022 SIC to NAICS'!A:D, 2)</f>
        <v>Manufacturing Industries, Nec</v>
      </c>
      <c r="N414" s="184">
        <f>VLOOKUP(L414, '2022 SIC to NAICS'!A:D, 3)</f>
        <v>339999</v>
      </c>
      <c r="O414" s="184" t="str">
        <f>VLOOKUP(L414, '2022 SIC to NAICS'!A:D, 4)</f>
        <v xml:space="preserve">All Other Miscellaneous Manufacturing </v>
      </c>
      <c r="P414" s="185" t="str">
        <f>VLOOKUP(N414, 'NAICS OES crosswalk'!A:C, 3, FALSE)</f>
        <v>TBD</v>
      </c>
      <c r="T414" s="186" t="s">
        <v>1188</v>
      </c>
      <c r="U414" t="s">
        <v>786</v>
      </c>
      <c r="V414">
        <v>0.29150177500000002</v>
      </c>
      <c r="X414" t="b">
        <f t="shared" si="7"/>
        <v>0</v>
      </c>
      <c r="Y414" s="186" t="s">
        <v>1402</v>
      </c>
      <c r="Z414" t="s">
        <v>1403</v>
      </c>
    </row>
    <row r="415" spans="1:26" x14ac:dyDescent="0.25">
      <c r="A415">
        <v>2021</v>
      </c>
      <c r="B415" t="s">
        <v>1400</v>
      </c>
      <c r="C415" t="s">
        <v>580</v>
      </c>
      <c r="D415" s="1">
        <v>110064134459</v>
      </c>
      <c r="E415" t="s">
        <v>233</v>
      </c>
      <c r="F415" t="s">
        <v>157</v>
      </c>
      <c r="G415" t="s">
        <v>554</v>
      </c>
      <c r="H415" t="s">
        <v>158</v>
      </c>
      <c r="I415" t="s">
        <v>1405</v>
      </c>
      <c r="J415">
        <v>36.075400000000002</v>
      </c>
      <c r="K415">
        <v>-115.1669</v>
      </c>
      <c r="L415">
        <v>4581</v>
      </c>
      <c r="M415" s="175" t="str">
        <f>VLOOKUP(L415, '2022 SIC to NAICS'!A:D, 2)</f>
        <v>Manufacturing Industries, Nec</v>
      </c>
      <c r="N415" s="184">
        <f>VLOOKUP(L415, '2022 SIC to NAICS'!A:D, 3)</f>
        <v>339999</v>
      </c>
      <c r="O415" s="184" t="str">
        <f>VLOOKUP(L415, '2022 SIC to NAICS'!A:D, 4)</f>
        <v xml:space="preserve">All Other Miscellaneous Manufacturing </v>
      </c>
      <c r="P415" s="185" t="str">
        <f>VLOOKUP(N415, 'NAICS OES crosswalk'!A:C, 3, FALSE)</f>
        <v>TBD</v>
      </c>
      <c r="T415">
        <v>150100150704</v>
      </c>
      <c r="U415" t="s">
        <v>581</v>
      </c>
      <c r="V415">
        <v>3.8610785000000002E-3</v>
      </c>
      <c r="X415" t="b">
        <f t="shared" si="7"/>
        <v>0</v>
      </c>
      <c r="Y415" s="186" t="s">
        <v>1402</v>
      </c>
      <c r="Z415" t="s">
        <v>1403</v>
      </c>
    </row>
    <row r="416" spans="1:26" x14ac:dyDescent="0.25">
      <c r="A416">
        <v>2021</v>
      </c>
      <c r="B416" t="s">
        <v>1400</v>
      </c>
      <c r="C416" t="s">
        <v>881</v>
      </c>
      <c r="D416" s="1">
        <v>110000741608</v>
      </c>
      <c r="E416" t="s">
        <v>275</v>
      </c>
      <c r="F416" t="s">
        <v>276</v>
      </c>
      <c r="G416" t="s">
        <v>620</v>
      </c>
      <c r="H416" t="s">
        <v>138</v>
      </c>
      <c r="I416" t="s">
        <v>1401</v>
      </c>
      <c r="J416">
        <v>37.047736999999998</v>
      </c>
      <c r="K416">
        <v>-88.35866</v>
      </c>
      <c r="L416">
        <v>2869</v>
      </c>
      <c r="M416" s="175" t="str">
        <f>VLOOKUP(L416, '2022 SIC to NAICS'!A:D, 2)</f>
        <v>Industrial Organic Chemicals, Nec</v>
      </c>
      <c r="N416" s="184">
        <f>VLOOKUP(L416, '2022 SIC to NAICS'!A:D, 3)</f>
        <v>325180</v>
      </c>
      <c r="O416" s="184" t="str">
        <f>VLOOKUP(L416, '2022 SIC to NAICS'!A:D, 4)</f>
        <v xml:space="preserve">Other Basic Inorganic Chemical Manufacturing </v>
      </c>
      <c r="P416" s="185" t="str">
        <f>VLOOKUP(N416, 'NAICS OES crosswalk'!A:C, 3, FALSE)</f>
        <v>Processing as a reactant</v>
      </c>
      <c r="T416" s="186" t="s">
        <v>1222</v>
      </c>
      <c r="U416" t="s">
        <v>882</v>
      </c>
      <c r="V416">
        <v>8.2026450000000004</v>
      </c>
      <c r="X416" t="b">
        <f t="shared" si="7"/>
        <v>0</v>
      </c>
      <c r="Y416" s="186" t="s">
        <v>1402</v>
      </c>
      <c r="Z416" t="s">
        <v>1403</v>
      </c>
    </row>
    <row r="417" spans="1:26" x14ac:dyDescent="0.25">
      <c r="A417">
        <v>2021</v>
      </c>
      <c r="B417" t="s">
        <v>1400</v>
      </c>
      <c r="C417" t="s">
        <v>851</v>
      </c>
      <c r="D417" s="1">
        <v>110070210457</v>
      </c>
      <c r="E417" t="s">
        <v>191</v>
      </c>
      <c r="F417" t="s">
        <v>192</v>
      </c>
      <c r="G417" t="s">
        <v>731</v>
      </c>
      <c r="H417" t="s">
        <v>153</v>
      </c>
      <c r="I417" t="s">
        <v>1405</v>
      </c>
      <c r="J417">
        <v>39.827696000000003</v>
      </c>
      <c r="K417">
        <v>-75.277782000000002</v>
      </c>
      <c r="L417">
        <v>2869</v>
      </c>
      <c r="M417" s="175" t="str">
        <f>VLOOKUP(L417, '2022 SIC to NAICS'!A:D, 2)</f>
        <v>Industrial Organic Chemicals, Nec</v>
      </c>
      <c r="N417" s="184">
        <f>VLOOKUP(L417, '2022 SIC to NAICS'!A:D, 3)</f>
        <v>325180</v>
      </c>
      <c r="O417" s="184" t="str">
        <f>VLOOKUP(L417, '2022 SIC to NAICS'!A:D, 4)</f>
        <v xml:space="preserve">Other Basic Inorganic Chemical Manufacturing </v>
      </c>
      <c r="P417" s="185" t="str">
        <f>VLOOKUP(N417, 'NAICS OES crosswalk'!A:C, 3, FALSE)</f>
        <v>Processing as a reactant</v>
      </c>
      <c r="T417" s="186" t="s">
        <v>1195</v>
      </c>
      <c r="U417" t="s">
        <v>852</v>
      </c>
      <c r="V417">
        <v>5.6170024525000004E-3</v>
      </c>
      <c r="X417" t="b">
        <f t="shared" si="7"/>
        <v>0</v>
      </c>
      <c r="Y417" s="186" t="s">
        <v>1402</v>
      </c>
      <c r="Z417" t="s">
        <v>1403</v>
      </c>
    </row>
    <row r="418" spans="1:26" x14ac:dyDescent="0.25">
      <c r="A418">
        <v>2021</v>
      </c>
      <c r="B418" t="s">
        <v>1400</v>
      </c>
      <c r="C418" t="s">
        <v>657</v>
      </c>
      <c r="D418" s="1">
        <v>110046184516</v>
      </c>
      <c r="E418" t="s">
        <v>184</v>
      </c>
      <c r="F418" t="s">
        <v>185</v>
      </c>
      <c r="G418" t="s">
        <v>185</v>
      </c>
      <c r="H418" t="s">
        <v>186</v>
      </c>
      <c r="I418" t="s">
        <v>1405</v>
      </c>
      <c r="J418">
        <v>21.352499999999999</v>
      </c>
      <c r="K418">
        <v>-157.95813899999999</v>
      </c>
      <c r="L418">
        <v>3731</v>
      </c>
      <c r="M418" s="175" t="str">
        <f>VLOOKUP(L418, '2022 SIC to NAICS'!A:D, 2)</f>
        <v>Office Machines, Nec</v>
      </c>
      <c r="N418" s="184">
        <f>VLOOKUP(L418, '2022 SIC to NAICS'!A:D, 3)</f>
        <v>339940</v>
      </c>
      <c r="O418" s="184" t="str">
        <f>VLOOKUP(L418, '2022 SIC to NAICS'!A:D, 4)</f>
        <v>Office Supplies (except Paper) Manufacturing</v>
      </c>
      <c r="P418" s="185" t="str">
        <f>VLOOKUP(N418, 'NAICS OES crosswalk'!A:C, 3, FALSE)</f>
        <v>TBD</v>
      </c>
      <c r="T418">
        <v>200600000401</v>
      </c>
      <c r="U418" t="s">
        <v>658</v>
      </c>
      <c r="V418">
        <v>1.0430513749999999</v>
      </c>
      <c r="X418" t="b">
        <f t="shared" si="7"/>
        <v>0</v>
      </c>
      <c r="Y418" t="s">
        <v>1419</v>
      </c>
      <c r="Z418" t="s">
        <v>1403</v>
      </c>
    </row>
    <row r="419" spans="1:26" x14ac:dyDescent="0.25">
      <c r="A419">
        <v>2021</v>
      </c>
      <c r="B419" t="s">
        <v>1400</v>
      </c>
      <c r="C419" t="s">
        <v>687</v>
      </c>
      <c r="D419" s="1">
        <v>110000613685</v>
      </c>
      <c r="E419" t="s">
        <v>370</v>
      </c>
      <c r="F419" t="s">
        <v>175</v>
      </c>
      <c r="G419" t="s">
        <v>630</v>
      </c>
      <c r="H419" t="s">
        <v>106</v>
      </c>
      <c r="I419" t="s">
        <v>1405</v>
      </c>
      <c r="J419">
        <v>30.321895000000001</v>
      </c>
      <c r="K419">
        <v>-93.300735000000003</v>
      </c>
      <c r="L419">
        <v>4953</v>
      </c>
      <c r="M419" s="175" t="str">
        <f>VLOOKUP(L419, '2022 SIC to NAICS'!A:D, 2)</f>
        <v>Manufacturing Industries, Nec</v>
      </c>
      <c r="N419" s="184">
        <f>VLOOKUP(L419, '2022 SIC to NAICS'!A:D, 3)</f>
        <v>339999</v>
      </c>
      <c r="O419" s="184" t="str">
        <f>VLOOKUP(L419, '2022 SIC to NAICS'!A:D, 4)</f>
        <v xml:space="preserve">All Other Miscellaneous Manufacturing </v>
      </c>
      <c r="P419" s="185" t="str">
        <f>VLOOKUP(N419, 'NAICS OES crosswalk'!A:C, 3, FALSE)</f>
        <v>TBD</v>
      </c>
      <c r="T419" s="186" t="s">
        <v>1254</v>
      </c>
      <c r="U419" t="s">
        <v>688</v>
      </c>
      <c r="V419">
        <v>7.9437687500000007E-2</v>
      </c>
      <c r="X419" t="b">
        <f t="shared" si="7"/>
        <v>0</v>
      </c>
      <c r="Y419" s="186" t="s">
        <v>1418</v>
      </c>
      <c r="Z419" t="s">
        <v>1403</v>
      </c>
    </row>
    <row r="420" spans="1:26" x14ac:dyDescent="0.25">
      <c r="A420">
        <v>2021</v>
      </c>
      <c r="B420" t="s">
        <v>1400</v>
      </c>
      <c r="C420" t="s">
        <v>602</v>
      </c>
      <c r="D420" s="1">
        <v>110000378467</v>
      </c>
      <c r="E420" t="s">
        <v>234</v>
      </c>
      <c r="F420" t="s">
        <v>235</v>
      </c>
      <c r="G420" t="s">
        <v>600</v>
      </c>
      <c r="H420" t="s">
        <v>138</v>
      </c>
      <c r="I420" t="s">
        <v>1401</v>
      </c>
      <c r="J420">
        <v>38.195278000000002</v>
      </c>
      <c r="K420">
        <v>-85.872221999999994</v>
      </c>
      <c r="L420">
        <v>2869</v>
      </c>
      <c r="M420" s="175" t="str">
        <f>VLOOKUP(L420, '2022 SIC to NAICS'!A:D, 2)</f>
        <v>Industrial Organic Chemicals, Nec</v>
      </c>
      <c r="N420" s="184">
        <f>VLOOKUP(L420, '2022 SIC to NAICS'!A:D, 3)</f>
        <v>325180</v>
      </c>
      <c r="O420" s="184" t="str">
        <f>VLOOKUP(L420, '2022 SIC to NAICS'!A:D, 4)</f>
        <v xml:space="preserve">Other Basic Inorganic Chemical Manufacturing </v>
      </c>
      <c r="P420" s="185" t="str">
        <f>VLOOKUP(N420, 'NAICS OES crosswalk'!A:C, 3, FALSE)</f>
        <v>Processing as a reactant</v>
      </c>
      <c r="T420" s="186" t="s">
        <v>1205</v>
      </c>
      <c r="U420" t="s">
        <v>603</v>
      </c>
      <c r="V420">
        <v>0.24856500000000001</v>
      </c>
      <c r="X420" t="b">
        <f t="shared" si="7"/>
        <v>0</v>
      </c>
      <c r="Y420" s="186" t="s">
        <v>1402</v>
      </c>
      <c r="Z420" t="s">
        <v>1403</v>
      </c>
    </row>
    <row r="421" spans="1:26" x14ac:dyDescent="0.25">
      <c r="A421">
        <v>2021</v>
      </c>
      <c r="B421" t="s">
        <v>1400</v>
      </c>
      <c r="C421" t="s">
        <v>1059</v>
      </c>
      <c r="D421" s="1">
        <v>110008476327</v>
      </c>
      <c r="E421" t="s">
        <v>266</v>
      </c>
      <c r="F421" t="s">
        <v>267</v>
      </c>
      <c r="G421" t="s">
        <v>1057</v>
      </c>
      <c r="H421" t="s">
        <v>268</v>
      </c>
      <c r="I421" t="s">
        <v>1405</v>
      </c>
      <c r="J421">
        <v>41.452778000000002</v>
      </c>
      <c r="K421">
        <v>-79.690278000000006</v>
      </c>
      <c r="L421">
        <v>2865</v>
      </c>
      <c r="M421" s="175" t="str">
        <f>VLOOKUP(L421, '2022 SIC to NAICS'!A:D, 2)</f>
        <v>Platemaking Services</v>
      </c>
      <c r="N421" s="184">
        <f>VLOOKUP(L421, '2022 SIC to NAICS'!A:D, 3)</f>
        <v>323120</v>
      </c>
      <c r="O421" s="184" t="str">
        <f>VLOOKUP(L421, '2022 SIC to NAICS'!A:D, 4)</f>
        <v>Support Activities for Printing</v>
      </c>
      <c r="P421" s="185" t="str">
        <f>VLOOKUP(N421, 'NAICS OES crosswalk'!A:C, 3, FALSE)</f>
        <v>TBD</v>
      </c>
      <c r="T421" s="186" t="s">
        <v>1219</v>
      </c>
      <c r="U421" t="s">
        <v>1060</v>
      </c>
      <c r="V421">
        <v>1.077115E-2</v>
      </c>
      <c r="X421" t="b">
        <f t="shared" si="7"/>
        <v>0</v>
      </c>
      <c r="Y421" s="186" t="s">
        <v>1402</v>
      </c>
      <c r="Z421" t="s">
        <v>1403</v>
      </c>
    </row>
    <row r="422" spans="1:26" x14ac:dyDescent="0.25">
      <c r="A422">
        <v>2021</v>
      </c>
      <c r="B422" t="s">
        <v>1400</v>
      </c>
      <c r="C422" t="s">
        <v>716</v>
      </c>
      <c r="D422" s="1">
        <v>110027858432</v>
      </c>
      <c r="E422" t="s">
        <v>473</v>
      </c>
      <c r="F422" t="s">
        <v>474</v>
      </c>
      <c r="G422" t="s">
        <v>701</v>
      </c>
      <c r="H422" t="s">
        <v>146</v>
      </c>
      <c r="I422" t="s">
        <v>1405</v>
      </c>
      <c r="J422">
        <v>37.908380000000001</v>
      </c>
      <c r="K422">
        <v>-120.61605</v>
      </c>
      <c r="L422">
        <v>4952</v>
      </c>
      <c r="M422" s="175" t="str">
        <f>VLOOKUP(L422, '2022 SIC to NAICS'!A:D, 2)</f>
        <v>Manufacturing Industries, Nec</v>
      </c>
      <c r="N422" s="184">
        <f>VLOOKUP(L422, '2022 SIC to NAICS'!A:D, 3)</f>
        <v>339999</v>
      </c>
      <c r="O422" s="184" t="str">
        <f>VLOOKUP(L422, '2022 SIC to NAICS'!A:D, 4)</f>
        <v xml:space="preserve">All Other Miscellaneous Manufacturing </v>
      </c>
      <c r="P422" s="185" t="str">
        <f>VLOOKUP(N422, 'NAICS OES crosswalk'!A:C, 3, FALSE)</f>
        <v>TBD</v>
      </c>
      <c r="T422">
        <v>180400510203</v>
      </c>
      <c r="U422" t="s">
        <v>717</v>
      </c>
      <c r="V422">
        <v>0.16820066875</v>
      </c>
      <c r="X422" t="b">
        <f t="shared" si="7"/>
        <v>0</v>
      </c>
      <c r="Y422" s="186" t="s">
        <v>1402</v>
      </c>
      <c r="Z422" t="s">
        <v>1403</v>
      </c>
    </row>
    <row r="423" spans="1:26" x14ac:dyDescent="0.25">
      <c r="A423">
        <v>2021</v>
      </c>
      <c r="B423" t="s">
        <v>1400</v>
      </c>
      <c r="C423" t="s">
        <v>1091</v>
      </c>
      <c r="D423" s="1">
        <v>110056972432</v>
      </c>
      <c r="E423" t="s">
        <v>193</v>
      </c>
      <c r="F423" t="s">
        <v>194</v>
      </c>
      <c r="G423" t="s">
        <v>1087</v>
      </c>
      <c r="H423" t="s">
        <v>106</v>
      </c>
      <c r="I423" t="s">
        <v>1401</v>
      </c>
      <c r="J423">
        <v>30.250833</v>
      </c>
      <c r="K423">
        <v>-91.092277999999993</v>
      </c>
      <c r="L423">
        <v>2869</v>
      </c>
      <c r="M423" s="175" t="str">
        <f>VLOOKUP(L423, '2022 SIC to NAICS'!A:D, 2)</f>
        <v>Industrial Organic Chemicals, Nec</v>
      </c>
      <c r="N423" s="184">
        <f>VLOOKUP(L423, '2022 SIC to NAICS'!A:D, 3)</f>
        <v>325180</v>
      </c>
      <c r="O423" s="184" t="str">
        <f>VLOOKUP(L423, '2022 SIC to NAICS'!A:D, 4)</f>
        <v xml:space="preserve">Other Basic Inorganic Chemical Manufacturing </v>
      </c>
      <c r="P423" s="185" t="str">
        <f>VLOOKUP(N423, 'NAICS OES crosswalk'!A:C, 3, FALSE)</f>
        <v>Processing as a reactant</v>
      </c>
      <c r="T423" s="186" t="s">
        <v>1196</v>
      </c>
      <c r="U423" t="s">
        <v>1090</v>
      </c>
      <c r="V423">
        <v>0.414275</v>
      </c>
      <c r="X423" t="b">
        <f t="shared" si="7"/>
        <v>0</v>
      </c>
      <c r="Y423" s="186" t="s">
        <v>1402</v>
      </c>
      <c r="Z423" t="s">
        <v>1403</v>
      </c>
    </row>
    <row r="424" spans="1:26" x14ac:dyDescent="0.25">
      <c r="A424">
        <v>2021</v>
      </c>
      <c r="B424" t="s">
        <v>1400</v>
      </c>
      <c r="C424" t="s">
        <v>920</v>
      </c>
      <c r="D424" s="1">
        <v>110000557013</v>
      </c>
      <c r="E424" t="s">
        <v>421</v>
      </c>
      <c r="F424" t="s">
        <v>422</v>
      </c>
      <c r="G424" t="s">
        <v>919</v>
      </c>
      <c r="H424" t="s">
        <v>138</v>
      </c>
      <c r="I424" t="s">
        <v>1401</v>
      </c>
      <c r="J424">
        <v>37.106380000000001</v>
      </c>
      <c r="K424">
        <v>-84.066829999999996</v>
      </c>
      <c r="L424">
        <v>4952</v>
      </c>
      <c r="M424" s="175" t="str">
        <f>VLOOKUP(L424, '2022 SIC to NAICS'!A:D, 2)</f>
        <v>Manufacturing Industries, Nec</v>
      </c>
      <c r="N424" s="184">
        <f>VLOOKUP(L424, '2022 SIC to NAICS'!A:D, 3)</f>
        <v>339999</v>
      </c>
      <c r="O424" s="184" t="str">
        <f>VLOOKUP(L424, '2022 SIC to NAICS'!A:D, 4)</f>
        <v xml:space="preserve">All Other Miscellaneous Manufacturing </v>
      </c>
      <c r="P424" s="185" t="str">
        <f>VLOOKUP(N424, 'NAICS OES crosswalk'!A:C, 3, FALSE)</f>
        <v>TBD</v>
      </c>
      <c r="T424" s="186" t="s">
        <v>1270</v>
      </c>
      <c r="U424" t="s">
        <v>921</v>
      </c>
      <c r="V424">
        <v>2.1586328125000001</v>
      </c>
      <c r="X424" t="b">
        <f t="shared" si="7"/>
        <v>0</v>
      </c>
      <c r="Y424" s="186" t="s">
        <v>1402</v>
      </c>
      <c r="Z424" t="s">
        <v>1403</v>
      </c>
    </row>
    <row r="425" spans="1:26" x14ac:dyDescent="0.25">
      <c r="A425">
        <v>2021</v>
      </c>
      <c r="B425" t="s">
        <v>1400</v>
      </c>
      <c r="C425" t="s">
        <v>833</v>
      </c>
      <c r="D425" s="1">
        <v>110039757992</v>
      </c>
      <c r="E425" t="s">
        <v>475</v>
      </c>
      <c r="F425" t="s">
        <v>476</v>
      </c>
      <c r="G425" t="s">
        <v>728</v>
      </c>
      <c r="H425" t="s">
        <v>146</v>
      </c>
      <c r="I425" t="s">
        <v>1401</v>
      </c>
      <c r="J425">
        <v>38.730832999999997</v>
      </c>
      <c r="K425">
        <v>-120.846667</v>
      </c>
      <c r="L425">
        <v>4952</v>
      </c>
      <c r="M425" s="175" t="str">
        <f>VLOOKUP(L425, '2022 SIC to NAICS'!A:D, 2)</f>
        <v>Manufacturing Industries, Nec</v>
      </c>
      <c r="N425" s="184">
        <f>VLOOKUP(L425, '2022 SIC to NAICS'!A:D, 3)</f>
        <v>339999</v>
      </c>
      <c r="O425" s="184" t="str">
        <f>VLOOKUP(L425, '2022 SIC to NAICS'!A:D, 4)</f>
        <v xml:space="preserve">All Other Miscellaneous Manufacturing </v>
      </c>
      <c r="P425" s="185" t="str">
        <f>VLOOKUP(N425, 'NAICS OES crosswalk'!A:C, 3, FALSE)</f>
        <v>TBD</v>
      </c>
      <c r="T425">
        <v>180201290603</v>
      </c>
      <c r="U425" t="s">
        <v>834</v>
      </c>
      <c r="V425">
        <v>7.1705462400000003E-2</v>
      </c>
      <c r="X425" t="b">
        <f t="shared" si="7"/>
        <v>0</v>
      </c>
      <c r="Y425" s="186" t="s">
        <v>1402</v>
      </c>
      <c r="Z425" t="s">
        <v>1403</v>
      </c>
    </row>
    <row r="426" spans="1:26" x14ac:dyDescent="0.25">
      <c r="A426">
        <v>2021</v>
      </c>
      <c r="B426" t="s">
        <v>1400</v>
      </c>
      <c r="C426" t="s">
        <v>702</v>
      </c>
      <c r="D426" s="1">
        <v>110030437524</v>
      </c>
      <c r="E426" t="s">
        <v>477</v>
      </c>
      <c r="F426" t="s">
        <v>478</v>
      </c>
      <c r="G426" t="s">
        <v>701</v>
      </c>
      <c r="H426" t="s">
        <v>146</v>
      </c>
      <c r="I426" t="s">
        <v>1405</v>
      </c>
      <c r="J426">
        <v>38.060360000000003</v>
      </c>
      <c r="K426">
        <v>-120.53995999999999</v>
      </c>
      <c r="L426">
        <v>4952</v>
      </c>
      <c r="M426" s="175" t="str">
        <f>VLOOKUP(L426, '2022 SIC to NAICS'!A:D, 2)</f>
        <v>Manufacturing Industries, Nec</v>
      </c>
      <c r="N426" s="184">
        <f>VLOOKUP(L426, '2022 SIC to NAICS'!A:D, 3)</f>
        <v>339999</v>
      </c>
      <c r="O426" s="184" t="str">
        <f>VLOOKUP(L426, '2022 SIC to NAICS'!A:D, 4)</f>
        <v xml:space="preserve">All Other Miscellaneous Manufacturing </v>
      </c>
      <c r="P426" s="185" t="str">
        <f>VLOOKUP(N426, 'NAICS OES crosswalk'!A:C, 3, FALSE)</f>
        <v>TBD</v>
      </c>
      <c r="T426">
        <v>180400100604</v>
      </c>
      <c r="U426" t="s">
        <v>703</v>
      </c>
      <c r="V426">
        <v>3.3018447499999999E-2</v>
      </c>
      <c r="X426" t="b">
        <f t="shared" si="7"/>
        <v>0</v>
      </c>
      <c r="Y426" s="186" t="s">
        <v>1402</v>
      </c>
      <c r="Z426" t="s">
        <v>1403</v>
      </c>
    </row>
    <row r="427" spans="1:26" x14ac:dyDescent="0.25">
      <c r="A427">
        <v>2021</v>
      </c>
      <c r="B427" t="s">
        <v>1400</v>
      </c>
      <c r="C427" t="s">
        <v>1142</v>
      </c>
      <c r="D427" s="1">
        <v>110045091379</v>
      </c>
      <c r="E427" t="s">
        <v>427</v>
      </c>
      <c r="F427" t="s">
        <v>428</v>
      </c>
      <c r="G427" t="s">
        <v>1141</v>
      </c>
      <c r="H427" t="s">
        <v>138</v>
      </c>
      <c r="I427" t="s">
        <v>1401</v>
      </c>
      <c r="J427">
        <v>38.631208000000001</v>
      </c>
      <c r="K427">
        <v>-84.618809999999996</v>
      </c>
      <c r="L427">
        <v>4952</v>
      </c>
      <c r="M427" s="175" t="str">
        <f>VLOOKUP(L427, '2022 SIC to NAICS'!A:D, 2)</f>
        <v>Manufacturing Industries, Nec</v>
      </c>
      <c r="N427" s="184">
        <f>VLOOKUP(L427, '2022 SIC to NAICS'!A:D, 3)</f>
        <v>339999</v>
      </c>
      <c r="O427" s="184" t="str">
        <f>VLOOKUP(L427, '2022 SIC to NAICS'!A:D, 4)</f>
        <v xml:space="preserve">All Other Miscellaneous Manufacturing </v>
      </c>
      <c r="P427" s="185" t="str">
        <f>VLOOKUP(N427, 'NAICS OES crosswalk'!A:C, 3, FALSE)</f>
        <v>TBD</v>
      </c>
      <c r="T427" s="186" t="s">
        <v>1271</v>
      </c>
      <c r="U427" t="s">
        <v>1143</v>
      </c>
      <c r="V427">
        <v>4.5452172500000003</v>
      </c>
      <c r="X427" t="b">
        <f t="shared" si="7"/>
        <v>0</v>
      </c>
      <c r="Y427" s="186" t="s">
        <v>1402</v>
      </c>
      <c r="Z427" t="s">
        <v>1403</v>
      </c>
    </row>
    <row r="428" spans="1:26" x14ac:dyDescent="0.25">
      <c r="A428">
        <v>2021</v>
      </c>
      <c r="B428" t="s">
        <v>1400</v>
      </c>
      <c r="C428" t="s">
        <v>1139</v>
      </c>
      <c r="D428" s="1">
        <v>110006751737</v>
      </c>
      <c r="E428" t="s">
        <v>317</v>
      </c>
      <c r="F428" t="s">
        <v>318</v>
      </c>
      <c r="G428" t="s">
        <v>1138</v>
      </c>
      <c r="H428" t="s">
        <v>138</v>
      </c>
      <c r="I428" t="s">
        <v>1401</v>
      </c>
      <c r="J428">
        <v>36.747222000000001</v>
      </c>
      <c r="K428">
        <v>-84.171943999999996</v>
      </c>
      <c r="L428">
        <v>4952</v>
      </c>
      <c r="M428" s="175" t="str">
        <f>VLOOKUP(L428, '2022 SIC to NAICS'!A:D, 2)</f>
        <v>Manufacturing Industries, Nec</v>
      </c>
      <c r="N428" s="184">
        <f>VLOOKUP(L428, '2022 SIC to NAICS'!A:D, 3)</f>
        <v>339999</v>
      </c>
      <c r="O428" s="184" t="str">
        <f>VLOOKUP(L428, '2022 SIC to NAICS'!A:D, 4)</f>
        <v xml:space="preserve">All Other Miscellaneous Manufacturing </v>
      </c>
      <c r="P428" s="185" t="str">
        <f>VLOOKUP(N428, 'NAICS OES crosswalk'!A:C, 3, FALSE)</f>
        <v>TBD</v>
      </c>
      <c r="T428" s="186" t="s">
        <v>1238</v>
      </c>
      <c r="U428" t="s">
        <v>1140</v>
      </c>
      <c r="V428">
        <v>4.3379884999999998</v>
      </c>
      <c r="X428" t="b">
        <f t="shared" si="7"/>
        <v>0</v>
      </c>
      <c r="Y428" s="186" t="s">
        <v>1402</v>
      </c>
      <c r="Z428" t="s">
        <v>1403</v>
      </c>
    </row>
    <row r="429" spans="1:26" x14ac:dyDescent="0.25">
      <c r="A429">
        <v>2021</v>
      </c>
      <c r="B429" t="s">
        <v>1400</v>
      </c>
      <c r="C429" t="s">
        <v>577</v>
      </c>
      <c r="D429" s="1">
        <v>110008995490</v>
      </c>
      <c r="E429" t="s">
        <v>301</v>
      </c>
      <c r="F429" t="s">
        <v>157</v>
      </c>
      <c r="G429" t="s">
        <v>575</v>
      </c>
      <c r="H429" t="s">
        <v>158</v>
      </c>
      <c r="I429" t="s">
        <v>1405</v>
      </c>
      <c r="J429">
        <v>36.176639999999999</v>
      </c>
      <c r="K429">
        <v>-115.12891999999999</v>
      </c>
      <c r="L429">
        <v>6513</v>
      </c>
      <c r="M429" s="175" t="str">
        <f>VLOOKUP(L429, '2022 SIC to NAICS'!A:D, 2)</f>
        <v>Communication Services, Nec</v>
      </c>
      <c r="N429" s="184">
        <f>VLOOKUP(L429, '2022 SIC to NAICS'!A:D, 3)</f>
        <v>517810</v>
      </c>
      <c r="O429" s="184" t="str">
        <f>VLOOKUP(L429, '2022 SIC to NAICS'!A:D, 4)</f>
        <v xml:space="preserve">All Other Telecommunications </v>
      </c>
      <c r="P429" s="185" t="str">
        <f>VLOOKUP(N429, 'NAICS OES crosswalk'!A:C, 3, FALSE)</f>
        <v>TBD</v>
      </c>
      <c r="T429">
        <v>150100150604</v>
      </c>
      <c r="U429" t="s">
        <v>578</v>
      </c>
      <c r="V429">
        <v>5.8714812500000003E-3</v>
      </c>
      <c r="X429" t="b">
        <f t="shared" si="7"/>
        <v>0</v>
      </c>
      <c r="Y429" s="186" t="s">
        <v>1402</v>
      </c>
      <c r="Z429" t="s">
        <v>1403</v>
      </c>
    </row>
    <row r="430" spans="1:26" x14ac:dyDescent="0.25">
      <c r="A430">
        <v>2021</v>
      </c>
      <c r="B430" t="s">
        <v>1400</v>
      </c>
      <c r="C430" t="s">
        <v>675</v>
      </c>
      <c r="D430" s="1">
        <v>110002043217</v>
      </c>
      <c r="E430" t="s">
        <v>479</v>
      </c>
      <c r="F430" t="s">
        <v>480</v>
      </c>
      <c r="G430" t="s">
        <v>566</v>
      </c>
      <c r="H430" t="s">
        <v>146</v>
      </c>
      <c r="I430" t="s">
        <v>1401</v>
      </c>
      <c r="J430">
        <v>33.147531999999998</v>
      </c>
      <c r="K430">
        <v>-115.54533000000001</v>
      </c>
      <c r="L430">
        <v>4952</v>
      </c>
      <c r="M430" s="175" t="str">
        <f>VLOOKUP(L430, '2022 SIC to NAICS'!A:D, 2)</f>
        <v>Manufacturing Industries, Nec</v>
      </c>
      <c r="N430" s="184">
        <f>VLOOKUP(L430, '2022 SIC to NAICS'!A:D, 3)</f>
        <v>339999</v>
      </c>
      <c r="O430" s="184" t="str">
        <f>VLOOKUP(L430, '2022 SIC to NAICS'!A:D, 4)</f>
        <v xml:space="preserve">All Other Miscellaneous Manufacturing </v>
      </c>
      <c r="P430" s="185" t="str">
        <f>VLOOKUP(N430, 'NAICS OES crosswalk'!A:C, 3, FALSE)</f>
        <v>TBD</v>
      </c>
      <c r="T430">
        <v>181002040707</v>
      </c>
      <c r="U430" t="s">
        <v>676</v>
      </c>
      <c r="V430">
        <v>3.8959005000000001E-3</v>
      </c>
      <c r="X430" t="b">
        <f t="shared" si="7"/>
        <v>0</v>
      </c>
      <c r="Y430" s="186" t="s">
        <v>1402</v>
      </c>
      <c r="Z430" t="s">
        <v>1403</v>
      </c>
    </row>
    <row r="431" spans="1:26" x14ac:dyDescent="0.25">
      <c r="A431">
        <v>2021</v>
      </c>
      <c r="B431" t="s">
        <v>1400</v>
      </c>
      <c r="C431" t="s">
        <v>856</v>
      </c>
      <c r="D431" s="1">
        <v>110000732271</v>
      </c>
      <c r="E431" t="s">
        <v>327</v>
      </c>
      <c r="F431" t="s">
        <v>235</v>
      </c>
      <c r="G431" t="s">
        <v>600</v>
      </c>
      <c r="H431" t="s">
        <v>138</v>
      </c>
      <c r="I431" t="s">
        <v>1401</v>
      </c>
      <c r="J431">
        <v>38.322221999999996</v>
      </c>
      <c r="K431">
        <v>-85.555000000000007</v>
      </c>
      <c r="L431">
        <v>4952</v>
      </c>
      <c r="M431" s="175" t="str">
        <f>VLOOKUP(L431, '2022 SIC to NAICS'!A:D, 2)</f>
        <v>Manufacturing Industries, Nec</v>
      </c>
      <c r="N431" s="184">
        <f>VLOOKUP(L431, '2022 SIC to NAICS'!A:D, 3)</f>
        <v>339999</v>
      </c>
      <c r="O431" s="184" t="str">
        <f>VLOOKUP(L431, '2022 SIC to NAICS'!A:D, 4)</f>
        <v xml:space="preserve">All Other Miscellaneous Manufacturing </v>
      </c>
      <c r="P431" s="185" t="str">
        <f>VLOOKUP(N431, 'NAICS OES crosswalk'!A:C, 3, FALSE)</f>
        <v>TBD</v>
      </c>
      <c r="T431" s="186" t="s">
        <v>1241</v>
      </c>
      <c r="U431" t="s">
        <v>857</v>
      </c>
      <c r="V431">
        <v>14.702879812500001</v>
      </c>
      <c r="X431" t="b">
        <f t="shared" si="7"/>
        <v>0</v>
      </c>
      <c r="Y431" s="186" t="s">
        <v>1402</v>
      </c>
      <c r="Z431" t="s">
        <v>1403</v>
      </c>
    </row>
    <row r="432" spans="1:26" x14ac:dyDescent="0.25">
      <c r="A432">
        <v>2021</v>
      </c>
      <c r="B432" t="s">
        <v>1400</v>
      </c>
      <c r="C432" t="s">
        <v>776</v>
      </c>
      <c r="D432" s="1">
        <v>110000734616</v>
      </c>
      <c r="E432" t="s">
        <v>481</v>
      </c>
      <c r="F432" t="s">
        <v>482</v>
      </c>
      <c r="G432" t="s">
        <v>775</v>
      </c>
      <c r="H432" t="s">
        <v>158</v>
      </c>
      <c r="I432" t="s">
        <v>1401</v>
      </c>
      <c r="J432">
        <v>39.463894000000003</v>
      </c>
      <c r="K432">
        <v>-118.75532800000001</v>
      </c>
      <c r="L432">
        <v>4952</v>
      </c>
      <c r="M432" s="175" t="str">
        <f>VLOOKUP(L432, '2022 SIC to NAICS'!A:D, 2)</f>
        <v>Manufacturing Industries, Nec</v>
      </c>
      <c r="N432" s="184">
        <f>VLOOKUP(L432, '2022 SIC to NAICS'!A:D, 3)</f>
        <v>339999</v>
      </c>
      <c r="O432" s="184" t="str">
        <f>VLOOKUP(L432, '2022 SIC to NAICS'!A:D, 4)</f>
        <v xml:space="preserve">All Other Miscellaneous Manufacturing </v>
      </c>
      <c r="P432" s="185" t="str">
        <f>VLOOKUP(N432, 'NAICS OES crosswalk'!A:C, 3, FALSE)</f>
        <v>TBD</v>
      </c>
      <c r="T432">
        <v>160502030306</v>
      </c>
      <c r="U432" t="s">
        <v>777</v>
      </c>
      <c r="V432">
        <v>3.5919650000000001</v>
      </c>
      <c r="X432" t="b">
        <f t="shared" si="7"/>
        <v>0</v>
      </c>
      <c r="Y432" s="186" t="s">
        <v>1402</v>
      </c>
      <c r="Z432" t="s">
        <v>1403</v>
      </c>
    </row>
    <row r="433" spans="1:26" x14ac:dyDescent="0.25">
      <c r="A433">
        <v>2021</v>
      </c>
      <c r="B433" t="s">
        <v>1400</v>
      </c>
      <c r="C433" t="s">
        <v>1008</v>
      </c>
      <c r="D433" s="1">
        <v>110041133163</v>
      </c>
      <c r="E433" t="s">
        <v>310</v>
      </c>
      <c r="F433" t="s">
        <v>311</v>
      </c>
      <c r="G433" t="s">
        <v>950</v>
      </c>
      <c r="H433" t="s">
        <v>153</v>
      </c>
      <c r="I433" t="s">
        <v>1401</v>
      </c>
      <c r="J433">
        <v>40.640135000000001</v>
      </c>
      <c r="K433">
        <v>-74.218879999999999</v>
      </c>
      <c r="L433">
        <v>2911</v>
      </c>
      <c r="M433" s="175" t="str">
        <f>VLOOKUP(L433, '2022 SIC to NAICS'!A:D, 2)</f>
        <v>Explosives</v>
      </c>
      <c r="N433" s="184">
        <f>VLOOKUP(L433, '2022 SIC to NAICS'!A:D, 3)</f>
        <v>325920</v>
      </c>
      <c r="O433" s="184" t="str">
        <f>VLOOKUP(L433, '2022 SIC to NAICS'!A:D, 4)</f>
        <v>Explosives Manufacturing</v>
      </c>
      <c r="P433" s="185" t="str">
        <f>VLOOKUP(N433, 'NAICS OES crosswalk'!A:C, 3, FALSE)</f>
        <v>TBD</v>
      </c>
      <c r="T433" s="186" t="s">
        <v>1236</v>
      </c>
      <c r="U433" t="s">
        <v>1009</v>
      </c>
      <c r="V433">
        <v>1.845</v>
      </c>
      <c r="X433" t="b">
        <f t="shared" si="7"/>
        <v>0</v>
      </c>
      <c r="Y433" s="186" t="s">
        <v>1404</v>
      </c>
      <c r="Z433" t="s">
        <v>1403</v>
      </c>
    </row>
    <row r="434" spans="1:26" x14ac:dyDescent="0.25">
      <c r="A434">
        <v>2021</v>
      </c>
      <c r="B434" t="s">
        <v>1400</v>
      </c>
      <c r="C434" t="s">
        <v>1117</v>
      </c>
      <c r="D434" s="1">
        <v>110004306938</v>
      </c>
      <c r="E434" t="s">
        <v>156</v>
      </c>
      <c r="F434" t="s">
        <v>157</v>
      </c>
      <c r="G434" t="s">
        <v>575</v>
      </c>
      <c r="H434" t="s">
        <v>158</v>
      </c>
      <c r="I434" t="s">
        <v>1405</v>
      </c>
      <c r="J434">
        <v>36.122100000000003</v>
      </c>
      <c r="K434">
        <v>-115.17139</v>
      </c>
      <c r="L434">
        <v>7011</v>
      </c>
      <c r="M434" s="175" t="str">
        <f>VLOOKUP(L434, '2022 SIC to NAICS'!A:D, 2)</f>
        <v>Communication Services, Nec</v>
      </c>
      <c r="N434" s="184">
        <f>VLOOKUP(L434, '2022 SIC to NAICS'!A:D, 3)</f>
        <v>517810</v>
      </c>
      <c r="O434" s="184" t="str">
        <f>VLOOKUP(L434, '2022 SIC to NAICS'!A:D, 4)</f>
        <v xml:space="preserve">All Other Telecommunications </v>
      </c>
      <c r="P434" s="185" t="str">
        <f>VLOOKUP(N434, 'NAICS OES crosswalk'!A:C, 3, FALSE)</f>
        <v>TBD</v>
      </c>
      <c r="T434">
        <v>150100150604</v>
      </c>
      <c r="U434" t="s">
        <v>578</v>
      </c>
      <c r="V434">
        <v>0.16635633287500001</v>
      </c>
      <c r="X434" t="b">
        <f t="shared" ref="X434:X463" si="8">V434 &lt;= _xlfn.PERCENTILE.INC($V$305:$V$463, 0.1)</f>
        <v>0</v>
      </c>
      <c r="Y434" s="186" t="s">
        <v>1406</v>
      </c>
      <c r="Z434" t="s">
        <v>1403</v>
      </c>
    </row>
    <row r="435" spans="1:26" x14ac:dyDescent="0.25">
      <c r="A435">
        <v>2021</v>
      </c>
      <c r="B435" t="s">
        <v>1400</v>
      </c>
      <c r="C435" t="s">
        <v>1094</v>
      </c>
      <c r="D435" s="1">
        <v>110000373621</v>
      </c>
      <c r="E435" t="s">
        <v>458</v>
      </c>
      <c r="F435" t="s">
        <v>459</v>
      </c>
      <c r="G435" t="s">
        <v>1092</v>
      </c>
      <c r="H435" t="s">
        <v>309</v>
      </c>
      <c r="I435" t="s">
        <v>1405</v>
      </c>
      <c r="J435">
        <v>35.607599999999998</v>
      </c>
      <c r="K435">
        <v>-89.237700000000004</v>
      </c>
      <c r="L435">
        <v>3087</v>
      </c>
      <c r="M435" s="175" t="str">
        <f>VLOOKUP(L435, '2022 SIC to NAICS'!A:D, 2)</f>
        <v>Custom Compound Purchased Resins</v>
      </c>
      <c r="N435" s="184">
        <f>VLOOKUP(L435, '2022 SIC to NAICS'!A:D, 3)</f>
        <v>325991</v>
      </c>
      <c r="O435" s="184" t="str">
        <f>VLOOKUP(L435, '2022 SIC to NAICS'!A:D, 4)</f>
        <v xml:space="preserve">Custom Compounding of Purchased Resins </v>
      </c>
      <c r="P435" s="185" t="str">
        <f>VLOOKUP(N435, 'NAICS OES crosswalk'!A:C, 3, FALSE)</f>
        <v>TBD</v>
      </c>
      <c r="T435" s="186" t="s">
        <v>1279</v>
      </c>
      <c r="U435" t="s">
        <v>1095</v>
      </c>
      <c r="V435">
        <v>0.70803156249999999</v>
      </c>
      <c r="X435" t="b">
        <f t="shared" si="8"/>
        <v>0</v>
      </c>
      <c r="Y435" s="186" t="s">
        <v>1404</v>
      </c>
      <c r="Z435" t="s">
        <v>1403</v>
      </c>
    </row>
    <row r="436" spans="1:26" x14ac:dyDescent="0.25">
      <c r="A436">
        <v>2021</v>
      </c>
      <c r="B436" t="s">
        <v>1400</v>
      </c>
      <c r="C436" t="s">
        <v>974</v>
      </c>
      <c r="D436" s="1">
        <v>110000547196</v>
      </c>
      <c r="E436" t="s">
        <v>329</v>
      </c>
      <c r="F436" t="s">
        <v>224</v>
      </c>
      <c r="G436" t="s">
        <v>973</v>
      </c>
      <c r="H436" t="s">
        <v>141</v>
      </c>
      <c r="I436" t="s">
        <v>1405</v>
      </c>
      <c r="J436">
        <v>41.405655000000003</v>
      </c>
      <c r="K436">
        <v>-88.335212999999996</v>
      </c>
      <c r="L436">
        <v>2869</v>
      </c>
      <c r="M436" s="175" t="str">
        <f>VLOOKUP(L436, '2022 SIC to NAICS'!A:D, 2)</f>
        <v>Industrial Organic Chemicals, Nec</v>
      </c>
      <c r="N436" s="184">
        <f>VLOOKUP(L436, '2022 SIC to NAICS'!A:D, 3)</f>
        <v>325180</v>
      </c>
      <c r="O436" s="184" t="str">
        <f>VLOOKUP(L436, '2022 SIC to NAICS'!A:D, 4)</f>
        <v xml:space="preserve">Other Basic Inorganic Chemical Manufacturing </v>
      </c>
      <c r="P436" s="185" t="str">
        <f>VLOOKUP(N436, 'NAICS OES crosswalk'!A:C, 3, FALSE)</f>
        <v>Processing as a reactant</v>
      </c>
      <c r="T436" s="186" t="s">
        <v>1202</v>
      </c>
      <c r="U436" t="s">
        <v>773</v>
      </c>
      <c r="V436">
        <v>9.4559119999999997E-2</v>
      </c>
      <c r="X436" t="b">
        <f t="shared" si="8"/>
        <v>0</v>
      </c>
      <c r="Y436" s="186" t="s">
        <v>1402</v>
      </c>
      <c r="Z436" t="s">
        <v>1403</v>
      </c>
    </row>
    <row r="437" spans="1:26" x14ac:dyDescent="0.25">
      <c r="A437">
        <v>2021</v>
      </c>
      <c r="B437" t="s">
        <v>1400</v>
      </c>
      <c r="C437" t="s">
        <v>654</v>
      </c>
      <c r="D437" s="1">
        <v>110059344473</v>
      </c>
      <c r="E437" t="s">
        <v>332</v>
      </c>
      <c r="F437" t="s">
        <v>333</v>
      </c>
      <c r="G437" t="s">
        <v>653</v>
      </c>
      <c r="H437" t="s">
        <v>268</v>
      </c>
      <c r="I437" t="s">
        <v>1401</v>
      </c>
      <c r="J437">
        <v>40.655278000000003</v>
      </c>
      <c r="K437">
        <v>-80.356388999999993</v>
      </c>
      <c r="L437">
        <v>2821</v>
      </c>
      <c r="M437" s="175" t="str">
        <f>VLOOKUP(L437, '2022 SIC to NAICS'!A:D, 2)</f>
        <v>Platemaking Services</v>
      </c>
      <c r="N437" s="184">
        <f>VLOOKUP(L437, '2022 SIC to NAICS'!A:D, 3)</f>
        <v>323120</v>
      </c>
      <c r="O437" s="184" t="str">
        <f>VLOOKUP(L437, '2022 SIC to NAICS'!A:D, 4)</f>
        <v>Support Activities for Printing</v>
      </c>
      <c r="P437" s="185" t="str">
        <f>VLOOKUP(N437, 'NAICS OES crosswalk'!A:C, 3, FALSE)</f>
        <v>TBD</v>
      </c>
      <c r="T437" s="186" t="s">
        <v>1244</v>
      </c>
      <c r="U437" t="s">
        <v>655</v>
      </c>
      <c r="V437">
        <v>0.57998499999999997</v>
      </c>
      <c r="X437" t="b">
        <f t="shared" si="8"/>
        <v>0</v>
      </c>
      <c r="Y437" s="186" t="s">
        <v>1404</v>
      </c>
      <c r="Z437" t="s">
        <v>1403</v>
      </c>
    </row>
    <row r="438" spans="1:26" x14ac:dyDescent="0.25">
      <c r="A438">
        <v>2021</v>
      </c>
      <c r="B438" t="s">
        <v>1400</v>
      </c>
      <c r="C438" t="s">
        <v>556</v>
      </c>
      <c r="D438" s="1">
        <v>110015972562</v>
      </c>
      <c r="E438" t="s">
        <v>167</v>
      </c>
      <c r="F438" t="s">
        <v>157</v>
      </c>
      <c r="G438" t="s">
        <v>554</v>
      </c>
      <c r="H438" t="s">
        <v>158</v>
      </c>
      <c r="I438" t="s">
        <v>1405</v>
      </c>
      <c r="J438">
        <v>36.116160999999998</v>
      </c>
      <c r="K438">
        <v>-115.172741</v>
      </c>
      <c r="L438">
        <v>7011</v>
      </c>
      <c r="M438" s="175" t="str">
        <f>VLOOKUP(L438, '2022 SIC to NAICS'!A:D, 2)</f>
        <v>Communication Services, Nec</v>
      </c>
      <c r="N438" s="184">
        <f>VLOOKUP(L438, '2022 SIC to NAICS'!A:D, 3)</f>
        <v>517810</v>
      </c>
      <c r="O438" s="184" t="str">
        <f>VLOOKUP(L438, '2022 SIC to NAICS'!A:D, 4)</f>
        <v xml:space="preserve">All Other Telecommunications </v>
      </c>
      <c r="P438" s="185" t="str">
        <f>VLOOKUP(N438, 'NAICS OES crosswalk'!A:C, 3, FALSE)</f>
        <v>TBD</v>
      </c>
      <c r="T438">
        <v>150100150505</v>
      </c>
      <c r="U438" t="s">
        <v>557</v>
      </c>
      <c r="V438">
        <v>4.0748288049999998E-2</v>
      </c>
      <c r="X438" t="b">
        <f t="shared" si="8"/>
        <v>0</v>
      </c>
      <c r="Y438" s="186" t="s">
        <v>1404</v>
      </c>
      <c r="Z438" t="s">
        <v>1403</v>
      </c>
    </row>
    <row r="439" spans="1:26" x14ac:dyDescent="0.25">
      <c r="A439">
        <v>2021</v>
      </c>
      <c r="B439" t="s">
        <v>1400</v>
      </c>
      <c r="C439" t="s">
        <v>926</v>
      </c>
      <c r="D439" s="1">
        <v>110009938808</v>
      </c>
      <c r="E439" t="s">
        <v>358</v>
      </c>
      <c r="F439" t="s">
        <v>359</v>
      </c>
      <c r="G439" t="s">
        <v>643</v>
      </c>
      <c r="H439" t="s">
        <v>138</v>
      </c>
      <c r="I439" t="s">
        <v>1401</v>
      </c>
      <c r="J439">
        <v>37.177222</v>
      </c>
      <c r="K439">
        <v>-83.761388999999994</v>
      </c>
      <c r="L439">
        <v>4952</v>
      </c>
      <c r="M439" s="175" t="str">
        <f>VLOOKUP(L439, '2022 SIC to NAICS'!A:D, 2)</f>
        <v>Manufacturing Industries, Nec</v>
      </c>
      <c r="N439" s="184">
        <f>VLOOKUP(L439, '2022 SIC to NAICS'!A:D, 3)</f>
        <v>339999</v>
      </c>
      <c r="O439" s="184" t="str">
        <f>VLOOKUP(L439, '2022 SIC to NAICS'!A:D, 4)</f>
        <v xml:space="preserve">All Other Miscellaneous Manufacturing </v>
      </c>
      <c r="P439" s="185" t="str">
        <f>VLOOKUP(N439, 'NAICS OES crosswalk'!A:C, 3, FALSE)</f>
        <v>TBD</v>
      </c>
      <c r="T439" s="186" t="s">
        <v>1251</v>
      </c>
      <c r="U439" t="s">
        <v>927</v>
      </c>
      <c r="V439">
        <v>2.8563029375000002</v>
      </c>
      <c r="X439" t="b">
        <f t="shared" si="8"/>
        <v>0</v>
      </c>
      <c r="Y439" s="186" t="s">
        <v>1402</v>
      </c>
      <c r="Z439" t="s">
        <v>1403</v>
      </c>
    </row>
    <row r="440" spans="1:26" x14ac:dyDescent="0.25">
      <c r="A440">
        <v>2021</v>
      </c>
      <c r="B440" t="s">
        <v>1400</v>
      </c>
      <c r="C440" t="s">
        <v>1080</v>
      </c>
      <c r="D440" s="1">
        <v>110013317614</v>
      </c>
      <c r="E440" t="s">
        <v>405</v>
      </c>
      <c r="F440" t="s">
        <v>406</v>
      </c>
      <c r="G440" t="s">
        <v>731</v>
      </c>
      <c r="H440" t="s">
        <v>153</v>
      </c>
      <c r="I440" t="s">
        <v>1401</v>
      </c>
      <c r="J440">
        <v>39.845474000000003</v>
      </c>
      <c r="K440">
        <v>-75.209485999999998</v>
      </c>
      <c r="L440">
        <v>2821</v>
      </c>
      <c r="M440" s="175" t="str">
        <f>VLOOKUP(L440, '2022 SIC to NAICS'!A:D, 2)</f>
        <v>Platemaking Services</v>
      </c>
      <c r="N440" s="184">
        <f>VLOOKUP(L440, '2022 SIC to NAICS'!A:D, 3)</f>
        <v>323120</v>
      </c>
      <c r="O440" s="184" t="str">
        <f>VLOOKUP(L440, '2022 SIC to NAICS'!A:D, 4)</f>
        <v>Support Activities for Printing</v>
      </c>
      <c r="P440" s="185" t="str">
        <f>VLOOKUP(N440, 'NAICS OES crosswalk'!A:C, 3, FALSE)</f>
        <v>TBD</v>
      </c>
      <c r="T440" s="186" t="s">
        <v>1195</v>
      </c>
      <c r="U440" t="s">
        <v>852</v>
      </c>
      <c r="V440">
        <v>1.6538500000000001E-2</v>
      </c>
      <c r="X440" t="b">
        <f t="shared" si="8"/>
        <v>0</v>
      </c>
      <c r="Y440" s="186" t="s">
        <v>1402</v>
      </c>
      <c r="Z440" t="s">
        <v>1403</v>
      </c>
    </row>
    <row r="441" spans="1:26" x14ac:dyDescent="0.25">
      <c r="A441">
        <v>2021</v>
      </c>
      <c r="B441" t="s">
        <v>1400</v>
      </c>
      <c r="C441" t="s">
        <v>791</v>
      </c>
      <c r="D441" s="1">
        <v>110001847761</v>
      </c>
      <c r="E441" t="s">
        <v>263</v>
      </c>
      <c r="F441" t="s">
        <v>264</v>
      </c>
      <c r="G441" t="s">
        <v>789</v>
      </c>
      <c r="H441" t="s">
        <v>118</v>
      </c>
      <c r="I441" t="s">
        <v>1405</v>
      </c>
      <c r="J441">
        <v>41.775967999999999</v>
      </c>
      <c r="K441">
        <v>-86.654864000000003</v>
      </c>
      <c r="L441">
        <v>4953</v>
      </c>
      <c r="M441" s="175" t="str">
        <f>VLOOKUP(L441, '2022 SIC to NAICS'!A:D, 2)</f>
        <v>Manufacturing Industries, Nec</v>
      </c>
      <c r="N441" s="184">
        <f>VLOOKUP(L441, '2022 SIC to NAICS'!A:D, 3)</f>
        <v>339999</v>
      </c>
      <c r="O441" s="184" t="str">
        <f>VLOOKUP(L441, '2022 SIC to NAICS'!A:D, 4)</f>
        <v xml:space="preserve">All Other Miscellaneous Manufacturing </v>
      </c>
      <c r="P441" s="185" t="str">
        <f>VLOOKUP(N441, 'NAICS OES crosswalk'!A:C, 3, FALSE)</f>
        <v>TBD</v>
      </c>
      <c r="T441" s="186" t="s">
        <v>1217</v>
      </c>
      <c r="U441" t="s">
        <v>792</v>
      </c>
      <c r="V441">
        <v>1.7316375E-3</v>
      </c>
      <c r="X441" t="b">
        <f t="shared" si="8"/>
        <v>1</v>
      </c>
      <c r="Y441" s="186" t="s">
        <v>1402</v>
      </c>
      <c r="Z441" t="s">
        <v>1403</v>
      </c>
    </row>
    <row r="442" spans="1:26" x14ac:dyDescent="0.25">
      <c r="A442">
        <v>2021</v>
      </c>
      <c r="B442" t="s">
        <v>1400</v>
      </c>
      <c r="C442" t="s">
        <v>687</v>
      </c>
      <c r="D442" s="1">
        <v>110000613685</v>
      </c>
      <c r="E442" t="s">
        <v>370</v>
      </c>
      <c r="F442" t="s">
        <v>175</v>
      </c>
      <c r="G442" t="s">
        <v>630</v>
      </c>
      <c r="H442" t="s">
        <v>106</v>
      </c>
      <c r="I442" t="s">
        <v>1405</v>
      </c>
      <c r="J442">
        <v>30.321895000000001</v>
      </c>
      <c r="K442">
        <v>-93.300735000000003</v>
      </c>
      <c r="L442">
        <v>4953</v>
      </c>
      <c r="M442" s="175" t="str">
        <f>VLOOKUP(L442, '2022 SIC to NAICS'!A:D, 2)</f>
        <v>Manufacturing Industries, Nec</v>
      </c>
      <c r="N442" s="184">
        <f>VLOOKUP(L442, '2022 SIC to NAICS'!A:D, 3)</f>
        <v>339999</v>
      </c>
      <c r="O442" s="184" t="str">
        <f>VLOOKUP(L442, '2022 SIC to NAICS'!A:D, 4)</f>
        <v xml:space="preserve">All Other Miscellaneous Manufacturing </v>
      </c>
      <c r="P442" s="185" t="str">
        <f>VLOOKUP(N442, 'NAICS OES crosswalk'!A:C, 3, FALSE)</f>
        <v>TBD</v>
      </c>
      <c r="T442" s="186" t="s">
        <v>1254</v>
      </c>
      <c r="U442" t="s">
        <v>688</v>
      </c>
      <c r="V442">
        <v>0.2244978125</v>
      </c>
      <c r="X442" t="b">
        <f t="shared" si="8"/>
        <v>0</v>
      </c>
      <c r="Y442" s="186" t="s">
        <v>1402</v>
      </c>
      <c r="Z442" t="s">
        <v>1403</v>
      </c>
    </row>
    <row r="443" spans="1:26" x14ac:dyDescent="0.25">
      <c r="A443">
        <v>2021</v>
      </c>
      <c r="B443" t="s">
        <v>1400</v>
      </c>
      <c r="C443" t="s">
        <v>1041</v>
      </c>
      <c r="D443" s="1">
        <v>110000719045</v>
      </c>
      <c r="E443" t="s">
        <v>251</v>
      </c>
      <c r="F443" t="s">
        <v>252</v>
      </c>
      <c r="G443" t="s">
        <v>1040</v>
      </c>
      <c r="H443" t="s">
        <v>138</v>
      </c>
      <c r="I443" t="s">
        <v>1401</v>
      </c>
      <c r="J443">
        <v>36.946111000000002</v>
      </c>
      <c r="K443">
        <v>-85.020832999999996</v>
      </c>
      <c r="L443">
        <v>4952</v>
      </c>
      <c r="M443" s="175" t="str">
        <f>VLOOKUP(L443, '2022 SIC to NAICS'!A:D, 2)</f>
        <v>Manufacturing Industries, Nec</v>
      </c>
      <c r="N443" s="184">
        <f>VLOOKUP(L443, '2022 SIC to NAICS'!A:D, 3)</f>
        <v>339999</v>
      </c>
      <c r="O443" s="184" t="str">
        <f>VLOOKUP(L443, '2022 SIC to NAICS'!A:D, 4)</f>
        <v xml:space="preserve">All Other Miscellaneous Manufacturing </v>
      </c>
      <c r="P443" s="185" t="str">
        <f>VLOOKUP(N443, 'NAICS OES crosswalk'!A:C, 3, FALSE)</f>
        <v>TBD</v>
      </c>
      <c r="T443" s="186" t="s">
        <v>1211</v>
      </c>
      <c r="U443" t="s">
        <v>1042</v>
      </c>
      <c r="V443">
        <v>0.43172656250000002</v>
      </c>
      <c r="X443" t="b">
        <f t="shared" si="8"/>
        <v>0</v>
      </c>
      <c r="Y443" s="186" t="s">
        <v>1402</v>
      </c>
      <c r="Z443" t="s">
        <v>1403</v>
      </c>
    </row>
    <row r="444" spans="1:26" x14ac:dyDescent="0.25">
      <c r="A444">
        <v>2021</v>
      </c>
      <c r="B444" t="s">
        <v>1400</v>
      </c>
      <c r="C444" t="s">
        <v>1083</v>
      </c>
      <c r="D444" s="1">
        <v>110000432504</v>
      </c>
      <c r="E444" t="s">
        <v>139</v>
      </c>
      <c r="F444" t="s">
        <v>140</v>
      </c>
      <c r="G444" t="s">
        <v>1081</v>
      </c>
      <c r="H444" t="s">
        <v>141</v>
      </c>
      <c r="I444" t="s">
        <v>1401</v>
      </c>
      <c r="J444">
        <v>41.441667000000002</v>
      </c>
      <c r="K444">
        <v>-88.159719999999993</v>
      </c>
      <c r="L444">
        <v>2843</v>
      </c>
      <c r="M444" s="175" t="str">
        <f>VLOOKUP(L444, '2022 SIC to NAICS'!A:D, 2)</f>
        <v>Platemaking Services</v>
      </c>
      <c r="N444" s="184">
        <f>VLOOKUP(L444, '2022 SIC to NAICS'!A:D, 3)</f>
        <v>323120</v>
      </c>
      <c r="O444" s="184" t="str">
        <f>VLOOKUP(L444, '2022 SIC to NAICS'!A:D, 4)</f>
        <v>Support Activities for Printing</v>
      </c>
      <c r="P444" s="185" t="str">
        <f>VLOOKUP(N444, 'NAICS OES crosswalk'!A:C, 3, FALSE)</f>
        <v>TBD</v>
      </c>
      <c r="T444" s="186" t="s">
        <v>1183</v>
      </c>
      <c r="U444" t="s">
        <v>1084</v>
      </c>
      <c r="V444">
        <v>0.41223199999999999</v>
      </c>
      <c r="X444" t="b">
        <f t="shared" si="8"/>
        <v>0</v>
      </c>
      <c r="Y444" s="186" t="s">
        <v>1402</v>
      </c>
    </row>
    <row r="445" spans="1:26" x14ac:dyDescent="0.25">
      <c r="A445">
        <v>2021</v>
      </c>
      <c r="B445" t="s">
        <v>1400</v>
      </c>
      <c r="C445" t="s">
        <v>1412</v>
      </c>
      <c r="D445" s="1">
        <v>110041245015</v>
      </c>
      <c r="E445" t="s">
        <v>1413</v>
      </c>
      <c r="F445" t="s">
        <v>1414</v>
      </c>
      <c r="G445" t="s">
        <v>683</v>
      </c>
      <c r="H445" t="s">
        <v>364</v>
      </c>
      <c r="I445" t="s">
        <v>1405</v>
      </c>
      <c r="J445">
        <v>39.567390000000003</v>
      </c>
      <c r="K445">
        <v>-76.920410000000004</v>
      </c>
      <c r="L445"/>
      <c r="M445" s="175" t="e">
        <f>VLOOKUP(L445, '2022 SIC to NAICS'!A:D, 2)</f>
        <v>#N/A</v>
      </c>
      <c r="N445" s="184" t="e">
        <f>VLOOKUP(L445, '2022 SIC to NAICS'!A:D, 3)</f>
        <v>#N/A</v>
      </c>
      <c r="O445" s="184" t="e">
        <f>VLOOKUP(L445, '2022 SIC to NAICS'!A:D, 4)</f>
        <v>#N/A</v>
      </c>
      <c r="P445" s="185" t="e">
        <f>VLOOKUP(N445, 'NAICS OES crosswalk'!A:C, 3, FALSE)</f>
        <v>#N/A</v>
      </c>
      <c r="T445" s="186" t="s">
        <v>1415</v>
      </c>
      <c r="U445" t="s">
        <v>1416</v>
      </c>
      <c r="V445">
        <v>7.3911587500000001E-4</v>
      </c>
      <c r="X445" t="b">
        <f t="shared" si="8"/>
        <v>1</v>
      </c>
      <c r="Y445" s="186" t="s">
        <v>1402</v>
      </c>
      <c r="Z445" t="s">
        <v>1403</v>
      </c>
    </row>
    <row r="446" spans="1:26" x14ac:dyDescent="0.25">
      <c r="A446">
        <v>2021</v>
      </c>
      <c r="B446" t="s">
        <v>1400</v>
      </c>
      <c r="C446" t="s">
        <v>982</v>
      </c>
      <c r="D446" s="1">
        <v>110022905588</v>
      </c>
      <c r="E446" t="s">
        <v>408</v>
      </c>
      <c r="F446" t="s">
        <v>409</v>
      </c>
      <c r="G446" t="s">
        <v>901</v>
      </c>
      <c r="H446" t="s">
        <v>138</v>
      </c>
      <c r="I446" t="s">
        <v>1401</v>
      </c>
      <c r="J446">
        <v>38.417499999999997</v>
      </c>
      <c r="K446">
        <v>-85.611109999999996</v>
      </c>
      <c r="L446">
        <v>4952</v>
      </c>
      <c r="M446" s="175" t="str">
        <f>VLOOKUP(L446, '2022 SIC to NAICS'!A:D, 2)</f>
        <v>Manufacturing Industries, Nec</v>
      </c>
      <c r="N446" s="184">
        <f>VLOOKUP(L446, '2022 SIC to NAICS'!A:D, 3)</f>
        <v>339999</v>
      </c>
      <c r="O446" s="184" t="str">
        <f>VLOOKUP(L446, '2022 SIC to NAICS'!A:D, 4)</f>
        <v xml:space="preserve">All Other Miscellaneous Manufacturing </v>
      </c>
      <c r="P446" s="185" t="str">
        <f>VLOOKUP(N446, 'NAICS OES crosswalk'!A:C, 3, FALSE)</f>
        <v>TBD</v>
      </c>
      <c r="T446" s="186" t="s">
        <v>1267</v>
      </c>
      <c r="U446" t="s">
        <v>983</v>
      </c>
      <c r="V446">
        <v>1.982488375</v>
      </c>
      <c r="X446" t="b">
        <f t="shared" si="8"/>
        <v>0</v>
      </c>
      <c r="Y446" s="186" t="s">
        <v>1402</v>
      </c>
      <c r="Z446" t="s">
        <v>1403</v>
      </c>
    </row>
    <row r="447" spans="1:26" x14ac:dyDescent="0.25">
      <c r="A447">
        <v>2021</v>
      </c>
      <c r="B447" t="s">
        <v>1400</v>
      </c>
      <c r="C447" t="s">
        <v>1131</v>
      </c>
      <c r="D447" s="1">
        <v>110010731262</v>
      </c>
      <c r="E447" t="s">
        <v>423</v>
      </c>
      <c r="F447" t="s">
        <v>424</v>
      </c>
      <c r="G447" t="s">
        <v>752</v>
      </c>
      <c r="H447" t="s">
        <v>186</v>
      </c>
      <c r="I447" t="s">
        <v>1401</v>
      </c>
      <c r="J447">
        <v>22.079093</v>
      </c>
      <c r="K447">
        <v>-159.35138900000001</v>
      </c>
      <c r="L447">
        <v>4952</v>
      </c>
      <c r="M447" s="175" t="str">
        <f>VLOOKUP(L447, '2022 SIC to NAICS'!A:D, 2)</f>
        <v>Manufacturing Industries, Nec</v>
      </c>
      <c r="N447" s="184">
        <f>VLOOKUP(L447, '2022 SIC to NAICS'!A:D, 3)</f>
        <v>339999</v>
      </c>
      <c r="O447" s="184" t="str">
        <f>VLOOKUP(L447, '2022 SIC to NAICS'!A:D, 4)</f>
        <v xml:space="preserve">All Other Miscellaneous Manufacturing </v>
      </c>
      <c r="P447" s="185" t="str">
        <f>VLOOKUP(N447, 'NAICS OES crosswalk'!A:C, 3, FALSE)</f>
        <v>TBD</v>
      </c>
      <c r="T447">
        <v>200700000202</v>
      </c>
      <c r="U447" t="s">
        <v>1132</v>
      </c>
      <c r="V447">
        <v>0.16474685624999999</v>
      </c>
      <c r="X447" t="b">
        <f t="shared" si="8"/>
        <v>0</v>
      </c>
      <c r="Y447" s="186" t="s">
        <v>1402</v>
      </c>
      <c r="Z447" t="s">
        <v>1403</v>
      </c>
    </row>
    <row r="448" spans="1:26" x14ac:dyDescent="0.25">
      <c r="A448">
        <v>2021</v>
      </c>
      <c r="B448" t="s">
        <v>1400</v>
      </c>
      <c r="C448" t="s">
        <v>1466</v>
      </c>
      <c r="D448" s="1">
        <v>110000730745</v>
      </c>
      <c r="E448" t="s">
        <v>1467</v>
      </c>
      <c r="F448" t="s">
        <v>1468</v>
      </c>
      <c r="G448" t="s">
        <v>616</v>
      </c>
      <c r="H448" t="s">
        <v>146</v>
      </c>
      <c r="I448" t="s">
        <v>1401</v>
      </c>
      <c r="J448">
        <v>40.162660000000002</v>
      </c>
      <c r="K448">
        <v>-122.22068</v>
      </c>
      <c r="L448">
        <v>4952</v>
      </c>
      <c r="M448" s="175" t="str">
        <f>VLOOKUP(L448, '2022 SIC to NAICS'!A:D, 2)</f>
        <v>Manufacturing Industries, Nec</v>
      </c>
      <c r="N448" s="184">
        <f>VLOOKUP(L448, '2022 SIC to NAICS'!A:D, 3)</f>
        <v>339999</v>
      </c>
      <c r="O448" s="184" t="str">
        <f>VLOOKUP(L448, '2022 SIC to NAICS'!A:D, 4)</f>
        <v xml:space="preserve">All Other Miscellaneous Manufacturing </v>
      </c>
      <c r="P448" s="185" t="str">
        <f>VLOOKUP(N448, 'NAICS OES crosswalk'!A:C, 3, FALSE)</f>
        <v>TBD</v>
      </c>
      <c r="T448">
        <v>180201550405</v>
      </c>
      <c r="U448" t="s">
        <v>1469</v>
      </c>
      <c r="V448">
        <v>7.5336640000000002E-4</v>
      </c>
      <c r="X448" t="b">
        <f t="shared" si="8"/>
        <v>1</v>
      </c>
      <c r="Y448" s="186" t="s">
        <v>1402</v>
      </c>
      <c r="Z448" t="s">
        <v>1403</v>
      </c>
    </row>
    <row r="449" spans="1:26" x14ac:dyDescent="0.25">
      <c r="A449">
        <v>2021</v>
      </c>
      <c r="B449" t="s">
        <v>1400</v>
      </c>
      <c r="C449" t="s">
        <v>1473</v>
      </c>
      <c r="D449" s="1">
        <v>110070097711</v>
      </c>
      <c r="E449" t="s">
        <v>1474</v>
      </c>
      <c r="F449" t="s">
        <v>498</v>
      </c>
      <c r="G449" t="s">
        <v>498</v>
      </c>
      <c r="H449" t="s">
        <v>218</v>
      </c>
      <c r="I449" t="s">
        <v>1405</v>
      </c>
      <c r="J449">
        <v>39.744531000000002</v>
      </c>
      <c r="K449">
        <v>-104.95984</v>
      </c>
      <c r="L449">
        <v>6513</v>
      </c>
      <c r="M449" s="175" t="str">
        <f>VLOOKUP(L449, '2022 SIC to NAICS'!A:D, 2)</f>
        <v>Communication Services, Nec</v>
      </c>
      <c r="N449" s="184">
        <f>VLOOKUP(L449, '2022 SIC to NAICS'!A:D, 3)</f>
        <v>517810</v>
      </c>
      <c r="O449" s="184" t="str">
        <f>VLOOKUP(L449, '2022 SIC to NAICS'!A:D, 4)</f>
        <v xml:space="preserve">All Other Telecommunications </v>
      </c>
      <c r="P449" s="185" t="str">
        <f>VLOOKUP(N449, 'NAICS OES crosswalk'!A:C, 3, FALSE)</f>
        <v>TBD</v>
      </c>
      <c r="T449">
        <v>101900030304</v>
      </c>
      <c r="U449" t="s">
        <v>934</v>
      </c>
      <c r="V449">
        <v>3.2778100000000003E-4</v>
      </c>
      <c r="X449" t="b">
        <f t="shared" si="8"/>
        <v>1</v>
      </c>
      <c r="Y449" s="186" t="s">
        <v>1402</v>
      </c>
      <c r="Z449" t="s">
        <v>1403</v>
      </c>
    </row>
    <row r="450" spans="1:26" x14ac:dyDescent="0.25">
      <c r="A450">
        <v>2021</v>
      </c>
      <c r="B450" t="s">
        <v>1400</v>
      </c>
      <c r="C450" t="s">
        <v>810</v>
      </c>
      <c r="D450" s="1">
        <v>110017432937</v>
      </c>
      <c r="E450" t="s">
        <v>206</v>
      </c>
      <c r="F450" t="s">
        <v>207</v>
      </c>
      <c r="G450" t="s">
        <v>808</v>
      </c>
      <c r="H450" t="s">
        <v>205</v>
      </c>
      <c r="I450" t="s">
        <v>1401</v>
      </c>
      <c r="J450">
        <v>35.722341999999998</v>
      </c>
      <c r="K450">
        <v>-91.524983000000006</v>
      </c>
      <c r="L450">
        <v>2865</v>
      </c>
      <c r="M450" s="175" t="str">
        <f>VLOOKUP(L450, '2022 SIC to NAICS'!A:D, 2)</f>
        <v>Platemaking Services</v>
      </c>
      <c r="N450" s="184">
        <f>VLOOKUP(L450, '2022 SIC to NAICS'!A:D, 3)</f>
        <v>323120</v>
      </c>
      <c r="O450" s="184" t="str">
        <f>VLOOKUP(L450, '2022 SIC to NAICS'!A:D, 4)</f>
        <v>Support Activities for Printing</v>
      </c>
      <c r="P450" s="185" t="str">
        <f>VLOOKUP(N450, 'NAICS OES crosswalk'!A:C, 3, FALSE)</f>
        <v>TBD</v>
      </c>
      <c r="T450">
        <v>110100040704</v>
      </c>
      <c r="U450" t="s">
        <v>811</v>
      </c>
      <c r="V450">
        <v>3.3142</v>
      </c>
      <c r="X450" t="b">
        <f t="shared" si="8"/>
        <v>0</v>
      </c>
      <c r="Y450" s="186" t="s">
        <v>1404</v>
      </c>
      <c r="Z450" t="s">
        <v>1403</v>
      </c>
    </row>
    <row r="451" spans="1:26" x14ac:dyDescent="0.25">
      <c r="A451">
        <v>2021</v>
      </c>
      <c r="B451" t="s">
        <v>1400</v>
      </c>
      <c r="C451" t="s">
        <v>749</v>
      </c>
      <c r="D451" s="1">
        <v>110064418553</v>
      </c>
      <c r="E451" t="s">
        <v>431</v>
      </c>
      <c r="F451" t="s">
        <v>157</v>
      </c>
      <c r="G451" t="s">
        <v>575</v>
      </c>
      <c r="H451" t="s">
        <v>158</v>
      </c>
      <c r="I451" t="s">
        <v>1405</v>
      </c>
      <c r="J451">
        <v>36.19997</v>
      </c>
      <c r="K451">
        <v>-115.19658</v>
      </c>
      <c r="L451">
        <v>5541</v>
      </c>
      <c r="M451" s="175" t="str">
        <f>VLOOKUP(L451, '2022 SIC to NAICS'!A:D, 2)</f>
        <v>Meat and Fish Markets</v>
      </c>
      <c r="N451" s="184">
        <f>VLOOKUP(L451, '2022 SIC to NAICS'!A:D, 3)</f>
        <v>445250</v>
      </c>
      <c r="O451" s="184" t="str">
        <f>VLOOKUP(L451, '2022 SIC to NAICS'!A:D, 4)</f>
        <v xml:space="preserve">Fish and Seafood Retailers </v>
      </c>
      <c r="P451" s="185" t="str">
        <f>VLOOKUP(N451, 'NAICS OES crosswalk'!A:C, 3, FALSE)</f>
        <v>TBD</v>
      </c>
      <c r="T451">
        <v>150100150604</v>
      </c>
      <c r="U451" t="s">
        <v>578</v>
      </c>
      <c r="V451">
        <v>4.9734899999999997E-3</v>
      </c>
      <c r="X451" t="b">
        <f t="shared" si="8"/>
        <v>0</v>
      </c>
      <c r="Y451" s="186" t="s">
        <v>1402</v>
      </c>
      <c r="Z451" t="s">
        <v>1403</v>
      </c>
    </row>
    <row r="452" spans="1:26" x14ac:dyDescent="0.25">
      <c r="A452">
        <v>2021</v>
      </c>
      <c r="B452" t="s">
        <v>1400</v>
      </c>
      <c r="C452" t="s">
        <v>729</v>
      </c>
      <c r="D452" s="1">
        <v>110070619860</v>
      </c>
      <c r="E452" t="s">
        <v>393</v>
      </c>
      <c r="F452" t="s">
        <v>394</v>
      </c>
      <c r="G452" t="s">
        <v>728</v>
      </c>
      <c r="H452" t="s">
        <v>146</v>
      </c>
      <c r="I452" t="s">
        <v>1401</v>
      </c>
      <c r="J452">
        <v>38.627777999999999</v>
      </c>
      <c r="K452">
        <v>-120.984167</v>
      </c>
      <c r="L452">
        <v>4952</v>
      </c>
      <c r="M452" s="175" t="str">
        <f>VLOOKUP(L452, '2022 SIC to NAICS'!A:D, 2)</f>
        <v>Manufacturing Industries, Nec</v>
      </c>
      <c r="N452" s="184">
        <f>VLOOKUP(L452, '2022 SIC to NAICS'!A:D, 3)</f>
        <v>339999</v>
      </c>
      <c r="O452" s="184" t="str">
        <f>VLOOKUP(L452, '2022 SIC to NAICS'!A:D, 4)</f>
        <v xml:space="preserve">All Other Miscellaneous Manufacturing </v>
      </c>
      <c r="P452" s="185" t="str">
        <f>VLOOKUP(N452, 'NAICS OES crosswalk'!A:C, 3, FALSE)</f>
        <v>TBD</v>
      </c>
      <c r="T452">
        <v>180400130502</v>
      </c>
      <c r="U452" t="s">
        <v>730</v>
      </c>
      <c r="V452">
        <v>7.6614228899999998E-2</v>
      </c>
      <c r="X452" t="b">
        <f t="shared" si="8"/>
        <v>0</v>
      </c>
      <c r="Y452" s="186" t="s">
        <v>1402</v>
      </c>
      <c r="Z452" t="s">
        <v>1403</v>
      </c>
    </row>
    <row r="453" spans="1:26" x14ac:dyDescent="0.25">
      <c r="A453">
        <v>2021</v>
      </c>
      <c r="B453" t="s">
        <v>1400</v>
      </c>
      <c r="C453" t="s">
        <v>556</v>
      </c>
      <c r="D453" s="1">
        <v>110015972562</v>
      </c>
      <c r="E453" t="s">
        <v>167</v>
      </c>
      <c r="F453" t="s">
        <v>157</v>
      </c>
      <c r="G453" t="s">
        <v>554</v>
      </c>
      <c r="H453" t="s">
        <v>158</v>
      </c>
      <c r="I453" t="s">
        <v>1405</v>
      </c>
      <c r="J453">
        <v>36.116160999999998</v>
      </c>
      <c r="K453">
        <v>-115.172741</v>
      </c>
      <c r="L453">
        <v>7011</v>
      </c>
      <c r="M453" s="175" t="str">
        <f>VLOOKUP(L453, '2022 SIC to NAICS'!A:D, 2)</f>
        <v>Communication Services, Nec</v>
      </c>
      <c r="N453" s="184">
        <f>VLOOKUP(L453, '2022 SIC to NAICS'!A:D, 3)</f>
        <v>517810</v>
      </c>
      <c r="O453" s="184" t="str">
        <f>VLOOKUP(L453, '2022 SIC to NAICS'!A:D, 4)</f>
        <v xml:space="preserve">All Other Telecommunications </v>
      </c>
      <c r="P453" s="185" t="str">
        <f>VLOOKUP(N453, 'NAICS OES crosswalk'!A:C, 3, FALSE)</f>
        <v>TBD</v>
      </c>
      <c r="T453">
        <v>150100150505</v>
      </c>
      <c r="U453" t="s">
        <v>557</v>
      </c>
      <c r="V453">
        <v>0.16047586224999999</v>
      </c>
      <c r="X453" t="b">
        <f t="shared" si="8"/>
        <v>0</v>
      </c>
      <c r="Y453" s="186" t="s">
        <v>1402</v>
      </c>
      <c r="Z453" t="s">
        <v>1403</v>
      </c>
    </row>
    <row r="454" spans="1:26" x14ac:dyDescent="0.25">
      <c r="A454">
        <v>2021</v>
      </c>
      <c r="B454" t="s">
        <v>1400</v>
      </c>
      <c r="C454" t="s">
        <v>872</v>
      </c>
      <c r="D454" s="1">
        <v>110018199377</v>
      </c>
      <c r="E454" t="s">
        <v>212</v>
      </c>
      <c r="F454" t="s">
        <v>213</v>
      </c>
      <c r="G454" t="s">
        <v>870</v>
      </c>
      <c r="H454" t="s">
        <v>141</v>
      </c>
      <c r="I454" t="s">
        <v>1405</v>
      </c>
      <c r="J454">
        <v>41.692782000000001</v>
      </c>
      <c r="K454">
        <v>-87.951100999999994</v>
      </c>
      <c r="L454">
        <v>4226</v>
      </c>
      <c r="M454" s="175" t="str">
        <f>VLOOKUP(L454, '2022 SIC to NAICS'!A:D, 2)</f>
        <v>Manufacturing Industries, Nec</v>
      </c>
      <c r="N454" s="184">
        <f>VLOOKUP(L454, '2022 SIC to NAICS'!A:D, 3)</f>
        <v>339999</v>
      </c>
      <c r="O454" s="184" t="str">
        <f>VLOOKUP(L454, '2022 SIC to NAICS'!A:D, 4)</f>
        <v xml:space="preserve">All Other Miscellaneous Manufacturing </v>
      </c>
      <c r="P454" s="185" t="str">
        <f>VLOOKUP(N454, 'NAICS OES crosswalk'!A:C, 3, FALSE)</f>
        <v>TBD</v>
      </c>
      <c r="T454" s="186" t="s">
        <v>1200</v>
      </c>
      <c r="U454" t="s">
        <v>873</v>
      </c>
      <c r="V454">
        <v>427.35197305000003</v>
      </c>
      <c r="X454" t="b">
        <f t="shared" si="8"/>
        <v>0</v>
      </c>
      <c r="Y454" s="186" t="s">
        <v>1402</v>
      </c>
      <c r="Z454" t="s">
        <v>1403</v>
      </c>
    </row>
    <row r="455" spans="1:26" x14ac:dyDescent="0.25">
      <c r="A455">
        <v>2021</v>
      </c>
      <c r="B455" t="s">
        <v>1400</v>
      </c>
      <c r="C455" t="s">
        <v>874</v>
      </c>
      <c r="D455" s="1">
        <v>110064631457</v>
      </c>
      <c r="E455" t="s">
        <v>483</v>
      </c>
      <c r="F455" t="s">
        <v>484</v>
      </c>
      <c r="G455" t="s">
        <v>757</v>
      </c>
      <c r="H455" t="s">
        <v>485</v>
      </c>
      <c r="I455" t="s">
        <v>1405</v>
      </c>
      <c r="J455">
        <v>36.716268999999997</v>
      </c>
      <c r="K455">
        <v>-108.255737</v>
      </c>
      <c r="L455">
        <v>4952</v>
      </c>
      <c r="M455" s="175" t="str">
        <f>VLOOKUP(L455, '2022 SIC to NAICS'!A:D, 2)</f>
        <v>Manufacturing Industries, Nec</v>
      </c>
      <c r="N455" s="184">
        <f>VLOOKUP(L455, '2022 SIC to NAICS'!A:D, 3)</f>
        <v>339999</v>
      </c>
      <c r="O455" s="184" t="str">
        <f>VLOOKUP(L455, '2022 SIC to NAICS'!A:D, 4)</f>
        <v xml:space="preserve">All Other Miscellaneous Manufacturing </v>
      </c>
      <c r="P455" s="185" t="str">
        <f>VLOOKUP(N455, 'NAICS OES crosswalk'!A:C, 3, FALSE)</f>
        <v>TBD</v>
      </c>
      <c r="T455">
        <v>140801050505</v>
      </c>
      <c r="U455" t="s">
        <v>875</v>
      </c>
      <c r="V455">
        <v>0.1114304</v>
      </c>
      <c r="X455" t="b">
        <f t="shared" si="8"/>
        <v>0</v>
      </c>
      <c r="Y455" s="186" t="s">
        <v>1402</v>
      </c>
    </row>
    <row r="456" spans="1:26" x14ac:dyDescent="0.25">
      <c r="A456">
        <v>2021</v>
      </c>
      <c r="B456" t="s">
        <v>1400</v>
      </c>
      <c r="C456" t="s">
        <v>854</v>
      </c>
      <c r="D456" s="1">
        <v>110006777210</v>
      </c>
      <c r="E456" t="s">
        <v>486</v>
      </c>
      <c r="F456" t="s">
        <v>185</v>
      </c>
      <c r="G456" t="s">
        <v>185</v>
      </c>
      <c r="H456" t="s">
        <v>186</v>
      </c>
      <c r="I456" t="s">
        <v>1405</v>
      </c>
      <c r="J456">
        <v>21.27167</v>
      </c>
      <c r="K456">
        <v>-157.77395999999999</v>
      </c>
      <c r="L456"/>
      <c r="M456" s="175" t="e">
        <f>VLOOKUP(L456, '2022 SIC to NAICS'!A:D, 2)</f>
        <v>#N/A</v>
      </c>
      <c r="N456" s="184" t="e">
        <f>VLOOKUP(L456, '2022 SIC to NAICS'!A:D, 3)</f>
        <v>#N/A</v>
      </c>
      <c r="O456" s="184" t="e">
        <f>VLOOKUP(L456, '2022 SIC to NAICS'!A:D, 4)</f>
        <v>#N/A</v>
      </c>
      <c r="P456" s="185" t="e">
        <f>VLOOKUP(N456, 'NAICS OES crosswalk'!A:C, 3, FALSE)</f>
        <v>#N/A</v>
      </c>
      <c r="T456">
        <v>200600000302</v>
      </c>
      <c r="U456" t="s">
        <v>855</v>
      </c>
      <c r="V456">
        <v>6.7440745444000001</v>
      </c>
      <c r="X456" t="b">
        <f t="shared" si="8"/>
        <v>0</v>
      </c>
      <c r="Y456" s="186" t="s">
        <v>1402</v>
      </c>
    </row>
    <row r="457" spans="1:26" x14ac:dyDescent="0.25">
      <c r="A457">
        <v>2021</v>
      </c>
      <c r="B457" t="s">
        <v>1400</v>
      </c>
      <c r="C457" t="s">
        <v>1103</v>
      </c>
      <c r="D457" s="1">
        <v>110043808467</v>
      </c>
      <c r="E457" t="s">
        <v>172</v>
      </c>
      <c r="F457" t="s">
        <v>173</v>
      </c>
      <c r="G457" t="s">
        <v>554</v>
      </c>
      <c r="H457" t="s">
        <v>158</v>
      </c>
      <c r="I457" t="s">
        <v>1405</v>
      </c>
      <c r="J457">
        <v>36.035440000000001</v>
      </c>
      <c r="K457">
        <v>-114.99994</v>
      </c>
      <c r="L457">
        <v>1799</v>
      </c>
      <c r="M457" s="175" t="str">
        <f>VLOOKUP(L457, '2022 SIC to NAICS'!A:D, 2)</f>
        <v>Special Trade Contractors, Nec</v>
      </c>
      <c r="N457" s="184">
        <f>VLOOKUP(L457, '2022 SIC to NAICS'!A:D, 3)</f>
        <v>238990</v>
      </c>
      <c r="O457" s="184" t="str">
        <f>VLOOKUP(L457, '2022 SIC to NAICS'!A:D, 4)</f>
        <v>All Other Specialty Trade Contractors</v>
      </c>
      <c r="P457" s="185" t="str">
        <f>VLOOKUP(N457, 'NAICS OES crosswalk'!A:C, 3, FALSE)</f>
        <v>TBD</v>
      </c>
      <c r="T457">
        <v>150100150708</v>
      </c>
      <c r="U457" t="s">
        <v>1104</v>
      </c>
      <c r="V457">
        <v>0.63700111699999995</v>
      </c>
      <c r="X457" t="b">
        <f t="shared" si="8"/>
        <v>0</v>
      </c>
      <c r="Y457" s="186" t="s">
        <v>1402</v>
      </c>
      <c r="Z457" t="s">
        <v>1403</v>
      </c>
    </row>
    <row r="458" spans="1:26" x14ac:dyDescent="0.25">
      <c r="A458">
        <v>2021</v>
      </c>
      <c r="B458" t="s">
        <v>1400</v>
      </c>
      <c r="C458" t="s">
        <v>769</v>
      </c>
      <c r="D458" s="1">
        <v>110000746211</v>
      </c>
      <c r="E458" t="s">
        <v>255</v>
      </c>
      <c r="F458" t="s">
        <v>256</v>
      </c>
      <c r="G458" t="s">
        <v>768</v>
      </c>
      <c r="H458" t="s">
        <v>141</v>
      </c>
      <c r="I458" t="s">
        <v>1401</v>
      </c>
      <c r="J458">
        <v>39.795811999999998</v>
      </c>
      <c r="K458">
        <v>-88.347945999999993</v>
      </c>
      <c r="L458">
        <v>2869</v>
      </c>
      <c r="M458" s="175" t="str">
        <f>VLOOKUP(L458, '2022 SIC to NAICS'!A:D, 2)</f>
        <v>Industrial Organic Chemicals, Nec</v>
      </c>
      <c r="N458" s="184">
        <f>VLOOKUP(L458, '2022 SIC to NAICS'!A:D, 3)</f>
        <v>325180</v>
      </c>
      <c r="O458" s="184" t="str">
        <f>VLOOKUP(L458, '2022 SIC to NAICS'!A:D, 4)</f>
        <v xml:space="preserve">Other Basic Inorganic Chemical Manufacturing </v>
      </c>
      <c r="P458" s="185" t="str">
        <f>VLOOKUP(N458, 'NAICS OES crosswalk'!A:C, 3, FALSE)</f>
        <v>Processing as a reactant</v>
      </c>
      <c r="T458" s="186" t="s">
        <v>1213</v>
      </c>
      <c r="U458" t="s">
        <v>770</v>
      </c>
      <c r="V458">
        <v>5.1074999999999999</v>
      </c>
      <c r="X458" t="b">
        <f t="shared" si="8"/>
        <v>0</v>
      </c>
      <c r="Y458" s="186" t="s">
        <v>1402</v>
      </c>
      <c r="Z458" t="s">
        <v>1403</v>
      </c>
    </row>
    <row r="459" spans="1:26" x14ac:dyDescent="0.25">
      <c r="A459">
        <v>2021</v>
      </c>
      <c r="B459" t="s">
        <v>1400</v>
      </c>
      <c r="C459" t="s">
        <v>815</v>
      </c>
      <c r="D459" s="1">
        <v>110000759741</v>
      </c>
      <c r="E459" t="s">
        <v>487</v>
      </c>
      <c r="F459" t="s">
        <v>488</v>
      </c>
      <c r="G459" t="s">
        <v>812</v>
      </c>
      <c r="H459" t="s">
        <v>138</v>
      </c>
      <c r="I459" t="s">
        <v>1401</v>
      </c>
      <c r="J459">
        <v>38.267437999999999</v>
      </c>
      <c r="K459">
        <v>-84.527996000000002</v>
      </c>
      <c r="L459">
        <v>4952</v>
      </c>
      <c r="M459" s="175" t="str">
        <f>VLOOKUP(L459, '2022 SIC to NAICS'!A:D, 2)</f>
        <v>Manufacturing Industries, Nec</v>
      </c>
      <c r="N459" s="184">
        <f>VLOOKUP(L459, '2022 SIC to NAICS'!A:D, 3)</f>
        <v>339999</v>
      </c>
      <c r="O459" s="184" t="str">
        <f>VLOOKUP(L459, '2022 SIC to NAICS'!A:D, 4)</f>
        <v xml:space="preserve">All Other Miscellaneous Manufacturing </v>
      </c>
      <c r="P459" s="185" t="str">
        <f>VLOOKUP(N459, 'NAICS OES crosswalk'!A:C, 3, FALSE)</f>
        <v>TBD</v>
      </c>
      <c r="T459" s="186" t="s">
        <v>1283</v>
      </c>
      <c r="U459" t="s">
        <v>816</v>
      </c>
      <c r="V459">
        <v>4.5728477500000002</v>
      </c>
      <c r="X459" t="b">
        <f t="shared" si="8"/>
        <v>0</v>
      </c>
      <c r="Y459" s="186" t="s">
        <v>1402</v>
      </c>
      <c r="Z459" t="s">
        <v>1403</v>
      </c>
    </row>
    <row r="460" spans="1:26" x14ac:dyDescent="0.25">
      <c r="A460">
        <v>2021</v>
      </c>
      <c r="B460" t="s">
        <v>1400</v>
      </c>
      <c r="C460" t="s">
        <v>759</v>
      </c>
      <c r="D460" s="1">
        <v>110042068473</v>
      </c>
      <c r="E460" t="s">
        <v>489</v>
      </c>
      <c r="F460" t="s">
        <v>484</v>
      </c>
      <c r="G460" t="s">
        <v>757</v>
      </c>
      <c r="H460" t="s">
        <v>485</v>
      </c>
      <c r="I460" t="s">
        <v>1401</v>
      </c>
      <c r="J460">
        <v>36.688809999999997</v>
      </c>
      <c r="K460">
        <v>-108.48036</v>
      </c>
      <c r="L460">
        <v>4911</v>
      </c>
      <c r="M460" s="175" t="str">
        <f>VLOOKUP(L460, '2022 SIC to NAICS'!A:D, 2)</f>
        <v>Manufacturing Industries, Nec</v>
      </c>
      <c r="N460" s="184">
        <f>VLOOKUP(L460, '2022 SIC to NAICS'!A:D, 3)</f>
        <v>339999</v>
      </c>
      <c r="O460" s="184" t="str">
        <f>VLOOKUP(L460, '2022 SIC to NAICS'!A:D, 4)</f>
        <v xml:space="preserve">All Other Miscellaneous Manufacturing </v>
      </c>
      <c r="P460" s="185" t="str">
        <f>VLOOKUP(N460, 'NAICS OES crosswalk'!A:C, 3, FALSE)</f>
        <v>TBD</v>
      </c>
      <c r="T460">
        <v>140801062008</v>
      </c>
      <c r="U460" t="s">
        <v>760</v>
      </c>
      <c r="V460">
        <v>1.6192230000000001</v>
      </c>
      <c r="X460" t="b">
        <f t="shared" si="8"/>
        <v>0</v>
      </c>
      <c r="Y460" s="186" t="s">
        <v>1402</v>
      </c>
      <c r="Z460" t="s">
        <v>1403</v>
      </c>
    </row>
    <row r="461" spans="1:26" x14ac:dyDescent="0.25">
      <c r="A461">
        <v>2021</v>
      </c>
      <c r="B461" t="s">
        <v>1400</v>
      </c>
      <c r="C461" t="s">
        <v>1043</v>
      </c>
      <c r="D461" s="1">
        <v>110000736730</v>
      </c>
      <c r="E461" t="s">
        <v>242</v>
      </c>
      <c r="F461" t="s">
        <v>243</v>
      </c>
      <c r="G461" t="s">
        <v>589</v>
      </c>
      <c r="H461" t="s">
        <v>138</v>
      </c>
      <c r="I461" t="s">
        <v>1401</v>
      </c>
      <c r="J461">
        <v>36.856732000000001</v>
      </c>
      <c r="K461">
        <v>-86.889048000000003</v>
      </c>
      <c r="L461">
        <v>4952</v>
      </c>
      <c r="M461" s="175" t="str">
        <f>VLOOKUP(L461, '2022 SIC to NAICS'!A:D, 2)</f>
        <v>Manufacturing Industries, Nec</v>
      </c>
      <c r="N461" s="184">
        <f>VLOOKUP(L461, '2022 SIC to NAICS'!A:D, 3)</f>
        <v>339999</v>
      </c>
      <c r="O461" s="184" t="str">
        <f>VLOOKUP(L461, '2022 SIC to NAICS'!A:D, 4)</f>
        <v xml:space="preserve">All Other Miscellaneous Manufacturing </v>
      </c>
      <c r="P461" s="185" t="str">
        <f>VLOOKUP(N461, 'NAICS OES crosswalk'!A:C, 3, FALSE)</f>
        <v>TBD</v>
      </c>
      <c r="T461" s="186" t="s">
        <v>1207</v>
      </c>
      <c r="U461" t="s">
        <v>1044</v>
      </c>
      <c r="V461">
        <v>8.0819212500000005E-4</v>
      </c>
      <c r="X461" t="b">
        <f t="shared" si="8"/>
        <v>1</v>
      </c>
      <c r="Y461" s="186" t="s">
        <v>1402</v>
      </c>
      <c r="Z461" t="s">
        <v>1403</v>
      </c>
    </row>
    <row r="462" spans="1:26" x14ac:dyDescent="0.25">
      <c r="A462">
        <v>2021</v>
      </c>
      <c r="B462" t="s">
        <v>1400</v>
      </c>
      <c r="C462" t="s">
        <v>1434</v>
      </c>
      <c r="D462" s="1">
        <v>110000339027</v>
      </c>
      <c r="E462" t="s">
        <v>1435</v>
      </c>
      <c r="F462" t="s">
        <v>1436</v>
      </c>
      <c r="G462" t="s">
        <v>1437</v>
      </c>
      <c r="H462" t="s">
        <v>344</v>
      </c>
      <c r="I462" t="s">
        <v>1401</v>
      </c>
      <c r="J462">
        <v>38.631867</v>
      </c>
      <c r="K462">
        <v>-75.628372999999996</v>
      </c>
      <c r="L462">
        <v>2821</v>
      </c>
      <c r="M462" s="175" t="str">
        <f>VLOOKUP(L462, '2022 SIC to NAICS'!A:D, 2)</f>
        <v>Platemaking Services</v>
      </c>
      <c r="N462" s="184">
        <f>VLOOKUP(L462, '2022 SIC to NAICS'!A:D, 3)</f>
        <v>323120</v>
      </c>
      <c r="O462" s="184" t="str">
        <f>VLOOKUP(L462, '2022 SIC to NAICS'!A:D, 4)</f>
        <v>Support Activities for Printing</v>
      </c>
      <c r="P462" s="185" t="str">
        <f>VLOOKUP(N462, 'NAICS OES crosswalk'!A:C, 3, FALSE)</f>
        <v>TBD</v>
      </c>
      <c r="T462" s="186" t="s">
        <v>1438</v>
      </c>
      <c r="U462" t="s">
        <v>1439</v>
      </c>
      <c r="V462">
        <v>3.5185000000000001E-4</v>
      </c>
      <c r="X462" t="b">
        <f t="shared" si="8"/>
        <v>1</v>
      </c>
      <c r="Y462" s="186" t="s">
        <v>1427</v>
      </c>
      <c r="Z462" t="s">
        <v>1403</v>
      </c>
    </row>
    <row r="463" spans="1:26" x14ac:dyDescent="0.25">
      <c r="A463">
        <v>2021</v>
      </c>
      <c r="B463" t="s">
        <v>1400</v>
      </c>
      <c r="C463" t="s">
        <v>673</v>
      </c>
      <c r="D463" s="1">
        <v>110000730825</v>
      </c>
      <c r="E463" t="s">
        <v>214</v>
      </c>
      <c r="F463" t="s">
        <v>215</v>
      </c>
      <c r="G463" t="s">
        <v>566</v>
      </c>
      <c r="H463" t="s">
        <v>146</v>
      </c>
      <c r="I463" t="s">
        <v>1401</v>
      </c>
      <c r="J463">
        <v>32.664450000000002</v>
      </c>
      <c r="K463">
        <v>-115.55970499999999</v>
      </c>
      <c r="L463">
        <v>4952</v>
      </c>
      <c r="M463" s="175" t="str">
        <f>VLOOKUP(L463, '2022 SIC to NAICS'!A:D, 2)</f>
        <v>Manufacturing Industries, Nec</v>
      </c>
      <c r="N463" s="184">
        <f>VLOOKUP(L463, '2022 SIC to NAICS'!A:D, 3)</f>
        <v>339999</v>
      </c>
      <c r="O463" s="184" t="str">
        <f>VLOOKUP(L463, '2022 SIC to NAICS'!A:D, 4)</f>
        <v xml:space="preserve">All Other Miscellaneous Manufacturing </v>
      </c>
      <c r="P463" s="185" t="str">
        <f>VLOOKUP(N463, 'NAICS OES crosswalk'!A:C, 3, FALSE)</f>
        <v>TBD</v>
      </c>
      <c r="T463">
        <v>181002040902</v>
      </c>
      <c r="U463" t="s">
        <v>674</v>
      </c>
      <c r="V463">
        <v>0.17453496087500001</v>
      </c>
      <c r="X463" t="b">
        <f t="shared" si="8"/>
        <v>0</v>
      </c>
      <c r="Y463" s="186" t="s">
        <v>1402</v>
      </c>
      <c r="Z463" t="s">
        <v>1403</v>
      </c>
    </row>
    <row r="464" spans="1:26" x14ac:dyDescent="0.25">
      <c r="A464">
        <v>2022</v>
      </c>
      <c r="B464" t="s">
        <v>1400</v>
      </c>
      <c r="C464" t="s">
        <v>782</v>
      </c>
      <c r="D464" s="1">
        <v>110000321651</v>
      </c>
      <c r="E464" t="s">
        <v>282</v>
      </c>
      <c r="F464" t="s">
        <v>283</v>
      </c>
      <c r="G464" t="s">
        <v>781</v>
      </c>
      <c r="H464" t="s">
        <v>153</v>
      </c>
      <c r="I464" t="s">
        <v>1401</v>
      </c>
      <c r="J464">
        <v>40.331944</v>
      </c>
      <c r="K464">
        <v>-74.619721999999996</v>
      </c>
      <c r="L464">
        <v>2869</v>
      </c>
      <c r="M464" s="175" t="str">
        <f>VLOOKUP(L464, '2022 SIC to NAICS'!A:D, 2)</f>
        <v>Industrial Organic Chemicals, Nec</v>
      </c>
      <c r="N464" s="184">
        <f>VLOOKUP(L464, '2022 SIC to NAICS'!A:D, 3)</f>
        <v>325180</v>
      </c>
      <c r="O464" s="184" t="str">
        <f>VLOOKUP(L464, '2022 SIC to NAICS'!A:D, 4)</f>
        <v xml:space="preserve">Other Basic Inorganic Chemical Manufacturing </v>
      </c>
      <c r="P464" s="185" t="str">
        <f>VLOOKUP(N464, 'NAICS OES crosswalk'!A:C, 3, FALSE)</f>
        <v>Processing as a reactant</v>
      </c>
      <c r="T464" s="186" t="s">
        <v>1225</v>
      </c>
      <c r="U464" t="s">
        <v>783</v>
      </c>
      <c r="V464">
        <v>3.0695E-2</v>
      </c>
      <c r="X464" t="b">
        <f>V464 &lt;= _xlfn.PERCENTILE.INC($V$464:$V$592, 0.1)</f>
        <v>0</v>
      </c>
      <c r="Y464" s="186" t="s">
        <v>1404</v>
      </c>
      <c r="Z464" t="s">
        <v>1403</v>
      </c>
    </row>
    <row r="465" spans="1:26" x14ac:dyDescent="0.25">
      <c r="A465">
        <v>2022</v>
      </c>
      <c r="B465" t="s">
        <v>1400</v>
      </c>
      <c r="C465" t="s">
        <v>982</v>
      </c>
      <c r="D465" s="1">
        <v>110022905588</v>
      </c>
      <c r="E465" t="s">
        <v>408</v>
      </c>
      <c r="F465" t="s">
        <v>409</v>
      </c>
      <c r="G465" t="s">
        <v>901</v>
      </c>
      <c r="H465" t="s">
        <v>138</v>
      </c>
      <c r="I465" t="s">
        <v>1401</v>
      </c>
      <c r="J465">
        <v>38.417499999999997</v>
      </c>
      <c r="K465">
        <v>-85.611109999999996</v>
      </c>
      <c r="L465">
        <v>4952</v>
      </c>
      <c r="M465" s="175" t="str">
        <f>VLOOKUP(L465, '2022 SIC to NAICS'!A:D, 2)</f>
        <v>Manufacturing Industries, Nec</v>
      </c>
      <c r="N465" s="184">
        <f>VLOOKUP(L465, '2022 SIC to NAICS'!A:D, 3)</f>
        <v>339999</v>
      </c>
      <c r="O465" s="184" t="str">
        <f>VLOOKUP(L465, '2022 SIC to NAICS'!A:D, 4)</f>
        <v xml:space="preserve">All Other Miscellaneous Manufacturing </v>
      </c>
      <c r="P465" s="185" t="str">
        <f>VLOOKUP(N465, 'NAICS OES crosswalk'!A:C, 3, FALSE)</f>
        <v>TBD</v>
      </c>
      <c r="T465" s="186" t="s">
        <v>1267</v>
      </c>
      <c r="U465" t="s">
        <v>983</v>
      </c>
      <c r="V465">
        <v>2.756142375</v>
      </c>
      <c r="X465" t="b">
        <f t="shared" ref="X465:X528" si="9">V465 &lt;= _xlfn.PERCENTILE.INC($V$464:$V$592, 0.1)</f>
        <v>0</v>
      </c>
      <c r="Y465" s="186" t="s">
        <v>1402</v>
      </c>
      <c r="Z465" t="s">
        <v>1403</v>
      </c>
    </row>
    <row r="466" spans="1:26" x14ac:dyDescent="0.25">
      <c r="A466">
        <v>2022</v>
      </c>
      <c r="B466" t="s">
        <v>1400</v>
      </c>
      <c r="C466" t="s">
        <v>621</v>
      </c>
      <c r="D466" s="1">
        <v>110001855635</v>
      </c>
      <c r="E466" t="s">
        <v>397</v>
      </c>
      <c r="F466" t="s">
        <v>398</v>
      </c>
      <c r="G466" t="s">
        <v>620</v>
      </c>
      <c r="H466" t="s">
        <v>138</v>
      </c>
      <c r="I466" t="s">
        <v>1401</v>
      </c>
      <c r="J466">
        <v>36.866140000000001</v>
      </c>
      <c r="K466">
        <v>-88.342470000000006</v>
      </c>
      <c r="L466">
        <v>4952</v>
      </c>
      <c r="M466" s="175" t="str">
        <f>VLOOKUP(L466, '2022 SIC to NAICS'!A:D, 2)</f>
        <v>Manufacturing Industries, Nec</v>
      </c>
      <c r="N466" s="184">
        <f>VLOOKUP(L466, '2022 SIC to NAICS'!A:D, 3)</f>
        <v>339999</v>
      </c>
      <c r="O466" s="184" t="str">
        <f>VLOOKUP(L466, '2022 SIC to NAICS'!A:D, 4)</f>
        <v xml:space="preserve">All Other Miscellaneous Manufacturing </v>
      </c>
      <c r="P466" s="185" t="str">
        <f>VLOOKUP(N466, 'NAICS OES crosswalk'!A:C, 3, FALSE)</f>
        <v>TBD</v>
      </c>
      <c r="T466" s="186" t="s">
        <v>1262</v>
      </c>
      <c r="U466" t="s">
        <v>622</v>
      </c>
      <c r="V466">
        <v>3.4641739375</v>
      </c>
      <c r="X466" t="b">
        <f t="shared" si="9"/>
        <v>0</v>
      </c>
      <c r="Y466" s="186" t="s">
        <v>1402</v>
      </c>
      <c r="Z466" t="s">
        <v>1403</v>
      </c>
    </row>
    <row r="467" spans="1:26" x14ac:dyDescent="0.25">
      <c r="A467">
        <v>2022</v>
      </c>
      <c r="B467" t="s">
        <v>1400</v>
      </c>
      <c r="C467" t="s">
        <v>1412</v>
      </c>
      <c r="D467" s="1">
        <v>110041245015</v>
      </c>
      <c r="E467" t="s">
        <v>1413</v>
      </c>
      <c r="F467" t="s">
        <v>1414</v>
      </c>
      <c r="G467" t="s">
        <v>683</v>
      </c>
      <c r="H467" t="s">
        <v>364</v>
      </c>
      <c r="I467" t="s">
        <v>1405</v>
      </c>
      <c r="J467">
        <v>39.567390000000003</v>
      </c>
      <c r="K467">
        <v>-76.920410000000004</v>
      </c>
      <c r="L467"/>
      <c r="M467" s="175" t="e">
        <f>VLOOKUP(L467, '2022 SIC to NAICS'!A:D, 2)</f>
        <v>#N/A</v>
      </c>
      <c r="N467" s="184" t="e">
        <f>VLOOKUP(L467, '2022 SIC to NAICS'!A:D, 3)</f>
        <v>#N/A</v>
      </c>
      <c r="O467" s="184" t="e">
        <f>VLOOKUP(L467, '2022 SIC to NAICS'!A:D, 4)</f>
        <v>#N/A</v>
      </c>
      <c r="P467" s="185" t="e">
        <f>VLOOKUP(N467, 'NAICS OES crosswalk'!A:C, 3, FALSE)</f>
        <v>#N/A</v>
      </c>
      <c r="T467" s="186" t="s">
        <v>1415</v>
      </c>
      <c r="U467" t="s">
        <v>1416</v>
      </c>
      <c r="V467">
        <v>1.0603204375E-3</v>
      </c>
      <c r="X467" t="b">
        <f t="shared" si="9"/>
        <v>1</v>
      </c>
      <c r="Y467" s="186" t="s">
        <v>1402</v>
      </c>
      <c r="Z467" t="s">
        <v>1403</v>
      </c>
    </row>
    <row r="468" spans="1:26" x14ac:dyDescent="0.25">
      <c r="A468">
        <v>2022</v>
      </c>
      <c r="B468" t="s">
        <v>1400</v>
      </c>
      <c r="C468" t="s">
        <v>974</v>
      </c>
      <c r="D468" s="1">
        <v>110000547196</v>
      </c>
      <c r="E468" t="s">
        <v>329</v>
      </c>
      <c r="F468" t="s">
        <v>224</v>
      </c>
      <c r="G468" t="s">
        <v>973</v>
      </c>
      <c r="H468" t="s">
        <v>141</v>
      </c>
      <c r="I468" t="s">
        <v>1405</v>
      </c>
      <c r="J468">
        <v>41.405655000000003</v>
      </c>
      <c r="K468">
        <v>-88.335212999999996</v>
      </c>
      <c r="L468">
        <v>2869</v>
      </c>
      <c r="M468" s="175" t="str">
        <f>VLOOKUP(L468, '2022 SIC to NAICS'!A:D, 2)</f>
        <v>Industrial Organic Chemicals, Nec</v>
      </c>
      <c r="N468" s="184">
        <f>VLOOKUP(L468, '2022 SIC to NAICS'!A:D, 3)</f>
        <v>325180</v>
      </c>
      <c r="O468" s="184" t="str">
        <f>VLOOKUP(L468, '2022 SIC to NAICS'!A:D, 4)</f>
        <v xml:space="preserve">Other Basic Inorganic Chemical Manufacturing </v>
      </c>
      <c r="P468" s="185" t="str">
        <f>VLOOKUP(N468, 'NAICS OES crosswalk'!A:C, 3, FALSE)</f>
        <v>Processing as a reactant</v>
      </c>
      <c r="T468" s="186" t="s">
        <v>1202</v>
      </c>
      <c r="U468" t="s">
        <v>773</v>
      </c>
      <c r="V468">
        <v>6.5575759999999997E-2</v>
      </c>
      <c r="X468" t="b">
        <f t="shared" si="9"/>
        <v>0</v>
      </c>
      <c r="Y468" s="186" t="s">
        <v>1402</v>
      </c>
      <c r="Z468" t="s">
        <v>1403</v>
      </c>
    </row>
    <row r="469" spans="1:26" x14ac:dyDescent="0.25">
      <c r="A469">
        <v>2022</v>
      </c>
      <c r="B469" t="s">
        <v>1400</v>
      </c>
      <c r="C469" t="s">
        <v>1059</v>
      </c>
      <c r="D469" s="1">
        <v>110008476327</v>
      </c>
      <c r="E469" t="s">
        <v>266</v>
      </c>
      <c r="F469" t="s">
        <v>267</v>
      </c>
      <c r="G469" t="s">
        <v>1057</v>
      </c>
      <c r="H469" t="s">
        <v>268</v>
      </c>
      <c r="I469" t="s">
        <v>1405</v>
      </c>
      <c r="J469">
        <v>41.452778000000002</v>
      </c>
      <c r="K469">
        <v>-79.690278000000006</v>
      </c>
      <c r="L469">
        <v>2865</v>
      </c>
      <c r="M469" s="175" t="str">
        <f>VLOOKUP(L469, '2022 SIC to NAICS'!A:D, 2)</f>
        <v>Platemaking Services</v>
      </c>
      <c r="N469" s="184">
        <f>VLOOKUP(L469, '2022 SIC to NAICS'!A:D, 3)</f>
        <v>323120</v>
      </c>
      <c r="O469" s="184" t="str">
        <f>VLOOKUP(L469, '2022 SIC to NAICS'!A:D, 4)</f>
        <v>Support Activities for Printing</v>
      </c>
      <c r="P469" s="185" t="str">
        <f>VLOOKUP(N469, 'NAICS OES crosswalk'!A:C, 3, FALSE)</f>
        <v>TBD</v>
      </c>
      <c r="T469" s="186" t="s">
        <v>1219</v>
      </c>
      <c r="U469" t="s">
        <v>1060</v>
      </c>
      <c r="V469">
        <v>2.4856499999999998E-3</v>
      </c>
      <c r="X469" t="b">
        <f t="shared" si="9"/>
        <v>0</v>
      </c>
      <c r="Y469" s="186" t="s">
        <v>1402</v>
      </c>
      <c r="Z469" t="s">
        <v>1403</v>
      </c>
    </row>
    <row r="470" spans="1:26" x14ac:dyDescent="0.25">
      <c r="A470">
        <v>2022</v>
      </c>
      <c r="B470" t="s">
        <v>1400</v>
      </c>
      <c r="C470" t="s">
        <v>764</v>
      </c>
      <c r="D470" s="1">
        <v>110060340162</v>
      </c>
      <c r="E470" t="s">
        <v>302</v>
      </c>
      <c r="F470" t="s">
        <v>303</v>
      </c>
      <c r="G470" t="s">
        <v>638</v>
      </c>
      <c r="H470" t="s">
        <v>114</v>
      </c>
      <c r="I470" t="s">
        <v>1405</v>
      </c>
      <c r="J470">
        <v>29.741954</v>
      </c>
      <c r="K470">
        <v>-95.165228999999997</v>
      </c>
      <c r="L470">
        <v>2869</v>
      </c>
      <c r="M470" s="175" t="str">
        <f>VLOOKUP(L470, '2022 SIC to NAICS'!A:D, 2)</f>
        <v>Industrial Organic Chemicals, Nec</v>
      </c>
      <c r="N470" s="184">
        <f>VLOOKUP(L470, '2022 SIC to NAICS'!A:D, 3)</f>
        <v>325180</v>
      </c>
      <c r="O470" s="184" t="str">
        <f>VLOOKUP(L470, '2022 SIC to NAICS'!A:D, 4)</f>
        <v xml:space="preserve">Other Basic Inorganic Chemical Manufacturing </v>
      </c>
      <c r="P470" s="185" t="str">
        <f>VLOOKUP(N470, 'NAICS OES crosswalk'!A:C, 3, FALSE)</f>
        <v>Processing as a reactant</v>
      </c>
      <c r="T470">
        <v>120401040703</v>
      </c>
      <c r="U470" t="s">
        <v>765</v>
      </c>
      <c r="V470">
        <v>0.56642524999999999</v>
      </c>
      <c r="X470" t="b">
        <f t="shared" si="9"/>
        <v>0</v>
      </c>
      <c r="Y470" s="186" t="s">
        <v>1402</v>
      </c>
      <c r="Z470" t="s">
        <v>1403</v>
      </c>
    </row>
    <row r="471" spans="1:26" x14ac:dyDescent="0.25">
      <c r="A471">
        <v>2022</v>
      </c>
      <c r="B471" t="s">
        <v>1400</v>
      </c>
      <c r="C471" t="s">
        <v>1078</v>
      </c>
      <c r="D471" s="1">
        <v>110000572782</v>
      </c>
      <c r="E471" t="s">
        <v>163</v>
      </c>
      <c r="F471" t="s">
        <v>164</v>
      </c>
      <c r="G471" t="s">
        <v>1077</v>
      </c>
      <c r="H471" t="s">
        <v>135</v>
      </c>
      <c r="I471" t="s">
        <v>1401</v>
      </c>
      <c r="J471">
        <v>39.599829999999997</v>
      </c>
      <c r="K471">
        <v>-79.97148</v>
      </c>
      <c r="L471">
        <v>2869</v>
      </c>
      <c r="M471" s="175" t="str">
        <f>VLOOKUP(L471, '2022 SIC to NAICS'!A:D, 2)</f>
        <v>Industrial Organic Chemicals, Nec</v>
      </c>
      <c r="N471" s="184">
        <f>VLOOKUP(L471, '2022 SIC to NAICS'!A:D, 3)</f>
        <v>325180</v>
      </c>
      <c r="O471" s="184" t="str">
        <f>VLOOKUP(L471, '2022 SIC to NAICS'!A:D, 4)</f>
        <v xml:space="preserve">Other Basic Inorganic Chemical Manufacturing </v>
      </c>
      <c r="P471" s="185" t="str">
        <f>VLOOKUP(N471, 'NAICS OES crosswalk'!A:C, 3, FALSE)</f>
        <v>Processing as a reactant</v>
      </c>
      <c r="T471" s="186" t="s">
        <v>1190</v>
      </c>
      <c r="U471" t="s">
        <v>1079</v>
      </c>
      <c r="V471">
        <v>5.1385989999999999E-2</v>
      </c>
      <c r="X471" t="b">
        <f t="shared" si="9"/>
        <v>0</v>
      </c>
      <c r="Y471" s="186" t="s">
        <v>1402</v>
      </c>
    </row>
    <row r="472" spans="1:26" x14ac:dyDescent="0.25">
      <c r="A472">
        <v>2022</v>
      </c>
      <c r="B472" t="s">
        <v>1400</v>
      </c>
      <c r="C472" t="s">
        <v>813</v>
      </c>
      <c r="D472" s="1">
        <v>110000732208</v>
      </c>
      <c r="E472" t="s">
        <v>490</v>
      </c>
      <c r="F472" t="s">
        <v>488</v>
      </c>
      <c r="G472" t="s">
        <v>812</v>
      </c>
      <c r="H472" t="s">
        <v>138</v>
      </c>
      <c r="I472" t="s">
        <v>1401</v>
      </c>
      <c r="J472">
        <v>38.217222</v>
      </c>
      <c r="K472">
        <v>-84.564166999999998</v>
      </c>
      <c r="L472">
        <v>4952</v>
      </c>
      <c r="M472" s="175" t="str">
        <f>VLOOKUP(L472, '2022 SIC to NAICS'!A:D, 2)</f>
        <v>Manufacturing Industries, Nec</v>
      </c>
      <c r="N472" s="184">
        <f>VLOOKUP(L472, '2022 SIC to NAICS'!A:D, 3)</f>
        <v>339999</v>
      </c>
      <c r="O472" s="184" t="str">
        <f>VLOOKUP(L472, '2022 SIC to NAICS'!A:D, 4)</f>
        <v xml:space="preserve">All Other Miscellaneous Manufacturing </v>
      </c>
      <c r="P472" s="185" t="str">
        <f>VLOOKUP(N472, 'NAICS OES crosswalk'!A:C, 3, FALSE)</f>
        <v>TBD</v>
      </c>
      <c r="T472" s="186" t="s">
        <v>1284</v>
      </c>
      <c r="U472" t="s">
        <v>814</v>
      </c>
      <c r="V472">
        <v>8.7726837500000006</v>
      </c>
      <c r="X472" t="b">
        <f t="shared" si="9"/>
        <v>0</v>
      </c>
      <c r="Y472" s="186" t="s">
        <v>1402</v>
      </c>
      <c r="Z472" t="s">
        <v>1403</v>
      </c>
    </row>
    <row r="473" spans="1:26" x14ac:dyDescent="0.25">
      <c r="A473">
        <v>2022</v>
      </c>
      <c r="B473" t="s">
        <v>1400</v>
      </c>
      <c r="C473" t="s">
        <v>1133</v>
      </c>
      <c r="D473" s="1">
        <v>110064252419</v>
      </c>
      <c r="E473" t="s">
        <v>306</v>
      </c>
      <c r="F473" t="s">
        <v>183</v>
      </c>
      <c r="G473" t="s">
        <v>736</v>
      </c>
      <c r="H473" t="s">
        <v>146</v>
      </c>
      <c r="I473" t="s">
        <v>1401</v>
      </c>
      <c r="J473">
        <v>37.977150000000002</v>
      </c>
      <c r="K473">
        <v>-122.33269</v>
      </c>
      <c r="L473">
        <v>4952</v>
      </c>
      <c r="M473" s="175" t="str">
        <f>VLOOKUP(L473, '2022 SIC to NAICS'!A:D, 2)</f>
        <v>Manufacturing Industries, Nec</v>
      </c>
      <c r="N473" s="184">
        <f>VLOOKUP(L473, '2022 SIC to NAICS'!A:D, 3)</f>
        <v>339999</v>
      </c>
      <c r="O473" s="184" t="str">
        <f>VLOOKUP(L473, '2022 SIC to NAICS'!A:D, 4)</f>
        <v xml:space="preserve">All Other Miscellaneous Manufacturing </v>
      </c>
      <c r="P473" s="185" t="str">
        <f>VLOOKUP(N473, 'NAICS OES crosswalk'!A:C, 3, FALSE)</f>
        <v>TBD</v>
      </c>
      <c r="T473">
        <v>180500020702</v>
      </c>
      <c r="U473" t="s">
        <v>1134</v>
      </c>
      <c r="V473">
        <v>3.1705998750000002</v>
      </c>
      <c r="X473" t="b">
        <f t="shared" si="9"/>
        <v>0</v>
      </c>
      <c r="Y473" s="186" t="s">
        <v>1402</v>
      </c>
      <c r="Z473" t="s">
        <v>1403</v>
      </c>
    </row>
    <row r="474" spans="1:26" x14ac:dyDescent="0.25">
      <c r="A474">
        <v>2022</v>
      </c>
      <c r="B474" t="s">
        <v>1400</v>
      </c>
      <c r="C474" t="s">
        <v>699</v>
      </c>
      <c r="D474" s="1">
        <v>110001075345</v>
      </c>
      <c r="E474" t="s">
        <v>299</v>
      </c>
      <c r="F474" t="s">
        <v>300</v>
      </c>
      <c r="G474" t="s">
        <v>697</v>
      </c>
      <c r="H474" t="s">
        <v>268</v>
      </c>
      <c r="I474" t="s">
        <v>1405</v>
      </c>
      <c r="J474">
        <v>40.700989999999997</v>
      </c>
      <c r="K474">
        <v>-75.214780000000005</v>
      </c>
      <c r="L474">
        <v>4953</v>
      </c>
      <c r="M474" s="175" t="str">
        <f>VLOOKUP(L474, '2022 SIC to NAICS'!A:D, 2)</f>
        <v>Manufacturing Industries, Nec</v>
      </c>
      <c r="N474" s="184">
        <f>VLOOKUP(L474, '2022 SIC to NAICS'!A:D, 3)</f>
        <v>339999</v>
      </c>
      <c r="O474" s="184" t="str">
        <f>VLOOKUP(L474, '2022 SIC to NAICS'!A:D, 4)</f>
        <v xml:space="preserve">All Other Miscellaneous Manufacturing </v>
      </c>
      <c r="P474" s="185" t="str">
        <f>VLOOKUP(N474, 'NAICS OES crosswalk'!A:C, 3, FALSE)</f>
        <v>TBD</v>
      </c>
      <c r="T474" s="186" t="s">
        <v>1233</v>
      </c>
      <c r="U474" t="s">
        <v>700</v>
      </c>
      <c r="V474">
        <v>6.7279699750000005E-2</v>
      </c>
      <c r="X474" t="b">
        <f t="shared" si="9"/>
        <v>0</v>
      </c>
      <c r="Y474" s="186" t="s">
        <v>1402</v>
      </c>
      <c r="Z474" t="s">
        <v>1403</v>
      </c>
    </row>
    <row r="475" spans="1:26" x14ac:dyDescent="0.25">
      <c r="A475">
        <v>2022</v>
      </c>
      <c r="B475" t="s">
        <v>1400</v>
      </c>
      <c r="C475" t="s">
        <v>1150</v>
      </c>
      <c r="D475" s="1">
        <v>110039782349</v>
      </c>
      <c r="E475" t="s">
        <v>464</v>
      </c>
      <c r="F475" t="s">
        <v>465</v>
      </c>
      <c r="G475" t="s">
        <v>1149</v>
      </c>
      <c r="H475" t="s">
        <v>146</v>
      </c>
      <c r="I475" t="s">
        <v>1401</v>
      </c>
      <c r="J475">
        <v>38.662149999999997</v>
      </c>
      <c r="K475">
        <v>-121.71407000000001</v>
      </c>
      <c r="L475">
        <v>4952</v>
      </c>
      <c r="M475" s="175" t="str">
        <f>VLOOKUP(L475, '2022 SIC to NAICS'!A:D, 2)</f>
        <v>Manufacturing Industries, Nec</v>
      </c>
      <c r="N475" s="184">
        <f>VLOOKUP(L475, '2022 SIC to NAICS'!A:D, 3)</f>
        <v>339999</v>
      </c>
      <c r="O475" s="184" t="str">
        <f>VLOOKUP(L475, '2022 SIC to NAICS'!A:D, 4)</f>
        <v xml:space="preserve">All Other Miscellaneous Manufacturing </v>
      </c>
      <c r="P475" s="185" t="str">
        <f>VLOOKUP(N475, 'NAICS OES crosswalk'!A:C, 3, FALSE)</f>
        <v>TBD</v>
      </c>
      <c r="T475">
        <v>180201630302</v>
      </c>
      <c r="U475" t="s">
        <v>1151</v>
      </c>
      <c r="V475">
        <v>0.199443762</v>
      </c>
      <c r="X475" t="b">
        <f t="shared" si="9"/>
        <v>0</v>
      </c>
      <c r="Y475" s="186" t="s">
        <v>1402</v>
      </c>
      <c r="Z475" t="s">
        <v>1403</v>
      </c>
    </row>
    <row r="476" spans="1:26" x14ac:dyDescent="0.25">
      <c r="A476">
        <v>2022</v>
      </c>
      <c r="B476" t="s">
        <v>1400</v>
      </c>
      <c r="C476" t="s">
        <v>577</v>
      </c>
      <c r="D476" s="1">
        <v>110008995490</v>
      </c>
      <c r="E476" t="s">
        <v>301</v>
      </c>
      <c r="F476" t="s">
        <v>157</v>
      </c>
      <c r="G476" t="s">
        <v>575</v>
      </c>
      <c r="H476" t="s">
        <v>158</v>
      </c>
      <c r="I476" t="s">
        <v>1405</v>
      </c>
      <c r="J476">
        <v>36.176639999999999</v>
      </c>
      <c r="K476">
        <v>-115.12891999999999</v>
      </c>
      <c r="L476">
        <v>6513</v>
      </c>
      <c r="M476" s="175" t="str">
        <f>VLOOKUP(L476, '2022 SIC to NAICS'!A:D, 2)</f>
        <v>Communication Services, Nec</v>
      </c>
      <c r="N476" s="184">
        <f>VLOOKUP(L476, '2022 SIC to NAICS'!A:D, 3)</f>
        <v>517810</v>
      </c>
      <c r="O476" s="184" t="str">
        <f>VLOOKUP(L476, '2022 SIC to NAICS'!A:D, 4)</f>
        <v xml:space="preserve">All Other Telecommunications </v>
      </c>
      <c r="P476" s="185" t="str">
        <f>VLOOKUP(N476, 'NAICS OES crosswalk'!A:C, 3, FALSE)</f>
        <v>TBD</v>
      </c>
      <c r="T476">
        <v>150100150604</v>
      </c>
      <c r="U476" t="s">
        <v>578</v>
      </c>
      <c r="V476">
        <v>1.5196775E-3</v>
      </c>
      <c r="X476" t="b">
        <f t="shared" si="9"/>
        <v>1</v>
      </c>
      <c r="Y476" s="186" t="s">
        <v>1402</v>
      </c>
      <c r="Z476" t="s">
        <v>1403</v>
      </c>
    </row>
    <row r="477" spans="1:26" x14ac:dyDescent="0.25">
      <c r="A477">
        <v>2022</v>
      </c>
      <c r="B477" t="s">
        <v>1400</v>
      </c>
      <c r="C477" t="s">
        <v>583</v>
      </c>
      <c r="D477" s="1">
        <v>110000846602</v>
      </c>
      <c r="E477" t="s">
        <v>401</v>
      </c>
      <c r="F477" t="s">
        <v>402</v>
      </c>
      <c r="G477" t="s">
        <v>402</v>
      </c>
      <c r="H477" t="s">
        <v>106</v>
      </c>
      <c r="I477" t="s">
        <v>1405</v>
      </c>
      <c r="J477">
        <v>30.27083</v>
      </c>
      <c r="K477">
        <v>-92.037279999999996</v>
      </c>
      <c r="L477">
        <v>2821</v>
      </c>
      <c r="M477" s="175" t="str">
        <f>VLOOKUP(L477, '2022 SIC to NAICS'!A:D, 2)</f>
        <v>Platemaking Services</v>
      </c>
      <c r="N477" s="184">
        <f>VLOOKUP(L477, '2022 SIC to NAICS'!A:D, 3)</f>
        <v>323120</v>
      </c>
      <c r="O477" s="184" t="str">
        <f>VLOOKUP(L477, '2022 SIC to NAICS'!A:D, 4)</f>
        <v>Support Activities for Printing</v>
      </c>
      <c r="P477" s="185" t="str">
        <f>VLOOKUP(N477, 'NAICS OES crosswalk'!A:C, 3, FALSE)</f>
        <v>TBD</v>
      </c>
      <c r="T477" s="186" t="s">
        <v>1264</v>
      </c>
      <c r="U477" t="s">
        <v>584</v>
      </c>
      <c r="V477">
        <v>9.5877835000000005E-3</v>
      </c>
      <c r="X477" t="b">
        <f t="shared" si="9"/>
        <v>0</v>
      </c>
      <c r="Y477" s="186" t="s">
        <v>1402</v>
      </c>
      <c r="Z477" t="s">
        <v>1403</v>
      </c>
    </row>
    <row r="478" spans="1:26" x14ac:dyDescent="0.25">
      <c r="A478">
        <v>2022</v>
      </c>
      <c r="B478" t="s">
        <v>1400</v>
      </c>
      <c r="C478" t="s">
        <v>605</v>
      </c>
      <c r="D478" s="1">
        <v>110000452082</v>
      </c>
      <c r="E478" t="s">
        <v>203</v>
      </c>
      <c r="F478" t="s">
        <v>204</v>
      </c>
      <c r="G478" t="s">
        <v>604</v>
      </c>
      <c r="H478" t="s">
        <v>205</v>
      </c>
      <c r="I478" t="s">
        <v>1401</v>
      </c>
      <c r="J478">
        <v>35.136057000000001</v>
      </c>
      <c r="K478">
        <v>-90.096892999999994</v>
      </c>
      <c r="L478">
        <v>2869</v>
      </c>
      <c r="M478" s="175" t="str">
        <f>VLOOKUP(L478, '2022 SIC to NAICS'!A:D, 2)</f>
        <v>Industrial Organic Chemicals, Nec</v>
      </c>
      <c r="N478" s="184">
        <f>VLOOKUP(L478, '2022 SIC to NAICS'!A:D, 3)</f>
        <v>325180</v>
      </c>
      <c r="O478" s="184" t="str">
        <f>VLOOKUP(L478, '2022 SIC to NAICS'!A:D, 4)</f>
        <v xml:space="preserve">Other Basic Inorganic Chemical Manufacturing </v>
      </c>
      <c r="P478" s="185" t="str">
        <f>VLOOKUP(N478, 'NAICS OES crosswalk'!A:C, 3, FALSE)</f>
        <v>Processing as a reactant</v>
      </c>
      <c r="T478" s="186" t="s">
        <v>1199</v>
      </c>
      <c r="U478" t="s">
        <v>606</v>
      </c>
      <c r="V478">
        <v>1.2053700000000001E-2</v>
      </c>
      <c r="X478" t="b">
        <f t="shared" si="9"/>
        <v>0</v>
      </c>
      <c r="Y478" s="186" t="s">
        <v>1402</v>
      </c>
      <c r="Z478" t="s">
        <v>1403</v>
      </c>
    </row>
    <row r="479" spans="1:26" x14ac:dyDescent="0.25">
      <c r="A479">
        <v>2022</v>
      </c>
      <c r="B479" t="s">
        <v>1400</v>
      </c>
      <c r="C479" t="s">
        <v>1117</v>
      </c>
      <c r="D479" s="1">
        <v>110004306938</v>
      </c>
      <c r="E479" t="s">
        <v>156</v>
      </c>
      <c r="F479" t="s">
        <v>157</v>
      </c>
      <c r="G479" t="s">
        <v>575</v>
      </c>
      <c r="H479" t="s">
        <v>158</v>
      </c>
      <c r="I479" t="s">
        <v>1405</v>
      </c>
      <c r="J479">
        <v>36.122100000000003</v>
      </c>
      <c r="K479">
        <v>-115.17139</v>
      </c>
      <c r="L479">
        <v>7011</v>
      </c>
      <c r="M479" s="175" t="str">
        <f>VLOOKUP(L479, '2022 SIC to NAICS'!A:D, 2)</f>
        <v>Communication Services, Nec</v>
      </c>
      <c r="N479" s="184">
        <f>VLOOKUP(L479, '2022 SIC to NAICS'!A:D, 3)</f>
        <v>517810</v>
      </c>
      <c r="O479" s="184" t="str">
        <f>VLOOKUP(L479, '2022 SIC to NAICS'!A:D, 4)</f>
        <v xml:space="preserve">All Other Telecommunications </v>
      </c>
      <c r="P479" s="185" t="str">
        <f>VLOOKUP(N479, 'NAICS OES crosswalk'!A:C, 3, FALSE)</f>
        <v>TBD</v>
      </c>
      <c r="T479">
        <v>150100150604</v>
      </c>
      <c r="U479" t="s">
        <v>578</v>
      </c>
      <c r="V479">
        <v>0.145080847875</v>
      </c>
      <c r="X479" t="b">
        <f t="shared" si="9"/>
        <v>0</v>
      </c>
      <c r="Y479" s="186" t="s">
        <v>1430</v>
      </c>
      <c r="Z479" t="s">
        <v>1403</v>
      </c>
    </row>
    <row r="480" spans="1:26" x14ac:dyDescent="0.25">
      <c r="A480">
        <v>2022</v>
      </c>
      <c r="B480" t="s">
        <v>1400</v>
      </c>
      <c r="C480" t="s">
        <v>881</v>
      </c>
      <c r="D480" s="1">
        <v>110000741608</v>
      </c>
      <c r="E480" t="s">
        <v>275</v>
      </c>
      <c r="F480" t="s">
        <v>276</v>
      </c>
      <c r="G480" t="s">
        <v>620</v>
      </c>
      <c r="H480" t="s">
        <v>138</v>
      </c>
      <c r="I480" t="s">
        <v>1401</v>
      </c>
      <c r="J480">
        <v>37.047736999999998</v>
      </c>
      <c r="K480">
        <v>-88.35866</v>
      </c>
      <c r="L480">
        <v>2869</v>
      </c>
      <c r="M480" s="175" t="str">
        <f>VLOOKUP(L480, '2022 SIC to NAICS'!A:D, 2)</f>
        <v>Industrial Organic Chemicals, Nec</v>
      </c>
      <c r="N480" s="184">
        <f>VLOOKUP(L480, '2022 SIC to NAICS'!A:D, 3)</f>
        <v>325180</v>
      </c>
      <c r="O480" s="184" t="str">
        <f>VLOOKUP(L480, '2022 SIC to NAICS'!A:D, 4)</f>
        <v xml:space="preserve">Other Basic Inorganic Chemical Manufacturing </v>
      </c>
      <c r="P480" s="185" t="str">
        <f>VLOOKUP(N480, 'NAICS OES crosswalk'!A:C, 3, FALSE)</f>
        <v>Processing as a reactant</v>
      </c>
      <c r="T480" s="186" t="s">
        <v>1222</v>
      </c>
      <c r="U480" t="s">
        <v>882</v>
      </c>
      <c r="V480">
        <v>1.2428250000000001</v>
      </c>
      <c r="X480" t="b">
        <f t="shared" si="9"/>
        <v>0</v>
      </c>
      <c r="Y480" s="186" t="s">
        <v>1402</v>
      </c>
      <c r="Z480" t="s">
        <v>1403</v>
      </c>
    </row>
    <row r="481" spans="1:26" x14ac:dyDescent="0.25">
      <c r="A481">
        <v>2022</v>
      </c>
      <c r="B481" t="s">
        <v>1400</v>
      </c>
      <c r="C481" t="s">
        <v>720</v>
      </c>
      <c r="D481" s="1">
        <v>110020737540</v>
      </c>
      <c r="E481" t="s">
        <v>449</v>
      </c>
      <c r="F481" t="s">
        <v>450</v>
      </c>
      <c r="G481" t="s">
        <v>719</v>
      </c>
      <c r="H481" t="s">
        <v>138</v>
      </c>
      <c r="I481" t="s">
        <v>1401</v>
      </c>
      <c r="J481">
        <v>38.394444</v>
      </c>
      <c r="K481">
        <v>-84.284999999999997</v>
      </c>
      <c r="L481">
        <v>4952</v>
      </c>
      <c r="M481" s="175" t="str">
        <f>VLOOKUP(L481, '2022 SIC to NAICS'!A:D, 2)</f>
        <v>Manufacturing Industries, Nec</v>
      </c>
      <c r="N481" s="184">
        <f>VLOOKUP(L481, '2022 SIC to NAICS'!A:D, 3)</f>
        <v>339999</v>
      </c>
      <c r="O481" s="184" t="str">
        <f>VLOOKUP(L481, '2022 SIC to NAICS'!A:D, 4)</f>
        <v xml:space="preserve">All Other Miscellaneous Manufacturing </v>
      </c>
      <c r="P481" s="185" t="str">
        <f>VLOOKUP(N481, 'NAICS OES crosswalk'!A:C, 3, FALSE)</f>
        <v>TBD</v>
      </c>
      <c r="T481" s="186" t="s">
        <v>1277</v>
      </c>
      <c r="U481" t="s">
        <v>721</v>
      </c>
      <c r="V481">
        <v>2.7457809375000002</v>
      </c>
      <c r="X481" t="b">
        <f t="shared" si="9"/>
        <v>0</v>
      </c>
      <c r="Y481" s="186" t="s">
        <v>1402</v>
      </c>
      <c r="Z481" t="s">
        <v>1403</v>
      </c>
    </row>
    <row r="482" spans="1:26" x14ac:dyDescent="0.25">
      <c r="A482">
        <v>2022</v>
      </c>
      <c r="B482" t="s">
        <v>1400</v>
      </c>
      <c r="C482" t="s">
        <v>1069</v>
      </c>
      <c r="D482" s="1">
        <v>110000854246</v>
      </c>
      <c r="E482" t="s">
        <v>451</v>
      </c>
      <c r="F482" t="s">
        <v>324</v>
      </c>
      <c r="G482" t="s">
        <v>1067</v>
      </c>
      <c r="H482" t="s">
        <v>452</v>
      </c>
      <c r="I482" t="s">
        <v>1401</v>
      </c>
      <c r="J482">
        <v>34.047217000000003</v>
      </c>
      <c r="K482">
        <v>-81.151325999999997</v>
      </c>
      <c r="L482">
        <v>2824</v>
      </c>
      <c r="M482" s="175" t="str">
        <f>VLOOKUP(L482, '2022 SIC to NAICS'!A:D, 2)</f>
        <v>Platemaking Services</v>
      </c>
      <c r="N482" s="184">
        <f>VLOOKUP(L482, '2022 SIC to NAICS'!A:D, 3)</f>
        <v>323120</v>
      </c>
      <c r="O482" s="184" t="str">
        <f>VLOOKUP(L482, '2022 SIC to NAICS'!A:D, 4)</f>
        <v>Support Activities for Printing</v>
      </c>
      <c r="P482" s="185" t="str">
        <f>VLOOKUP(N482, 'NAICS OES crosswalk'!A:C, 3, FALSE)</f>
        <v>TBD</v>
      </c>
      <c r="T482" s="186" t="s">
        <v>1278</v>
      </c>
      <c r="U482" t="s">
        <v>1070</v>
      </c>
      <c r="V482">
        <v>0.33141999999999999</v>
      </c>
      <c r="X482" t="b">
        <f t="shared" si="9"/>
        <v>0</v>
      </c>
      <c r="Y482" t="s">
        <v>1471</v>
      </c>
    </row>
    <row r="483" spans="1:26" x14ac:dyDescent="0.25">
      <c r="A483">
        <v>2022</v>
      </c>
      <c r="B483" t="s">
        <v>1400</v>
      </c>
      <c r="C483" t="s">
        <v>825</v>
      </c>
      <c r="D483" s="1">
        <v>110000595981</v>
      </c>
      <c r="E483" t="s">
        <v>257</v>
      </c>
      <c r="F483" t="s">
        <v>258</v>
      </c>
      <c r="G483" t="s">
        <v>823</v>
      </c>
      <c r="H483" t="s">
        <v>170</v>
      </c>
      <c r="I483" t="s">
        <v>1405</v>
      </c>
      <c r="J483">
        <v>39.683477000000003</v>
      </c>
      <c r="K483">
        <v>-91.334682999999998</v>
      </c>
      <c r="L483">
        <v>3241</v>
      </c>
      <c r="M483" s="175" t="str">
        <f>VLOOKUP(L483, '2022 SIC to NAICS'!A:D, 2)</f>
        <v>Fabricated Rubber Products, Nec</v>
      </c>
      <c r="N483" s="184">
        <f>VLOOKUP(L483, '2022 SIC to NAICS'!A:D, 3)</f>
        <v>326299</v>
      </c>
      <c r="O483" s="184" t="str">
        <f>VLOOKUP(L483, '2022 SIC to NAICS'!A:D, 4)</f>
        <v xml:space="preserve">All Other Rubber Product Manufacturing </v>
      </c>
      <c r="P483" s="185" t="str">
        <f>VLOOKUP(N483, 'NAICS OES crosswalk'!A:C, 3, FALSE)</f>
        <v>TBD</v>
      </c>
      <c r="T483" s="186" t="s">
        <v>1214</v>
      </c>
      <c r="U483" t="s">
        <v>826</v>
      </c>
      <c r="V483">
        <v>0.55261000000000005</v>
      </c>
      <c r="X483" t="b">
        <f t="shared" si="9"/>
        <v>0</v>
      </c>
      <c r="Y483" s="186" t="s">
        <v>1427</v>
      </c>
      <c r="Z483" t="s">
        <v>1403</v>
      </c>
    </row>
    <row r="484" spans="1:26" x14ac:dyDescent="0.25">
      <c r="A484">
        <v>2022</v>
      </c>
      <c r="B484" t="s">
        <v>1400</v>
      </c>
      <c r="C484" t="s">
        <v>1038</v>
      </c>
      <c r="D484" s="1">
        <v>110064634686</v>
      </c>
      <c r="E484" t="s">
        <v>273</v>
      </c>
      <c r="F484" t="s">
        <v>274</v>
      </c>
      <c r="G484" t="s">
        <v>1036</v>
      </c>
      <c r="H484" t="s">
        <v>268</v>
      </c>
      <c r="I484" t="s">
        <v>1401</v>
      </c>
      <c r="J484">
        <v>40.094276999999998</v>
      </c>
      <c r="K484">
        <v>-74.865442000000002</v>
      </c>
      <c r="L484">
        <v>2821</v>
      </c>
      <c r="M484" s="175" t="str">
        <f>VLOOKUP(L484, '2022 SIC to NAICS'!A:D, 2)</f>
        <v>Platemaking Services</v>
      </c>
      <c r="N484" s="184">
        <f>VLOOKUP(L484, '2022 SIC to NAICS'!A:D, 3)</f>
        <v>323120</v>
      </c>
      <c r="O484" s="184" t="str">
        <f>VLOOKUP(L484, '2022 SIC to NAICS'!A:D, 4)</f>
        <v>Support Activities for Printing</v>
      </c>
      <c r="P484" s="185" t="str">
        <f>VLOOKUP(N484, 'NAICS OES crosswalk'!A:C, 3, FALSE)</f>
        <v>TBD</v>
      </c>
      <c r="T484" s="186" t="s">
        <v>1221</v>
      </c>
      <c r="U484" t="s">
        <v>1039</v>
      </c>
      <c r="V484">
        <v>0.16704930000000001</v>
      </c>
      <c r="X484" t="b">
        <f t="shared" si="9"/>
        <v>0</v>
      </c>
      <c r="Y484" s="186" t="s">
        <v>1433</v>
      </c>
      <c r="Z484" t="s">
        <v>1403</v>
      </c>
    </row>
    <row r="485" spans="1:26" x14ac:dyDescent="0.25">
      <c r="A485">
        <v>2022</v>
      </c>
      <c r="B485" t="s">
        <v>1400</v>
      </c>
      <c r="C485" t="s">
        <v>556</v>
      </c>
      <c r="D485" s="1">
        <v>110015972562</v>
      </c>
      <c r="E485" t="s">
        <v>167</v>
      </c>
      <c r="F485" t="s">
        <v>157</v>
      </c>
      <c r="G485" t="s">
        <v>554</v>
      </c>
      <c r="H485" t="s">
        <v>158</v>
      </c>
      <c r="I485" t="s">
        <v>1405</v>
      </c>
      <c r="J485">
        <v>36.116160999999998</v>
      </c>
      <c r="K485">
        <v>-115.172741</v>
      </c>
      <c r="L485">
        <v>7011</v>
      </c>
      <c r="M485" s="175" t="str">
        <f>VLOOKUP(L485, '2022 SIC to NAICS'!A:D, 2)</f>
        <v>Communication Services, Nec</v>
      </c>
      <c r="N485" s="184">
        <f>VLOOKUP(L485, '2022 SIC to NAICS'!A:D, 3)</f>
        <v>517810</v>
      </c>
      <c r="O485" s="184" t="str">
        <f>VLOOKUP(L485, '2022 SIC to NAICS'!A:D, 4)</f>
        <v xml:space="preserve">All Other Telecommunications </v>
      </c>
      <c r="P485" s="185" t="str">
        <f>VLOOKUP(N485, 'NAICS OES crosswalk'!A:C, 3, FALSE)</f>
        <v>TBD</v>
      </c>
      <c r="T485">
        <v>150100150505</v>
      </c>
      <c r="U485" t="s">
        <v>557</v>
      </c>
      <c r="V485">
        <v>4.0211281712499998E-2</v>
      </c>
      <c r="X485" t="b">
        <f t="shared" si="9"/>
        <v>0</v>
      </c>
      <c r="Y485" s="186" t="s">
        <v>1404</v>
      </c>
      <c r="Z485" t="s">
        <v>1403</v>
      </c>
    </row>
    <row r="486" spans="1:26" x14ac:dyDescent="0.25">
      <c r="A486">
        <v>2022</v>
      </c>
      <c r="B486" t="s">
        <v>1400</v>
      </c>
      <c r="C486" t="s">
        <v>802</v>
      </c>
      <c r="D486" s="1">
        <v>110039840740</v>
      </c>
      <c r="E486" t="s">
        <v>491</v>
      </c>
      <c r="F486" t="s">
        <v>492</v>
      </c>
      <c r="G486" t="s">
        <v>562</v>
      </c>
      <c r="H486" t="s">
        <v>268</v>
      </c>
      <c r="I486" t="s">
        <v>1401</v>
      </c>
      <c r="J486">
        <v>39.904949999999999</v>
      </c>
      <c r="K486">
        <v>-80.150440000000003</v>
      </c>
      <c r="L486">
        <v>4952</v>
      </c>
      <c r="M486" s="175" t="str">
        <f>VLOOKUP(L486, '2022 SIC to NAICS'!A:D, 2)</f>
        <v>Manufacturing Industries, Nec</v>
      </c>
      <c r="N486" s="184">
        <f>VLOOKUP(L486, '2022 SIC to NAICS'!A:D, 3)</f>
        <v>339999</v>
      </c>
      <c r="O486" s="184" t="str">
        <f>VLOOKUP(L486, '2022 SIC to NAICS'!A:D, 4)</f>
        <v xml:space="preserve">All Other Miscellaneous Manufacturing </v>
      </c>
      <c r="P486" s="185" t="str">
        <f>VLOOKUP(N486, 'NAICS OES crosswalk'!A:C, 3, FALSE)</f>
        <v>TBD</v>
      </c>
      <c r="T486" s="186" t="s">
        <v>1285</v>
      </c>
      <c r="U486" t="s">
        <v>803</v>
      </c>
      <c r="V486">
        <v>358.70799428571399</v>
      </c>
      <c r="X486" t="b">
        <f t="shared" si="9"/>
        <v>0</v>
      </c>
      <c r="Y486" s="186" t="s">
        <v>1402</v>
      </c>
      <c r="Z486" t="s">
        <v>1403</v>
      </c>
    </row>
    <row r="487" spans="1:26" x14ac:dyDescent="0.25">
      <c r="A487">
        <v>2022</v>
      </c>
      <c r="B487" t="s">
        <v>1400</v>
      </c>
      <c r="C487" t="s">
        <v>673</v>
      </c>
      <c r="D487" s="1">
        <v>110000730825</v>
      </c>
      <c r="E487" t="s">
        <v>214</v>
      </c>
      <c r="F487" t="s">
        <v>215</v>
      </c>
      <c r="G487" t="s">
        <v>566</v>
      </c>
      <c r="H487" t="s">
        <v>146</v>
      </c>
      <c r="I487" t="s">
        <v>1401</v>
      </c>
      <c r="J487">
        <v>32.664450000000002</v>
      </c>
      <c r="K487">
        <v>-115.55970499999999</v>
      </c>
      <c r="L487">
        <v>4952</v>
      </c>
      <c r="M487" s="175" t="str">
        <f>VLOOKUP(L487, '2022 SIC to NAICS'!A:D, 2)</f>
        <v>Manufacturing Industries, Nec</v>
      </c>
      <c r="N487" s="184">
        <f>VLOOKUP(L487, '2022 SIC to NAICS'!A:D, 3)</f>
        <v>339999</v>
      </c>
      <c r="O487" s="184" t="str">
        <f>VLOOKUP(L487, '2022 SIC to NAICS'!A:D, 4)</f>
        <v xml:space="preserve">All Other Miscellaneous Manufacturing </v>
      </c>
      <c r="P487" s="185" t="str">
        <f>VLOOKUP(N487, 'NAICS OES crosswalk'!A:C, 3, FALSE)</f>
        <v>TBD</v>
      </c>
      <c r="T487">
        <v>181002040902</v>
      </c>
      <c r="U487" t="s">
        <v>674</v>
      </c>
      <c r="V487">
        <v>0.16792436375</v>
      </c>
      <c r="X487" t="b">
        <f t="shared" si="9"/>
        <v>0</v>
      </c>
      <c r="Y487" s="186" t="s">
        <v>1402</v>
      </c>
      <c r="Z487" t="s">
        <v>1403</v>
      </c>
    </row>
    <row r="488" spans="1:26" x14ac:dyDescent="0.25">
      <c r="A488">
        <v>2022</v>
      </c>
      <c r="B488" t="s">
        <v>1400</v>
      </c>
      <c r="C488" t="s">
        <v>687</v>
      </c>
      <c r="D488" s="1">
        <v>110000613685</v>
      </c>
      <c r="E488" t="s">
        <v>370</v>
      </c>
      <c r="F488" t="s">
        <v>175</v>
      </c>
      <c r="G488" t="s">
        <v>630</v>
      </c>
      <c r="H488" t="s">
        <v>106</v>
      </c>
      <c r="I488" t="s">
        <v>1405</v>
      </c>
      <c r="J488">
        <v>30.321895000000001</v>
      </c>
      <c r="K488">
        <v>-93.300735000000003</v>
      </c>
      <c r="L488">
        <v>4953</v>
      </c>
      <c r="M488" s="175" t="str">
        <f>VLOOKUP(L488, '2022 SIC to NAICS'!A:D, 2)</f>
        <v>Manufacturing Industries, Nec</v>
      </c>
      <c r="N488" s="184">
        <f>VLOOKUP(L488, '2022 SIC to NAICS'!A:D, 3)</f>
        <v>339999</v>
      </c>
      <c r="O488" s="184" t="str">
        <f>VLOOKUP(L488, '2022 SIC to NAICS'!A:D, 4)</f>
        <v xml:space="preserve">All Other Miscellaneous Manufacturing </v>
      </c>
      <c r="P488" s="185" t="str">
        <f>VLOOKUP(N488, 'NAICS OES crosswalk'!A:C, 3, FALSE)</f>
        <v>TBD</v>
      </c>
      <c r="T488" s="186" t="s">
        <v>1254</v>
      </c>
      <c r="U488" t="s">
        <v>688</v>
      </c>
      <c r="V488">
        <v>0.1208834375</v>
      </c>
      <c r="X488" t="b">
        <f t="shared" si="9"/>
        <v>0</v>
      </c>
      <c r="Y488" s="186" t="s">
        <v>1418</v>
      </c>
      <c r="Z488" t="s">
        <v>1403</v>
      </c>
    </row>
    <row r="489" spans="1:26" x14ac:dyDescent="0.25">
      <c r="A489">
        <v>2022</v>
      </c>
      <c r="B489" t="s">
        <v>1400</v>
      </c>
      <c r="C489" t="s">
        <v>762</v>
      </c>
      <c r="D489" s="1">
        <v>110064268260</v>
      </c>
      <c r="E489" t="s">
        <v>460</v>
      </c>
      <c r="F489" t="s">
        <v>461</v>
      </c>
      <c r="G489" t="s">
        <v>761</v>
      </c>
      <c r="H489" t="s">
        <v>138</v>
      </c>
      <c r="I489" t="s">
        <v>1405</v>
      </c>
      <c r="J489">
        <v>38.369734999999999</v>
      </c>
      <c r="K489">
        <v>-85.180234999999996</v>
      </c>
      <c r="L489">
        <v>4952</v>
      </c>
      <c r="M489" s="175" t="str">
        <f>VLOOKUP(L489, '2022 SIC to NAICS'!A:D, 2)</f>
        <v>Manufacturing Industries, Nec</v>
      </c>
      <c r="N489" s="184">
        <f>VLOOKUP(L489, '2022 SIC to NAICS'!A:D, 3)</f>
        <v>339999</v>
      </c>
      <c r="O489" s="184" t="str">
        <f>VLOOKUP(L489, '2022 SIC to NAICS'!A:D, 4)</f>
        <v xml:space="preserve">All Other Miscellaneous Manufacturing </v>
      </c>
      <c r="P489" s="185" t="str">
        <f>VLOOKUP(N489, 'NAICS OES crosswalk'!A:C, 3, FALSE)</f>
        <v>TBD</v>
      </c>
      <c r="T489" s="186" t="s">
        <v>1280</v>
      </c>
      <c r="U489" t="s">
        <v>763</v>
      </c>
      <c r="V489">
        <v>1.3746173749999999</v>
      </c>
      <c r="X489" t="b">
        <f t="shared" si="9"/>
        <v>0</v>
      </c>
      <c r="Y489" s="186" t="s">
        <v>1402</v>
      </c>
      <c r="Z489" t="s">
        <v>1403</v>
      </c>
    </row>
    <row r="490" spans="1:26" x14ac:dyDescent="0.25">
      <c r="A490">
        <v>2022</v>
      </c>
      <c r="B490" t="s">
        <v>1400</v>
      </c>
      <c r="C490" t="s">
        <v>951</v>
      </c>
      <c r="D490" s="1">
        <v>110064612557</v>
      </c>
      <c r="E490" t="s">
        <v>399</v>
      </c>
      <c r="F490" t="s">
        <v>400</v>
      </c>
      <c r="G490" t="s">
        <v>950</v>
      </c>
      <c r="H490" t="s">
        <v>138</v>
      </c>
      <c r="I490" t="s">
        <v>1401</v>
      </c>
      <c r="J490">
        <v>37.671391</v>
      </c>
      <c r="K490">
        <v>-87.828888000000006</v>
      </c>
      <c r="L490">
        <v>4952</v>
      </c>
      <c r="M490" s="175" t="str">
        <f>VLOOKUP(L490, '2022 SIC to NAICS'!A:D, 2)</f>
        <v>Manufacturing Industries, Nec</v>
      </c>
      <c r="N490" s="184">
        <f>VLOOKUP(L490, '2022 SIC to NAICS'!A:D, 3)</f>
        <v>339999</v>
      </c>
      <c r="O490" s="184" t="str">
        <f>VLOOKUP(L490, '2022 SIC to NAICS'!A:D, 4)</f>
        <v xml:space="preserve">All Other Miscellaneous Manufacturing </v>
      </c>
      <c r="P490" s="185" t="str">
        <f>VLOOKUP(N490, 'NAICS OES crosswalk'!A:C, 3, FALSE)</f>
        <v>TBD</v>
      </c>
      <c r="T490" s="186" t="s">
        <v>1263</v>
      </c>
      <c r="U490" t="s">
        <v>952</v>
      </c>
      <c r="V490">
        <v>3.5712421249999999</v>
      </c>
      <c r="X490" t="b">
        <f t="shared" si="9"/>
        <v>0</v>
      </c>
      <c r="Y490" s="186" t="s">
        <v>1402</v>
      </c>
      <c r="Z490" t="s">
        <v>1403</v>
      </c>
    </row>
    <row r="491" spans="1:26" x14ac:dyDescent="0.25">
      <c r="A491">
        <v>2022</v>
      </c>
      <c r="B491" t="s">
        <v>1400</v>
      </c>
      <c r="C491" t="s">
        <v>734</v>
      </c>
      <c r="D491" s="1">
        <v>110000732379</v>
      </c>
      <c r="E491" t="s">
        <v>295</v>
      </c>
      <c r="F491" t="s">
        <v>235</v>
      </c>
      <c r="G491" t="s">
        <v>600</v>
      </c>
      <c r="H491" t="s">
        <v>138</v>
      </c>
      <c r="I491" t="s">
        <v>1401</v>
      </c>
      <c r="J491">
        <v>38.08614</v>
      </c>
      <c r="K491">
        <v>-85.898780000000002</v>
      </c>
      <c r="L491">
        <v>4952</v>
      </c>
      <c r="M491" s="175" t="str">
        <f>VLOOKUP(L491, '2022 SIC to NAICS'!A:D, 2)</f>
        <v>Manufacturing Industries, Nec</v>
      </c>
      <c r="N491" s="184">
        <f>VLOOKUP(L491, '2022 SIC to NAICS'!A:D, 3)</f>
        <v>339999</v>
      </c>
      <c r="O491" s="184" t="str">
        <f>VLOOKUP(L491, '2022 SIC to NAICS'!A:D, 4)</f>
        <v xml:space="preserve">All Other Miscellaneous Manufacturing </v>
      </c>
      <c r="P491" s="185" t="str">
        <f>VLOOKUP(N491, 'NAICS OES crosswalk'!A:C, 3, FALSE)</f>
        <v>TBD</v>
      </c>
      <c r="T491" s="186" t="s">
        <v>1230</v>
      </c>
      <c r="U491" t="s">
        <v>735</v>
      </c>
      <c r="V491">
        <v>107.309954375</v>
      </c>
      <c r="X491" t="b">
        <f t="shared" si="9"/>
        <v>0</v>
      </c>
      <c r="Y491" s="186" t="s">
        <v>1402</v>
      </c>
      <c r="Z491" t="s">
        <v>1403</v>
      </c>
    </row>
    <row r="492" spans="1:26" x14ac:dyDescent="0.25">
      <c r="A492">
        <v>2022</v>
      </c>
      <c r="B492" t="s">
        <v>1400</v>
      </c>
      <c r="C492" t="s">
        <v>868</v>
      </c>
      <c r="D492" s="1">
        <v>110000607772</v>
      </c>
      <c r="E492" t="s">
        <v>133</v>
      </c>
      <c r="F492" t="s">
        <v>134</v>
      </c>
      <c r="G492" t="s">
        <v>866</v>
      </c>
      <c r="H492" t="s">
        <v>135</v>
      </c>
      <c r="I492" t="s">
        <v>1401</v>
      </c>
      <c r="J492">
        <v>38.772219999999997</v>
      </c>
      <c r="K492">
        <v>-82.205560000000006</v>
      </c>
      <c r="L492">
        <v>2869</v>
      </c>
      <c r="M492" s="175" t="str">
        <f>VLOOKUP(L492, '2022 SIC to NAICS'!A:D, 2)</f>
        <v>Industrial Organic Chemicals, Nec</v>
      </c>
      <c r="N492" s="184">
        <f>VLOOKUP(L492, '2022 SIC to NAICS'!A:D, 3)</f>
        <v>325180</v>
      </c>
      <c r="O492" s="184" t="str">
        <f>VLOOKUP(L492, '2022 SIC to NAICS'!A:D, 4)</f>
        <v xml:space="preserve">Other Basic Inorganic Chemical Manufacturing </v>
      </c>
      <c r="P492" s="185" t="str">
        <f>VLOOKUP(N492, 'NAICS OES crosswalk'!A:C, 3, FALSE)</f>
        <v>Processing as a reactant</v>
      </c>
      <c r="T492" s="186" t="s">
        <v>1252</v>
      </c>
      <c r="U492" t="s">
        <v>869</v>
      </c>
      <c r="V492">
        <v>1.646431</v>
      </c>
      <c r="X492" t="b">
        <f t="shared" si="9"/>
        <v>0</v>
      </c>
      <c r="Y492" s="186" t="s">
        <v>1402</v>
      </c>
    </row>
    <row r="493" spans="1:26" x14ac:dyDescent="0.25">
      <c r="A493">
        <v>2022</v>
      </c>
      <c r="B493" t="s">
        <v>1400</v>
      </c>
      <c r="C493" t="s">
        <v>1094</v>
      </c>
      <c r="D493" s="1">
        <v>110000373621</v>
      </c>
      <c r="E493" t="s">
        <v>458</v>
      </c>
      <c r="F493" t="s">
        <v>459</v>
      </c>
      <c r="G493" t="s">
        <v>1092</v>
      </c>
      <c r="H493" t="s">
        <v>309</v>
      </c>
      <c r="I493" t="s">
        <v>1405</v>
      </c>
      <c r="J493">
        <v>35.607599999999998</v>
      </c>
      <c r="K493">
        <v>-89.237700000000004</v>
      </c>
      <c r="L493">
        <v>3087</v>
      </c>
      <c r="M493" s="175" t="str">
        <f>VLOOKUP(L493, '2022 SIC to NAICS'!A:D, 2)</f>
        <v>Custom Compound Purchased Resins</v>
      </c>
      <c r="N493" s="184">
        <f>VLOOKUP(L493, '2022 SIC to NAICS'!A:D, 3)</f>
        <v>325991</v>
      </c>
      <c r="O493" s="184" t="str">
        <f>VLOOKUP(L493, '2022 SIC to NAICS'!A:D, 4)</f>
        <v xml:space="preserve">Custom Compounding of Purchased Resins </v>
      </c>
      <c r="P493" s="185" t="str">
        <f>VLOOKUP(N493, 'NAICS OES crosswalk'!A:C, 3, FALSE)</f>
        <v>TBD</v>
      </c>
      <c r="T493" s="186" t="s">
        <v>1279</v>
      </c>
      <c r="U493" t="s">
        <v>1095</v>
      </c>
      <c r="V493">
        <v>0.26939737499999999</v>
      </c>
      <c r="X493" t="b">
        <f t="shared" si="9"/>
        <v>0</v>
      </c>
      <c r="Y493" s="186" t="s">
        <v>1404</v>
      </c>
      <c r="Z493" t="s">
        <v>1403</v>
      </c>
    </row>
    <row r="494" spans="1:26" x14ac:dyDescent="0.25">
      <c r="A494">
        <v>2022</v>
      </c>
      <c r="B494" t="s">
        <v>1400</v>
      </c>
      <c r="C494" t="s">
        <v>743</v>
      </c>
      <c r="D494" s="1">
        <v>110000460901</v>
      </c>
      <c r="E494" t="s">
        <v>312</v>
      </c>
      <c r="F494" t="s">
        <v>313</v>
      </c>
      <c r="G494" t="s">
        <v>638</v>
      </c>
      <c r="H494" t="s">
        <v>114</v>
      </c>
      <c r="I494" t="s">
        <v>1401</v>
      </c>
      <c r="J494">
        <v>29.718139000000001</v>
      </c>
      <c r="K494">
        <v>-95.268749999999997</v>
      </c>
      <c r="L494">
        <v>2819</v>
      </c>
      <c r="M494" s="175" t="str">
        <f>VLOOKUP(L494, '2022 SIC to NAICS'!A:D, 2)</f>
        <v>Platemaking Services</v>
      </c>
      <c r="N494" s="184">
        <f>VLOOKUP(L494, '2022 SIC to NAICS'!A:D, 3)</f>
        <v>323120</v>
      </c>
      <c r="O494" s="184" t="str">
        <f>VLOOKUP(L494, '2022 SIC to NAICS'!A:D, 4)</f>
        <v>Support Activities for Printing</v>
      </c>
      <c r="P494" s="185" t="str">
        <f>VLOOKUP(N494, 'NAICS OES crosswalk'!A:C, 3, FALSE)</f>
        <v>TBD</v>
      </c>
      <c r="T494">
        <v>120401040502</v>
      </c>
      <c r="U494" t="s">
        <v>744</v>
      </c>
      <c r="V494">
        <v>11.50436</v>
      </c>
      <c r="X494" t="b">
        <f t="shared" si="9"/>
        <v>0</v>
      </c>
      <c r="Y494" s="186" t="s">
        <v>1404</v>
      </c>
    </row>
    <row r="495" spans="1:26" x14ac:dyDescent="0.25">
      <c r="A495">
        <v>2022</v>
      </c>
      <c r="B495" t="s">
        <v>1400</v>
      </c>
      <c r="C495" t="s">
        <v>580</v>
      </c>
      <c r="D495" s="1">
        <v>110064134459</v>
      </c>
      <c r="E495" t="s">
        <v>233</v>
      </c>
      <c r="F495" t="s">
        <v>157</v>
      </c>
      <c r="G495" t="s">
        <v>554</v>
      </c>
      <c r="H495" t="s">
        <v>158</v>
      </c>
      <c r="I495" t="s">
        <v>1405</v>
      </c>
      <c r="J495">
        <v>36.075400000000002</v>
      </c>
      <c r="K495">
        <v>-115.1669</v>
      </c>
      <c r="L495">
        <v>4581</v>
      </c>
      <c r="M495" s="175" t="str">
        <f>VLOOKUP(L495, '2022 SIC to NAICS'!A:D, 2)</f>
        <v>Manufacturing Industries, Nec</v>
      </c>
      <c r="N495" s="184">
        <f>VLOOKUP(L495, '2022 SIC to NAICS'!A:D, 3)</f>
        <v>339999</v>
      </c>
      <c r="O495" s="184" t="str">
        <f>VLOOKUP(L495, '2022 SIC to NAICS'!A:D, 4)</f>
        <v xml:space="preserve">All Other Miscellaneous Manufacturing </v>
      </c>
      <c r="P495" s="185" t="str">
        <f>VLOOKUP(N495, 'NAICS OES crosswalk'!A:C, 3, FALSE)</f>
        <v>TBD</v>
      </c>
      <c r="T495">
        <v>150100150704</v>
      </c>
      <c r="U495" t="s">
        <v>581</v>
      </c>
      <c r="V495">
        <v>2.0112543749999999E-3</v>
      </c>
      <c r="X495" t="b">
        <f t="shared" si="9"/>
        <v>1</v>
      </c>
      <c r="Y495" s="186" t="s">
        <v>1404</v>
      </c>
      <c r="Z495" t="s">
        <v>1403</v>
      </c>
    </row>
    <row r="496" spans="1:26" x14ac:dyDescent="0.25">
      <c r="A496">
        <v>2022</v>
      </c>
      <c r="B496" t="s">
        <v>1400</v>
      </c>
      <c r="C496" t="s">
        <v>1117</v>
      </c>
      <c r="D496" s="1">
        <v>110004306938</v>
      </c>
      <c r="E496" t="s">
        <v>156</v>
      </c>
      <c r="F496" t="s">
        <v>157</v>
      </c>
      <c r="G496" t="s">
        <v>575</v>
      </c>
      <c r="H496" t="s">
        <v>158</v>
      </c>
      <c r="I496" t="s">
        <v>1405</v>
      </c>
      <c r="J496">
        <v>36.122100000000003</v>
      </c>
      <c r="K496">
        <v>-115.17139</v>
      </c>
      <c r="L496">
        <v>7011</v>
      </c>
      <c r="M496" s="175" t="str">
        <f>VLOOKUP(L496, '2022 SIC to NAICS'!A:D, 2)</f>
        <v>Communication Services, Nec</v>
      </c>
      <c r="N496" s="184">
        <f>VLOOKUP(L496, '2022 SIC to NAICS'!A:D, 3)</f>
        <v>517810</v>
      </c>
      <c r="O496" s="184" t="str">
        <f>VLOOKUP(L496, '2022 SIC to NAICS'!A:D, 4)</f>
        <v xml:space="preserve">All Other Telecommunications </v>
      </c>
      <c r="P496" s="185" t="str">
        <f>VLOOKUP(N496, 'NAICS OES crosswalk'!A:C, 3, FALSE)</f>
        <v>TBD</v>
      </c>
      <c r="T496">
        <v>150100150604</v>
      </c>
      <c r="U496" t="s">
        <v>578</v>
      </c>
      <c r="V496">
        <v>9.1149565687500003E-2</v>
      </c>
      <c r="X496" t="b">
        <f t="shared" si="9"/>
        <v>0</v>
      </c>
      <c r="Y496" s="186" t="s">
        <v>1428</v>
      </c>
      <c r="Z496" t="s">
        <v>1403</v>
      </c>
    </row>
    <row r="497" spans="1:26" x14ac:dyDescent="0.25">
      <c r="A497">
        <v>2022</v>
      </c>
      <c r="B497" t="s">
        <v>1400</v>
      </c>
      <c r="C497" t="s">
        <v>602</v>
      </c>
      <c r="D497" s="1">
        <v>110000378467</v>
      </c>
      <c r="E497" t="s">
        <v>234</v>
      </c>
      <c r="F497" t="s">
        <v>235</v>
      </c>
      <c r="G497" t="s">
        <v>600</v>
      </c>
      <c r="H497" t="s">
        <v>138</v>
      </c>
      <c r="I497" t="s">
        <v>1401</v>
      </c>
      <c r="J497">
        <v>38.195278000000002</v>
      </c>
      <c r="K497">
        <v>-85.872221999999994</v>
      </c>
      <c r="L497">
        <v>2869</v>
      </c>
      <c r="M497" s="175" t="str">
        <f>VLOOKUP(L497, '2022 SIC to NAICS'!A:D, 2)</f>
        <v>Industrial Organic Chemicals, Nec</v>
      </c>
      <c r="N497" s="184">
        <f>VLOOKUP(L497, '2022 SIC to NAICS'!A:D, 3)</f>
        <v>325180</v>
      </c>
      <c r="O497" s="184" t="str">
        <f>VLOOKUP(L497, '2022 SIC to NAICS'!A:D, 4)</f>
        <v xml:space="preserve">Other Basic Inorganic Chemical Manufacturing </v>
      </c>
      <c r="P497" s="185" t="str">
        <f>VLOOKUP(N497, 'NAICS OES crosswalk'!A:C, 3, FALSE)</f>
        <v>Processing as a reactant</v>
      </c>
      <c r="T497" s="186" t="s">
        <v>1205</v>
      </c>
      <c r="U497" t="s">
        <v>603</v>
      </c>
      <c r="V497">
        <v>0.16571</v>
      </c>
      <c r="X497" t="b">
        <f t="shared" si="9"/>
        <v>0</v>
      </c>
      <c r="Y497" s="186" t="s">
        <v>1402</v>
      </c>
      <c r="Z497" t="s">
        <v>1403</v>
      </c>
    </row>
    <row r="498" spans="1:26" x14ac:dyDescent="0.25">
      <c r="A498">
        <v>2022</v>
      </c>
      <c r="B498" t="s">
        <v>1400</v>
      </c>
      <c r="C498" t="s">
        <v>1030</v>
      </c>
      <c r="D498" s="1">
        <v>110000525842</v>
      </c>
      <c r="E498" t="s">
        <v>161</v>
      </c>
      <c r="F498" t="s">
        <v>162</v>
      </c>
      <c r="G498" t="s">
        <v>1029</v>
      </c>
      <c r="H498" t="s">
        <v>146</v>
      </c>
      <c r="I498" t="s">
        <v>1401</v>
      </c>
      <c r="J498">
        <v>34.055900000000001</v>
      </c>
      <c r="K498">
        <v>-117.36134</v>
      </c>
      <c r="L498">
        <v>4952</v>
      </c>
      <c r="M498" s="175" t="str">
        <f>VLOOKUP(L498, '2022 SIC to NAICS'!A:D, 2)</f>
        <v>Manufacturing Industries, Nec</v>
      </c>
      <c r="N498" s="184">
        <f>VLOOKUP(L498, '2022 SIC to NAICS'!A:D, 3)</f>
        <v>339999</v>
      </c>
      <c r="O498" s="184" t="str">
        <f>VLOOKUP(L498, '2022 SIC to NAICS'!A:D, 4)</f>
        <v xml:space="preserve">All Other Miscellaneous Manufacturing </v>
      </c>
      <c r="P498" s="185" t="str">
        <f>VLOOKUP(N498, 'NAICS OES crosswalk'!A:C, 3, FALSE)</f>
        <v>TBD</v>
      </c>
      <c r="T498">
        <v>180702030804</v>
      </c>
      <c r="U498" t="s">
        <v>1031</v>
      </c>
      <c r="V498">
        <v>1.8593714847</v>
      </c>
      <c r="X498" t="b">
        <f t="shared" si="9"/>
        <v>0</v>
      </c>
      <c r="Y498" s="186" t="s">
        <v>1402</v>
      </c>
      <c r="Z498" t="s">
        <v>1403</v>
      </c>
    </row>
    <row r="499" spans="1:26" x14ac:dyDescent="0.25">
      <c r="A499">
        <v>2022</v>
      </c>
      <c r="B499" t="s">
        <v>1400</v>
      </c>
      <c r="C499" t="s">
        <v>956</v>
      </c>
      <c r="D499" s="1">
        <v>110007015871</v>
      </c>
      <c r="E499" t="s">
        <v>351</v>
      </c>
      <c r="F499" t="s">
        <v>352</v>
      </c>
      <c r="G499" t="s">
        <v>955</v>
      </c>
      <c r="H499" t="s">
        <v>106</v>
      </c>
      <c r="I499" t="s">
        <v>1401</v>
      </c>
      <c r="J499">
        <v>30.048590999999998</v>
      </c>
      <c r="K499">
        <v>-90.630941000000007</v>
      </c>
      <c r="L499">
        <v>2869</v>
      </c>
      <c r="M499" s="175" t="str">
        <f>VLOOKUP(L499, '2022 SIC to NAICS'!A:D, 2)</f>
        <v>Industrial Organic Chemicals, Nec</v>
      </c>
      <c r="N499" s="184">
        <f>VLOOKUP(L499, '2022 SIC to NAICS'!A:D, 3)</f>
        <v>325180</v>
      </c>
      <c r="O499" s="184" t="str">
        <f>VLOOKUP(L499, '2022 SIC to NAICS'!A:D, 4)</f>
        <v xml:space="preserve">Other Basic Inorganic Chemical Manufacturing </v>
      </c>
      <c r="P499" s="185" t="str">
        <f>VLOOKUP(N499, 'NAICS OES crosswalk'!A:C, 3, FALSE)</f>
        <v>Processing as a reactant</v>
      </c>
      <c r="T499" s="186" t="s">
        <v>1249</v>
      </c>
      <c r="U499" t="s">
        <v>957</v>
      </c>
      <c r="V499">
        <v>8.2854999999999998E-2</v>
      </c>
      <c r="X499" t="b">
        <f t="shared" si="9"/>
        <v>0</v>
      </c>
      <c r="Y499" s="186" t="s">
        <v>1402</v>
      </c>
      <c r="Z499" t="s">
        <v>1403</v>
      </c>
    </row>
    <row r="500" spans="1:26" x14ac:dyDescent="0.25">
      <c r="A500">
        <v>2022</v>
      </c>
      <c r="B500" t="s">
        <v>1400</v>
      </c>
      <c r="C500" t="s">
        <v>837</v>
      </c>
      <c r="D500" s="1">
        <v>110000484039</v>
      </c>
      <c r="E500" t="s">
        <v>493</v>
      </c>
      <c r="F500" t="s">
        <v>494</v>
      </c>
      <c r="G500" t="s">
        <v>835</v>
      </c>
      <c r="H500" t="s">
        <v>146</v>
      </c>
      <c r="I500" t="s">
        <v>1401</v>
      </c>
      <c r="J500">
        <v>37.318058999999998</v>
      </c>
      <c r="K500">
        <v>-122.09263199999999</v>
      </c>
      <c r="L500">
        <v>3241</v>
      </c>
      <c r="M500" s="175" t="str">
        <f>VLOOKUP(L500, '2022 SIC to NAICS'!A:D, 2)</f>
        <v>Fabricated Rubber Products, Nec</v>
      </c>
      <c r="N500" s="184">
        <f>VLOOKUP(L500, '2022 SIC to NAICS'!A:D, 3)</f>
        <v>326299</v>
      </c>
      <c r="O500" s="184" t="str">
        <f>VLOOKUP(L500, '2022 SIC to NAICS'!A:D, 4)</f>
        <v xml:space="preserve">All Other Rubber Product Manufacturing </v>
      </c>
      <c r="P500" s="185" t="str">
        <f>VLOOKUP(N500, 'NAICS OES crosswalk'!A:C, 3, FALSE)</f>
        <v>TBD</v>
      </c>
      <c r="T500">
        <v>180500030406</v>
      </c>
      <c r="U500" t="s">
        <v>838</v>
      </c>
      <c r="V500">
        <v>1.8650587499999999E-2</v>
      </c>
      <c r="X500" t="b">
        <f t="shared" si="9"/>
        <v>0</v>
      </c>
      <c r="Y500" s="186" t="s">
        <v>1406</v>
      </c>
      <c r="Z500" t="s">
        <v>1403</v>
      </c>
    </row>
    <row r="501" spans="1:26" x14ac:dyDescent="0.25">
      <c r="A501">
        <v>2022</v>
      </c>
      <c r="B501" t="s">
        <v>1400</v>
      </c>
      <c r="C501" t="s">
        <v>665</v>
      </c>
      <c r="D501" s="1">
        <v>110000911309</v>
      </c>
      <c r="E501" t="s">
        <v>339</v>
      </c>
      <c r="F501" t="s">
        <v>202</v>
      </c>
      <c r="G501" t="s">
        <v>663</v>
      </c>
      <c r="H501" t="s">
        <v>106</v>
      </c>
      <c r="I501" t="s">
        <v>1405</v>
      </c>
      <c r="J501">
        <v>30.233011999999999</v>
      </c>
      <c r="K501">
        <v>-91.022057000000004</v>
      </c>
      <c r="L501">
        <v>4789</v>
      </c>
      <c r="M501" s="175" t="str">
        <f>VLOOKUP(L501, '2022 SIC to NAICS'!A:D, 2)</f>
        <v>Manufacturing Industries, Nec</v>
      </c>
      <c r="N501" s="184">
        <f>VLOOKUP(L501, '2022 SIC to NAICS'!A:D, 3)</f>
        <v>339999</v>
      </c>
      <c r="O501" s="184" t="str">
        <f>VLOOKUP(L501, '2022 SIC to NAICS'!A:D, 4)</f>
        <v xml:space="preserve">All Other Miscellaneous Manufacturing </v>
      </c>
      <c r="P501" s="185" t="str">
        <f>VLOOKUP(N501, 'NAICS OES crosswalk'!A:C, 3, FALSE)</f>
        <v>TBD</v>
      </c>
      <c r="T501" s="186" t="s">
        <v>1198</v>
      </c>
      <c r="U501" t="s">
        <v>666</v>
      </c>
      <c r="V501">
        <v>1.3102607266625001E-3</v>
      </c>
      <c r="X501" t="b">
        <f t="shared" si="9"/>
        <v>1</v>
      </c>
      <c r="Y501" s="186" t="s">
        <v>1402</v>
      </c>
      <c r="Z501" t="s">
        <v>1403</v>
      </c>
    </row>
    <row r="502" spans="1:26" x14ac:dyDescent="0.25">
      <c r="A502">
        <v>2022</v>
      </c>
      <c r="B502" t="s">
        <v>1400</v>
      </c>
      <c r="C502" t="s">
        <v>573</v>
      </c>
      <c r="D502" s="1">
        <v>110070053140</v>
      </c>
      <c r="E502" t="s">
        <v>216</v>
      </c>
      <c r="F502" t="s">
        <v>217</v>
      </c>
      <c r="G502" t="s">
        <v>571</v>
      </c>
      <c r="H502" t="s">
        <v>218</v>
      </c>
      <c r="I502" t="s">
        <v>1405</v>
      </c>
      <c r="J502">
        <v>40.393799999999999</v>
      </c>
      <c r="K502">
        <v>-105.074</v>
      </c>
      <c r="L502">
        <v>7521</v>
      </c>
      <c r="M502" s="175" t="str">
        <f>VLOOKUP(L502, '2022 SIC to NAICS'!A:D, 2)</f>
        <v>Barber Shops</v>
      </c>
      <c r="N502" s="184">
        <f>VLOOKUP(L502, '2022 SIC to NAICS'!A:D, 3)</f>
        <v>611511</v>
      </c>
      <c r="O502" s="184" t="str">
        <f>VLOOKUP(L502, '2022 SIC to NAICS'!A:D, 4)</f>
        <v xml:space="preserve">Cosmetology and Barber Schools </v>
      </c>
      <c r="P502" s="185" t="str">
        <f>VLOOKUP(N502, 'NAICS OES crosswalk'!A:C, 3, FALSE)</f>
        <v>All purpose liquid cleaner/polish</v>
      </c>
      <c r="T502">
        <v>101900060605</v>
      </c>
      <c r="U502" t="s">
        <v>574</v>
      </c>
      <c r="V502">
        <v>1.9553310000000001E-2</v>
      </c>
      <c r="X502" t="b">
        <f t="shared" si="9"/>
        <v>0</v>
      </c>
      <c r="Y502" s="186" t="s">
        <v>1402</v>
      </c>
      <c r="Z502" t="s">
        <v>1403</v>
      </c>
    </row>
    <row r="503" spans="1:26" x14ac:dyDescent="0.25">
      <c r="A503">
        <v>2022</v>
      </c>
      <c r="B503" t="s">
        <v>1400</v>
      </c>
      <c r="C503" t="s">
        <v>1445</v>
      </c>
      <c r="D503" s="1">
        <v>110056966699</v>
      </c>
      <c r="E503" t="s">
        <v>1446</v>
      </c>
      <c r="F503" t="s">
        <v>1447</v>
      </c>
      <c r="G503" t="s">
        <v>1448</v>
      </c>
      <c r="H503" t="s">
        <v>118</v>
      </c>
      <c r="I503" t="s">
        <v>1401</v>
      </c>
      <c r="J503">
        <v>41.948850999999998</v>
      </c>
      <c r="K503">
        <v>-83.958619999999996</v>
      </c>
      <c r="L503">
        <v>2821</v>
      </c>
      <c r="M503" s="175" t="str">
        <f>VLOOKUP(L503, '2022 SIC to NAICS'!A:D, 2)</f>
        <v>Platemaking Services</v>
      </c>
      <c r="N503" s="184">
        <f>VLOOKUP(L503, '2022 SIC to NAICS'!A:D, 3)</f>
        <v>323120</v>
      </c>
      <c r="O503" s="184" t="str">
        <f>VLOOKUP(L503, '2022 SIC to NAICS'!A:D, 4)</f>
        <v>Support Activities for Printing</v>
      </c>
      <c r="P503" s="185" t="str">
        <f>VLOOKUP(N503, 'NAICS OES crosswalk'!A:C, 3, FALSE)</f>
        <v>TBD</v>
      </c>
      <c r="T503" s="186" t="s">
        <v>1449</v>
      </c>
      <c r="U503" t="s">
        <v>1450</v>
      </c>
      <c r="V503">
        <v>3.2354700000000002E-6</v>
      </c>
      <c r="X503" t="b">
        <f t="shared" si="9"/>
        <v>1</v>
      </c>
      <c r="Y503" s="186" t="s">
        <v>1402</v>
      </c>
      <c r="Z503" t="s">
        <v>1403</v>
      </c>
    </row>
    <row r="504" spans="1:26" x14ac:dyDescent="0.25">
      <c r="A504">
        <v>2022</v>
      </c>
      <c r="B504" t="s">
        <v>1400</v>
      </c>
      <c r="C504" t="s">
        <v>1032</v>
      </c>
      <c r="D504" s="1">
        <v>110031112659</v>
      </c>
      <c r="E504" t="s">
        <v>495</v>
      </c>
      <c r="F504" t="s">
        <v>183</v>
      </c>
      <c r="G504" t="s">
        <v>627</v>
      </c>
      <c r="H504" t="s">
        <v>138</v>
      </c>
      <c r="I504" t="s">
        <v>1401</v>
      </c>
      <c r="J504">
        <v>37.801943999999999</v>
      </c>
      <c r="K504">
        <v>-84.261111</v>
      </c>
      <c r="L504">
        <v>4952</v>
      </c>
      <c r="M504" s="175" t="str">
        <f>VLOOKUP(L504, '2022 SIC to NAICS'!A:D, 2)</f>
        <v>Manufacturing Industries, Nec</v>
      </c>
      <c r="N504" s="184">
        <f>VLOOKUP(L504, '2022 SIC to NAICS'!A:D, 3)</f>
        <v>339999</v>
      </c>
      <c r="O504" s="184" t="str">
        <f>VLOOKUP(L504, '2022 SIC to NAICS'!A:D, 4)</f>
        <v xml:space="preserve">All Other Miscellaneous Manufacturing </v>
      </c>
      <c r="P504" s="185" t="str">
        <f>VLOOKUP(N504, 'NAICS OES crosswalk'!A:C, 3, FALSE)</f>
        <v>TBD</v>
      </c>
      <c r="T504" s="186" t="s">
        <v>1286</v>
      </c>
      <c r="U504" t="s">
        <v>1033</v>
      </c>
      <c r="V504">
        <v>34.448325875000002</v>
      </c>
      <c r="X504" t="b">
        <f t="shared" si="9"/>
        <v>0</v>
      </c>
      <c r="Y504" s="186" t="s">
        <v>1402</v>
      </c>
    </row>
    <row r="505" spans="1:26" x14ac:dyDescent="0.25">
      <c r="A505">
        <v>2022</v>
      </c>
      <c r="B505" t="s">
        <v>1400</v>
      </c>
      <c r="C505" t="s">
        <v>772</v>
      </c>
      <c r="D505" s="1">
        <v>110000433013</v>
      </c>
      <c r="E505" t="s">
        <v>223</v>
      </c>
      <c r="F505" t="s">
        <v>224</v>
      </c>
      <c r="G505" t="s">
        <v>771</v>
      </c>
      <c r="H505" t="s">
        <v>141</v>
      </c>
      <c r="I505" t="s">
        <v>1401</v>
      </c>
      <c r="J505">
        <v>41.412897000000001</v>
      </c>
      <c r="K505">
        <v>-88.329773000000003</v>
      </c>
      <c r="L505">
        <v>2821</v>
      </c>
      <c r="M505" s="175" t="str">
        <f>VLOOKUP(L505, '2022 SIC to NAICS'!A:D, 2)</f>
        <v>Platemaking Services</v>
      </c>
      <c r="N505" s="184">
        <f>VLOOKUP(L505, '2022 SIC to NAICS'!A:D, 3)</f>
        <v>323120</v>
      </c>
      <c r="O505" s="184" t="str">
        <f>VLOOKUP(L505, '2022 SIC to NAICS'!A:D, 4)</f>
        <v>Support Activities for Printing</v>
      </c>
      <c r="P505" s="185" t="str">
        <f>VLOOKUP(N505, 'NAICS OES crosswalk'!A:C, 3, FALSE)</f>
        <v>TBD</v>
      </c>
      <c r="T505" s="186" t="s">
        <v>1202</v>
      </c>
      <c r="U505" t="s">
        <v>773</v>
      </c>
      <c r="V505">
        <v>0.83082</v>
      </c>
      <c r="X505" t="b">
        <f t="shared" si="9"/>
        <v>0</v>
      </c>
      <c r="Y505" s="186" t="s">
        <v>1430</v>
      </c>
      <c r="Z505" t="s">
        <v>1403</v>
      </c>
    </row>
    <row r="506" spans="1:26" x14ac:dyDescent="0.25">
      <c r="A506">
        <v>2022</v>
      </c>
      <c r="B506" t="s">
        <v>1400</v>
      </c>
      <c r="C506" t="s">
        <v>1094</v>
      </c>
      <c r="D506" s="1">
        <v>110000373621</v>
      </c>
      <c r="E506" t="s">
        <v>458</v>
      </c>
      <c r="F506" t="s">
        <v>459</v>
      </c>
      <c r="G506" t="s">
        <v>1092</v>
      </c>
      <c r="H506" t="s">
        <v>309</v>
      </c>
      <c r="I506" t="s">
        <v>1405</v>
      </c>
      <c r="J506">
        <v>35.607599999999998</v>
      </c>
      <c r="K506">
        <v>-89.237700000000004</v>
      </c>
      <c r="L506">
        <v>3087</v>
      </c>
      <c r="M506" s="175" t="str">
        <f>VLOOKUP(L506, '2022 SIC to NAICS'!A:D, 2)</f>
        <v>Custom Compound Purchased Resins</v>
      </c>
      <c r="N506" s="184">
        <f>VLOOKUP(L506, '2022 SIC to NAICS'!A:D, 3)</f>
        <v>325991</v>
      </c>
      <c r="O506" s="184" t="str">
        <f>VLOOKUP(L506, '2022 SIC to NAICS'!A:D, 4)</f>
        <v xml:space="preserve">Custom Compounding of Purchased Resins </v>
      </c>
      <c r="P506" s="185" t="str">
        <f>VLOOKUP(N506, 'NAICS OES crosswalk'!A:C, 3, FALSE)</f>
        <v>TBD</v>
      </c>
      <c r="T506" s="186" t="s">
        <v>1279</v>
      </c>
      <c r="U506" t="s">
        <v>1095</v>
      </c>
      <c r="V506">
        <v>0.1416063125</v>
      </c>
      <c r="X506" t="b">
        <f t="shared" si="9"/>
        <v>0</v>
      </c>
      <c r="Y506" s="186" t="s">
        <v>1402</v>
      </c>
      <c r="Z506" t="s">
        <v>1403</v>
      </c>
    </row>
    <row r="507" spans="1:26" x14ac:dyDescent="0.25">
      <c r="A507">
        <v>2022</v>
      </c>
      <c r="B507" t="s">
        <v>1400</v>
      </c>
      <c r="C507" t="s">
        <v>872</v>
      </c>
      <c r="D507" s="1">
        <v>110018199377</v>
      </c>
      <c r="E507" t="s">
        <v>212</v>
      </c>
      <c r="F507" t="s">
        <v>213</v>
      </c>
      <c r="G507" t="s">
        <v>870</v>
      </c>
      <c r="H507" t="s">
        <v>141</v>
      </c>
      <c r="I507" t="s">
        <v>1405</v>
      </c>
      <c r="J507">
        <v>41.692782000000001</v>
      </c>
      <c r="K507">
        <v>-87.951100999999994</v>
      </c>
      <c r="L507">
        <v>4226</v>
      </c>
      <c r="M507" s="175" t="str">
        <f>VLOOKUP(L507, '2022 SIC to NAICS'!A:D, 2)</f>
        <v>Manufacturing Industries, Nec</v>
      </c>
      <c r="N507" s="184">
        <f>VLOOKUP(L507, '2022 SIC to NAICS'!A:D, 3)</f>
        <v>339999</v>
      </c>
      <c r="O507" s="184" t="str">
        <f>VLOOKUP(L507, '2022 SIC to NAICS'!A:D, 4)</f>
        <v xml:space="preserve">All Other Miscellaneous Manufacturing </v>
      </c>
      <c r="P507" s="185" t="str">
        <f>VLOOKUP(N507, 'NAICS OES crosswalk'!A:C, 3, FALSE)</f>
        <v>TBD</v>
      </c>
      <c r="T507" s="186" t="s">
        <v>1200</v>
      </c>
      <c r="U507" t="s">
        <v>873</v>
      </c>
      <c r="V507">
        <v>9.8362687500000004E-2</v>
      </c>
      <c r="X507" t="b">
        <f t="shared" si="9"/>
        <v>0</v>
      </c>
      <c r="Y507" s="186" t="s">
        <v>1404</v>
      </c>
      <c r="Z507" t="s">
        <v>1403</v>
      </c>
    </row>
    <row r="508" spans="1:26" x14ac:dyDescent="0.25">
      <c r="A508">
        <v>2022</v>
      </c>
      <c r="B508" t="s">
        <v>1400</v>
      </c>
      <c r="C508" t="s">
        <v>1071</v>
      </c>
      <c r="D508" s="1">
        <v>110000329038</v>
      </c>
      <c r="E508" t="s">
        <v>496</v>
      </c>
      <c r="F508" t="s">
        <v>333</v>
      </c>
      <c r="G508" t="s">
        <v>653</v>
      </c>
      <c r="H508" t="s">
        <v>268</v>
      </c>
      <c r="I508" t="s">
        <v>1401</v>
      </c>
      <c r="J508">
        <v>40.670580000000001</v>
      </c>
      <c r="K508">
        <v>-80.336500000000001</v>
      </c>
      <c r="L508">
        <v>2869</v>
      </c>
      <c r="M508" s="175" t="str">
        <f>VLOOKUP(L508, '2022 SIC to NAICS'!A:D, 2)</f>
        <v>Industrial Organic Chemicals, Nec</v>
      </c>
      <c r="N508" s="184">
        <f>VLOOKUP(L508, '2022 SIC to NAICS'!A:D, 3)</f>
        <v>325180</v>
      </c>
      <c r="O508" s="184" t="str">
        <f>VLOOKUP(L508, '2022 SIC to NAICS'!A:D, 4)</f>
        <v xml:space="preserve">Other Basic Inorganic Chemical Manufacturing </v>
      </c>
      <c r="P508" s="185" t="str">
        <f>VLOOKUP(N508, 'NAICS OES crosswalk'!A:C, 3, FALSE)</f>
        <v>Processing as a reactant</v>
      </c>
      <c r="T508" s="186" t="s">
        <v>1244</v>
      </c>
      <c r="U508" t="s">
        <v>655</v>
      </c>
      <c r="V508">
        <v>6.8100000000000001E-3</v>
      </c>
      <c r="X508" t="b">
        <f t="shared" si="9"/>
        <v>0</v>
      </c>
      <c r="Y508" s="186" t="s">
        <v>1411</v>
      </c>
      <c r="Z508" t="s">
        <v>1403</v>
      </c>
    </row>
    <row r="509" spans="1:26" x14ac:dyDescent="0.25">
      <c r="A509">
        <v>2022</v>
      </c>
      <c r="B509" t="s">
        <v>1400</v>
      </c>
      <c r="C509" t="s">
        <v>657</v>
      </c>
      <c r="D509" s="1">
        <v>110046184516</v>
      </c>
      <c r="E509" t="s">
        <v>184</v>
      </c>
      <c r="F509" t="s">
        <v>185</v>
      </c>
      <c r="G509" t="s">
        <v>185</v>
      </c>
      <c r="H509" t="s">
        <v>186</v>
      </c>
      <c r="I509" t="s">
        <v>1405</v>
      </c>
      <c r="J509">
        <v>21.352499999999999</v>
      </c>
      <c r="K509">
        <v>-157.95813899999999</v>
      </c>
      <c r="L509">
        <v>3731</v>
      </c>
      <c r="M509" s="175" t="str">
        <f>VLOOKUP(L509, '2022 SIC to NAICS'!A:D, 2)</f>
        <v>Office Machines, Nec</v>
      </c>
      <c r="N509" s="184">
        <f>VLOOKUP(L509, '2022 SIC to NAICS'!A:D, 3)</f>
        <v>339940</v>
      </c>
      <c r="O509" s="184" t="str">
        <f>VLOOKUP(L509, '2022 SIC to NAICS'!A:D, 4)</f>
        <v>Office Supplies (except Paper) Manufacturing</v>
      </c>
      <c r="P509" s="185" t="str">
        <f>VLOOKUP(N509, 'NAICS OES crosswalk'!A:C, 3, FALSE)</f>
        <v>TBD</v>
      </c>
      <c r="T509">
        <v>200600000401</v>
      </c>
      <c r="U509" t="s">
        <v>658</v>
      </c>
      <c r="V509">
        <v>0.27630500000000002</v>
      </c>
      <c r="X509" t="b">
        <f t="shared" si="9"/>
        <v>0</v>
      </c>
      <c r="Y509" t="s">
        <v>1419</v>
      </c>
      <c r="Z509" t="s">
        <v>1403</v>
      </c>
    </row>
    <row r="510" spans="1:26" x14ac:dyDescent="0.25">
      <c r="A510">
        <v>2022</v>
      </c>
      <c r="B510" t="s">
        <v>1400</v>
      </c>
      <c r="C510" t="s">
        <v>1008</v>
      </c>
      <c r="D510" s="1">
        <v>110041133163</v>
      </c>
      <c r="E510" t="s">
        <v>310</v>
      </c>
      <c r="F510" t="s">
        <v>311</v>
      </c>
      <c r="G510" t="s">
        <v>950</v>
      </c>
      <c r="H510" t="s">
        <v>153</v>
      </c>
      <c r="I510" t="s">
        <v>1401</v>
      </c>
      <c r="J510">
        <v>40.640135000000001</v>
      </c>
      <c r="K510">
        <v>-74.218879999999999</v>
      </c>
      <c r="L510">
        <v>2911</v>
      </c>
      <c r="M510" s="175" t="str">
        <f>VLOOKUP(L510, '2022 SIC to NAICS'!A:D, 2)</f>
        <v>Explosives</v>
      </c>
      <c r="N510" s="184">
        <f>VLOOKUP(L510, '2022 SIC to NAICS'!A:D, 3)</f>
        <v>325920</v>
      </c>
      <c r="O510" s="184" t="str">
        <f>VLOOKUP(L510, '2022 SIC to NAICS'!A:D, 4)</f>
        <v>Explosives Manufacturing</v>
      </c>
      <c r="P510" s="185" t="str">
        <f>VLOOKUP(N510, 'NAICS OES crosswalk'!A:C, 3, FALSE)</f>
        <v>TBD</v>
      </c>
      <c r="T510" s="186" t="s">
        <v>1236</v>
      </c>
      <c r="U510" t="s">
        <v>1009</v>
      </c>
      <c r="V510">
        <v>1.9950000000000001</v>
      </c>
      <c r="X510" t="b">
        <f t="shared" si="9"/>
        <v>0</v>
      </c>
      <c r="Y510" s="186" t="s">
        <v>1404</v>
      </c>
      <c r="Z510" t="s">
        <v>1403</v>
      </c>
    </row>
    <row r="511" spans="1:26" x14ac:dyDescent="0.25">
      <c r="A511">
        <v>2022</v>
      </c>
      <c r="B511" t="s">
        <v>1400</v>
      </c>
      <c r="C511" t="s">
        <v>933</v>
      </c>
      <c r="D511" s="1">
        <v>110056125376</v>
      </c>
      <c r="E511" t="s">
        <v>497</v>
      </c>
      <c r="F511" t="s">
        <v>498</v>
      </c>
      <c r="G511" t="s">
        <v>498</v>
      </c>
      <c r="H511" t="s">
        <v>218</v>
      </c>
      <c r="I511" t="s">
        <v>1405</v>
      </c>
      <c r="J511">
        <v>39.754530000000003</v>
      </c>
      <c r="K511">
        <v>-105.00681</v>
      </c>
      <c r="L511">
        <v>1799</v>
      </c>
      <c r="M511" s="175" t="str">
        <f>VLOOKUP(L511, '2022 SIC to NAICS'!A:D, 2)</f>
        <v>Special Trade Contractors, Nec</v>
      </c>
      <c r="N511" s="184">
        <f>VLOOKUP(L511, '2022 SIC to NAICS'!A:D, 3)</f>
        <v>238990</v>
      </c>
      <c r="O511" s="184" t="str">
        <f>VLOOKUP(L511, '2022 SIC to NAICS'!A:D, 4)</f>
        <v>All Other Specialty Trade Contractors</v>
      </c>
      <c r="P511" s="185" t="str">
        <f>VLOOKUP(N511, 'NAICS OES crosswalk'!A:C, 3, FALSE)</f>
        <v>TBD</v>
      </c>
      <c r="T511">
        <v>101900030304</v>
      </c>
      <c r="U511" t="s">
        <v>934</v>
      </c>
      <c r="V511">
        <v>4.0686857500000003E-3</v>
      </c>
      <c r="X511" t="b">
        <f t="shared" si="9"/>
        <v>0</v>
      </c>
      <c r="Y511" s="186" t="s">
        <v>1402</v>
      </c>
      <c r="Z511" t="s">
        <v>1403</v>
      </c>
    </row>
    <row r="512" spans="1:26" x14ac:dyDescent="0.25">
      <c r="A512">
        <v>2022</v>
      </c>
      <c r="B512" t="s">
        <v>1400</v>
      </c>
      <c r="C512" t="s">
        <v>833</v>
      </c>
      <c r="D512" s="1">
        <v>110039757992</v>
      </c>
      <c r="E512" t="s">
        <v>475</v>
      </c>
      <c r="F512" t="s">
        <v>476</v>
      </c>
      <c r="G512" t="s">
        <v>728</v>
      </c>
      <c r="H512" t="s">
        <v>146</v>
      </c>
      <c r="I512" t="s">
        <v>1401</v>
      </c>
      <c r="J512">
        <v>38.730832999999997</v>
      </c>
      <c r="K512">
        <v>-120.846667</v>
      </c>
      <c r="L512">
        <v>4952</v>
      </c>
      <c r="M512" s="175" t="str">
        <f>VLOOKUP(L512, '2022 SIC to NAICS'!A:D, 2)</f>
        <v>Manufacturing Industries, Nec</v>
      </c>
      <c r="N512" s="184">
        <f>VLOOKUP(L512, '2022 SIC to NAICS'!A:D, 3)</f>
        <v>339999</v>
      </c>
      <c r="O512" s="184" t="str">
        <f>VLOOKUP(L512, '2022 SIC to NAICS'!A:D, 4)</f>
        <v xml:space="preserve">All Other Miscellaneous Manufacturing </v>
      </c>
      <c r="P512" s="185" t="str">
        <f>VLOOKUP(N512, 'NAICS OES crosswalk'!A:C, 3, FALSE)</f>
        <v>TBD</v>
      </c>
      <c r="T512">
        <v>180201290603</v>
      </c>
      <c r="U512" t="s">
        <v>834</v>
      </c>
      <c r="V512">
        <v>2.908412925E-2</v>
      </c>
      <c r="X512" t="b">
        <f t="shared" si="9"/>
        <v>0</v>
      </c>
      <c r="Y512" s="186" t="s">
        <v>1402</v>
      </c>
      <c r="Z512" t="s">
        <v>1403</v>
      </c>
    </row>
    <row r="513" spans="1:26" x14ac:dyDescent="0.25">
      <c r="A513">
        <v>2022</v>
      </c>
      <c r="B513" t="s">
        <v>1400</v>
      </c>
      <c r="C513" t="s">
        <v>668</v>
      </c>
      <c r="D513" s="1">
        <v>110041253256</v>
      </c>
      <c r="E513" t="s">
        <v>171</v>
      </c>
      <c r="F513" t="s">
        <v>157</v>
      </c>
      <c r="G513" t="s">
        <v>554</v>
      </c>
      <c r="H513" t="s">
        <v>158</v>
      </c>
      <c r="I513" t="s">
        <v>1405</v>
      </c>
      <c r="J513">
        <v>36.132570000000001</v>
      </c>
      <c r="K513">
        <v>-115.16477</v>
      </c>
      <c r="L513">
        <v>7011</v>
      </c>
      <c r="M513" s="175" t="str">
        <f>VLOOKUP(L513, '2022 SIC to NAICS'!A:D, 2)</f>
        <v>Communication Services, Nec</v>
      </c>
      <c r="N513" s="184">
        <f>VLOOKUP(L513, '2022 SIC to NAICS'!A:D, 3)</f>
        <v>517810</v>
      </c>
      <c r="O513" s="184" t="str">
        <f>VLOOKUP(L513, '2022 SIC to NAICS'!A:D, 4)</f>
        <v xml:space="preserve">All Other Telecommunications </v>
      </c>
      <c r="P513" s="185" t="str">
        <f>VLOOKUP(N513, 'NAICS OES crosswalk'!A:C, 3, FALSE)</f>
        <v>TBD</v>
      </c>
      <c r="T513">
        <v>150100150604</v>
      </c>
      <c r="U513" t="s">
        <v>578</v>
      </c>
      <c r="V513">
        <v>9.6706749999999994E-2</v>
      </c>
      <c r="X513" t="b">
        <f t="shared" si="9"/>
        <v>0</v>
      </c>
      <c r="Y513" s="186" t="s">
        <v>1402</v>
      </c>
      <c r="Z513" t="s">
        <v>1403</v>
      </c>
    </row>
    <row r="514" spans="1:26" x14ac:dyDescent="0.25">
      <c r="A514">
        <v>2022</v>
      </c>
      <c r="B514" t="s">
        <v>1400</v>
      </c>
      <c r="C514" t="s">
        <v>872</v>
      </c>
      <c r="D514" s="1">
        <v>110018199377</v>
      </c>
      <c r="E514" t="s">
        <v>212</v>
      </c>
      <c r="F514" t="s">
        <v>213</v>
      </c>
      <c r="G514" t="s">
        <v>870</v>
      </c>
      <c r="H514" t="s">
        <v>141</v>
      </c>
      <c r="I514" t="s">
        <v>1405</v>
      </c>
      <c r="J514">
        <v>41.692782000000001</v>
      </c>
      <c r="K514">
        <v>-87.951100999999994</v>
      </c>
      <c r="L514">
        <v>4226</v>
      </c>
      <c r="M514" s="175" t="str">
        <f>VLOOKUP(L514, '2022 SIC to NAICS'!A:D, 2)</f>
        <v>Manufacturing Industries, Nec</v>
      </c>
      <c r="N514" s="184">
        <f>VLOOKUP(L514, '2022 SIC to NAICS'!A:D, 3)</f>
        <v>339999</v>
      </c>
      <c r="O514" s="184" t="str">
        <f>VLOOKUP(L514, '2022 SIC to NAICS'!A:D, 4)</f>
        <v xml:space="preserve">All Other Miscellaneous Manufacturing </v>
      </c>
      <c r="P514" s="185" t="str">
        <f>VLOOKUP(N514, 'NAICS OES crosswalk'!A:C, 3, FALSE)</f>
        <v>TBD</v>
      </c>
      <c r="T514" s="186" t="s">
        <v>1200</v>
      </c>
      <c r="U514" t="s">
        <v>873</v>
      </c>
      <c r="V514">
        <v>1.23372075</v>
      </c>
      <c r="X514" t="b">
        <f t="shared" si="9"/>
        <v>0</v>
      </c>
      <c r="Y514" s="186" t="s">
        <v>1402</v>
      </c>
      <c r="Z514" t="s">
        <v>1403</v>
      </c>
    </row>
    <row r="515" spans="1:26" x14ac:dyDescent="0.25">
      <c r="A515">
        <v>2022</v>
      </c>
      <c r="B515" t="s">
        <v>1400</v>
      </c>
      <c r="C515" t="s">
        <v>708</v>
      </c>
      <c r="D515" s="1">
        <v>110009696356</v>
      </c>
      <c r="E515" t="s">
        <v>323</v>
      </c>
      <c r="F515" t="s">
        <v>324</v>
      </c>
      <c r="G515" t="s">
        <v>707</v>
      </c>
      <c r="H515" t="s">
        <v>138</v>
      </c>
      <c r="I515" t="s">
        <v>1401</v>
      </c>
      <c r="J515">
        <v>37.108094000000001</v>
      </c>
      <c r="K515">
        <v>-85.303033999999997</v>
      </c>
      <c r="L515">
        <v>4952</v>
      </c>
      <c r="M515" s="175" t="str">
        <f>VLOOKUP(L515, '2022 SIC to NAICS'!A:D, 2)</f>
        <v>Manufacturing Industries, Nec</v>
      </c>
      <c r="N515" s="184">
        <f>VLOOKUP(L515, '2022 SIC to NAICS'!A:D, 3)</f>
        <v>339999</v>
      </c>
      <c r="O515" s="184" t="str">
        <f>VLOOKUP(L515, '2022 SIC to NAICS'!A:D, 4)</f>
        <v xml:space="preserve">All Other Miscellaneous Manufacturing </v>
      </c>
      <c r="P515" s="185" t="str">
        <f>VLOOKUP(N515, 'NAICS OES crosswalk'!A:C, 3, FALSE)</f>
        <v>TBD</v>
      </c>
      <c r="T515" s="186" t="s">
        <v>1240</v>
      </c>
      <c r="U515" t="s">
        <v>709</v>
      </c>
      <c r="V515">
        <v>2.4763835625000001</v>
      </c>
      <c r="X515" t="b">
        <f t="shared" si="9"/>
        <v>0</v>
      </c>
      <c r="Y515" s="186" t="s">
        <v>1402</v>
      </c>
      <c r="Z515" t="s">
        <v>1403</v>
      </c>
    </row>
    <row r="516" spans="1:26" x14ac:dyDescent="0.25">
      <c r="A516">
        <v>2022</v>
      </c>
      <c r="B516" t="s">
        <v>1400</v>
      </c>
      <c r="C516" t="s">
        <v>856</v>
      </c>
      <c r="D516" s="1">
        <v>110000732271</v>
      </c>
      <c r="E516" t="s">
        <v>327</v>
      </c>
      <c r="F516" t="s">
        <v>235</v>
      </c>
      <c r="G516" t="s">
        <v>600</v>
      </c>
      <c r="H516" t="s">
        <v>138</v>
      </c>
      <c r="I516" t="s">
        <v>1401</v>
      </c>
      <c r="J516">
        <v>38.322221999999996</v>
      </c>
      <c r="K516">
        <v>-85.555000000000007</v>
      </c>
      <c r="L516">
        <v>4952</v>
      </c>
      <c r="M516" s="175" t="str">
        <f>VLOOKUP(L516, '2022 SIC to NAICS'!A:D, 2)</f>
        <v>Manufacturing Industries, Nec</v>
      </c>
      <c r="N516" s="184">
        <f>VLOOKUP(L516, '2022 SIC to NAICS'!A:D, 3)</f>
        <v>339999</v>
      </c>
      <c r="O516" s="184" t="str">
        <f>VLOOKUP(L516, '2022 SIC to NAICS'!A:D, 4)</f>
        <v xml:space="preserve">All Other Miscellaneous Manufacturing </v>
      </c>
      <c r="P516" s="185" t="str">
        <f>VLOOKUP(N516, 'NAICS OES crosswalk'!A:C, 3, FALSE)</f>
        <v>TBD</v>
      </c>
      <c r="T516" s="186" t="s">
        <v>1241</v>
      </c>
      <c r="U516" t="s">
        <v>857</v>
      </c>
      <c r="V516">
        <v>14.24352275</v>
      </c>
      <c r="X516" t="b">
        <f t="shared" si="9"/>
        <v>0</v>
      </c>
      <c r="Y516" s="186" t="s">
        <v>1402</v>
      </c>
      <c r="Z516" t="s">
        <v>1403</v>
      </c>
    </row>
    <row r="517" spans="1:26" x14ac:dyDescent="0.25">
      <c r="A517">
        <v>2022</v>
      </c>
      <c r="B517" t="s">
        <v>1400</v>
      </c>
      <c r="C517" t="s">
        <v>755</v>
      </c>
      <c r="D517" s="1">
        <v>110006777247</v>
      </c>
      <c r="E517" t="s">
        <v>462</v>
      </c>
      <c r="F517" t="s">
        <v>463</v>
      </c>
      <c r="G517" t="s">
        <v>752</v>
      </c>
      <c r="H517" t="s">
        <v>186</v>
      </c>
      <c r="I517" t="s">
        <v>1405</v>
      </c>
      <c r="J517">
        <v>21.994944</v>
      </c>
      <c r="K517">
        <v>-159.75363899999999</v>
      </c>
      <c r="L517" s="186" t="s">
        <v>753</v>
      </c>
      <c r="M517" s="175" t="e">
        <f>VLOOKUP(L517, '2022 SIC to NAICS'!A:D, 2)</f>
        <v>#N/A</v>
      </c>
      <c r="N517" s="184" t="e">
        <f>VLOOKUP(L517, '2022 SIC to NAICS'!A:D, 3)</f>
        <v>#N/A</v>
      </c>
      <c r="O517" s="184" t="e">
        <f>VLOOKUP(L517, '2022 SIC to NAICS'!A:D, 4)</f>
        <v>#N/A</v>
      </c>
      <c r="P517" s="185" t="e">
        <f>VLOOKUP(N517, 'NAICS OES crosswalk'!A:C, 3, FALSE)</f>
        <v>#N/A</v>
      </c>
      <c r="T517">
        <v>200700000501</v>
      </c>
      <c r="U517" t="s">
        <v>756</v>
      </c>
      <c r="V517">
        <v>3.4399972499999998</v>
      </c>
      <c r="X517" t="b">
        <f t="shared" si="9"/>
        <v>0</v>
      </c>
      <c r="Y517" s="186" t="s">
        <v>1402</v>
      </c>
      <c r="Z517" t="s">
        <v>1403</v>
      </c>
    </row>
    <row r="518" spans="1:26" x14ac:dyDescent="0.25">
      <c r="A518">
        <v>2022</v>
      </c>
      <c r="B518" t="s">
        <v>1400</v>
      </c>
      <c r="C518" t="s">
        <v>1083</v>
      </c>
      <c r="D518" s="1">
        <v>110000432504</v>
      </c>
      <c r="E518" t="s">
        <v>139</v>
      </c>
      <c r="F518" t="s">
        <v>140</v>
      </c>
      <c r="G518" t="s">
        <v>1081</v>
      </c>
      <c r="H518" t="s">
        <v>141</v>
      </c>
      <c r="I518" t="s">
        <v>1401</v>
      </c>
      <c r="J518">
        <v>41.441667000000002</v>
      </c>
      <c r="K518">
        <v>-88.159719999999993</v>
      </c>
      <c r="L518">
        <v>2843</v>
      </c>
      <c r="M518" s="175" t="str">
        <f>VLOOKUP(L518, '2022 SIC to NAICS'!A:D, 2)</f>
        <v>Platemaking Services</v>
      </c>
      <c r="N518" s="184">
        <f>VLOOKUP(L518, '2022 SIC to NAICS'!A:D, 3)</f>
        <v>323120</v>
      </c>
      <c r="O518" s="184" t="str">
        <f>VLOOKUP(L518, '2022 SIC to NAICS'!A:D, 4)</f>
        <v>Support Activities for Printing</v>
      </c>
      <c r="P518" s="185" t="str">
        <f>VLOOKUP(N518, 'NAICS OES crosswalk'!A:C, 3, FALSE)</f>
        <v>TBD</v>
      </c>
      <c r="T518" s="186" t="s">
        <v>1183</v>
      </c>
      <c r="U518" t="s">
        <v>1084</v>
      </c>
      <c r="V518">
        <v>0.58066600000000002</v>
      </c>
      <c r="X518" t="b">
        <f t="shared" si="9"/>
        <v>0</v>
      </c>
      <c r="Y518" s="186" t="s">
        <v>1402</v>
      </c>
    </row>
    <row r="519" spans="1:26" x14ac:dyDescent="0.25">
      <c r="A519">
        <v>2022</v>
      </c>
      <c r="B519" t="s">
        <v>1400</v>
      </c>
      <c r="C519" t="s">
        <v>689</v>
      </c>
      <c r="D519" s="1">
        <v>110043485421</v>
      </c>
      <c r="E519" t="s">
        <v>247</v>
      </c>
      <c r="F519" t="s">
        <v>235</v>
      </c>
      <c r="G519" t="s">
        <v>600</v>
      </c>
      <c r="H519" t="s">
        <v>138</v>
      </c>
      <c r="I519" t="s">
        <v>1401</v>
      </c>
      <c r="J519">
        <v>38.122354000000001</v>
      </c>
      <c r="K519">
        <v>-85.587648000000002</v>
      </c>
      <c r="L519">
        <v>4952</v>
      </c>
      <c r="M519" s="175" t="str">
        <f>VLOOKUP(L519, '2022 SIC to NAICS'!A:D, 2)</f>
        <v>Manufacturing Industries, Nec</v>
      </c>
      <c r="N519" s="184">
        <f>VLOOKUP(L519, '2022 SIC to NAICS'!A:D, 3)</f>
        <v>339999</v>
      </c>
      <c r="O519" s="184" t="str">
        <f>VLOOKUP(L519, '2022 SIC to NAICS'!A:D, 4)</f>
        <v xml:space="preserve">All Other Miscellaneous Manufacturing </v>
      </c>
      <c r="P519" s="185" t="str">
        <f>VLOOKUP(N519, 'NAICS OES crosswalk'!A:C, 3, FALSE)</f>
        <v>TBD</v>
      </c>
      <c r="T519" s="186" t="s">
        <v>1209</v>
      </c>
      <c r="U519" t="s">
        <v>690</v>
      </c>
      <c r="V519">
        <v>20.066650625000001</v>
      </c>
      <c r="X519" t="b">
        <f t="shared" si="9"/>
        <v>0</v>
      </c>
      <c r="Y519" s="186" t="s">
        <v>1402</v>
      </c>
      <c r="Z519" t="s">
        <v>1403</v>
      </c>
    </row>
    <row r="520" spans="1:26" x14ac:dyDescent="0.25">
      <c r="A520">
        <v>2022</v>
      </c>
      <c r="B520" t="s">
        <v>1400</v>
      </c>
      <c r="C520" t="s">
        <v>751</v>
      </c>
      <c r="D520" s="1">
        <v>110070948151</v>
      </c>
      <c r="E520" t="s">
        <v>457</v>
      </c>
      <c r="F520" t="s">
        <v>157</v>
      </c>
      <c r="G520" t="s">
        <v>575</v>
      </c>
      <c r="H520" t="s">
        <v>158</v>
      </c>
      <c r="I520" t="s">
        <v>1405</v>
      </c>
      <c r="J520">
        <v>36.090899999999998</v>
      </c>
      <c r="K520">
        <v>-115.1833</v>
      </c>
      <c r="L520">
        <v>7941</v>
      </c>
      <c r="M520" s="175" t="str">
        <f>VLOOKUP(L520, '2022 SIC to NAICS'!A:D, 2)</f>
        <v>Dance Studios, Schools, and Halls</v>
      </c>
      <c r="N520" s="184">
        <f>VLOOKUP(L520, '2022 SIC to NAICS'!A:D, 3)</f>
        <v>611610</v>
      </c>
      <c r="O520" s="184" t="str">
        <f>VLOOKUP(L520, '2022 SIC to NAICS'!A:D, 4)</f>
        <v xml:space="preserve">Fine Arts Schools </v>
      </c>
      <c r="P520" s="185" t="str">
        <f>VLOOKUP(N520, 'NAICS OES crosswalk'!A:C, 3, FALSE)</f>
        <v>All purpose liquid cleaner/polish</v>
      </c>
      <c r="T520">
        <v>150100150505</v>
      </c>
      <c r="U520" t="s">
        <v>557</v>
      </c>
      <c r="V520">
        <v>4.0109124562500001E-2</v>
      </c>
      <c r="X520" t="b">
        <f t="shared" si="9"/>
        <v>0</v>
      </c>
      <c r="Y520" s="186" t="s">
        <v>1402</v>
      </c>
      <c r="Z520" t="s">
        <v>1403</v>
      </c>
    </row>
    <row r="521" spans="1:26" x14ac:dyDescent="0.25">
      <c r="A521">
        <v>2022</v>
      </c>
      <c r="B521" t="s">
        <v>1400</v>
      </c>
      <c r="C521" t="s">
        <v>1091</v>
      </c>
      <c r="D521" s="1">
        <v>110056972432</v>
      </c>
      <c r="E521" t="s">
        <v>193</v>
      </c>
      <c r="F521" t="s">
        <v>194</v>
      </c>
      <c r="G521" t="s">
        <v>1087</v>
      </c>
      <c r="H521" t="s">
        <v>106</v>
      </c>
      <c r="I521" t="s">
        <v>1401</v>
      </c>
      <c r="J521">
        <v>30.250833</v>
      </c>
      <c r="K521">
        <v>-91.092277999999993</v>
      </c>
      <c r="L521">
        <v>2869</v>
      </c>
      <c r="M521" s="175" t="str">
        <f>VLOOKUP(L521, '2022 SIC to NAICS'!A:D, 2)</f>
        <v>Industrial Organic Chemicals, Nec</v>
      </c>
      <c r="N521" s="184">
        <f>VLOOKUP(L521, '2022 SIC to NAICS'!A:D, 3)</f>
        <v>325180</v>
      </c>
      <c r="O521" s="184" t="str">
        <f>VLOOKUP(L521, '2022 SIC to NAICS'!A:D, 4)</f>
        <v xml:space="preserve">Other Basic Inorganic Chemical Manufacturing </v>
      </c>
      <c r="P521" s="185" t="str">
        <f>VLOOKUP(N521, 'NAICS OES crosswalk'!A:C, 3, FALSE)</f>
        <v>Processing as a reactant</v>
      </c>
      <c r="T521" s="186" t="s">
        <v>1196</v>
      </c>
      <c r="U521" t="s">
        <v>1090</v>
      </c>
      <c r="V521">
        <v>0.414275</v>
      </c>
      <c r="X521" t="b">
        <f t="shared" si="9"/>
        <v>0</v>
      </c>
      <c r="Y521" s="186" t="s">
        <v>1402</v>
      </c>
      <c r="Z521" t="s">
        <v>1403</v>
      </c>
    </row>
    <row r="522" spans="1:26" x14ac:dyDescent="0.25">
      <c r="A522">
        <v>2022</v>
      </c>
      <c r="B522" t="s">
        <v>1400</v>
      </c>
      <c r="C522" t="s">
        <v>1103</v>
      </c>
      <c r="D522" s="1">
        <v>110043808467</v>
      </c>
      <c r="E522" t="s">
        <v>172</v>
      </c>
      <c r="F522" t="s">
        <v>173</v>
      </c>
      <c r="G522" t="s">
        <v>554</v>
      </c>
      <c r="H522" t="s">
        <v>158</v>
      </c>
      <c r="I522" t="s">
        <v>1405</v>
      </c>
      <c r="J522">
        <v>36.035440000000001</v>
      </c>
      <c r="K522">
        <v>-114.99994</v>
      </c>
      <c r="L522">
        <v>1799</v>
      </c>
      <c r="M522" s="175" t="str">
        <f>VLOOKUP(L522, '2022 SIC to NAICS'!A:D, 2)</f>
        <v>Special Trade Contractors, Nec</v>
      </c>
      <c r="N522" s="184">
        <f>VLOOKUP(L522, '2022 SIC to NAICS'!A:D, 3)</f>
        <v>238990</v>
      </c>
      <c r="O522" s="184" t="str">
        <f>VLOOKUP(L522, '2022 SIC to NAICS'!A:D, 4)</f>
        <v>All Other Specialty Trade Contractors</v>
      </c>
      <c r="P522" s="185" t="str">
        <f>VLOOKUP(N522, 'NAICS OES crosswalk'!A:C, 3, FALSE)</f>
        <v>TBD</v>
      </c>
      <c r="T522">
        <v>150100150708</v>
      </c>
      <c r="U522" t="s">
        <v>1104</v>
      </c>
      <c r="V522">
        <v>0.59279780525000003</v>
      </c>
      <c r="X522" t="b">
        <f t="shared" si="9"/>
        <v>0</v>
      </c>
      <c r="Y522" s="186" t="s">
        <v>1402</v>
      </c>
      <c r="Z522" t="s">
        <v>1403</v>
      </c>
    </row>
    <row r="523" spans="1:26" x14ac:dyDescent="0.25">
      <c r="A523">
        <v>2022</v>
      </c>
      <c r="B523" t="s">
        <v>1400</v>
      </c>
      <c r="C523" t="s">
        <v>977</v>
      </c>
      <c r="D523" s="1">
        <v>110064644782</v>
      </c>
      <c r="E523" t="s">
        <v>471</v>
      </c>
      <c r="F523" t="s">
        <v>472</v>
      </c>
      <c r="G523" t="s">
        <v>975</v>
      </c>
      <c r="H523" t="s">
        <v>106</v>
      </c>
      <c r="I523" t="s">
        <v>1401</v>
      </c>
      <c r="J523">
        <v>30.584540000000001</v>
      </c>
      <c r="K523">
        <v>-91.247479999999996</v>
      </c>
      <c r="L523">
        <v>4953</v>
      </c>
      <c r="M523" s="175" t="str">
        <f>VLOOKUP(L523, '2022 SIC to NAICS'!A:D, 2)</f>
        <v>Manufacturing Industries, Nec</v>
      </c>
      <c r="N523" s="184">
        <f>VLOOKUP(L523, '2022 SIC to NAICS'!A:D, 3)</f>
        <v>339999</v>
      </c>
      <c r="O523" s="184" t="str">
        <f>VLOOKUP(L523, '2022 SIC to NAICS'!A:D, 4)</f>
        <v xml:space="preserve">All Other Miscellaneous Manufacturing </v>
      </c>
      <c r="P523" s="185" t="str">
        <f>VLOOKUP(N523, 'NAICS OES crosswalk'!A:C, 3, FALSE)</f>
        <v>TBD</v>
      </c>
      <c r="T523" s="186" t="s">
        <v>1282</v>
      </c>
      <c r="U523" t="s">
        <v>978</v>
      </c>
      <c r="V523">
        <v>0.16559375000000001</v>
      </c>
      <c r="X523" t="b">
        <f t="shared" si="9"/>
        <v>0</v>
      </c>
      <c r="Y523" s="186" t="s">
        <v>1472</v>
      </c>
      <c r="Z523" t="s">
        <v>1403</v>
      </c>
    </row>
    <row r="524" spans="1:26" x14ac:dyDescent="0.25">
      <c r="A524">
        <v>2022</v>
      </c>
      <c r="B524" t="s">
        <v>1400</v>
      </c>
      <c r="C524" t="s">
        <v>687</v>
      </c>
      <c r="D524" s="1">
        <v>110000613685</v>
      </c>
      <c r="E524" t="s">
        <v>370</v>
      </c>
      <c r="F524" t="s">
        <v>175</v>
      </c>
      <c r="G524" t="s">
        <v>630</v>
      </c>
      <c r="H524" t="s">
        <v>106</v>
      </c>
      <c r="I524" t="s">
        <v>1405</v>
      </c>
      <c r="J524">
        <v>30.321895000000001</v>
      </c>
      <c r="K524">
        <v>-93.300735000000003</v>
      </c>
      <c r="L524">
        <v>4953</v>
      </c>
      <c r="M524" s="175" t="str">
        <f>VLOOKUP(L524, '2022 SIC to NAICS'!A:D, 2)</f>
        <v>Manufacturing Industries, Nec</v>
      </c>
      <c r="N524" s="184">
        <f>VLOOKUP(L524, '2022 SIC to NAICS'!A:D, 3)</f>
        <v>339999</v>
      </c>
      <c r="O524" s="184" t="str">
        <f>VLOOKUP(L524, '2022 SIC to NAICS'!A:D, 4)</f>
        <v xml:space="preserve">All Other Miscellaneous Manufacturing </v>
      </c>
      <c r="P524" s="185" t="str">
        <f>VLOOKUP(N524, 'NAICS OES crosswalk'!A:C, 3, FALSE)</f>
        <v>TBD</v>
      </c>
      <c r="T524" s="186" t="s">
        <v>1254</v>
      </c>
      <c r="U524" t="s">
        <v>688</v>
      </c>
      <c r="V524">
        <v>0.47317231250000003</v>
      </c>
      <c r="X524" t="b">
        <f t="shared" si="9"/>
        <v>0</v>
      </c>
      <c r="Y524" s="186" t="s">
        <v>1404</v>
      </c>
      <c r="Z524" t="s">
        <v>1403</v>
      </c>
    </row>
    <row r="525" spans="1:26" x14ac:dyDescent="0.25">
      <c r="A525">
        <v>2022</v>
      </c>
      <c r="B525" t="s">
        <v>1400</v>
      </c>
      <c r="C525" t="s">
        <v>851</v>
      </c>
      <c r="D525" s="1">
        <v>110070210457</v>
      </c>
      <c r="E525" t="s">
        <v>191</v>
      </c>
      <c r="F525" t="s">
        <v>192</v>
      </c>
      <c r="G525" t="s">
        <v>731</v>
      </c>
      <c r="H525" t="s">
        <v>153</v>
      </c>
      <c r="I525" t="s">
        <v>1405</v>
      </c>
      <c r="J525">
        <v>39.827696000000003</v>
      </c>
      <c r="K525">
        <v>-75.277782000000002</v>
      </c>
      <c r="L525">
        <v>2869</v>
      </c>
      <c r="M525" s="175" t="str">
        <f>VLOOKUP(L525, '2022 SIC to NAICS'!A:D, 2)</f>
        <v>Industrial Organic Chemicals, Nec</v>
      </c>
      <c r="N525" s="184">
        <f>VLOOKUP(L525, '2022 SIC to NAICS'!A:D, 3)</f>
        <v>325180</v>
      </c>
      <c r="O525" s="184" t="str">
        <f>VLOOKUP(L525, '2022 SIC to NAICS'!A:D, 4)</f>
        <v xml:space="preserve">Other Basic Inorganic Chemical Manufacturing </v>
      </c>
      <c r="P525" s="185" t="str">
        <f>VLOOKUP(N525, 'NAICS OES crosswalk'!A:C, 3, FALSE)</f>
        <v>Processing as a reactant</v>
      </c>
      <c r="T525" s="186" t="s">
        <v>1195</v>
      </c>
      <c r="U525" t="s">
        <v>852</v>
      </c>
      <c r="V525">
        <v>2.1399557299999999E-3</v>
      </c>
      <c r="X525" t="b">
        <f t="shared" si="9"/>
        <v>0</v>
      </c>
      <c r="Y525" s="186" t="s">
        <v>1402</v>
      </c>
      <c r="Z525" t="s">
        <v>1403</v>
      </c>
    </row>
    <row r="526" spans="1:26" x14ac:dyDescent="0.25">
      <c r="A526">
        <v>2022</v>
      </c>
      <c r="B526" t="s">
        <v>1400</v>
      </c>
      <c r="C526" t="s">
        <v>821</v>
      </c>
      <c r="D526" s="1">
        <v>110064624018</v>
      </c>
      <c r="E526" t="s">
        <v>445</v>
      </c>
      <c r="F526" t="s">
        <v>446</v>
      </c>
      <c r="G526" t="s">
        <v>446</v>
      </c>
      <c r="H526" t="s">
        <v>146</v>
      </c>
      <c r="I526" t="s">
        <v>1401</v>
      </c>
      <c r="J526">
        <v>33.990146000000003</v>
      </c>
      <c r="K526">
        <v>-118.36358</v>
      </c>
      <c r="L526">
        <v>2911</v>
      </c>
      <c r="M526" s="175" t="str">
        <f>VLOOKUP(L526, '2022 SIC to NAICS'!A:D, 2)</f>
        <v>Explosives</v>
      </c>
      <c r="N526" s="184">
        <f>VLOOKUP(L526, '2022 SIC to NAICS'!A:D, 3)</f>
        <v>325920</v>
      </c>
      <c r="O526" s="184" t="str">
        <f>VLOOKUP(L526, '2022 SIC to NAICS'!A:D, 4)</f>
        <v>Explosives Manufacturing</v>
      </c>
      <c r="P526" s="185" t="str">
        <f>VLOOKUP(N526, 'NAICS OES crosswalk'!A:C, 3, FALSE)</f>
        <v>TBD</v>
      </c>
      <c r="T526">
        <v>180701040300</v>
      </c>
      <c r="U526" t="s">
        <v>822</v>
      </c>
      <c r="V526">
        <v>0.69490707500000004</v>
      </c>
      <c r="X526" t="b">
        <f t="shared" si="9"/>
        <v>0</v>
      </c>
      <c r="Y526" s="186" t="s">
        <v>1402</v>
      </c>
      <c r="Z526" t="s">
        <v>1403</v>
      </c>
    </row>
    <row r="527" spans="1:26" x14ac:dyDescent="0.25">
      <c r="A527">
        <v>2022</v>
      </c>
      <c r="B527" t="s">
        <v>1400</v>
      </c>
      <c r="C527" t="s">
        <v>732</v>
      </c>
      <c r="D527" s="1">
        <v>110000582003</v>
      </c>
      <c r="E527" t="s">
        <v>151</v>
      </c>
      <c r="F527" t="s">
        <v>152</v>
      </c>
      <c r="G527" t="s">
        <v>731</v>
      </c>
      <c r="H527" t="s">
        <v>153</v>
      </c>
      <c r="I527" t="s">
        <v>1401</v>
      </c>
      <c r="J527">
        <v>39.80142</v>
      </c>
      <c r="K527">
        <v>-75.354990000000001</v>
      </c>
      <c r="L527">
        <v>2869</v>
      </c>
      <c r="M527" s="175" t="str">
        <f>VLOOKUP(L527, '2022 SIC to NAICS'!A:D, 2)</f>
        <v>Industrial Organic Chemicals, Nec</v>
      </c>
      <c r="N527" s="184">
        <f>VLOOKUP(L527, '2022 SIC to NAICS'!A:D, 3)</f>
        <v>325180</v>
      </c>
      <c r="O527" s="184" t="str">
        <f>VLOOKUP(L527, '2022 SIC to NAICS'!A:D, 4)</f>
        <v xml:space="preserve">Other Basic Inorganic Chemical Manufacturing </v>
      </c>
      <c r="P527" s="185" t="str">
        <f>VLOOKUP(N527, 'NAICS OES crosswalk'!A:C, 3, FALSE)</f>
        <v>Processing as a reactant</v>
      </c>
      <c r="T527" s="186" t="s">
        <v>1187</v>
      </c>
      <c r="U527" t="s">
        <v>733</v>
      </c>
      <c r="V527">
        <v>0.84299999999999997</v>
      </c>
      <c r="X527" t="b">
        <f t="shared" si="9"/>
        <v>0</v>
      </c>
      <c r="Y527" s="186" t="s">
        <v>1402</v>
      </c>
      <c r="Z527" t="s">
        <v>1403</v>
      </c>
    </row>
    <row r="528" spans="1:26" x14ac:dyDescent="0.25">
      <c r="A528">
        <v>2022</v>
      </c>
      <c r="B528" t="s">
        <v>1400</v>
      </c>
      <c r="C528" t="s">
        <v>984</v>
      </c>
      <c r="D528" s="1">
        <v>110064615590</v>
      </c>
      <c r="E528" t="s">
        <v>443</v>
      </c>
      <c r="F528" t="s">
        <v>444</v>
      </c>
      <c r="G528" t="s">
        <v>901</v>
      </c>
      <c r="H528" t="s">
        <v>138</v>
      </c>
      <c r="I528" t="s">
        <v>1401</v>
      </c>
      <c r="J528">
        <v>38.32978</v>
      </c>
      <c r="K528">
        <v>-85.540719999999993</v>
      </c>
      <c r="L528">
        <v>4952</v>
      </c>
      <c r="M528" s="175" t="str">
        <f>VLOOKUP(L528, '2022 SIC to NAICS'!A:D, 2)</f>
        <v>Manufacturing Industries, Nec</v>
      </c>
      <c r="N528" s="184">
        <f>VLOOKUP(L528, '2022 SIC to NAICS'!A:D, 3)</f>
        <v>339999</v>
      </c>
      <c r="O528" s="184" t="str">
        <f>VLOOKUP(L528, '2022 SIC to NAICS'!A:D, 4)</f>
        <v xml:space="preserve">All Other Miscellaneous Manufacturing </v>
      </c>
      <c r="P528" s="185" t="str">
        <f>VLOOKUP(N528, 'NAICS OES crosswalk'!A:C, 3, FALSE)</f>
        <v>TBD</v>
      </c>
      <c r="T528" s="186" t="s">
        <v>1241</v>
      </c>
      <c r="U528" t="s">
        <v>857</v>
      </c>
      <c r="V528">
        <v>0.97397512500000005</v>
      </c>
      <c r="X528" t="b">
        <f t="shared" si="9"/>
        <v>0</v>
      </c>
      <c r="Y528" s="186" t="s">
        <v>1402</v>
      </c>
      <c r="Z528" t="s">
        <v>1403</v>
      </c>
    </row>
    <row r="529" spans="1:26" x14ac:dyDescent="0.25">
      <c r="A529">
        <v>2022</v>
      </c>
      <c r="B529" t="s">
        <v>1400</v>
      </c>
      <c r="C529" t="s">
        <v>899</v>
      </c>
      <c r="D529" s="1">
        <v>110000496981</v>
      </c>
      <c r="E529" t="s">
        <v>499</v>
      </c>
      <c r="F529" t="s">
        <v>500</v>
      </c>
      <c r="G529" t="s">
        <v>898</v>
      </c>
      <c r="H529" t="s">
        <v>501</v>
      </c>
      <c r="I529" t="s">
        <v>1401</v>
      </c>
      <c r="J529">
        <v>40.506320000000002</v>
      </c>
      <c r="K529">
        <v>-81.474299999999999</v>
      </c>
      <c r="L529">
        <v>2869</v>
      </c>
      <c r="M529" s="175" t="str">
        <f>VLOOKUP(L529, '2022 SIC to NAICS'!A:D, 2)</f>
        <v>Industrial Organic Chemicals, Nec</v>
      </c>
      <c r="N529" s="184">
        <f>VLOOKUP(L529, '2022 SIC to NAICS'!A:D, 3)</f>
        <v>325180</v>
      </c>
      <c r="O529" s="184" t="str">
        <f>VLOOKUP(L529, '2022 SIC to NAICS'!A:D, 4)</f>
        <v xml:space="preserve">Other Basic Inorganic Chemical Manufacturing </v>
      </c>
      <c r="P529" s="185" t="str">
        <f>VLOOKUP(N529, 'NAICS OES crosswalk'!A:C, 3, FALSE)</f>
        <v>Processing as a reactant</v>
      </c>
      <c r="T529" s="186" t="s">
        <v>1287</v>
      </c>
      <c r="U529" t="s">
        <v>900</v>
      </c>
      <c r="V529">
        <v>0.93744000000000005</v>
      </c>
      <c r="X529" t="b">
        <f t="shared" ref="X529:X592" si="10">V529 &lt;= _xlfn.PERCENTILE.INC($V$464:$V$592, 0.1)</f>
        <v>0</v>
      </c>
      <c r="Y529" s="186" t="s">
        <v>1472</v>
      </c>
    </row>
    <row r="530" spans="1:26" x14ac:dyDescent="0.25">
      <c r="A530">
        <v>2022</v>
      </c>
      <c r="B530" t="s">
        <v>1400</v>
      </c>
      <c r="C530" t="s">
        <v>787</v>
      </c>
      <c r="D530" s="1">
        <v>110043486457</v>
      </c>
      <c r="E530" t="s">
        <v>277</v>
      </c>
      <c r="F530" t="s">
        <v>235</v>
      </c>
      <c r="G530" t="s">
        <v>600</v>
      </c>
      <c r="H530" t="s">
        <v>138</v>
      </c>
      <c r="I530" t="s">
        <v>1401</v>
      </c>
      <c r="J530">
        <v>38.236699999999999</v>
      </c>
      <c r="K530">
        <v>-85.466710000000006</v>
      </c>
      <c r="L530">
        <v>4952</v>
      </c>
      <c r="M530" s="175" t="str">
        <f>VLOOKUP(L530, '2022 SIC to NAICS'!A:D, 2)</f>
        <v>Manufacturing Industries, Nec</v>
      </c>
      <c r="N530" s="184">
        <f>VLOOKUP(L530, '2022 SIC to NAICS'!A:D, 3)</f>
        <v>339999</v>
      </c>
      <c r="O530" s="184" t="str">
        <f>VLOOKUP(L530, '2022 SIC to NAICS'!A:D, 4)</f>
        <v xml:space="preserve">All Other Miscellaneous Manufacturing </v>
      </c>
      <c r="P530" s="185" t="str">
        <f>VLOOKUP(N530, 'NAICS OES crosswalk'!A:C, 3, FALSE)</f>
        <v>TBD</v>
      </c>
      <c r="T530" s="186" t="s">
        <v>1223</v>
      </c>
      <c r="U530" t="s">
        <v>788</v>
      </c>
      <c r="V530">
        <v>14.457659124999999</v>
      </c>
      <c r="X530" t="b">
        <f t="shared" si="10"/>
        <v>0</v>
      </c>
      <c r="Y530" s="186" t="s">
        <v>1402</v>
      </c>
      <c r="Z530" t="s">
        <v>1403</v>
      </c>
    </row>
    <row r="531" spans="1:26" x14ac:dyDescent="0.25">
      <c r="A531">
        <v>2022</v>
      </c>
      <c r="B531" t="s">
        <v>1400</v>
      </c>
      <c r="C531" t="s">
        <v>1434</v>
      </c>
      <c r="D531" s="1">
        <v>110000339027</v>
      </c>
      <c r="E531" t="s">
        <v>1435</v>
      </c>
      <c r="F531" t="s">
        <v>1436</v>
      </c>
      <c r="G531" t="s">
        <v>1437</v>
      </c>
      <c r="H531" t="s">
        <v>344</v>
      </c>
      <c r="I531" t="s">
        <v>1401</v>
      </c>
      <c r="J531">
        <v>38.631867</v>
      </c>
      <c r="K531">
        <v>-75.628372999999996</v>
      </c>
      <c r="L531">
        <v>2821</v>
      </c>
      <c r="M531" s="175" t="str">
        <f>VLOOKUP(L531, '2022 SIC to NAICS'!A:D, 2)</f>
        <v>Platemaking Services</v>
      </c>
      <c r="N531" s="184">
        <f>VLOOKUP(L531, '2022 SIC to NAICS'!A:D, 3)</f>
        <v>323120</v>
      </c>
      <c r="O531" s="184" t="str">
        <f>VLOOKUP(L531, '2022 SIC to NAICS'!A:D, 4)</f>
        <v>Support Activities for Printing</v>
      </c>
      <c r="P531" s="185" t="str">
        <f>VLOOKUP(N531, 'NAICS OES crosswalk'!A:C, 3, FALSE)</f>
        <v>TBD</v>
      </c>
      <c r="T531" s="186" t="s">
        <v>1438</v>
      </c>
      <c r="U531" t="s">
        <v>1439</v>
      </c>
      <c r="V531">
        <v>1.4073999999999999E-5</v>
      </c>
      <c r="X531" t="b">
        <f t="shared" si="10"/>
        <v>1</v>
      </c>
      <c r="Y531" s="186" t="s">
        <v>1427</v>
      </c>
      <c r="Z531" t="s">
        <v>1403</v>
      </c>
    </row>
    <row r="532" spans="1:26" x14ac:dyDescent="0.25">
      <c r="A532">
        <v>2022</v>
      </c>
      <c r="B532" t="s">
        <v>1400</v>
      </c>
      <c r="C532" t="s">
        <v>743</v>
      </c>
      <c r="D532" s="1">
        <v>110000460901</v>
      </c>
      <c r="E532" t="s">
        <v>312</v>
      </c>
      <c r="F532" t="s">
        <v>313</v>
      </c>
      <c r="G532" t="s">
        <v>638</v>
      </c>
      <c r="H532" t="s">
        <v>114</v>
      </c>
      <c r="I532" t="s">
        <v>1401</v>
      </c>
      <c r="J532">
        <v>29.718139000000001</v>
      </c>
      <c r="K532">
        <v>-95.268749999999997</v>
      </c>
      <c r="L532">
        <v>2819</v>
      </c>
      <c r="M532" s="175" t="str">
        <f>VLOOKUP(L532, '2022 SIC to NAICS'!A:D, 2)</f>
        <v>Platemaking Services</v>
      </c>
      <c r="N532" s="184">
        <f>VLOOKUP(L532, '2022 SIC to NAICS'!A:D, 3)</f>
        <v>323120</v>
      </c>
      <c r="O532" s="184" t="str">
        <f>VLOOKUP(L532, '2022 SIC to NAICS'!A:D, 4)</f>
        <v>Support Activities for Printing</v>
      </c>
      <c r="P532" s="185" t="str">
        <f>VLOOKUP(N532, 'NAICS OES crosswalk'!A:C, 3, FALSE)</f>
        <v>TBD</v>
      </c>
      <c r="T532">
        <v>120401040502</v>
      </c>
      <c r="U532" t="s">
        <v>744</v>
      </c>
      <c r="V532">
        <v>11.50436</v>
      </c>
      <c r="X532" t="b">
        <f t="shared" si="10"/>
        <v>0</v>
      </c>
      <c r="Y532" s="186" t="s">
        <v>1418</v>
      </c>
    </row>
    <row r="533" spans="1:26" x14ac:dyDescent="0.25">
      <c r="A533">
        <v>2022</v>
      </c>
      <c r="B533" t="s">
        <v>1400</v>
      </c>
      <c r="C533" t="s">
        <v>654</v>
      </c>
      <c r="D533" s="1">
        <v>110059344473</v>
      </c>
      <c r="E533" t="s">
        <v>332</v>
      </c>
      <c r="F533" t="s">
        <v>333</v>
      </c>
      <c r="G533" t="s">
        <v>653</v>
      </c>
      <c r="H533" t="s">
        <v>268</v>
      </c>
      <c r="I533" t="s">
        <v>1401</v>
      </c>
      <c r="J533">
        <v>40.655278000000003</v>
      </c>
      <c r="K533">
        <v>-80.356388999999993</v>
      </c>
      <c r="L533">
        <v>2821</v>
      </c>
      <c r="M533" s="175" t="str">
        <f>VLOOKUP(L533, '2022 SIC to NAICS'!A:D, 2)</f>
        <v>Platemaking Services</v>
      </c>
      <c r="N533" s="184">
        <f>VLOOKUP(L533, '2022 SIC to NAICS'!A:D, 3)</f>
        <v>323120</v>
      </c>
      <c r="O533" s="184" t="str">
        <f>VLOOKUP(L533, '2022 SIC to NAICS'!A:D, 4)</f>
        <v>Support Activities for Printing</v>
      </c>
      <c r="P533" s="185" t="str">
        <f>VLOOKUP(N533, 'NAICS OES crosswalk'!A:C, 3, FALSE)</f>
        <v>TBD</v>
      </c>
      <c r="T533" s="186" t="s">
        <v>1244</v>
      </c>
      <c r="U533" t="s">
        <v>655</v>
      </c>
      <c r="V533">
        <v>0.66283999999999998</v>
      </c>
      <c r="X533" t="b">
        <f t="shared" si="10"/>
        <v>0</v>
      </c>
      <c r="Y533" s="186" t="s">
        <v>1404</v>
      </c>
      <c r="Z533" t="s">
        <v>1403</v>
      </c>
    </row>
    <row r="534" spans="1:26" x14ac:dyDescent="0.25">
      <c r="A534">
        <v>2022</v>
      </c>
      <c r="B534" t="s">
        <v>1400</v>
      </c>
      <c r="C534" t="s">
        <v>1045</v>
      </c>
      <c r="D534" s="1">
        <v>110039998214</v>
      </c>
      <c r="E534" t="s">
        <v>316</v>
      </c>
      <c r="F534" t="s">
        <v>150</v>
      </c>
      <c r="G534" t="s">
        <v>985</v>
      </c>
      <c r="H534" t="s">
        <v>138</v>
      </c>
      <c r="I534" t="s">
        <v>1401</v>
      </c>
      <c r="J534">
        <v>37.790278000000001</v>
      </c>
      <c r="K534">
        <v>-87.140277999999995</v>
      </c>
      <c r="L534">
        <v>4952</v>
      </c>
      <c r="M534" s="175" t="str">
        <f>VLOOKUP(L534, '2022 SIC to NAICS'!A:D, 2)</f>
        <v>Manufacturing Industries, Nec</v>
      </c>
      <c r="N534" s="184">
        <f>VLOOKUP(L534, '2022 SIC to NAICS'!A:D, 3)</f>
        <v>339999</v>
      </c>
      <c r="O534" s="184" t="str">
        <f>VLOOKUP(L534, '2022 SIC to NAICS'!A:D, 4)</f>
        <v xml:space="preserve">All Other Miscellaneous Manufacturing </v>
      </c>
      <c r="P534" s="185" t="str">
        <f>VLOOKUP(N534, 'NAICS OES crosswalk'!A:C, 3, FALSE)</f>
        <v>TBD</v>
      </c>
      <c r="T534" s="186" t="s">
        <v>1186</v>
      </c>
      <c r="U534" t="s">
        <v>989</v>
      </c>
      <c r="V534">
        <v>1.0713519146249999</v>
      </c>
      <c r="X534" t="b">
        <f t="shared" si="10"/>
        <v>0</v>
      </c>
      <c r="Y534" s="186" t="s">
        <v>1402</v>
      </c>
      <c r="Z534" t="s">
        <v>1403</v>
      </c>
    </row>
    <row r="535" spans="1:26" x14ac:dyDescent="0.25">
      <c r="A535">
        <v>2022</v>
      </c>
      <c r="B535" t="s">
        <v>1400</v>
      </c>
      <c r="C535" t="s">
        <v>687</v>
      </c>
      <c r="D535" s="1">
        <v>110000613685</v>
      </c>
      <c r="E535" t="s">
        <v>370</v>
      </c>
      <c r="F535" t="s">
        <v>175</v>
      </c>
      <c r="G535" t="s">
        <v>630</v>
      </c>
      <c r="H535" t="s">
        <v>106</v>
      </c>
      <c r="I535" t="s">
        <v>1405</v>
      </c>
      <c r="J535">
        <v>30.321895000000001</v>
      </c>
      <c r="K535">
        <v>-93.300735000000003</v>
      </c>
      <c r="L535">
        <v>4953</v>
      </c>
      <c r="M535" s="175" t="str">
        <f>VLOOKUP(L535, '2022 SIC to NAICS'!A:D, 2)</f>
        <v>Manufacturing Industries, Nec</v>
      </c>
      <c r="N535" s="184">
        <f>VLOOKUP(L535, '2022 SIC to NAICS'!A:D, 3)</f>
        <v>339999</v>
      </c>
      <c r="O535" s="184" t="str">
        <f>VLOOKUP(L535, '2022 SIC to NAICS'!A:D, 4)</f>
        <v xml:space="preserve">All Other Miscellaneous Manufacturing </v>
      </c>
      <c r="P535" s="185" t="str">
        <f>VLOOKUP(N535, 'NAICS OES crosswalk'!A:C, 3, FALSE)</f>
        <v>TBD</v>
      </c>
      <c r="T535" s="186" t="s">
        <v>1254</v>
      </c>
      <c r="U535" t="s">
        <v>688</v>
      </c>
      <c r="V535">
        <v>0.34883506250000001</v>
      </c>
      <c r="X535" t="b">
        <f t="shared" si="10"/>
        <v>0</v>
      </c>
      <c r="Y535" s="186" t="s">
        <v>1402</v>
      </c>
      <c r="Z535" t="s">
        <v>1403</v>
      </c>
    </row>
    <row r="536" spans="1:26" x14ac:dyDescent="0.25">
      <c r="A536">
        <v>2022</v>
      </c>
      <c r="B536" t="s">
        <v>1400</v>
      </c>
      <c r="C536" t="s">
        <v>645</v>
      </c>
      <c r="D536" s="1">
        <v>110000614746</v>
      </c>
      <c r="E536" t="s">
        <v>208</v>
      </c>
      <c r="F536" t="s">
        <v>209</v>
      </c>
      <c r="G536" t="s">
        <v>643</v>
      </c>
      <c r="H536" t="s">
        <v>170</v>
      </c>
      <c r="I536" t="s">
        <v>1405</v>
      </c>
      <c r="J536">
        <v>39.248446999999999</v>
      </c>
      <c r="K536">
        <v>-94.293233000000001</v>
      </c>
      <c r="L536">
        <v>4953</v>
      </c>
      <c r="M536" s="175" t="str">
        <f>VLOOKUP(L536, '2022 SIC to NAICS'!A:D, 2)</f>
        <v>Manufacturing Industries, Nec</v>
      </c>
      <c r="N536" s="184">
        <f>VLOOKUP(L536, '2022 SIC to NAICS'!A:D, 3)</f>
        <v>339999</v>
      </c>
      <c r="O536" s="184" t="str">
        <f>VLOOKUP(L536, '2022 SIC to NAICS'!A:D, 4)</f>
        <v xml:space="preserve">All Other Miscellaneous Manufacturing </v>
      </c>
      <c r="P536" s="185" t="str">
        <f>VLOOKUP(N536, 'NAICS OES crosswalk'!A:C, 3, FALSE)</f>
        <v>TBD</v>
      </c>
      <c r="T536">
        <v>103001010307</v>
      </c>
      <c r="U536" t="s">
        <v>646</v>
      </c>
      <c r="V536">
        <v>1.69847316346E-2</v>
      </c>
      <c r="X536" t="b">
        <f t="shared" si="10"/>
        <v>0</v>
      </c>
      <c r="Y536" s="186" t="s">
        <v>1418</v>
      </c>
      <c r="Z536" t="s">
        <v>1403</v>
      </c>
    </row>
    <row r="537" spans="1:26" x14ac:dyDescent="0.25">
      <c r="A537">
        <v>2022</v>
      </c>
      <c r="B537" t="s">
        <v>1400</v>
      </c>
      <c r="C537" t="s">
        <v>675</v>
      </c>
      <c r="D537" s="1">
        <v>110002043217</v>
      </c>
      <c r="E537" t="s">
        <v>479</v>
      </c>
      <c r="F537" t="s">
        <v>480</v>
      </c>
      <c r="G537" t="s">
        <v>566</v>
      </c>
      <c r="H537" t="s">
        <v>146</v>
      </c>
      <c r="I537" t="s">
        <v>1401</v>
      </c>
      <c r="J537">
        <v>33.147531999999998</v>
      </c>
      <c r="K537">
        <v>-115.54533000000001</v>
      </c>
      <c r="L537">
        <v>4952</v>
      </c>
      <c r="M537" s="175" t="str">
        <f>VLOOKUP(L537, '2022 SIC to NAICS'!A:D, 2)</f>
        <v>Manufacturing Industries, Nec</v>
      </c>
      <c r="N537" s="184">
        <f>VLOOKUP(L537, '2022 SIC to NAICS'!A:D, 3)</f>
        <v>339999</v>
      </c>
      <c r="O537" s="184" t="str">
        <f>VLOOKUP(L537, '2022 SIC to NAICS'!A:D, 4)</f>
        <v xml:space="preserve">All Other Miscellaneous Manufacturing </v>
      </c>
      <c r="P537" s="185" t="str">
        <f>VLOOKUP(N537, 'NAICS OES crosswalk'!A:C, 3, FALSE)</f>
        <v>TBD</v>
      </c>
      <c r="T537">
        <v>181002040707</v>
      </c>
      <c r="U537" t="s">
        <v>676</v>
      </c>
      <c r="V537">
        <v>3.757748E-3</v>
      </c>
      <c r="X537" t="b">
        <f t="shared" si="10"/>
        <v>0</v>
      </c>
      <c r="Y537" s="186" t="s">
        <v>1402</v>
      </c>
      <c r="Z537" t="s">
        <v>1403</v>
      </c>
    </row>
    <row r="538" spans="1:26" x14ac:dyDescent="0.25">
      <c r="A538">
        <v>2022</v>
      </c>
      <c r="B538" t="s">
        <v>1400</v>
      </c>
      <c r="C538" t="s">
        <v>988</v>
      </c>
      <c r="D538" s="1">
        <v>110000747835</v>
      </c>
      <c r="E538" t="s">
        <v>149</v>
      </c>
      <c r="F538" t="s">
        <v>150</v>
      </c>
      <c r="G538" t="s">
        <v>985</v>
      </c>
      <c r="H538" t="s">
        <v>138</v>
      </c>
      <c r="I538" t="s">
        <v>1401</v>
      </c>
      <c r="J538">
        <v>37.8125</v>
      </c>
      <c r="K538">
        <v>-87.05</v>
      </c>
      <c r="L538">
        <v>2821</v>
      </c>
      <c r="M538" s="175" t="str">
        <f>VLOOKUP(L538, '2022 SIC to NAICS'!A:D, 2)</f>
        <v>Platemaking Services</v>
      </c>
      <c r="N538" s="184">
        <f>VLOOKUP(L538, '2022 SIC to NAICS'!A:D, 3)</f>
        <v>323120</v>
      </c>
      <c r="O538" s="184" t="str">
        <f>VLOOKUP(L538, '2022 SIC to NAICS'!A:D, 4)</f>
        <v>Support Activities for Printing</v>
      </c>
      <c r="P538" s="185" t="str">
        <f>VLOOKUP(N538, 'NAICS OES crosswalk'!A:C, 3, FALSE)</f>
        <v>TBD</v>
      </c>
      <c r="T538" s="186" t="s">
        <v>1186</v>
      </c>
      <c r="U538" t="s">
        <v>989</v>
      </c>
      <c r="V538">
        <v>0.89140380299999999</v>
      </c>
      <c r="X538" t="b">
        <f t="shared" si="10"/>
        <v>0</v>
      </c>
      <c r="Y538" s="186" t="s">
        <v>1404</v>
      </c>
      <c r="Z538" t="s">
        <v>1403</v>
      </c>
    </row>
    <row r="539" spans="1:26" x14ac:dyDescent="0.25">
      <c r="A539">
        <v>2022</v>
      </c>
      <c r="B539" t="s">
        <v>1400</v>
      </c>
      <c r="C539" t="s">
        <v>695</v>
      </c>
      <c r="D539" s="1">
        <v>110007970142</v>
      </c>
      <c r="E539" t="s">
        <v>355</v>
      </c>
      <c r="F539" t="s">
        <v>356</v>
      </c>
      <c r="G539" t="s">
        <v>694</v>
      </c>
      <c r="H539" t="s">
        <v>153</v>
      </c>
      <c r="I539" t="s">
        <v>1401</v>
      </c>
      <c r="J539">
        <v>39.698279999999997</v>
      </c>
      <c r="K539">
        <v>-75.503974999999997</v>
      </c>
      <c r="L539">
        <v>2869</v>
      </c>
      <c r="M539" s="175" t="str">
        <f>VLOOKUP(L539, '2022 SIC to NAICS'!A:D, 2)</f>
        <v>Industrial Organic Chemicals, Nec</v>
      </c>
      <c r="N539" s="184">
        <f>VLOOKUP(L539, '2022 SIC to NAICS'!A:D, 3)</f>
        <v>325180</v>
      </c>
      <c r="O539" s="184" t="str">
        <f>VLOOKUP(L539, '2022 SIC to NAICS'!A:D, 4)</f>
        <v xml:space="preserve">Other Basic Inorganic Chemical Manufacturing </v>
      </c>
      <c r="P539" s="185" t="str">
        <f>VLOOKUP(N539, 'NAICS OES crosswalk'!A:C, 3, FALSE)</f>
        <v>Processing as a reactant</v>
      </c>
      <c r="T539" s="186" t="s">
        <v>1250</v>
      </c>
      <c r="U539" t="s">
        <v>696</v>
      </c>
      <c r="V539">
        <v>0.97099999999999997</v>
      </c>
      <c r="X539" t="b">
        <f t="shared" si="10"/>
        <v>0</v>
      </c>
      <c r="Y539">
        <v>662</v>
      </c>
      <c r="Z539" t="s">
        <v>1403</v>
      </c>
    </row>
    <row r="540" spans="1:26" x14ac:dyDescent="0.25">
      <c r="A540">
        <v>2022</v>
      </c>
      <c r="B540" t="s">
        <v>1400</v>
      </c>
      <c r="C540" t="s">
        <v>769</v>
      </c>
      <c r="D540" s="1">
        <v>110000746211</v>
      </c>
      <c r="E540" t="s">
        <v>255</v>
      </c>
      <c r="F540" t="s">
        <v>256</v>
      </c>
      <c r="G540" t="s">
        <v>768</v>
      </c>
      <c r="H540" t="s">
        <v>141</v>
      </c>
      <c r="I540" t="s">
        <v>1401</v>
      </c>
      <c r="J540">
        <v>39.795811999999998</v>
      </c>
      <c r="K540">
        <v>-88.347945999999993</v>
      </c>
      <c r="L540">
        <v>2869</v>
      </c>
      <c r="M540" s="175" t="str">
        <f>VLOOKUP(L540, '2022 SIC to NAICS'!A:D, 2)</f>
        <v>Industrial Organic Chemicals, Nec</v>
      </c>
      <c r="N540" s="184">
        <f>VLOOKUP(L540, '2022 SIC to NAICS'!A:D, 3)</f>
        <v>325180</v>
      </c>
      <c r="O540" s="184" t="str">
        <f>VLOOKUP(L540, '2022 SIC to NAICS'!A:D, 4)</f>
        <v xml:space="preserve">Other Basic Inorganic Chemical Manufacturing </v>
      </c>
      <c r="P540" s="185" t="str">
        <f>VLOOKUP(N540, 'NAICS OES crosswalk'!A:C, 3, FALSE)</f>
        <v>Processing as a reactant</v>
      </c>
      <c r="T540" s="186" t="s">
        <v>1213</v>
      </c>
      <c r="U540" t="s">
        <v>770</v>
      </c>
      <c r="V540">
        <v>4.9631280000000002</v>
      </c>
      <c r="X540" t="b">
        <f t="shared" si="10"/>
        <v>0</v>
      </c>
      <c r="Y540" s="186" t="s">
        <v>1402</v>
      </c>
      <c r="Z540" t="s">
        <v>1403</v>
      </c>
    </row>
    <row r="541" spans="1:26" x14ac:dyDescent="0.25">
      <c r="A541">
        <v>2022</v>
      </c>
      <c r="B541" t="s">
        <v>1400</v>
      </c>
      <c r="C541" t="s">
        <v>937</v>
      </c>
      <c r="D541" s="1">
        <v>110000463677</v>
      </c>
      <c r="E541" t="s">
        <v>502</v>
      </c>
      <c r="F541" t="s">
        <v>372</v>
      </c>
      <c r="G541" t="s">
        <v>638</v>
      </c>
      <c r="H541" t="s">
        <v>114</v>
      </c>
      <c r="I541" t="s">
        <v>1405</v>
      </c>
      <c r="J541">
        <v>29.726065999999999</v>
      </c>
      <c r="K541">
        <v>-95.079583999999997</v>
      </c>
      <c r="L541">
        <v>2821</v>
      </c>
      <c r="M541" s="175" t="str">
        <f>VLOOKUP(L541, '2022 SIC to NAICS'!A:D, 2)</f>
        <v>Platemaking Services</v>
      </c>
      <c r="N541" s="184">
        <f>VLOOKUP(L541, '2022 SIC to NAICS'!A:D, 3)</f>
        <v>323120</v>
      </c>
      <c r="O541" s="184" t="str">
        <f>VLOOKUP(L541, '2022 SIC to NAICS'!A:D, 4)</f>
        <v>Support Activities for Printing</v>
      </c>
      <c r="P541" s="185" t="str">
        <f>VLOOKUP(N541, 'NAICS OES crosswalk'!A:C, 3, FALSE)</f>
        <v>TBD</v>
      </c>
      <c r="T541">
        <v>120401040706</v>
      </c>
      <c r="U541" t="s">
        <v>640</v>
      </c>
      <c r="V541">
        <v>3.9936110000000002E-3</v>
      </c>
      <c r="X541" t="b">
        <f t="shared" si="10"/>
        <v>0</v>
      </c>
      <c r="Y541" s="186" t="s">
        <v>1402</v>
      </c>
    </row>
    <row r="542" spans="1:26" x14ac:dyDescent="0.25">
      <c r="A542">
        <v>2022</v>
      </c>
      <c r="B542" t="s">
        <v>1400</v>
      </c>
      <c r="C542" t="s">
        <v>848</v>
      </c>
      <c r="D542" s="1">
        <v>110000433022</v>
      </c>
      <c r="E542" t="s">
        <v>296</v>
      </c>
      <c r="F542" t="s">
        <v>224</v>
      </c>
      <c r="G542" t="s">
        <v>771</v>
      </c>
      <c r="H542" t="s">
        <v>141</v>
      </c>
      <c r="I542" t="s">
        <v>1405</v>
      </c>
      <c r="J542">
        <v>41.305320000000002</v>
      </c>
      <c r="K542">
        <v>-88.561769999999996</v>
      </c>
      <c r="L542">
        <v>2821</v>
      </c>
      <c r="M542" s="175" t="str">
        <f>VLOOKUP(L542, '2022 SIC to NAICS'!A:D, 2)</f>
        <v>Platemaking Services</v>
      </c>
      <c r="N542" s="184">
        <f>VLOOKUP(L542, '2022 SIC to NAICS'!A:D, 3)</f>
        <v>323120</v>
      </c>
      <c r="O542" s="184" t="str">
        <f>VLOOKUP(L542, '2022 SIC to NAICS'!A:D, 4)</f>
        <v>Support Activities for Printing</v>
      </c>
      <c r="P542" s="185" t="str">
        <f>VLOOKUP(N542, 'NAICS OES crosswalk'!A:C, 3, FALSE)</f>
        <v>TBD</v>
      </c>
      <c r="T542" s="186" t="s">
        <v>1231</v>
      </c>
      <c r="U542" t="s">
        <v>849</v>
      </c>
      <c r="V542">
        <v>0.17283552999999999</v>
      </c>
      <c r="X542" t="b">
        <f t="shared" si="10"/>
        <v>0</v>
      </c>
      <c r="Y542" s="186" t="s">
        <v>1402</v>
      </c>
      <c r="Z542" t="s">
        <v>1403</v>
      </c>
    </row>
    <row r="543" spans="1:26" x14ac:dyDescent="0.25">
      <c r="A543">
        <v>2022</v>
      </c>
      <c r="B543" t="s">
        <v>1400</v>
      </c>
      <c r="C543" t="s">
        <v>940</v>
      </c>
      <c r="D543" s="1">
        <v>110000915984</v>
      </c>
      <c r="E543" t="s">
        <v>503</v>
      </c>
      <c r="F543" t="s">
        <v>504</v>
      </c>
      <c r="G543" t="s">
        <v>938</v>
      </c>
      <c r="H543" t="s">
        <v>452</v>
      </c>
      <c r="I543" t="s">
        <v>1401</v>
      </c>
      <c r="J543">
        <v>35.118552999999999</v>
      </c>
      <c r="K543">
        <v>-81.559533000000002</v>
      </c>
      <c r="L543">
        <v>2261</v>
      </c>
      <c r="M543" s="175" t="str">
        <f>VLOOKUP(L543, '2022 SIC to NAICS'!A:D, 2)</f>
        <v>Finishing Plants, Cotton</v>
      </c>
      <c r="N543" s="184">
        <f>VLOOKUP(L543, '2022 SIC to NAICS'!A:D, 3)</f>
        <v>313310</v>
      </c>
      <c r="O543" s="184" t="str">
        <f>VLOOKUP(L543, '2022 SIC to NAICS'!A:D, 4)</f>
        <v xml:space="preserve">Textile and Fabric Finishing Mills </v>
      </c>
      <c r="P543" s="185" t="str">
        <f>VLOOKUP(N543, 'NAICS OES crosswalk'!A:C, 3, FALSE)</f>
        <v>TBD</v>
      </c>
      <c r="T543" s="186" t="s">
        <v>1288</v>
      </c>
      <c r="U543" t="s">
        <v>941</v>
      </c>
      <c r="V543">
        <v>9.7768899999999999</v>
      </c>
      <c r="X543" t="b">
        <f t="shared" si="10"/>
        <v>0</v>
      </c>
      <c r="Y543" t="s">
        <v>1471</v>
      </c>
      <c r="Z543" t="s">
        <v>1403</v>
      </c>
    </row>
    <row r="544" spans="1:26" x14ac:dyDescent="0.25">
      <c r="A544">
        <v>2022</v>
      </c>
      <c r="B544" t="s">
        <v>1400</v>
      </c>
      <c r="C544" t="s">
        <v>1078</v>
      </c>
      <c r="D544" s="1">
        <v>110000572782</v>
      </c>
      <c r="E544" t="s">
        <v>163</v>
      </c>
      <c r="F544" t="s">
        <v>164</v>
      </c>
      <c r="G544" t="s">
        <v>1077</v>
      </c>
      <c r="H544" t="s">
        <v>135</v>
      </c>
      <c r="I544" t="s">
        <v>1401</v>
      </c>
      <c r="J544">
        <v>39.599829999999997</v>
      </c>
      <c r="K544">
        <v>-79.97148</v>
      </c>
      <c r="L544">
        <v>2869</v>
      </c>
      <c r="M544" s="175" t="str">
        <f>VLOOKUP(L544, '2022 SIC to NAICS'!A:D, 2)</f>
        <v>Industrial Organic Chemicals, Nec</v>
      </c>
      <c r="N544" s="184">
        <f>VLOOKUP(L544, '2022 SIC to NAICS'!A:D, 3)</f>
        <v>325180</v>
      </c>
      <c r="O544" s="184" t="str">
        <f>VLOOKUP(L544, '2022 SIC to NAICS'!A:D, 4)</f>
        <v xml:space="preserve">Other Basic Inorganic Chemical Manufacturing </v>
      </c>
      <c r="P544" s="185" t="str">
        <f>VLOOKUP(N544, 'NAICS OES crosswalk'!A:C, 3, FALSE)</f>
        <v>Processing as a reactant</v>
      </c>
      <c r="T544" s="186" t="s">
        <v>1190</v>
      </c>
      <c r="U544" t="s">
        <v>1079</v>
      </c>
      <c r="V544">
        <v>0.10296719999999999</v>
      </c>
      <c r="X544" t="b">
        <f t="shared" si="10"/>
        <v>0</v>
      </c>
      <c r="Y544">
        <v>101</v>
      </c>
    </row>
    <row r="545" spans="1:26" x14ac:dyDescent="0.25">
      <c r="A545">
        <v>2022</v>
      </c>
      <c r="B545" t="s">
        <v>1400</v>
      </c>
      <c r="C545" t="s">
        <v>821</v>
      </c>
      <c r="D545" s="1">
        <v>110064624018</v>
      </c>
      <c r="E545" t="s">
        <v>445</v>
      </c>
      <c r="F545" t="s">
        <v>446</v>
      </c>
      <c r="G545" t="s">
        <v>446</v>
      </c>
      <c r="H545" t="s">
        <v>146</v>
      </c>
      <c r="I545" t="s">
        <v>1401</v>
      </c>
      <c r="J545">
        <v>33.990146000000003</v>
      </c>
      <c r="K545">
        <v>-118.36358</v>
      </c>
      <c r="L545">
        <v>2911</v>
      </c>
      <c r="M545" s="175" t="str">
        <f>VLOOKUP(L545, '2022 SIC to NAICS'!A:D, 2)</f>
        <v>Explosives</v>
      </c>
      <c r="N545" s="184">
        <f>VLOOKUP(L545, '2022 SIC to NAICS'!A:D, 3)</f>
        <v>325920</v>
      </c>
      <c r="O545" s="184" t="str">
        <f>VLOOKUP(L545, '2022 SIC to NAICS'!A:D, 4)</f>
        <v>Explosives Manufacturing</v>
      </c>
      <c r="P545" s="185" t="str">
        <f>VLOOKUP(N545, 'NAICS OES crosswalk'!A:C, 3, FALSE)</f>
        <v>TBD</v>
      </c>
      <c r="T545">
        <v>180701040300</v>
      </c>
      <c r="U545" t="s">
        <v>822</v>
      </c>
      <c r="V545">
        <v>0.41169444999999999</v>
      </c>
      <c r="X545" t="b">
        <f t="shared" si="10"/>
        <v>0</v>
      </c>
      <c r="Y545" s="186" t="s">
        <v>1404</v>
      </c>
      <c r="Z545" t="s">
        <v>1403</v>
      </c>
    </row>
    <row r="546" spans="1:26" x14ac:dyDescent="0.25">
      <c r="A546">
        <v>2022</v>
      </c>
      <c r="B546" t="s">
        <v>1400</v>
      </c>
      <c r="C546" t="s">
        <v>1452</v>
      </c>
      <c r="D546" s="1">
        <v>110059861065</v>
      </c>
      <c r="E546" t="s">
        <v>1453</v>
      </c>
      <c r="F546" t="s">
        <v>157</v>
      </c>
      <c r="G546" t="s">
        <v>554</v>
      </c>
      <c r="H546" t="s">
        <v>158</v>
      </c>
      <c r="I546" t="s">
        <v>1405</v>
      </c>
      <c r="J546">
        <v>36.108890000000002</v>
      </c>
      <c r="K546">
        <v>-115.18118</v>
      </c>
      <c r="L546">
        <v>6531</v>
      </c>
      <c r="M546" s="175" t="str">
        <f>VLOOKUP(L546, '2022 SIC to NAICS'!A:D, 2)</f>
        <v>Communication Services, Nec</v>
      </c>
      <c r="N546" s="184">
        <f>VLOOKUP(L546, '2022 SIC to NAICS'!A:D, 3)</f>
        <v>517810</v>
      </c>
      <c r="O546" s="184" t="str">
        <f>VLOOKUP(L546, '2022 SIC to NAICS'!A:D, 4)</f>
        <v xml:space="preserve">All Other Telecommunications </v>
      </c>
      <c r="P546" s="185" t="str">
        <f>VLOOKUP(N546, 'NAICS OES crosswalk'!A:C, 3, FALSE)</f>
        <v>TBD</v>
      </c>
      <c r="T546">
        <v>150100150505</v>
      </c>
      <c r="U546" t="s">
        <v>557</v>
      </c>
      <c r="V546">
        <v>3.2673066250000002E-4</v>
      </c>
      <c r="X546" t="b">
        <f t="shared" si="10"/>
        <v>1</v>
      </c>
      <c r="Y546" s="186" t="s">
        <v>1402</v>
      </c>
      <c r="Z546" t="s">
        <v>1403</v>
      </c>
    </row>
    <row r="547" spans="1:26" x14ac:dyDescent="0.25">
      <c r="A547">
        <v>2022</v>
      </c>
      <c r="B547" t="s">
        <v>1400</v>
      </c>
      <c r="C547" t="s">
        <v>977</v>
      </c>
      <c r="D547" s="1">
        <v>110064644782</v>
      </c>
      <c r="E547" t="s">
        <v>471</v>
      </c>
      <c r="F547" t="s">
        <v>472</v>
      </c>
      <c r="G547" t="s">
        <v>975</v>
      </c>
      <c r="H547" t="s">
        <v>106</v>
      </c>
      <c r="I547" t="s">
        <v>1401</v>
      </c>
      <c r="J547">
        <v>30.584540000000001</v>
      </c>
      <c r="K547">
        <v>-91.247479999999996</v>
      </c>
      <c r="L547">
        <v>4953</v>
      </c>
      <c r="M547" s="175" t="str">
        <f>VLOOKUP(L547, '2022 SIC to NAICS'!A:D, 2)</f>
        <v>Manufacturing Industries, Nec</v>
      </c>
      <c r="N547" s="184">
        <f>VLOOKUP(L547, '2022 SIC to NAICS'!A:D, 3)</f>
        <v>339999</v>
      </c>
      <c r="O547" s="184" t="str">
        <f>VLOOKUP(L547, '2022 SIC to NAICS'!A:D, 4)</f>
        <v xml:space="preserve">All Other Miscellaneous Manufacturing </v>
      </c>
      <c r="P547" s="185" t="str">
        <f>VLOOKUP(N547, 'NAICS OES crosswalk'!A:C, 3, FALSE)</f>
        <v>TBD</v>
      </c>
      <c r="T547" s="186" t="s">
        <v>1282</v>
      </c>
      <c r="U547" t="s">
        <v>978</v>
      </c>
      <c r="V547">
        <v>0.99645802500000002</v>
      </c>
      <c r="X547" t="b">
        <f t="shared" si="10"/>
        <v>0</v>
      </c>
      <c r="Y547" s="186" t="s">
        <v>1427</v>
      </c>
      <c r="Z547" t="s">
        <v>1403</v>
      </c>
    </row>
    <row r="548" spans="1:26" x14ac:dyDescent="0.25">
      <c r="A548">
        <v>2022</v>
      </c>
      <c r="B548" t="s">
        <v>1400</v>
      </c>
      <c r="C548" t="s">
        <v>569</v>
      </c>
      <c r="D548" s="1">
        <v>110002672484</v>
      </c>
      <c r="E548" t="s">
        <v>189</v>
      </c>
      <c r="F548" t="s">
        <v>190</v>
      </c>
      <c r="G548" t="s">
        <v>566</v>
      </c>
      <c r="H548" t="s">
        <v>146</v>
      </c>
      <c r="I548" t="s">
        <v>1405</v>
      </c>
      <c r="J548">
        <v>32.803809999999999</v>
      </c>
      <c r="K548">
        <v>-115.53973999999999</v>
      </c>
      <c r="L548" s="186" t="s">
        <v>567</v>
      </c>
      <c r="M548" s="175" t="str">
        <f>VLOOKUP(L548, '2022 SIC to NAICS'!A:D, 2)</f>
        <v>Fish Hatcheries and Preserves</v>
      </c>
      <c r="N548" s="184">
        <f>VLOOKUP(L548, '2022 SIC to NAICS'!A:D, 3)</f>
        <v>112511</v>
      </c>
      <c r="O548" s="184" t="str">
        <f>VLOOKUP(L548, '2022 SIC to NAICS'!A:D, 4)</f>
        <v xml:space="preserve">Finfish Farming and Fish Hatcheries </v>
      </c>
      <c r="P548" s="185" t="str">
        <f>VLOOKUP(N548, 'NAICS OES crosswalk'!A:C, 3, FALSE)</f>
        <v>TBD</v>
      </c>
      <c r="T548">
        <v>181002040701</v>
      </c>
      <c r="U548" t="s">
        <v>570</v>
      </c>
      <c r="V548">
        <v>3.0393549999999998E-2</v>
      </c>
      <c r="X548" t="b">
        <f t="shared" si="10"/>
        <v>0</v>
      </c>
      <c r="Y548" s="186" t="s">
        <v>1402</v>
      </c>
    </row>
    <row r="549" spans="1:26" x14ac:dyDescent="0.25">
      <c r="A549">
        <v>2022</v>
      </c>
      <c r="B549" t="s">
        <v>1400</v>
      </c>
      <c r="C549" t="s">
        <v>936</v>
      </c>
      <c r="D549" s="1">
        <v>110070162955</v>
      </c>
      <c r="E549" t="s">
        <v>505</v>
      </c>
      <c r="F549" t="s">
        <v>498</v>
      </c>
      <c r="G549" t="s">
        <v>498</v>
      </c>
      <c r="H549" t="s">
        <v>218</v>
      </c>
      <c r="I549" t="s">
        <v>1405</v>
      </c>
      <c r="J549">
        <v>39.781474000000003</v>
      </c>
      <c r="K549">
        <v>-104.97438</v>
      </c>
      <c r="L549">
        <v>1629</v>
      </c>
      <c r="M549" s="175" t="str">
        <f>VLOOKUP(L549, '2022 SIC to NAICS'!A:D, 2)</f>
        <v>Heavy Construction, Nec</v>
      </c>
      <c r="N549" s="184">
        <f>VLOOKUP(L549, '2022 SIC to NAICS'!A:D, 3)</f>
        <v>237990</v>
      </c>
      <c r="O549" s="184" t="str">
        <f>VLOOKUP(L549, '2022 SIC to NAICS'!A:D, 4)</f>
        <v xml:space="preserve">Other Heavy and Civil Engineering Construction </v>
      </c>
      <c r="P549" s="185" t="str">
        <f>VLOOKUP(N549, 'NAICS OES crosswalk'!A:C, 3, FALSE)</f>
        <v>TBD</v>
      </c>
      <c r="T549">
        <v>101900030304</v>
      </c>
      <c r="U549" t="s">
        <v>934</v>
      </c>
      <c r="V549">
        <v>7.8992950000000006E-3</v>
      </c>
      <c r="X549" t="b">
        <f t="shared" si="10"/>
        <v>0</v>
      </c>
      <c r="Y549" s="186" t="s">
        <v>1402</v>
      </c>
      <c r="Z549" t="s">
        <v>1403</v>
      </c>
    </row>
    <row r="550" spans="1:26" x14ac:dyDescent="0.25">
      <c r="A550">
        <v>2022</v>
      </c>
      <c r="B550" t="s">
        <v>1400</v>
      </c>
      <c r="C550" t="s">
        <v>1131</v>
      </c>
      <c r="D550" s="1">
        <v>110010731262</v>
      </c>
      <c r="E550" t="s">
        <v>423</v>
      </c>
      <c r="F550" t="s">
        <v>424</v>
      </c>
      <c r="G550" t="s">
        <v>752</v>
      </c>
      <c r="H550" t="s">
        <v>186</v>
      </c>
      <c r="I550" t="s">
        <v>1401</v>
      </c>
      <c r="J550">
        <v>22.079093</v>
      </c>
      <c r="K550">
        <v>-159.35138900000001</v>
      </c>
      <c r="L550">
        <v>4952</v>
      </c>
      <c r="M550" s="175" t="str">
        <f>VLOOKUP(L550, '2022 SIC to NAICS'!A:D, 2)</f>
        <v>Manufacturing Industries, Nec</v>
      </c>
      <c r="N550" s="184">
        <f>VLOOKUP(L550, '2022 SIC to NAICS'!A:D, 3)</f>
        <v>339999</v>
      </c>
      <c r="O550" s="184" t="str">
        <f>VLOOKUP(L550, '2022 SIC to NAICS'!A:D, 4)</f>
        <v xml:space="preserve">All Other Miscellaneous Manufacturing </v>
      </c>
      <c r="P550" s="185" t="str">
        <f>VLOOKUP(N550, 'NAICS OES crosswalk'!A:C, 3, FALSE)</f>
        <v>TBD</v>
      </c>
      <c r="T550">
        <v>200700000202</v>
      </c>
      <c r="U550" t="s">
        <v>1132</v>
      </c>
      <c r="V550">
        <v>0.21862633125</v>
      </c>
      <c r="X550" t="b">
        <f t="shared" si="10"/>
        <v>0</v>
      </c>
      <c r="Y550" s="186" t="s">
        <v>1402</v>
      </c>
      <c r="Z550" t="s">
        <v>1403</v>
      </c>
    </row>
    <row r="551" spans="1:26" x14ac:dyDescent="0.25">
      <c r="A551">
        <v>2022</v>
      </c>
      <c r="B551" t="s">
        <v>1400</v>
      </c>
      <c r="C551" t="s">
        <v>1117</v>
      </c>
      <c r="D551" s="1">
        <v>110004306938</v>
      </c>
      <c r="E551" t="s">
        <v>156</v>
      </c>
      <c r="F551" t="s">
        <v>157</v>
      </c>
      <c r="G551" t="s">
        <v>575</v>
      </c>
      <c r="H551" t="s">
        <v>158</v>
      </c>
      <c r="I551" t="s">
        <v>1405</v>
      </c>
      <c r="J551">
        <v>36.122100000000003</v>
      </c>
      <c r="K551">
        <v>-115.17139</v>
      </c>
      <c r="L551">
        <v>7011</v>
      </c>
      <c r="M551" s="175" t="str">
        <f>VLOOKUP(L551, '2022 SIC to NAICS'!A:D, 2)</f>
        <v>Communication Services, Nec</v>
      </c>
      <c r="N551" s="184">
        <f>VLOOKUP(L551, '2022 SIC to NAICS'!A:D, 3)</f>
        <v>517810</v>
      </c>
      <c r="O551" s="184" t="str">
        <f>VLOOKUP(L551, '2022 SIC to NAICS'!A:D, 4)</f>
        <v xml:space="preserve">All Other Telecommunications </v>
      </c>
      <c r="P551" s="185" t="str">
        <f>VLOOKUP(N551, 'NAICS OES crosswalk'!A:C, 3, FALSE)</f>
        <v>TBD</v>
      </c>
      <c r="T551">
        <v>150100150604</v>
      </c>
      <c r="U551" t="s">
        <v>578</v>
      </c>
      <c r="V551">
        <v>5.6642525000000004E-4</v>
      </c>
      <c r="X551" t="b">
        <f t="shared" si="10"/>
        <v>1</v>
      </c>
      <c r="Y551" s="186" t="s">
        <v>1406</v>
      </c>
      <c r="Z551" t="s">
        <v>1403</v>
      </c>
    </row>
    <row r="552" spans="1:26" x14ac:dyDescent="0.25">
      <c r="A552">
        <v>2022</v>
      </c>
      <c r="B552" t="s">
        <v>1400</v>
      </c>
      <c r="C552" t="s">
        <v>1043</v>
      </c>
      <c r="D552" s="1">
        <v>110000736730</v>
      </c>
      <c r="E552" t="s">
        <v>242</v>
      </c>
      <c r="F552" t="s">
        <v>243</v>
      </c>
      <c r="G552" t="s">
        <v>589</v>
      </c>
      <c r="H552" t="s">
        <v>138</v>
      </c>
      <c r="I552" t="s">
        <v>1401</v>
      </c>
      <c r="J552">
        <v>36.856732000000001</v>
      </c>
      <c r="K552">
        <v>-86.889048000000003</v>
      </c>
      <c r="L552">
        <v>4952</v>
      </c>
      <c r="M552" s="175" t="str">
        <f>VLOOKUP(L552, '2022 SIC to NAICS'!A:D, 2)</f>
        <v>Manufacturing Industries, Nec</v>
      </c>
      <c r="N552" s="184">
        <f>VLOOKUP(L552, '2022 SIC to NAICS'!A:D, 3)</f>
        <v>339999</v>
      </c>
      <c r="O552" s="184" t="str">
        <f>VLOOKUP(L552, '2022 SIC to NAICS'!A:D, 4)</f>
        <v xml:space="preserve">All Other Miscellaneous Manufacturing </v>
      </c>
      <c r="P552" s="185" t="str">
        <f>VLOOKUP(N552, 'NAICS OES crosswalk'!A:C, 3, FALSE)</f>
        <v>TBD</v>
      </c>
      <c r="T552" s="186" t="s">
        <v>1207</v>
      </c>
      <c r="U552" t="s">
        <v>1044</v>
      </c>
      <c r="V552">
        <v>3.8199166250000001E-3</v>
      </c>
      <c r="X552" t="b">
        <f t="shared" si="10"/>
        <v>0</v>
      </c>
      <c r="Y552" s="186" t="s">
        <v>1402</v>
      </c>
      <c r="Z552" t="s">
        <v>1403</v>
      </c>
    </row>
    <row r="553" spans="1:26" x14ac:dyDescent="0.25">
      <c r="A553">
        <v>2022</v>
      </c>
      <c r="B553" t="s">
        <v>1400</v>
      </c>
      <c r="C553" t="s">
        <v>1452</v>
      </c>
      <c r="D553" s="1">
        <v>110059861065</v>
      </c>
      <c r="E553" t="s">
        <v>1453</v>
      </c>
      <c r="F553" t="s">
        <v>157</v>
      </c>
      <c r="G553" t="s">
        <v>554</v>
      </c>
      <c r="H553" t="s">
        <v>158</v>
      </c>
      <c r="I553" t="s">
        <v>1405</v>
      </c>
      <c r="J553">
        <v>36.108890000000002</v>
      </c>
      <c r="K553">
        <v>-115.18118</v>
      </c>
      <c r="L553">
        <v>6531</v>
      </c>
      <c r="M553" s="175" t="str">
        <f>VLOOKUP(L553, '2022 SIC to NAICS'!A:D, 2)</f>
        <v>Communication Services, Nec</v>
      </c>
      <c r="N553" s="184">
        <f>VLOOKUP(L553, '2022 SIC to NAICS'!A:D, 3)</f>
        <v>517810</v>
      </c>
      <c r="O553" s="184" t="str">
        <f>VLOOKUP(L553, '2022 SIC to NAICS'!A:D, 4)</f>
        <v xml:space="preserve">All Other Telecommunications </v>
      </c>
      <c r="P553" s="185" t="str">
        <f>VLOOKUP(N553, 'NAICS OES crosswalk'!A:C, 3, FALSE)</f>
        <v>TBD</v>
      </c>
      <c r="T553">
        <v>150100150505</v>
      </c>
      <c r="U553" t="s">
        <v>557</v>
      </c>
      <c r="V553">
        <v>6.8661792500000003E-4</v>
      </c>
      <c r="X553" t="b">
        <f t="shared" si="10"/>
        <v>1</v>
      </c>
      <c r="Y553" s="186" t="s">
        <v>1404</v>
      </c>
      <c r="Z553" t="s">
        <v>1403</v>
      </c>
    </row>
    <row r="554" spans="1:26" x14ac:dyDescent="0.25">
      <c r="A554">
        <v>2022</v>
      </c>
      <c r="B554" t="s">
        <v>1400</v>
      </c>
      <c r="C554" t="s">
        <v>966</v>
      </c>
      <c r="D554" s="1">
        <v>110056961480</v>
      </c>
      <c r="E554" t="s">
        <v>506</v>
      </c>
      <c r="F554" t="s">
        <v>507</v>
      </c>
      <c r="G554" t="s">
        <v>965</v>
      </c>
      <c r="H554" t="s">
        <v>114</v>
      </c>
      <c r="I554" t="s">
        <v>1401</v>
      </c>
      <c r="J554">
        <v>29.857654</v>
      </c>
      <c r="K554">
        <v>-94.910674</v>
      </c>
      <c r="L554">
        <v>2869</v>
      </c>
      <c r="M554" s="175" t="str">
        <f>VLOOKUP(L554, '2022 SIC to NAICS'!A:D, 2)</f>
        <v>Industrial Organic Chemicals, Nec</v>
      </c>
      <c r="N554" s="184">
        <f>VLOOKUP(L554, '2022 SIC to NAICS'!A:D, 3)</f>
        <v>325180</v>
      </c>
      <c r="O554" s="184" t="str">
        <f>VLOOKUP(L554, '2022 SIC to NAICS'!A:D, 4)</f>
        <v xml:space="preserve">Other Basic Inorganic Chemical Manufacturing </v>
      </c>
      <c r="P554" s="185" t="str">
        <f>VLOOKUP(N554, 'NAICS OES crosswalk'!A:C, 3, FALSE)</f>
        <v>Processing as a reactant</v>
      </c>
      <c r="T554">
        <v>120402030105</v>
      </c>
      <c r="U554" t="s">
        <v>967</v>
      </c>
      <c r="V554">
        <v>0.16571</v>
      </c>
      <c r="X554" t="b">
        <f t="shared" si="10"/>
        <v>0</v>
      </c>
      <c r="Y554" s="186" t="s">
        <v>1402</v>
      </c>
    </row>
    <row r="555" spans="1:26" x14ac:dyDescent="0.25">
      <c r="A555">
        <v>2022</v>
      </c>
      <c r="B555" t="s">
        <v>1400</v>
      </c>
      <c r="C555" t="s">
        <v>1063</v>
      </c>
      <c r="D555" s="1">
        <v>110064786085</v>
      </c>
      <c r="E555" t="s">
        <v>330</v>
      </c>
      <c r="F555" t="s">
        <v>331</v>
      </c>
      <c r="G555" t="s">
        <v>1061</v>
      </c>
      <c r="H555" t="s">
        <v>250</v>
      </c>
      <c r="I555" t="s">
        <v>1405</v>
      </c>
      <c r="J555">
        <v>44.700833000000003</v>
      </c>
      <c r="K555">
        <v>-73.591667000000001</v>
      </c>
      <c r="L555">
        <v>9511</v>
      </c>
      <c r="M555" s="175" t="str">
        <f>VLOOKUP(L555, '2022 SIC to NAICS'!A:D, 2)</f>
        <v>Air, Water, and Solid Waste Management</v>
      </c>
      <c r="N555" s="184">
        <f>VLOOKUP(L555, '2022 SIC to NAICS'!A:D, 3)</f>
        <v>924110</v>
      </c>
      <c r="O555" s="184" t="str">
        <f>VLOOKUP(L555, '2022 SIC to NAICS'!A:D, 4)</f>
        <v xml:space="preserve">Administration of Air and Water Resource and Solid Waste Management Programs </v>
      </c>
      <c r="P555" s="185" t="str">
        <f>VLOOKUP(N555, 'NAICS OES crosswalk'!A:C, 3, FALSE)</f>
        <v>TBD</v>
      </c>
      <c r="T555" s="186" t="s">
        <v>1243</v>
      </c>
      <c r="U555" t="s">
        <v>1064</v>
      </c>
      <c r="V555">
        <v>6.2349377674999998E-2</v>
      </c>
      <c r="X555" t="b">
        <f t="shared" si="10"/>
        <v>0</v>
      </c>
      <c r="Y555" s="186" t="s">
        <v>1402</v>
      </c>
      <c r="Z555" t="s">
        <v>1403</v>
      </c>
    </row>
    <row r="556" spans="1:26" x14ac:dyDescent="0.25">
      <c r="A556">
        <v>2022</v>
      </c>
      <c r="B556" t="s">
        <v>1400</v>
      </c>
      <c r="C556" t="s">
        <v>942</v>
      </c>
      <c r="D556" s="1">
        <v>110000460983</v>
      </c>
      <c r="E556" t="s">
        <v>418</v>
      </c>
      <c r="F556" t="s">
        <v>313</v>
      </c>
      <c r="G556" t="s">
        <v>904</v>
      </c>
      <c r="H556" t="s">
        <v>114</v>
      </c>
      <c r="I556" t="s">
        <v>1405</v>
      </c>
      <c r="J556">
        <v>29.75487</v>
      </c>
      <c r="K556">
        <v>-95.103269999999995</v>
      </c>
      <c r="L556">
        <v>2869</v>
      </c>
      <c r="M556" s="175" t="str">
        <f>VLOOKUP(L556, '2022 SIC to NAICS'!A:D, 2)</f>
        <v>Industrial Organic Chemicals, Nec</v>
      </c>
      <c r="N556" s="184">
        <f>VLOOKUP(L556, '2022 SIC to NAICS'!A:D, 3)</f>
        <v>325180</v>
      </c>
      <c r="O556" s="184" t="str">
        <f>VLOOKUP(L556, '2022 SIC to NAICS'!A:D, 4)</f>
        <v xml:space="preserve">Other Basic Inorganic Chemical Manufacturing </v>
      </c>
      <c r="P556" s="185" t="str">
        <f>VLOOKUP(N556, 'NAICS OES crosswalk'!A:C, 3, FALSE)</f>
        <v>Processing as a reactant</v>
      </c>
      <c r="T556">
        <v>120401040702</v>
      </c>
      <c r="U556" t="s">
        <v>943</v>
      </c>
      <c r="V556">
        <v>0.16571</v>
      </c>
      <c r="X556" t="b">
        <f t="shared" si="10"/>
        <v>0</v>
      </c>
      <c r="Y556" s="186" t="s">
        <v>1402</v>
      </c>
      <c r="Z556" t="s">
        <v>1403</v>
      </c>
    </row>
    <row r="557" spans="1:26" x14ac:dyDescent="0.25">
      <c r="A557">
        <v>2022</v>
      </c>
      <c r="B557" t="s">
        <v>1400</v>
      </c>
      <c r="C557" t="s">
        <v>625</v>
      </c>
      <c r="D557" s="1">
        <v>110000597355</v>
      </c>
      <c r="E557" t="s">
        <v>180</v>
      </c>
      <c r="F557" t="s">
        <v>181</v>
      </c>
      <c r="G557" t="s">
        <v>623</v>
      </c>
      <c r="H557" t="s">
        <v>106</v>
      </c>
      <c r="I557" t="s">
        <v>1405</v>
      </c>
      <c r="J557">
        <v>30.486767</v>
      </c>
      <c r="K557">
        <v>-90.925479999999993</v>
      </c>
      <c r="L557">
        <v>2899</v>
      </c>
      <c r="M557" s="175" t="str">
        <f>VLOOKUP(L557, '2022 SIC to NAICS'!A:D, 2)</f>
        <v>Explosives</v>
      </c>
      <c r="N557" s="184">
        <f>VLOOKUP(L557, '2022 SIC to NAICS'!A:D, 3)</f>
        <v>325920</v>
      </c>
      <c r="O557" s="184" t="str">
        <f>VLOOKUP(L557, '2022 SIC to NAICS'!A:D, 4)</f>
        <v>Explosives Manufacturing</v>
      </c>
      <c r="P557" s="185" t="str">
        <f>VLOOKUP(N557, 'NAICS OES crosswalk'!A:C, 3, FALSE)</f>
        <v>TBD</v>
      </c>
      <c r="T557" s="186" t="s">
        <v>1193</v>
      </c>
      <c r="U557" t="s">
        <v>626</v>
      </c>
      <c r="V557">
        <v>2.4856500000000002E-4</v>
      </c>
      <c r="X557" t="b">
        <f t="shared" si="10"/>
        <v>1</v>
      </c>
      <c r="Y557" s="186" t="s">
        <v>1418</v>
      </c>
      <c r="Z557" t="s">
        <v>1403</v>
      </c>
    </row>
    <row r="558" spans="1:26" x14ac:dyDescent="0.25">
      <c r="A558">
        <v>2022</v>
      </c>
      <c r="B558" t="s">
        <v>1400</v>
      </c>
      <c r="C558" t="s">
        <v>678</v>
      </c>
      <c r="D558" s="1">
        <v>110054612558</v>
      </c>
      <c r="E558" t="s">
        <v>340</v>
      </c>
      <c r="F558" t="s">
        <v>341</v>
      </c>
      <c r="G558" t="s">
        <v>677</v>
      </c>
      <c r="H558" t="s">
        <v>170</v>
      </c>
      <c r="I558" t="s">
        <v>1401</v>
      </c>
      <c r="J558">
        <v>39.423425000000002</v>
      </c>
      <c r="K558">
        <v>-91.025666000000001</v>
      </c>
      <c r="L558">
        <v>2869</v>
      </c>
      <c r="M558" s="175" t="str">
        <f>VLOOKUP(L558, '2022 SIC to NAICS'!A:D, 2)</f>
        <v>Industrial Organic Chemicals, Nec</v>
      </c>
      <c r="N558" s="184">
        <f>VLOOKUP(L558, '2022 SIC to NAICS'!A:D, 3)</f>
        <v>325180</v>
      </c>
      <c r="O558" s="184" t="str">
        <f>VLOOKUP(L558, '2022 SIC to NAICS'!A:D, 4)</f>
        <v xml:space="preserve">Other Basic Inorganic Chemical Manufacturing </v>
      </c>
      <c r="P558" s="185" t="str">
        <f>VLOOKUP(N558, 'NAICS OES crosswalk'!A:C, 3, FALSE)</f>
        <v>Processing as a reactant</v>
      </c>
      <c r="T558" s="186" t="s">
        <v>1245</v>
      </c>
      <c r="U558" t="s">
        <v>679</v>
      </c>
      <c r="V558">
        <v>2.8978819999999999E-2</v>
      </c>
      <c r="X558" t="b">
        <f t="shared" si="10"/>
        <v>0</v>
      </c>
      <c r="Y558" s="186" t="s">
        <v>1404</v>
      </c>
      <c r="Z558" t="s">
        <v>1403</v>
      </c>
    </row>
    <row r="559" spans="1:26" x14ac:dyDescent="0.25">
      <c r="A559">
        <v>2022</v>
      </c>
      <c r="B559" t="s">
        <v>1400</v>
      </c>
      <c r="C559" t="s">
        <v>986</v>
      </c>
      <c r="D559" s="1">
        <v>110043734983</v>
      </c>
      <c r="E559" t="s">
        <v>286</v>
      </c>
      <c r="F559" t="s">
        <v>150</v>
      </c>
      <c r="G559" t="s">
        <v>985</v>
      </c>
      <c r="H559" t="s">
        <v>138</v>
      </c>
      <c r="I559" t="s">
        <v>1401</v>
      </c>
      <c r="J559">
        <v>37.770769999999999</v>
      </c>
      <c r="K559">
        <v>-87.065669999999997</v>
      </c>
      <c r="L559">
        <v>4952</v>
      </c>
      <c r="M559" s="175" t="str">
        <f>VLOOKUP(L559, '2022 SIC to NAICS'!A:D, 2)</f>
        <v>Manufacturing Industries, Nec</v>
      </c>
      <c r="N559" s="184">
        <f>VLOOKUP(L559, '2022 SIC to NAICS'!A:D, 3)</f>
        <v>339999</v>
      </c>
      <c r="O559" s="184" t="str">
        <f>VLOOKUP(L559, '2022 SIC to NAICS'!A:D, 4)</f>
        <v xml:space="preserve">All Other Miscellaneous Manufacturing </v>
      </c>
      <c r="P559" s="185" t="str">
        <f>VLOOKUP(N559, 'NAICS OES crosswalk'!A:C, 3, FALSE)</f>
        <v>TBD</v>
      </c>
      <c r="T559" s="186" t="s">
        <v>1226</v>
      </c>
      <c r="U559" t="s">
        <v>987</v>
      </c>
      <c r="V559">
        <v>0.46723175500000003</v>
      </c>
      <c r="X559" t="b">
        <f t="shared" si="10"/>
        <v>0</v>
      </c>
      <c r="Y559" s="186" t="s">
        <v>1402</v>
      </c>
      <c r="Z559" t="s">
        <v>1403</v>
      </c>
    </row>
    <row r="560" spans="1:26" x14ac:dyDescent="0.25">
      <c r="A560">
        <v>2022</v>
      </c>
      <c r="B560" t="s">
        <v>1400</v>
      </c>
      <c r="C560" t="s">
        <v>924</v>
      </c>
      <c r="D560" s="1">
        <v>110002041380</v>
      </c>
      <c r="E560" t="s">
        <v>433</v>
      </c>
      <c r="F560" t="s">
        <v>434</v>
      </c>
      <c r="G560" t="s">
        <v>923</v>
      </c>
      <c r="H560" t="s">
        <v>138</v>
      </c>
      <c r="I560" t="s">
        <v>1401</v>
      </c>
      <c r="J560">
        <v>37.318492999999997</v>
      </c>
      <c r="K560">
        <v>-87.549857000000003</v>
      </c>
      <c r="L560">
        <v>4952</v>
      </c>
      <c r="M560" s="175" t="str">
        <f>VLOOKUP(L560, '2022 SIC to NAICS'!A:D, 2)</f>
        <v>Manufacturing Industries, Nec</v>
      </c>
      <c r="N560" s="184">
        <f>VLOOKUP(L560, '2022 SIC to NAICS'!A:D, 3)</f>
        <v>339999</v>
      </c>
      <c r="O560" s="184" t="str">
        <f>VLOOKUP(L560, '2022 SIC to NAICS'!A:D, 4)</f>
        <v xml:space="preserve">All Other Miscellaneous Manufacturing </v>
      </c>
      <c r="P560" s="185" t="str">
        <f>VLOOKUP(N560, 'NAICS OES crosswalk'!A:C, 3, FALSE)</f>
        <v>TBD</v>
      </c>
      <c r="T560" s="186" t="s">
        <v>1272</v>
      </c>
      <c r="U560" t="s">
        <v>925</v>
      </c>
      <c r="V560">
        <v>6.4088944750000003</v>
      </c>
      <c r="X560" t="b">
        <f t="shared" si="10"/>
        <v>0</v>
      </c>
      <c r="Y560" s="186" t="s">
        <v>1402</v>
      </c>
      <c r="Z560" t="s">
        <v>1403</v>
      </c>
    </row>
    <row r="561" spans="1:26" x14ac:dyDescent="0.25">
      <c r="A561">
        <v>2022</v>
      </c>
      <c r="B561" t="s">
        <v>1400</v>
      </c>
      <c r="C561" t="s">
        <v>991</v>
      </c>
      <c r="D561" s="1">
        <v>110006367136</v>
      </c>
      <c r="E561" t="s">
        <v>387</v>
      </c>
      <c r="F561" t="s">
        <v>388</v>
      </c>
      <c r="G561" t="s">
        <v>990</v>
      </c>
      <c r="H561" t="s">
        <v>138</v>
      </c>
      <c r="I561" t="s">
        <v>1401</v>
      </c>
      <c r="J561">
        <v>37.021974</v>
      </c>
      <c r="K561">
        <v>-88.512833000000001</v>
      </c>
      <c r="L561">
        <v>4952</v>
      </c>
      <c r="M561" s="175" t="str">
        <f>VLOOKUP(L561, '2022 SIC to NAICS'!A:D, 2)</f>
        <v>Manufacturing Industries, Nec</v>
      </c>
      <c r="N561" s="184">
        <f>VLOOKUP(L561, '2022 SIC to NAICS'!A:D, 3)</f>
        <v>339999</v>
      </c>
      <c r="O561" s="184" t="str">
        <f>VLOOKUP(L561, '2022 SIC to NAICS'!A:D, 4)</f>
        <v xml:space="preserve">All Other Miscellaneous Manufacturing </v>
      </c>
      <c r="P561" s="185" t="str">
        <f>VLOOKUP(N561, 'NAICS OES crosswalk'!A:C, 3, FALSE)</f>
        <v>TBD</v>
      </c>
      <c r="T561" s="186" t="s">
        <v>1259</v>
      </c>
      <c r="U561" t="s">
        <v>992</v>
      </c>
      <c r="V561">
        <v>0.66589505000000004</v>
      </c>
      <c r="X561" t="b">
        <f t="shared" si="10"/>
        <v>0</v>
      </c>
      <c r="Y561" s="186" t="s">
        <v>1402</v>
      </c>
      <c r="Z561" t="s">
        <v>1403</v>
      </c>
    </row>
    <row r="562" spans="1:26" x14ac:dyDescent="0.25">
      <c r="A562">
        <v>2022</v>
      </c>
      <c r="B562" t="s">
        <v>1400</v>
      </c>
      <c r="C562" t="s">
        <v>846</v>
      </c>
      <c r="D562" s="1">
        <v>110013786698</v>
      </c>
      <c r="E562" t="s">
        <v>455</v>
      </c>
      <c r="F562" t="s">
        <v>456</v>
      </c>
      <c r="G562" t="s">
        <v>845</v>
      </c>
      <c r="H562" t="s">
        <v>186</v>
      </c>
      <c r="I562" t="s">
        <v>1401</v>
      </c>
      <c r="J562">
        <v>19.713750000000001</v>
      </c>
      <c r="K562">
        <v>-155.01927800000001</v>
      </c>
      <c r="L562">
        <v>4952</v>
      </c>
      <c r="M562" s="175" t="str">
        <f>VLOOKUP(L562, '2022 SIC to NAICS'!A:D, 2)</f>
        <v>Manufacturing Industries, Nec</v>
      </c>
      <c r="N562" s="184">
        <f>VLOOKUP(L562, '2022 SIC to NAICS'!A:D, 3)</f>
        <v>339999</v>
      </c>
      <c r="O562" s="184" t="str">
        <f>VLOOKUP(L562, '2022 SIC to NAICS'!A:D, 4)</f>
        <v xml:space="preserve">All Other Miscellaneous Manufacturing </v>
      </c>
      <c r="P562" s="185" t="str">
        <f>VLOOKUP(N562, 'NAICS OES crosswalk'!A:C, 3, FALSE)</f>
        <v>TBD</v>
      </c>
      <c r="T562">
        <v>200100000407</v>
      </c>
      <c r="U562" t="s">
        <v>847</v>
      </c>
      <c r="V562">
        <v>2.0032112500000001</v>
      </c>
      <c r="X562" t="b">
        <f t="shared" si="10"/>
        <v>0</v>
      </c>
      <c r="Y562" s="186" t="s">
        <v>1402</v>
      </c>
      <c r="Z562" t="s">
        <v>1403</v>
      </c>
    </row>
    <row r="563" spans="1:26" x14ac:dyDescent="0.25">
      <c r="A563">
        <v>2022</v>
      </c>
      <c r="B563" t="s">
        <v>1400</v>
      </c>
      <c r="C563" t="s">
        <v>636</v>
      </c>
      <c r="D563" s="1">
        <v>110000487633</v>
      </c>
      <c r="E563" t="s">
        <v>195</v>
      </c>
      <c r="F563" t="s">
        <v>196</v>
      </c>
      <c r="G563" t="s">
        <v>634</v>
      </c>
      <c r="H563" t="s">
        <v>197</v>
      </c>
      <c r="I563" t="s">
        <v>1405</v>
      </c>
      <c r="J563">
        <v>45.543847</v>
      </c>
      <c r="K563">
        <v>-122.46656299999999</v>
      </c>
      <c r="L563">
        <v>3728</v>
      </c>
      <c r="M563" s="175" t="str">
        <f>VLOOKUP(L563, '2022 SIC to NAICS'!A:D, 2)</f>
        <v>Office Machines, Nec</v>
      </c>
      <c r="N563" s="184">
        <f>VLOOKUP(L563, '2022 SIC to NAICS'!A:D, 3)</f>
        <v>339940</v>
      </c>
      <c r="O563" s="184" t="str">
        <f>VLOOKUP(L563, '2022 SIC to NAICS'!A:D, 4)</f>
        <v>Office Supplies (except Paper) Manufacturing</v>
      </c>
      <c r="P563" s="185" t="str">
        <f>VLOOKUP(N563, 'NAICS OES crosswalk'!A:C, 3, FALSE)</f>
        <v>TBD</v>
      </c>
      <c r="T563">
        <v>170900120201</v>
      </c>
      <c r="U563" t="s">
        <v>637</v>
      </c>
      <c r="V563">
        <v>3.0835637999999999E-2</v>
      </c>
      <c r="X563" t="b">
        <f t="shared" si="10"/>
        <v>0</v>
      </c>
      <c r="Y563" s="186" t="s">
        <v>1402</v>
      </c>
      <c r="Z563" t="s">
        <v>1403</v>
      </c>
    </row>
    <row r="564" spans="1:26" x14ac:dyDescent="0.25">
      <c r="A564">
        <v>2022</v>
      </c>
      <c r="B564" t="s">
        <v>1400</v>
      </c>
      <c r="C564" t="s">
        <v>1114</v>
      </c>
      <c r="D564" s="1">
        <v>110000571373</v>
      </c>
      <c r="E564" t="s">
        <v>136</v>
      </c>
      <c r="F564" t="s">
        <v>137</v>
      </c>
      <c r="G564" t="s">
        <v>1020</v>
      </c>
      <c r="H564" t="s">
        <v>138</v>
      </c>
      <c r="I564" t="s">
        <v>1401</v>
      </c>
      <c r="J564">
        <v>37.642310000000002</v>
      </c>
      <c r="K564">
        <v>-85.903570000000002</v>
      </c>
      <c r="L564">
        <v>4952</v>
      </c>
      <c r="M564" s="175" t="str">
        <f>VLOOKUP(L564, '2022 SIC to NAICS'!A:D, 2)</f>
        <v>Manufacturing Industries, Nec</v>
      </c>
      <c r="N564" s="184">
        <f>VLOOKUP(L564, '2022 SIC to NAICS'!A:D, 3)</f>
        <v>339999</v>
      </c>
      <c r="O564" s="184" t="str">
        <f>VLOOKUP(L564, '2022 SIC to NAICS'!A:D, 4)</f>
        <v xml:space="preserve">All Other Miscellaneous Manufacturing </v>
      </c>
      <c r="P564" s="185" t="str">
        <f>VLOOKUP(N564, 'NAICS OES crosswalk'!A:C, 3, FALSE)</f>
        <v>TBD</v>
      </c>
      <c r="T564" s="186" t="s">
        <v>1182</v>
      </c>
      <c r="U564" t="s">
        <v>1115</v>
      </c>
      <c r="V564">
        <v>20.0321125</v>
      </c>
      <c r="X564" t="b">
        <f t="shared" si="10"/>
        <v>0</v>
      </c>
      <c r="Y564" s="186" t="s">
        <v>1402</v>
      </c>
      <c r="Z564" t="s">
        <v>1403</v>
      </c>
    </row>
    <row r="565" spans="1:26" x14ac:dyDescent="0.25">
      <c r="A565">
        <v>2022</v>
      </c>
      <c r="B565" t="s">
        <v>1400</v>
      </c>
      <c r="C565" t="s">
        <v>1422</v>
      </c>
      <c r="D565" s="1">
        <v>110041022274</v>
      </c>
      <c r="E565" t="s">
        <v>1423</v>
      </c>
      <c r="F565" t="s">
        <v>1424</v>
      </c>
      <c r="G565" t="s">
        <v>694</v>
      </c>
      <c r="H565" t="s">
        <v>153</v>
      </c>
      <c r="I565" t="s">
        <v>1401</v>
      </c>
      <c r="J565">
        <v>39.766944000000002</v>
      </c>
      <c r="K565">
        <v>-75.421361000000005</v>
      </c>
      <c r="L565">
        <v>2821</v>
      </c>
      <c r="M565" s="175" t="str">
        <f>VLOOKUP(L565, '2022 SIC to NAICS'!A:D, 2)</f>
        <v>Platemaking Services</v>
      </c>
      <c r="N565" s="184">
        <f>VLOOKUP(L565, '2022 SIC to NAICS'!A:D, 3)</f>
        <v>323120</v>
      </c>
      <c r="O565" s="184" t="str">
        <f>VLOOKUP(L565, '2022 SIC to NAICS'!A:D, 4)</f>
        <v>Support Activities for Printing</v>
      </c>
      <c r="P565" s="185" t="str">
        <f>VLOOKUP(N565, 'NAICS OES crosswalk'!A:C, 3, FALSE)</f>
        <v>TBD</v>
      </c>
      <c r="T565" s="186" t="s">
        <v>1250</v>
      </c>
      <c r="U565" t="s">
        <v>696</v>
      </c>
      <c r="V565">
        <v>3.0300000000000001E-5</v>
      </c>
      <c r="X565" t="b">
        <f t="shared" si="10"/>
        <v>1</v>
      </c>
      <c r="Y565" s="186" t="s">
        <v>1402</v>
      </c>
      <c r="Z565" t="s">
        <v>1403</v>
      </c>
    </row>
    <row r="566" spans="1:26" x14ac:dyDescent="0.25">
      <c r="A566">
        <v>2022</v>
      </c>
      <c r="B566" t="s">
        <v>1400</v>
      </c>
      <c r="C566" t="s">
        <v>1047</v>
      </c>
      <c r="D566" s="1">
        <v>110000403670</v>
      </c>
      <c r="E566" t="s">
        <v>290</v>
      </c>
      <c r="F566" t="s">
        <v>291</v>
      </c>
      <c r="G566" t="s">
        <v>1046</v>
      </c>
      <c r="H566" t="s">
        <v>292</v>
      </c>
      <c r="I566" t="s">
        <v>1401</v>
      </c>
      <c r="J566">
        <v>37.907200000000003</v>
      </c>
      <c r="K566">
        <v>-87.927099999999996</v>
      </c>
      <c r="L566">
        <v>2821</v>
      </c>
      <c r="M566" s="175" t="str">
        <f>VLOOKUP(L566, '2022 SIC to NAICS'!A:D, 2)</f>
        <v>Platemaking Services</v>
      </c>
      <c r="N566" s="184">
        <f>VLOOKUP(L566, '2022 SIC to NAICS'!A:D, 3)</f>
        <v>323120</v>
      </c>
      <c r="O566" s="184" t="str">
        <f>VLOOKUP(L566, '2022 SIC to NAICS'!A:D, 4)</f>
        <v>Support Activities for Printing</v>
      </c>
      <c r="P566" s="185" t="str">
        <f>VLOOKUP(N566, 'NAICS OES crosswalk'!A:C, 3, FALSE)</f>
        <v>TBD</v>
      </c>
      <c r="T566" s="186" t="s">
        <v>1228</v>
      </c>
      <c r="U566" t="s">
        <v>1048</v>
      </c>
      <c r="V566">
        <v>6.6828799999999999</v>
      </c>
      <c r="X566" t="b">
        <f t="shared" si="10"/>
        <v>0</v>
      </c>
      <c r="Y566" s="186" t="s">
        <v>1406</v>
      </c>
      <c r="Z566" t="s">
        <v>1403</v>
      </c>
    </row>
    <row r="567" spans="1:26" x14ac:dyDescent="0.25">
      <c r="A567">
        <v>2022</v>
      </c>
      <c r="B567" t="s">
        <v>1400</v>
      </c>
      <c r="C567" t="s">
        <v>914</v>
      </c>
      <c r="D567" s="1">
        <v>110010059649</v>
      </c>
      <c r="E567" t="s">
        <v>508</v>
      </c>
      <c r="F567" t="s">
        <v>509</v>
      </c>
      <c r="G567" t="s">
        <v>913</v>
      </c>
      <c r="H567" t="s">
        <v>146</v>
      </c>
      <c r="I567" t="s">
        <v>1405</v>
      </c>
      <c r="J567">
        <v>40.638300000000001</v>
      </c>
      <c r="K567">
        <v>-124.22553000000001</v>
      </c>
      <c r="L567">
        <v>4952</v>
      </c>
      <c r="M567" s="175" t="str">
        <f>VLOOKUP(L567, '2022 SIC to NAICS'!A:D, 2)</f>
        <v>Manufacturing Industries, Nec</v>
      </c>
      <c r="N567" s="184">
        <f>VLOOKUP(L567, '2022 SIC to NAICS'!A:D, 3)</f>
        <v>339999</v>
      </c>
      <c r="O567" s="184" t="str">
        <f>VLOOKUP(L567, '2022 SIC to NAICS'!A:D, 4)</f>
        <v xml:space="preserve">All Other Miscellaneous Manufacturing </v>
      </c>
      <c r="P567" s="185" t="str">
        <f>VLOOKUP(N567, 'NAICS OES crosswalk'!A:C, 3, FALSE)</f>
        <v>TBD</v>
      </c>
      <c r="T567">
        <v>180101051102</v>
      </c>
      <c r="U567" t="s">
        <v>915</v>
      </c>
      <c r="V567">
        <v>6.8385487499999995E-2</v>
      </c>
      <c r="X567" t="b">
        <f t="shared" si="10"/>
        <v>0</v>
      </c>
      <c r="Y567" s="186" t="s">
        <v>1402</v>
      </c>
      <c r="Z567" t="s">
        <v>1403</v>
      </c>
    </row>
    <row r="568" spans="1:26" x14ac:dyDescent="0.25">
      <c r="A568">
        <v>2022</v>
      </c>
      <c r="B568" t="s">
        <v>1400</v>
      </c>
      <c r="C568" t="s">
        <v>1089</v>
      </c>
      <c r="D568" s="1">
        <v>110000597426</v>
      </c>
      <c r="E568" t="s">
        <v>246</v>
      </c>
      <c r="F568" t="s">
        <v>194</v>
      </c>
      <c r="G568" t="s">
        <v>1087</v>
      </c>
      <c r="H568" t="s">
        <v>106</v>
      </c>
      <c r="I568" t="s">
        <v>1401</v>
      </c>
      <c r="J568">
        <v>30.241299999999999</v>
      </c>
      <c r="K568">
        <v>-91.100899999999996</v>
      </c>
      <c r="L568">
        <v>2819</v>
      </c>
      <c r="M568" s="175" t="str">
        <f>VLOOKUP(L568, '2022 SIC to NAICS'!A:D, 2)</f>
        <v>Platemaking Services</v>
      </c>
      <c r="N568" s="184">
        <f>VLOOKUP(L568, '2022 SIC to NAICS'!A:D, 3)</f>
        <v>323120</v>
      </c>
      <c r="O568" s="184" t="str">
        <f>VLOOKUP(L568, '2022 SIC to NAICS'!A:D, 4)</f>
        <v>Support Activities for Printing</v>
      </c>
      <c r="P568" s="185" t="str">
        <f>VLOOKUP(N568, 'NAICS OES crosswalk'!A:C, 3, FALSE)</f>
        <v>TBD</v>
      </c>
      <c r="T568" s="186" t="s">
        <v>1196</v>
      </c>
      <c r="U568" t="s">
        <v>1090</v>
      </c>
      <c r="V568">
        <v>0.82855000000000001</v>
      </c>
      <c r="X568" t="b">
        <f t="shared" si="10"/>
        <v>0</v>
      </c>
      <c r="Y568">
        <v>301</v>
      </c>
      <c r="Z568" t="s">
        <v>1403</v>
      </c>
    </row>
    <row r="569" spans="1:26" x14ac:dyDescent="0.25">
      <c r="A569">
        <v>2022</v>
      </c>
      <c r="B569" t="s">
        <v>1400</v>
      </c>
      <c r="C569" t="s">
        <v>723</v>
      </c>
      <c r="D569" s="1">
        <v>110000732351</v>
      </c>
      <c r="E569" t="s">
        <v>439</v>
      </c>
      <c r="F569" t="s">
        <v>440</v>
      </c>
      <c r="G569" t="s">
        <v>722</v>
      </c>
      <c r="H569" t="s">
        <v>138</v>
      </c>
      <c r="I569" t="s">
        <v>1401</v>
      </c>
      <c r="J569">
        <v>37.621431000000001</v>
      </c>
      <c r="K569">
        <v>-84.733756</v>
      </c>
      <c r="L569">
        <v>4952</v>
      </c>
      <c r="M569" s="175" t="str">
        <f>VLOOKUP(L569, '2022 SIC to NAICS'!A:D, 2)</f>
        <v>Manufacturing Industries, Nec</v>
      </c>
      <c r="N569" s="184">
        <f>VLOOKUP(L569, '2022 SIC to NAICS'!A:D, 3)</f>
        <v>339999</v>
      </c>
      <c r="O569" s="184" t="str">
        <f>VLOOKUP(L569, '2022 SIC to NAICS'!A:D, 4)</f>
        <v xml:space="preserve">All Other Miscellaneous Manufacturing </v>
      </c>
      <c r="P569" s="185" t="str">
        <f>VLOOKUP(N569, 'NAICS OES crosswalk'!A:C, 3, FALSE)</f>
        <v>TBD</v>
      </c>
      <c r="T569" s="186" t="s">
        <v>1275</v>
      </c>
      <c r="U569" t="s">
        <v>724</v>
      </c>
      <c r="V569">
        <v>20.412031875</v>
      </c>
      <c r="X569" t="b">
        <f t="shared" si="10"/>
        <v>0</v>
      </c>
      <c r="Y569" s="186" t="s">
        <v>1402</v>
      </c>
      <c r="Z569" t="s">
        <v>1403</v>
      </c>
    </row>
    <row r="570" spans="1:26" x14ac:dyDescent="0.25">
      <c r="A570">
        <v>2022</v>
      </c>
      <c r="B570" t="s">
        <v>1400</v>
      </c>
      <c r="C570" t="s">
        <v>671</v>
      </c>
      <c r="D570" s="1">
        <v>110042004915</v>
      </c>
      <c r="E570" t="s">
        <v>240</v>
      </c>
      <c r="F570" t="s">
        <v>241</v>
      </c>
      <c r="G570" t="s">
        <v>669</v>
      </c>
      <c r="H570" t="s">
        <v>114</v>
      </c>
      <c r="I570" t="s">
        <v>1405</v>
      </c>
      <c r="J570">
        <v>29.378699999999998</v>
      </c>
      <c r="K570">
        <v>-98.551670000000001</v>
      </c>
      <c r="L570">
        <v>9711</v>
      </c>
      <c r="M570" s="175" t="str">
        <f>VLOOKUP(L570, '2022 SIC to NAICS'!A:D, 2)</f>
        <v>National Security</v>
      </c>
      <c r="N570" s="184">
        <f>VLOOKUP(L570, '2022 SIC to NAICS'!A:D, 3)</f>
        <v>928110</v>
      </c>
      <c r="O570" s="184" t="str">
        <f>VLOOKUP(L570, '2022 SIC to NAICS'!A:D, 4)</f>
        <v xml:space="preserve">National Security </v>
      </c>
      <c r="P570" s="185" t="str">
        <f>VLOOKUP(N570, 'NAICS OES crosswalk'!A:C, 3, FALSE)</f>
        <v>TBD</v>
      </c>
      <c r="T570">
        <v>121003010203</v>
      </c>
      <c r="U570" t="s">
        <v>672</v>
      </c>
      <c r="V570">
        <v>3.5329732201249998E-2</v>
      </c>
      <c r="X570" t="b">
        <f t="shared" si="10"/>
        <v>0</v>
      </c>
      <c r="Y570" s="186" t="s">
        <v>1402</v>
      </c>
      <c r="Z570" t="s">
        <v>1403</v>
      </c>
    </row>
    <row r="571" spans="1:26" x14ac:dyDescent="0.25">
      <c r="A571">
        <v>2022</v>
      </c>
      <c r="B571" t="s">
        <v>1400</v>
      </c>
      <c r="C571" t="s">
        <v>1108</v>
      </c>
      <c r="D571" s="1">
        <v>110041973460</v>
      </c>
      <c r="E571" t="s">
        <v>395</v>
      </c>
      <c r="F571" t="s">
        <v>396</v>
      </c>
      <c r="G571" t="s">
        <v>185</v>
      </c>
      <c r="H571" t="s">
        <v>186</v>
      </c>
      <c r="I571" t="s">
        <v>1401</v>
      </c>
      <c r="J571">
        <v>21.438638999999998</v>
      </c>
      <c r="K571">
        <v>-157.75847200000001</v>
      </c>
      <c r="L571">
        <v>4952</v>
      </c>
      <c r="M571" s="175" t="str">
        <f>VLOOKUP(L571, '2022 SIC to NAICS'!A:D, 2)</f>
        <v>Manufacturing Industries, Nec</v>
      </c>
      <c r="N571" s="184">
        <f>VLOOKUP(L571, '2022 SIC to NAICS'!A:D, 3)</f>
        <v>339999</v>
      </c>
      <c r="O571" s="184" t="str">
        <f>VLOOKUP(L571, '2022 SIC to NAICS'!A:D, 4)</f>
        <v xml:space="preserve">All Other Miscellaneous Manufacturing </v>
      </c>
      <c r="P571" s="185" t="str">
        <f>VLOOKUP(N571, 'NAICS OES crosswalk'!A:C, 3, FALSE)</f>
        <v>TBD</v>
      </c>
      <c r="T571">
        <v>200600000205</v>
      </c>
      <c r="U571" t="s">
        <v>1109</v>
      </c>
      <c r="V571">
        <v>1.2924166374999999</v>
      </c>
      <c r="X571" t="b">
        <f t="shared" si="10"/>
        <v>0</v>
      </c>
      <c r="Y571" s="186" t="s">
        <v>1402</v>
      </c>
      <c r="Z571" t="s">
        <v>1403</v>
      </c>
    </row>
    <row r="572" spans="1:26" x14ac:dyDescent="0.25">
      <c r="A572">
        <v>2022</v>
      </c>
      <c r="B572" t="s">
        <v>1400</v>
      </c>
      <c r="C572" t="s">
        <v>743</v>
      </c>
      <c r="D572" s="1">
        <v>110000460901</v>
      </c>
      <c r="E572" t="s">
        <v>312</v>
      </c>
      <c r="F572" t="s">
        <v>313</v>
      </c>
      <c r="G572" t="s">
        <v>638</v>
      </c>
      <c r="H572" t="s">
        <v>114</v>
      </c>
      <c r="I572" t="s">
        <v>1401</v>
      </c>
      <c r="J572">
        <v>29.718139000000001</v>
      </c>
      <c r="K572">
        <v>-95.268749999999997</v>
      </c>
      <c r="L572">
        <v>2819</v>
      </c>
      <c r="M572" s="175" t="str">
        <f>VLOOKUP(L572, '2022 SIC to NAICS'!A:D, 2)</f>
        <v>Platemaking Services</v>
      </c>
      <c r="N572" s="184">
        <f>VLOOKUP(L572, '2022 SIC to NAICS'!A:D, 3)</f>
        <v>323120</v>
      </c>
      <c r="O572" s="184" t="str">
        <f>VLOOKUP(L572, '2022 SIC to NAICS'!A:D, 4)</f>
        <v>Support Activities for Printing</v>
      </c>
      <c r="P572" s="185" t="str">
        <f>VLOOKUP(N572, 'NAICS OES crosswalk'!A:C, 3, FALSE)</f>
        <v>TBD</v>
      </c>
      <c r="T572">
        <v>120401040502</v>
      </c>
      <c r="U572" t="s">
        <v>744</v>
      </c>
      <c r="V572">
        <v>12.43506</v>
      </c>
      <c r="X572" t="b">
        <f t="shared" si="10"/>
        <v>0</v>
      </c>
      <c r="Y572" s="186" t="s">
        <v>1402</v>
      </c>
    </row>
    <row r="573" spans="1:26" x14ac:dyDescent="0.25">
      <c r="A573">
        <v>2022</v>
      </c>
      <c r="B573" t="s">
        <v>1400</v>
      </c>
      <c r="C573" t="s">
        <v>556</v>
      </c>
      <c r="D573" s="1">
        <v>110015972562</v>
      </c>
      <c r="E573" t="s">
        <v>167</v>
      </c>
      <c r="F573" t="s">
        <v>157</v>
      </c>
      <c r="G573" t="s">
        <v>554</v>
      </c>
      <c r="H573" t="s">
        <v>158</v>
      </c>
      <c r="I573" t="s">
        <v>1405</v>
      </c>
      <c r="J573">
        <v>36.116160999999998</v>
      </c>
      <c r="K573">
        <v>-115.172741</v>
      </c>
      <c r="L573">
        <v>7011</v>
      </c>
      <c r="M573" s="175" t="str">
        <f>VLOOKUP(L573, '2022 SIC to NAICS'!A:D, 2)</f>
        <v>Communication Services, Nec</v>
      </c>
      <c r="N573" s="184">
        <f>VLOOKUP(L573, '2022 SIC to NAICS'!A:D, 3)</f>
        <v>517810</v>
      </c>
      <c r="O573" s="184" t="str">
        <f>VLOOKUP(L573, '2022 SIC to NAICS'!A:D, 4)</f>
        <v xml:space="preserve">All Other Telecommunications </v>
      </c>
      <c r="P573" s="185" t="str">
        <f>VLOOKUP(N573, 'NAICS OES crosswalk'!A:C, 3, FALSE)</f>
        <v>TBD</v>
      </c>
      <c r="T573">
        <v>150100150505</v>
      </c>
      <c r="U573" t="s">
        <v>557</v>
      </c>
      <c r="V573">
        <v>0.2241765700875</v>
      </c>
      <c r="X573" t="b">
        <f t="shared" si="10"/>
        <v>0</v>
      </c>
      <c r="Y573" s="186" t="s">
        <v>1402</v>
      </c>
      <c r="Z573" t="s">
        <v>1403</v>
      </c>
    </row>
    <row r="574" spans="1:26" x14ac:dyDescent="0.25">
      <c r="A574">
        <v>2022</v>
      </c>
      <c r="B574" t="s">
        <v>1400</v>
      </c>
      <c r="C574" t="s">
        <v>618</v>
      </c>
      <c r="D574" s="1">
        <v>110054272210</v>
      </c>
      <c r="E574" t="s">
        <v>510</v>
      </c>
      <c r="F574" t="s">
        <v>145</v>
      </c>
      <c r="G574" t="s">
        <v>616</v>
      </c>
      <c r="H574" t="s">
        <v>146</v>
      </c>
      <c r="I574" t="s">
        <v>1405</v>
      </c>
      <c r="J574">
        <v>39.915689999999998</v>
      </c>
      <c r="K574">
        <v>-122.10365</v>
      </c>
      <c r="L574">
        <v>2033</v>
      </c>
      <c r="M574" s="175" t="str">
        <f>VLOOKUP(L574, '2022 SIC to NAICS'!A:D, 2)</f>
        <v>Special Trade Contractors, Nec</v>
      </c>
      <c r="N574" s="184">
        <f>VLOOKUP(L574, '2022 SIC to NAICS'!A:D, 3)</f>
        <v>238990</v>
      </c>
      <c r="O574" s="184" t="str">
        <f>VLOOKUP(L574, '2022 SIC to NAICS'!A:D, 4)</f>
        <v>All Other Specialty Trade Contractors</v>
      </c>
      <c r="P574" s="185" t="str">
        <f>VLOOKUP(N574, 'NAICS OES crosswalk'!A:C, 3, FALSE)</f>
        <v>TBD</v>
      </c>
      <c r="T574">
        <v>180201570701</v>
      </c>
      <c r="U574" t="s">
        <v>619</v>
      </c>
      <c r="V574">
        <v>3.9268744166666598E-2</v>
      </c>
      <c r="X574" t="b">
        <f t="shared" si="10"/>
        <v>0</v>
      </c>
      <c r="Y574" s="186" t="s">
        <v>1402</v>
      </c>
      <c r="Z574" t="s">
        <v>1403</v>
      </c>
    </row>
    <row r="575" spans="1:26" x14ac:dyDescent="0.25">
      <c r="A575">
        <v>2022</v>
      </c>
      <c r="B575" t="s">
        <v>1400</v>
      </c>
      <c r="C575" t="s">
        <v>580</v>
      </c>
      <c r="D575" s="1">
        <v>110064134459</v>
      </c>
      <c r="E575" t="s">
        <v>233</v>
      </c>
      <c r="F575" t="s">
        <v>157</v>
      </c>
      <c r="G575" t="s">
        <v>554</v>
      </c>
      <c r="H575" t="s">
        <v>158</v>
      </c>
      <c r="I575" t="s">
        <v>1405</v>
      </c>
      <c r="J575">
        <v>36.075400000000002</v>
      </c>
      <c r="K575">
        <v>-115.1669</v>
      </c>
      <c r="L575">
        <v>4581</v>
      </c>
      <c r="M575" s="175" t="str">
        <f>VLOOKUP(L575, '2022 SIC to NAICS'!A:D, 2)</f>
        <v>Manufacturing Industries, Nec</v>
      </c>
      <c r="N575" s="184">
        <f>VLOOKUP(L575, '2022 SIC to NAICS'!A:D, 3)</f>
        <v>339999</v>
      </c>
      <c r="O575" s="184" t="str">
        <f>VLOOKUP(L575, '2022 SIC to NAICS'!A:D, 4)</f>
        <v xml:space="preserve">All Other Miscellaneous Manufacturing </v>
      </c>
      <c r="P575" s="185" t="str">
        <f>VLOOKUP(N575, 'NAICS OES crosswalk'!A:C, 3, FALSE)</f>
        <v>TBD</v>
      </c>
      <c r="T575">
        <v>150100150704</v>
      </c>
      <c r="U575" t="s">
        <v>581</v>
      </c>
      <c r="V575">
        <v>3.6058748750000002E-3</v>
      </c>
      <c r="X575" t="b">
        <f t="shared" si="10"/>
        <v>0</v>
      </c>
      <c r="Y575" s="186" t="s">
        <v>1402</v>
      </c>
      <c r="Z575" t="s">
        <v>1403</v>
      </c>
    </row>
    <row r="576" spans="1:26" x14ac:dyDescent="0.25">
      <c r="A576">
        <v>2022</v>
      </c>
      <c r="B576" t="s">
        <v>1400</v>
      </c>
      <c r="C576" t="s">
        <v>611</v>
      </c>
      <c r="D576" s="1">
        <v>110000443226</v>
      </c>
      <c r="E576" t="s">
        <v>425</v>
      </c>
      <c r="F576" t="s">
        <v>426</v>
      </c>
      <c r="G576" t="s">
        <v>454</v>
      </c>
      <c r="H576" t="s">
        <v>170</v>
      </c>
      <c r="I576" t="s">
        <v>1401</v>
      </c>
      <c r="J576">
        <v>39.121471999999997</v>
      </c>
      <c r="K576">
        <v>-94.473416999999998</v>
      </c>
      <c r="L576">
        <v>2879</v>
      </c>
      <c r="M576" s="175" t="str">
        <f>VLOOKUP(L576, '2022 SIC to NAICS'!A:D, 2)</f>
        <v>Agricultural Chemicals, Nec</v>
      </c>
      <c r="N576" s="184">
        <f>VLOOKUP(L576, '2022 SIC to NAICS'!A:D, 3)</f>
        <v>325320</v>
      </c>
      <c r="O576" s="184" t="str">
        <f>VLOOKUP(L576, '2022 SIC to NAICS'!A:D, 4)</f>
        <v>Pesticide and Other Agricultural Chemical Manufacturing</v>
      </c>
      <c r="P576" s="185" t="str">
        <f>VLOOKUP(N576, 'NAICS OES crosswalk'!A:C, 3, FALSE)</f>
        <v>TBD</v>
      </c>
      <c r="T576">
        <v>103001010301</v>
      </c>
      <c r="U576" t="s">
        <v>612</v>
      </c>
      <c r="V576">
        <v>1.6571</v>
      </c>
      <c r="X576" t="b">
        <f t="shared" si="10"/>
        <v>0</v>
      </c>
      <c r="Y576" s="186" t="s">
        <v>1402</v>
      </c>
    </row>
    <row r="577" spans="1:26" x14ac:dyDescent="0.25">
      <c r="A577">
        <v>2022</v>
      </c>
      <c r="B577" t="s">
        <v>1400</v>
      </c>
      <c r="C577" t="s">
        <v>1455</v>
      </c>
      <c r="D577" s="1">
        <v>110037274133</v>
      </c>
      <c r="E577" t="s">
        <v>1456</v>
      </c>
      <c r="F577" t="s">
        <v>157</v>
      </c>
      <c r="G577" t="s">
        <v>554</v>
      </c>
      <c r="H577" t="s">
        <v>158</v>
      </c>
      <c r="I577" t="s">
        <v>1405</v>
      </c>
      <c r="J577">
        <v>36.119079999999997</v>
      </c>
      <c r="K577">
        <v>-115.15727</v>
      </c>
      <c r="L577">
        <v>6512</v>
      </c>
      <c r="M577" s="175" t="str">
        <f>VLOOKUP(L577, '2022 SIC to NAICS'!A:D, 2)</f>
        <v>Communication Services, Nec</v>
      </c>
      <c r="N577" s="184">
        <f>VLOOKUP(L577, '2022 SIC to NAICS'!A:D, 3)</f>
        <v>517810</v>
      </c>
      <c r="O577" s="184" t="str">
        <f>VLOOKUP(L577, '2022 SIC to NAICS'!A:D, 4)</f>
        <v xml:space="preserve">All Other Telecommunications </v>
      </c>
      <c r="P577" s="185" t="str">
        <f>VLOOKUP(N577, 'NAICS OES crosswalk'!A:C, 3, FALSE)</f>
        <v>TBD</v>
      </c>
      <c r="T577">
        <v>150100150505</v>
      </c>
      <c r="U577" t="s">
        <v>557</v>
      </c>
      <c r="V577">
        <v>1.3815250000000001E-6</v>
      </c>
      <c r="X577" t="b">
        <f t="shared" si="10"/>
        <v>1</v>
      </c>
      <c r="Y577" s="186" t="s">
        <v>1402</v>
      </c>
      <c r="Z577" t="s">
        <v>1403</v>
      </c>
    </row>
    <row r="578" spans="1:26" x14ac:dyDescent="0.25">
      <c r="A578">
        <v>2022</v>
      </c>
      <c r="B578" t="s">
        <v>1400</v>
      </c>
      <c r="C578" t="s">
        <v>1147</v>
      </c>
      <c r="D578" s="1">
        <v>110024409433</v>
      </c>
      <c r="E578" t="s">
        <v>379</v>
      </c>
      <c r="F578" t="s">
        <v>380</v>
      </c>
      <c r="G578" t="s">
        <v>1146</v>
      </c>
      <c r="H578" t="s">
        <v>367</v>
      </c>
      <c r="I578" t="s">
        <v>1401</v>
      </c>
      <c r="J578">
        <v>35.639485000000001</v>
      </c>
      <c r="K578">
        <v>-109.080939</v>
      </c>
      <c r="L578">
        <v>4952</v>
      </c>
      <c r="M578" s="175" t="str">
        <f>VLOOKUP(L578, '2022 SIC to NAICS'!A:D, 2)</f>
        <v>Manufacturing Industries, Nec</v>
      </c>
      <c r="N578" s="184">
        <f>VLOOKUP(L578, '2022 SIC to NAICS'!A:D, 3)</f>
        <v>339999</v>
      </c>
      <c r="O578" s="184" t="str">
        <f>VLOOKUP(L578, '2022 SIC to NAICS'!A:D, 4)</f>
        <v xml:space="preserve">All Other Miscellaneous Manufacturing </v>
      </c>
      <c r="P578" s="185" t="str">
        <f>VLOOKUP(N578, 'NAICS OES crosswalk'!A:C, 3, FALSE)</f>
        <v>TBD</v>
      </c>
      <c r="T578">
        <v>150200060604</v>
      </c>
      <c r="U578" t="s">
        <v>1148</v>
      </c>
      <c r="V578">
        <v>1.1604810000000001</v>
      </c>
      <c r="X578" t="b">
        <f t="shared" si="10"/>
        <v>0</v>
      </c>
      <c r="Y578" s="186" t="s">
        <v>1402</v>
      </c>
      <c r="Z578" t="s">
        <v>1403</v>
      </c>
    </row>
    <row r="579" spans="1:26" x14ac:dyDescent="0.25">
      <c r="A579">
        <v>2022</v>
      </c>
      <c r="B579" t="s">
        <v>1400</v>
      </c>
      <c r="C579" t="s">
        <v>864</v>
      </c>
      <c r="D579" s="1">
        <v>110000748095</v>
      </c>
      <c r="E579" t="s">
        <v>368</v>
      </c>
      <c r="F579" t="s">
        <v>369</v>
      </c>
      <c r="G579" t="s">
        <v>712</v>
      </c>
      <c r="H579" t="s">
        <v>114</v>
      </c>
      <c r="I579" t="s">
        <v>1401</v>
      </c>
      <c r="J579">
        <v>30.311361000000002</v>
      </c>
      <c r="K579">
        <v>-95.387083000000004</v>
      </c>
      <c r="L579">
        <v>2869</v>
      </c>
      <c r="M579" s="175" t="str">
        <f>VLOOKUP(L579, '2022 SIC to NAICS'!A:D, 2)</f>
        <v>Industrial Organic Chemicals, Nec</v>
      </c>
      <c r="N579" s="184">
        <f>VLOOKUP(L579, '2022 SIC to NAICS'!A:D, 3)</f>
        <v>325180</v>
      </c>
      <c r="O579" s="184" t="str">
        <f>VLOOKUP(L579, '2022 SIC to NAICS'!A:D, 4)</f>
        <v xml:space="preserve">Other Basic Inorganic Chemical Manufacturing </v>
      </c>
      <c r="P579" s="185" t="str">
        <f>VLOOKUP(N579, 'NAICS OES crosswalk'!A:C, 3, FALSE)</f>
        <v>Processing as a reactant</v>
      </c>
      <c r="T579">
        <v>120401010403</v>
      </c>
      <c r="U579" t="s">
        <v>865</v>
      </c>
      <c r="V579">
        <v>0.2071375</v>
      </c>
      <c r="X579" t="b">
        <f t="shared" si="10"/>
        <v>0</v>
      </c>
      <c r="Y579" s="186" t="s">
        <v>1402</v>
      </c>
      <c r="Z579" t="s">
        <v>1403</v>
      </c>
    </row>
    <row r="580" spans="1:26" x14ac:dyDescent="0.25">
      <c r="A580">
        <v>2022</v>
      </c>
      <c r="B580" t="s">
        <v>1400</v>
      </c>
      <c r="C580" t="s">
        <v>569</v>
      </c>
      <c r="D580" s="1">
        <v>110002672484</v>
      </c>
      <c r="E580" t="s">
        <v>189</v>
      </c>
      <c r="F580" t="s">
        <v>190</v>
      </c>
      <c r="G580" t="s">
        <v>566</v>
      </c>
      <c r="H580" t="s">
        <v>146</v>
      </c>
      <c r="I580" t="s">
        <v>1405</v>
      </c>
      <c r="J580">
        <v>32.803809999999999</v>
      </c>
      <c r="K580">
        <v>-115.53973999999999</v>
      </c>
      <c r="L580" s="186" t="s">
        <v>567</v>
      </c>
      <c r="M580" s="175" t="str">
        <f>VLOOKUP(L580, '2022 SIC to NAICS'!A:D, 2)</f>
        <v>Fish Hatcheries and Preserves</v>
      </c>
      <c r="N580" s="184">
        <f>VLOOKUP(L580, '2022 SIC to NAICS'!A:D, 3)</f>
        <v>112511</v>
      </c>
      <c r="O580" s="184" t="str">
        <f>VLOOKUP(L580, '2022 SIC to NAICS'!A:D, 4)</f>
        <v xml:space="preserve">Finfish Farming and Fish Hatcheries </v>
      </c>
      <c r="P580" s="185" t="str">
        <f>VLOOKUP(N580, 'NAICS OES crosswalk'!A:C, 3, FALSE)</f>
        <v>TBD</v>
      </c>
      <c r="T580">
        <v>181002040701</v>
      </c>
      <c r="U580" t="s">
        <v>570</v>
      </c>
      <c r="V580">
        <v>1.0361437500000001E-2</v>
      </c>
      <c r="X580" t="b">
        <f t="shared" si="10"/>
        <v>0</v>
      </c>
      <c r="Y580" s="186" t="s">
        <v>1404</v>
      </c>
    </row>
    <row r="581" spans="1:26" x14ac:dyDescent="0.25">
      <c r="A581">
        <v>2022</v>
      </c>
      <c r="B581" t="s">
        <v>1400</v>
      </c>
      <c r="C581" t="s">
        <v>1097</v>
      </c>
      <c r="D581" s="1">
        <v>110071349304</v>
      </c>
      <c r="E581" t="s">
        <v>511</v>
      </c>
      <c r="F581" t="s">
        <v>512</v>
      </c>
      <c r="G581" t="s">
        <v>736</v>
      </c>
      <c r="H581" t="s">
        <v>146</v>
      </c>
      <c r="I581" t="s">
        <v>1401</v>
      </c>
      <c r="J581">
        <v>38.030833000000001</v>
      </c>
      <c r="K581">
        <v>-122.075</v>
      </c>
      <c r="L581">
        <v>2911</v>
      </c>
      <c r="M581" s="175" t="str">
        <f>VLOOKUP(L581, '2022 SIC to NAICS'!A:D, 2)</f>
        <v>Explosives</v>
      </c>
      <c r="N581" s="184">
        <f>VLOOKUP(L581, '2022 SIC to NAICS'!A:D, 3)</f>
        <v>325920</v>
      </c>
      <c r="O581" s="184" t="str">
        <f>VLOOKUP(L581, '2022 SIC to NAICS'!A:D, 4)</f>
        <v>Explosives Manufacturing</v>
      </c>
      <c r="P581" s="185" t="str">
        <f>VLOOKUP(N581, 'NAICS OES crosswalk'!A:C, 3, FALSE)</f>
        <v>TBD</v>
      </c>
      <c r="T581">
        <v>180500010302</v>
      </c>
      <c r="U581" t="s">
        <v>1098</v>
      </c>
      <c r="V581">
        <v>2.34212772E-2</v>
      </c>
      <c r="X581" t="b">
        <f t="shared" si="10"/>
        <v>0</v>
      </c>
      <c r="Y581" s="186" t="s">
        <v>1402</v>
      </c>
      <c r="Z581" t="s">
        <v>1403</v>
      </c>
    </row>
    <row r="582" spans="1:26" x14ac:dyDescent="0.25">
      <c r="A582">
        <v>2022</v>
      </c>
      <c r="B582" t="s">
        <v>1400</v>
      </c>
      <c r="C582" t="s">
        <v>772</v>
      </c>
      <c r="D582" s="1">
        <v>110000433013</v>
      </c>
      <c r="E582" t="s">
        <v>223</v>
      </c>
      <c r="F582" t="s">
        <v>224</v>
      </c>
      <c r="G582" t="s">
        <v>771</v>
      </c>
      <c r="H582" t="s">
        <v>141</v>
      </c>
      <c r="I582" t="s">
        <v>1401</v>
      </c>
      <c r="J582">
        <v>41.412897000000001</v>
      </c>
      <c r="K582">
        <v>-88.329773000000003</v>
      </c>
      <c r="L582">
        <v>2821</v>
      </c>
      <c r="M582" s="175" t="str">
        <f>VLOOKUP(L582, '2022 SIC to NAICS'!A:D, 2)</f>
        <v>Platemaking Services</v>
      </c>
      <c r="N582" s="184">
        <f>VLOOKUP(L582, '2022 SIC to NAICS'!A:D, 3)</f>
        <v>323120</v>
      </c>
      <c r="O582" s="184" t="str">
        <f>VLOOKUP(L582, '2022 SIC to NAICS'!A:D, 4)</f>
        <v>Support Activities for Printing</v>
      </c>
      <c r="P582" s="185" t="str">
        <f>VLOOKUP(N582, 'NAICS OES crosswalk'!A:C, 3, FALSE)</f>
        <v>TBD</v>
      </c>
      <c r="T582" s="186" t="s">
        <v>1202</v>
      </c>
      <c r="U582" t="s">
        <v>773</v>
      </c>
      <c r="V582">
        <v>0.83082</v>
      </c>
      <c r="X582" t="b">
        <f t="shared" si="10"/>
        <v>0</v>
      </c>
      <c r="Y582" s="186" t="s">
        <v>1402</v>
      </c>
      <c r="Z582" t="s">
        <v>1403</v>
      </c>
    </row>
    <row r="583" spans="1:26" x14ac:dyDescent="0.25">
      <c r="A583">
        <v>2022</v>
      </c>
      <c r="B583" t="s">
        <v>1400</v>
      </c>
      <c r="C583" t="s">
        <v>910</v>
      </c>
      <c r="D583" s="1">
        <v>110020039402</v>
      </c>
      <c r="E583" t="s">
        <v>470</v>
      </c>
      <c r="F583" t="s">
        <v>157</v>
      </c>
      <c r="G583" t="s">
        <v>554</v>
      </c>
      <c r="H583" t="s">
        <v>158</v>
      </c>
      <c r="I583" t="s">
        <v>1405</v>
      </c>
      <c r="J583">
        <v>36.137529999999998</v>
      </c>
      <c r="K583">
        <v>-115.15479000000001</v>
      </c>
      <c r="L583">
        <v>7011</v>
      </c>
      <c r="M583" s="175" t="str">
        <f>VLOOKUP(L583, '2022 SIC to NAICS'!A:D, 2)</f>
        <v>Communication Services, Nec</v>
      </c>
      <c r="N583" s="184">
        <f>VLOOKUP(L583, '2022 SIC to NAICS'!A:D, 3)</f>
        <v>517810</v>
      </c>
      <c r="O583" s="184" t="str">
        <f>VLOOKUP(L583, '2022 SIC to NAICS'!A:D, 4)</f>
        <v xml:space="preserve">All Other Telecommunications </v>
      </c>
      <c r="P583" s="185" t="str">
        <f>VLOOKUP(N583, 'NAICS OES crosswalk'!A:C, 3, FALSE)</f>
        <v>TBD</v>
      </c>
      <c r="T583">
        <v>150100150604</v>
      </c>
      <c r="U583" t="s">
        <v>578</v>
      </c>
      <c r="V583">
        <v>6.7077769999999996E-9</v>
      </c>
      <c r="X583" t="b">
        <f t="shared" si="10"/>
        <v>1</v>
      </c>
      <c r="Y583" t="s">
        <v>1426</v>
      </c>
      <c r="Z583" t="s">
        <v>1403</v>
      </c>
    </row>
    <row r="584" spans="1:26" x14ac:dyDescent="0.25">
      <c r="A584">
        <v>2022</v>
      </c>
      <c r="B584" t="s">
        <v>1400</v>
      </c>
      <c r="C584" t="s">
        <v>872</v>
      </c>
      <c r="D584" s="1">
        <v>110018199377</v>
      </c>
      <c r="E584" t="s">
        <v>212</v>
      </c>
      <c r="F584" t="s">
        <v>213</v>
      </c>
      <c r="G584" t="s">
        <v>870</v>
      </c>
      <c r="H584" t="s">
        <v>141</v>
      </c>
      <c r="I584" t="s">
        <v>1405</v>
      </c>
      <c r="J584">
        <v>41.692782000000001</v>
      </c>
      <c r="K584">
        <v>-87.951100999999994</v>
      </c>
      <c r="L584">
        <v>4226</v>
      </c>
      <c r="M584" s="175" t="str">
        <f>VLOOKUP(L584, '2022 SIC to NAICS'!A:D, 2)</f>
        <v>Manufacturing Industries, Nec</v>
      </c>
      <c r="N584" s="184">
        <f>VLOOKUP(L584, '2022 SIC to NAICS'!A:D, 3)</f>
        <v>339999</v>
      </c>
      <c r="O584" s="184" t="str">
        <f>VLOOKUP(L584, '2022 SIC to NAICS'!A:D, 4)</f>
        <v xml:space="preserve">All Other Miscellaneous Manufacturing </v>
      </c>
      <c r="P584" s="185" t="str">
        <f>VLOOKUP(N584, 'NAICS OES crosswalk'!A:C, 3, FALSE)</f>
        <v>TBD</v>
      </c>
      <c r="T584" s="186" t="s">
        <v>1200</v>
      </c>
      <c r="U584" t="s">
        <v>873</v>
      </c>
      <c r="V584">
        <v>6.0484299999999998E-2</v>
      </c>
      <c r="X584" t="b">
        <f t="shared" si="10"/>
        <v>0</v>
      </c>
      <c r="Y584" s="186" t="s">
        <v>1418</v>
      </c>
      <c r="Z584" t="s">
        <v>1403</v>
      </c>
    </row>
    <row r="585" spans="1:26" x14ac:dyDescent="0.25">
      <c r="A585">
        <v>2022</v>
      </c>
      <c r="B585" t="s">
        <v>1400</v>
      </c>
      <c r="C585" t="s">
        <v>929</v>
      </c>
      <c r="D585" s="1">
        <v>110039801462</v>
      </c>
      <c r="E585" t="s">
        <v>513</v>
      </c>
      <c r="F585" t="s">
        <v>514</v>
      </c>
      <c r="G585" t="s">
        <v>928</v>
      </c>
      <c r="H585" t="s">
        <v>146</v>
      </c>
      <c r="I585" t="s">
        <v>1401</v>
      </c>
      <c r="J585">
        <v>37.795589999999997</v>
      </c>
      <c r="K585">
        <v>-121.26000999999999</v>
      </c>
      <c r="L585">
        <v>4952</v>
      </c>
      <c r="M585" s="175" t="str">
        <f>VLOOKUP(L585, '2022 SIC to NAICS'!A:D, 2)</f>
        <v>Manufacturing Industries, Nec</v>
      </c>
      <c r="N585" s="184">
        <f>VLOOKUP(L585, '2022 SIC to NAICS'!A:D, 3)</f>
        <v>339999</v>
      </c>
      <c r="O585" s="184" t="str">
        <f>VLOOKUP(L585, '2022 SIC to NAICS'!A:D, 4)</f>
        <v xml:space="preserve">All Other Miscellaneous Manufacturing </v>
      </c>
      <c r="P585" s="185" t="str">
        <f>VLOOKUP(N585, 'NAICS OES crosswalk'!A:C, 3, FALSE)</f>
        <v>TBD</v>
      </c>
      <c r="T585">
        <v>180400030204</v>
      </c>
      <c r="U585" t="s">
        <v>930</v>
      </c>
      <c r="V585">
        <v>0.27096562666666602</v>
      </c>
      <c r="X585" t="b">
        <f t="shared" si="10"/>
        <v>0</v>
      </c>
      <c r="Y585" s="186" t="s">
        <v>1402</v>
      </c>
      <c r="Z585" t="s">
        <v>1403</v>
      </c>
    </row>
    <row r="586" spans="1:26" x14ac:dyDescent="0.25">
      <c r="A586">
        <v>2022</v>
      </c>
      <c r="B586" t="s">
        <v>1400</v>
      </c>
      <c r="C586" t="s">
        <v>1117</v>
      </c>
      <c r="D586" s="1">
        <v>110004306938</v>
      </c>
      <c r="E586" t="s">
        <v>156</v>
      </c>
      <c r="F586" t="s">
        <v>157</v>
      </c>
      <c r="G586" t="s">
        <v>575</v>
      </c>
      <c r="H586" t="s">
        <v>158</v>
      </c>
      <c r="I586" t="s">
        <v>1405</v>
      </c>
      <c r="J586">
        <v>36.122100000000003</v>
      </c>
      <c r="K586">
        <v>-115.17139</v>
      </c>
      <c r="L586">
        <v>7011</v>
      </c>
      <c r="M586" s="175" t="str">
        <f>VLOOKUP(L586, '2022 SIC to NAICS'!A:D, 2)</f>
        <v>Communication Services, Nec</v>
      </c>
      <c r="N586" s="184">
        <f>VLOOKUP(L586, '2022 SIC to NAICS'!A:D, 3)</f>
        <v>517810</v>
      </c>
      <c r="O586" s="184" t="str">
        <f>VLOOKUP(L586, '2022 SIC to NAICS'!A:D, 4)</f>
        <v xml:space="preserve">All Other Telecommunications </v>
      </c>
      <c r="P586" s="185" t="str">
        <f>VLOOKUP(N586, 'NAICS OES crosswalk'!A:C, 3, FALSE)</f>
        <v>TBD</v>
      </c>
      <c r="T586">
        <v>150100150604</v>
      </c>
      <c r="U586" t="s">
        <v>578</v>
      </c>
      <c r="V586">
        <v>6.6845087124999994E-2</v>
      </c>
      <c r="X586" t="b">
        <f t="shared" si="10"/>
        <v>0</v>
      </c>
      <c r="Y586" s="186" t="s">
        <v>1411</v>
      </c>
      <c r="Z586" t="s">
        <v>1403</v>
      </c>
    </row>
    <row r="587" spans="1:26" x14ac:dyDescent="0.25">
      <c r="A587">
        <v>2022</v>
      </c>
      <c r="B587" t="s">
        <v>1400</v>
      </c>
      <c r="C587" t="s">
        <v>1106</v>
      </c>
      <c r="D587" s="1">
        <v>110024409344</v>
      </c>
      <c r="E587" t="s">
        <v>429</v>
      </c>
      <c r="F587" t="s">
        <v>430</v>
      </c>
      <c r="G587" t="s">
        <v>1105</v>
      </c>
      <c r="H587" t="s">
        <v>367</v>
      </c>
      <c r="I587" t="s">
        <v>1401</v>
      </c>
      <c r="J587">
        <v>36.091380999999998</v>
      </c>
      <c r="K587">
        <v>-111.289585</v>
      </c>
      <c r="L587">
        <v>4952</v>
      </c>
      <c r="M587" s="175" t="str">
        <f>VLOOKUP(L587, '2022 SIC to NAICS'!A:D, 2)</f>
        <v>Manufacturing Industries, Nec</v>
      </c>
      <c r="N587" s="184">
        <f>VLOOKUP(L587, '2022 SIC to NAICS'!A:D, 3)</f>
        <v>339999</v>
      </c>
      <c r="O587" s="184" t="str">
        <f>VLOOKUP(L587, '2022 SIC to NAICS'!A:D, 4)</f>
        <v xml:space="preserve">All Other Miscellaneous Manufacturing </v>
      </c>
      <c r="P587" s="185" t="str">
        <f>VLOOKUP(N587, 'NAICS OES crosswalk'!A:C, 3, FALSE)</f>
        <v>TBD</v>
      </c>
      <c r="T587">
        <v>150200181004</v>
      </c>
      <c r="U587" t="s">
        <v>1107</v>
      </c>
      <c r="V587">
        <v>1.9834611200000001</v>
      </c>
      <c r="X587" t="b">
        <f t="shared" si="10"/>
        <v>0</v>
      </c>
      <c r="Y587" s="186" t="s">
        <v>1402</v>
      </c>
    </row>
    <row r="588" spans="1:26" x14ac:dyDescent="0.25">
      <c r="A588">
        <v>2022</v>
      </c>
      <c r="B588" t="s">
        <v>1400</v>
      </c>
      <c r="C588" t="s">
        <v>945</v>
      </c>
      <c r="D588" s="1">
        <v>110000377976</v>
      </c>
      <c r="E588" t="s">
        <v>278</v>
      </c>
      <c r="F588" t="s">
        <v>279</v>
      </c>
      <c r="G588" t="s">
        <v>944</v>
      </c>
      <c r="H588" t="s">
        <v>138</v>
      </c>
      <c r="I588" t="s">
        <v>1401</v>
      </c>
      <c r="J588">
        <v>38.002597000000002</v>
      </c>
      <c r="K588">
        <v>-86.117904999999993</v>
      </c>
      <c r="L588">
        <v>2869</v>
      </c>
      <c r="M588" s="175" t="str">
        <f>VLOOKUP(L588, '2022 SIC to NAICS'!A:D, 2)</f>
        <v>Industrial Organic Chemicals, Nec</v>
      </c>
      <c r="N588" s="184">
        <f>VLOOKUP(L588, '2022 SIC to NAICS'!A:D, 3)</f>
        <v>325180</v>
      </c>
      <c r="O588" s="184" t="str">
        <f>VLOOKUP(L588, '2022 SIC to NAICS'!A:D, 4)</f>
        <v xml:space="preserve">Other Basic Inorganic Chemical Manufacturing </v>
      </c>
      <c r="P588" s="185" t="str">
        <f>VLOOKUP(N588, 'NAICS OES crosswalk'!A:C, 3, FALSE)</f>
        <v>Processing as a reactant</v>
      </c>
      <c r="T588" s="186" t="s">
        <v>1224</v>
      </c>
      <c r="U588" t="s">
        <v>946</v>
      </c>
      <c r="V588">
        <v>9.5703200000000002E-2</v>
      </c>
      <c r="X588" t="b">
        <f t="shared" si="10"/>
        <v>0</v>
      </c>
      <c r="Y588" s="186" t="s">
        <v>1404</v>
      </c>
    </row>
    <row r="589" spans="1:26" x14ac:dyDescent="0.25">
      <c r="A589">
        <v>2022</v>
      </c>
      <c r="B589" t="s">
        <v>1400</v>
      </c>
      <c r="C589" t="s">
        <v>889</v>
      </c>
      <c r="D589" s="1">
        <v>110000599479</v>
      </c>
      <c r="E589" t="s">
        <v>377</v>
      </c>
      <c r="F589" t="s">
        <v>378</v>
      </c>
      <c r="G589" t="s">
        <v>888</v>
      </c>
      <c r="H589" t="s">
        <v>114</v>
      </c>
      <c r="I589" t="s">
        <v>1405</v>
      </c>
      <c r="J589">
        <v>29.458400000000001</v>
      </c>
      <c r="K589">
        <v>-95.330399999999997</v>
      </c>
      <c r="L589">
        <v>2869</v>
      </c>
      <c r="M589" s="175" t="str">
        <f>VLOOKUP(L589, '2022 SIC to NAICS'!A:D, 2)</f>
        <v>Industrial Organic Chemicals, Nec</v>
      </c>
      <c r="N589" s="184">
        <f>VLOOKUP(L589, '2022 SIC to NAICS'!A:D, 3)</f>
        <v>325180</v>
      </c>
      <c r="O589" s="184" t="str">
        <f>VLOOKUP(L589, '2022 SIC to NAICS'!A:D, 4)</f>
        <v xml:space="preserve">Other Basic Inorganic Chemical Manufacturing </v>
      </c>
      <c r="P589" s="185" t="str">
        <f>VLOOKUP(N589, 'NAICS OES crosswalk'!A:C, 3, FALSE)</f>
        <v>Processing as a reactant</v>
      </c>
      <c r="T589">
        <v>120402040400</v>
      </c>
      <c r="U589" t="s">
        <v>890</v>
      </c>
      <c r="V589">
        <v>1.4913900000000001E-2</v>
      </c>
      <c r="X589" t="b">
        <f t="shared" si="10"/>
        <v>0</v>
      </c>
      <c r="Y589" s="186" t="s">
        <v>1402</v>
      </c>
    </row>
    <row r="590" spans="1:26" x14ac:dyDescent="0.25">
      <c r="A590">
        <v>2022</v>
      </c>
      <c r="B590" t="s">
        <v>1400</v>
      </c>
      <c r="C590" t="s">
        <v>806</v>
      </c>
      <c r="D590" s="1">
        <v>110037256867</v>
      </c>
      <c r="E590" t="s">
        <v>165</v>
      </c>
      <c r="F590" t="s">
        <v>166</v>
      </c>
      <c r="G590" t="s">
        <v>804</v>
      </c>
      <c r="H590" t="s">
        <v>146</v>
      </c>
      <c r="I590" t="s">
        <v>1405</v>
      </c>
      <c r="J590">
        <v>35.178620000000002</v>
      </c>
      <c r="K590">
        <v>-120.62067500000001</v>
      </c>
      <c r="L590">
        <v>2911</v>
      </c>
      <c r="M590" s="175" t="str">
        <f>VLOOKUP(L590, '2022 SIC to NAICS'!A:D, 2)</f>
        <v>Explosives</v>
      </c>
      <c r="N590" s="184">
        <f>VLOOKUP(L590, '2022 SIC to NAICS'!A:D, 3)</f>
        <v>325920</v>
      </c>
      <c r="O590" s="184" t="str">
        <f>VLOOKUP(L590, '2022 SIC to NAICS'!A:D, 4)</f>
        <v>Explosives Manufacturing</v>
      </c>
      <c r="P590" s="185" t="str">
        <f>VLOOKUP(N590, 'NAICS OES crosswalk'!A:C, 3, FALSE)</f>
        <v>TBD</v>
      </c>
      <c r="T590">
        <v>180600060703</v>
      </c>
      <c r="U590" t="s">
        <v>807</v>
      </c>
      <c r="V590">
        <v>0.1623291875</v>
      </c>
      <c r="X590" t="b">
        <f t="shared" si="10"/>
        <v>0</v>
      </c>
      <c r="Y590" s="186" t="s">
        <v>1402</v>
      </c>
      <c r="Z590" t="s">
        <v>1403</v>
      </c>
    </row>
    <row r="591" spans="1:26" x14ac:dyDescent="0.25">
      <c r="A591">
        <v>2022</v>
      </c>
      <c r="B591" t="s">
        <v>1400</v>
      </c>
      <c r="C591" t="s">
        <v>810</v>
      </c>
      <c r="D591" s="1">
        <v>110017432937</v>
      </c>
      <c r="E591" t="s">
        <v>206</v>
      </c>
      <c r="F591" t="s">
        <v>207</v>
      </c>
      <c r="G591" t="s">
        <v>808</v>
      </c>
      <c r="H591" t="s">
        <v>205</v>
      </c>
      <c r="I591" t="s">
        <v>1401</v>
      </c>
      <c r="J591">
        <v>35.722341999999998</v>
      </c>
      <c r="K591">
        <v>-91.524983000000006</v>
      </c>
      <c r="L591">
        <v>2865</v>
      </c>
      <c r="M591" s="175" t="str">
        <f>VLOOKUP(L591, '2022 SIC to NAICS'!A:D, 2)</f>
        <v>Platemaking Services</v>
      </c>
      <c r="N591" s="184">
        <f>VLOOKUP(L591, '2022 SIC to NAICS'!A:D, 3)</f>
        <v>323120</v>
      </c>
      <c r="O591" s="184" t="str">
        <f>VLOOKUP(L591, '2022 SIC to NAICS'!A:D, 4)</f>
        <v>Support Activities for Printing</v>
      </c>
      <c r="P591" s="185" t="str">
        <f>VLOOKUP(N591, 'NAICS OES crosswalk'!A:C, 3, FALSE)</f>
        <v>TBD</v>
      </c>
      <c r="T591">
        <v>110100040704</v>
      </c>
      <c r="U591" t="s">
        <v>811</v>
      </c>
      <c r="V591">
        <v>5.3889800000000001</v>
      </c>
      <c r="X591" t="b">
        <f t="shared" si="10"/>
        <v>0</v>
      </c>
      <c r="Y591" s="186" t="s">
        <v>1404</v>
      </c>
      <c r="Z591" t="s">
        <v>1403</v>
      </c>
    </row>
    <row r="592" spans="1:26" x14ac:dyDescent="0.25">
      <c r="A592">
        <v>2022</v>
      </c>
      <c r="B592" t="s">
        <v>1400</v>
      </c>
      <c r="C592" t="s">
        <v>1117</v>
      </c>
      <c r="D592" s="1">
        <v>110004306938</v>
      </c>
      <c r="E592" t="s">
        <v>156</v>
      </c>
      <c r="F592" t="s">
        <v>157</v>
      </c>
      <c r="G592" t="s">
        <v>575</v>
      </c>
      <c r="H592" t="s">
        <v>158</v>
      </c>
      <c r="I592" t="s">
        <v>1405</v>
      </c>
      <c r="J592">
        <v>36.122100000000003</v>
      </c>
      <c r="K592">
        <v>-115.17139</v>
      </c>
      <c r="L592">
        <v>7011</v>
      </c>
      <c r="M592" s="175" t="str">
        <f>VLOOKUP(L592, '2022 SIC to NAICS'!A:D, 2)</f>
        <v>Communication Services, Nec</v>
      </c>
      <c r="N592" s="184">
        <f>VLOOKUP(L592, '2022 SIC to NAICS'!A:D, 3)</f>
        <v>517810</v>
      </c>
      <c r="O592" s="184" t="str">
        <f>VLOOKUP(L592, '2022 SIC to NAICS'!A:D, 4)</f>
        <v xml:space="preserve">All Other Telecommunications </v>
      </c>
      <c r="P592" s="185" t="str">
        <f>VLOOKUP(N592, 'NAICS OES crosswalk'!A:C, 3, FALSE)</f>
        <v>TBD</v>
      </c>
      <c r="T592">
        <v>150100150604</v>
      </c>
      <c r="U592" t="s">
        <v>578</v>
      </c>
      <c r="V592">
        <v>0.32990817</v>
      </c>
      <c r="X592" t="b">
        <f t="shared" si="10"/>
        <v>0</v>
      </c>
      <c r="Y592" s="186" t="s">
        <v>1418</v>
      </c>
      <c r="Z592" t="s">
        <v>1403</v>
      </c>
    </row>
    <row r="593" spans="1:26" x14ac:dyDescent="0.25">
      <c r="A593">
        <v>2023</v>
      </c>
      <c r="B593" t="s">
        <v>1400</v>
      </c>
      <c r="C593" t="s">
        <v>986</v>
      </c>
      <c r="D593" s="1">
        <v>110043734983</v>
      </c>
      <c r="E593" t="s">
        <v>286</v>
      </c>
      <c r="F593" t="s">
        <v>150</v>
      </c>
      <c r="G593" t="s">
        <v>985</v>
      </c>
      <c r="H593" t="s">
        <v>138</v>
      </c>
      <c r="I593" t="s">
        <v>1401</v>
      </c>
      <c r="J593">
        <v>37.770769999999999</v>
      </c>
      <c r="K593">
        <v>-87.065669999999997</v>
      </c>
      <c r="L593">
        <v>4952</v>
      </c>
      <c r="M593" s="175" t="str">
        <f>VLOOKUP(L593, '2022 SIC to NAICS'!A:D, 2)</f>
        <v>Manufacturing Industries, Nec</v>
      </c>
      <c r="N593" s="184">
        <f>VLOOKUP(L593, '2022 SIC to NAICS'!A:D, 3)</f>
        <v>339999</v>
      </c>
      <c r="O593" s="184" t="str">
        <f>VLOOKUP(L593, '2022 SIC to NAICS'!A:D, 4)</f>
        <v xml:space="preserve">All Other Miscellaneous Manufacturing </v>
      </c>
      <c r="P593" s="185" t="str">
        <f>VLOOKUP(N593, 'NAICS OES crosswalk'!A:C, 3, FALSE)</f>
        <v>TBD</v>
      </c>
      <c r="T593" s="186" t="s">
        <v>1226</v>
      </c>
      <c r="U593" t="s">
        <v>987</v>
      </c>
      <c r="V593">
        <v>4.7248155000000001</v>
      </c>
      <c r="X593" t="b">
        <f>V593 &lt;= _xlfn.PERCENTILE.INC($V$593:$V$733, 0.1)</f>
        <v>0</v>
      </c>
      <c r="Y593" s="186" t="s">
        <v>1402</v>
      </c>
      <c r="Z593" t="s">
        <v>1403</v>
      </c>
    </row>
    <row r="594" spans="1:26" x14ac:dyDescent="0.25">
      <c r="A594">
        <v>2023</v>
      </c>
      <c r="B594" t="s">
        <v>1400</v>
      </c>
      <c r="C594" t="s">
        <v>889</v>
      </c>
      <c r="D594" s="1">
        <v>110000599479</v>
      </c>
      <c r="E594" t="s">
        <v>377</v>
      </c>
      <c r="F594" t="s">
        <v>378</v>
      </c>
      <c r="G594" t="s">
        <v>888</v>
      </c>
      <c r="H594" t="s">
        <v>114</v>
      </c>
      <c r="I594" t="s">
        <v>1405</v>
      </c>
      <c r="J594">
        <v>29.458400000000001</v>
      </c>
      <c r="K594">
        <v>-95.330399999999997</v>
      </c>
      <c r="L594">
        <v>2869</v>
      </c>
      <c r="M594" s="175" t="str">
        <f>VLOOKUP(L594, '2022 SIC to NAICS'!A:D, 2)</f>
        <v>Industrial Organic Chemicals, Nec</v>
      </c>
      <c r="N594" s="184">
        <f>VLOOKUP(L594, '2022 SIC to NAICS'!A:D, 3)</f>
        <v>325180</v>
      </c>
      <c r="O594" s="184" t="str">
        <f>VLOOKUP(L594, '2022 SIC to NAICS'!A:D, 4)</f>
        <v xml:space="preserve">Other Basic Inorganic Chemical Manufacturing </v>
      </c>
      <c r="P594" s="185" t="str">
        <f>VLOOKUP(N594, 'NAICS OES crosswalk'!A:C, 3, FALSE)</f>
        <v>Processing as a reactant</v>
      </c>
      <c r="T594">
        <v>120402040400</v>
      </c>
      <c r="U594" t="s">
        <v>890</v>
      </c>
      <c r="V594">
        <v>1.4913900000000001E-2</v>
      </c>
      <c r="X594" t="b">
        <f t="shared" ref="X594:X657" si="11">V594 &lt;= _xlfn.PERCENTILE.INC($V$593:$V$733, 0.1)</f>
        <v>0</v>
      </c>
      <c r="Y594" s="186" t="s">
        <v>1402</v>
      </c>
    </row>
    <row r="595" spans="1:26" x14ac:dyDescent="0.25">
      <c r="A595">
        <v>2023</v>
      </c>
      <c r="B595" t="s">
        <v>1400</v>
      </c>
      <c r="C595" t="s">
        <v>632</v>
      </c>
      <c r="D595" s="1">
        <v>110064611969</v>
      </c>
      <c r="E595" t="s">
        <v>265</v>
      </c>
      <c r="F595" t="s">
        <v>175</v>
      </c>
      <c r="G595" t="s">
        <v>630</v>
      </c>
      <c r="H595" t="s">
        <v>106</v>
      </c>
      <c r="I595" t="s">
        <v>1401</v>
      </c>
      <c r="J595">
        <v>30.23771</v>
      </c>
      <c r="K595">
        <v>-93.258650000000003</v>
      </c>
      <c r="L595">
        <v>2819</v>
      </c>
      <c r="M595" s="175" t="str">
        <f>VLOOKUP(L595, '2022 SIC to NAICS'!A:D, 2)</f>
        <v>Platemaking Services</v>
      </c>
      <c r="N595" s="184">
        <f>VLOOKUP(L595, '2022 SIC to NAICS'!A:D, 3)</f>
        <v>323120</v>
      </c>
      <c r="O595" s="184" t="str">
        <f>VLOOKUP(L595, '2022 SIC to NAICS'!A:D, 4)</f>
        <v>Support Activities for Printing</v>
      </c>
      <c r="P595" s="185" t="str">
        <f>VLOOKUP(N595, 'NAICS OES crosswalk'!A:C, 3, FALSE)</f>
        <v>TBD</v>
      </c>
      <c r="T595" s="186" t="s">
        <v>1218</v>
      </c>
      <c r="U595" t="s">
        <v>633</v>
      </c>
      <c r="V595">
        <v>5.10975</v>
      </c>
      <c r="X595" t="b">
        <f t="shared" si="11"/>
        <v>0</v>
      </c>
      <c r="Y595" s="186" t="s">
        <v>1432</v>
      </c>
      <c r="Z595" t="s">
        <v>1403</v>
      </c>
    </row>
    <row r="596" spans="1:26" x14ac:dyDescent="0.25">
      <c r="A596">
        <v>2023</v>
      </c>
      <c r="B596" t="s">
        <v>1400</v>
      </c>
      <c r="C596" t="s">
        <v>810</v>
      </c>
      <c r="D596" s="1">
        <v>110017432937</v>
      </c>
      <c r="E596" t="s">
        <v>206</v>
      </c>
      <c r="F596" t="s">
        <v>207</v>
      </c>
      <c r="G596" t="s">
        <v>808</v>
      </c>
      <c r="H596" t="s">
        <v>205</v>
      </c>
      <c r="I596" t="s">
        <v>1401</v>
      </c>
      <c r="J596">
        <v>35.722341999999998</v>
      </c>
      <c r="K596">
        <v>-91.524983000000006</v>
      </c>
      <c r="L596">
        <v>2865</v>
      </c>
      <c r="M596" s="175" t="str">
        <f>VLOOKUP(L596, '2022 SIC to NAICS'!A:D, 2)</f>
        <v>Platemaking Services</v>
      </c>
      <c r="N596" s="184">
        <f>VLOOKUP(L596, '2022 SIC to NAICS'!A:D, 3)</f>
        <v>323120</v>
      </c>
      <c r="O596" s="184" t="str">
        <f>VLOOKUP(L596, '2022 SIC to NAICS'!A:D, 4)</f>
        <v>Support Activities for Printing</v>
      </c>
      <c r="P596" s="185" t="str">
        <f>VLOOKUP(N596, 'NAICS OES crosswalk'!A:C, 3, FALSE)</f>
        <v>TBD</v>
      </c>
      <c r="T596">
        <v>110100040704</v>
      </c>
      <c r="U596" t="s">
        <v>811</v>
      </c>
      <c r="V596">
        <v>4.5536199999999996</v>
      </c>
      <c r="X596" t="b">
        <f t="shared" si="11"/>
        <v>0</v>
      </c>
      <c r="Y596" s="186" t="s">
        <v>1404</v>
      </c>
      <c r="Z596" t="s">
        <v>1403</v>
      </c>
    </row>
    <row r="597" spans="1:26" x14ac:dyDescent="0.25">
      <c r="A597">
        <v>2023</v>
      </c>
      <c r="B597" t="s">
        <v>1400</v>
      </c>
      <c r="C597" t="s">
        <v>877</v>
      </c>
      <c r="D597" s="1">
        <v>110000461107</v>
      </c>
      <c r="E597" t="s">
        <v>515</v>
      </c>
      <c r="F597" t="s">
        <v>313</v>
      </c>
      <c r="G597" t="s">
        <v>638</v>
      </c>
      <c r="H597" t="s">
        <v>114</v>
      </c>
      <c r="I597" t="s">
        <v>1401</v>
      </c>
      <c r="J597">
        <v>29.706247999999999</v>
      </c>
      <c r="K597">
        <v>-95.251079000000004</v>
      </c>
      <c r="L597">
        <v>2869</v>
      </c>
      <c r="M597" s="175" t="str">
        <f>VLOOKUP(L597, '2022 SIC to NAICS'!A:D, 2)</f>
        <v>Industrial Organic Chemicals, Nec</v>
      </c>
      <c r="N597" s="184">
        <f>VLOOKUP(L597, '2022 SIC to NAICS'!A:D, 3)</f>
        <v>325180</v>
      </c>
      <c r="O597" s="184" t="str">
        <f>VLOOKUP(L597, '2022 SIC to NAICS'!A:D, 4)</f>
        <v xml:space="preserve">Other Basic Inorganic Chemical Manufacturing </v>
      </c>
      <c r="P597" s="185" t="str">
        <f>VLOOKUP(N597, 'NAICS OES crosswalk'!A:C, 3, FALSE)</f>
        <v>Processing as a reactant</v>
      </c>
      <c r="T597">
        <v>120401040502</v>
      </c>
      <c r="U597" t="s">
        <v>744</v>
      </c>
      <c r="V597">
        <v>5.7998500000000001E-2</v>
      </c>
      <c r="X597" t="b">
        <f t="shared" si="11"/>
        <v>0</v>
      </c>
      <c r="Y597" s="186" t="s">
        <v>1402</v>
      </c>
      <c r="Z597" t="s">
        <v>1403</v>
      </c>
    </row>
    <row r="598" spans="1:26" x14ac:dyDescent="0.25">
      <c r="A598">
        <v>2023</v>
      </c>
      <c r="B598" t="s">
        <v>1400</v>
      </c>
      <c r="C598" t="s">
        <v>692</v>
      </c>
      <c r="D598" s="1">
        <v>110064265496</v>
      </c>
      <c r="E598" t="s">
        <v>244</v>
      </c>
      <c r="F598" t="s">
        <v>245</v>
      </c>
      <c r="G598" t="s">
        <v>691</v>
      </c>
      <c r="H598" t="s">
        <v>138</v>
      </c>
      <c r="I598" t="s">
        <v>1401</v>
      </c>
      <c r="J598">
        <v>37.304611999999999</v>
      </c>
      <c r="K598">
        <v>-87.145292999999995</v>
      </c>
      <c r="L598">
        <v>4952</v>
      </c>
      <c r="M598" s="175" t="str">
        <f>VLOOKUP(L598, '2022 SIC to NAICS'!A:D, 2)</f>
        <v>Manufacturing Industries, Nec</v>
      </c>
      <c r="N598" s="184">
        <f>VLOOKUP(L598, '2022 SIC to NAICS'!A:D, 3)</f>
        <v>339999</v>
      </c>
      <c r="O598" s="184" t="str">
        <f>VLOOKUP(L598, '2022 SIC to NAICS'!A:D, 4)</f>
        <v xml:space="preserve">All Other Miscellaneous Manufacturing </v>
      </c>
      <c r="P598" s="185" t="str">
        <f>VLOOKUP(N598, 'NAICS OES crosswalk'!A:C, 3, FALSE)</f>
        <v>TBD</v>
      </c>
      <c r="T598" s="186" t="s">
        <v>1208</v>
      </c>
      <c r="U598" t="s">
        <v>693</v>
      </c>
      <c r="V598">
        <v>5.9681879999999999E-4</v>
      </c>
      <c r="X598" t="b">
        <f t="shared" si="11"/>
        <v>1</v>
      </c>
      <c r="Y598" s="186" t="s">
        <v>1402</v>
      </c>
    </row>
    <row r="599" spans="1:26" x14ac:dyDescent="0.25">
      <c r="A599">
        <v>2023</v>
      </c>
      <c r="B599" t="s">
        <v>1400</v>
      </c>
      <c r="C599" t="s">
        <v>1475</v>
      </c>
      <c r="D599" s="1">
        <v>110000449435</v>
      </c>
      <c r="E599" t="s">
        <v>1476</v>
      </c>
      <c r="F599" t="s">
        <v>1477</v>
      </c>
      <c r="G599" t="s">
        <v>1478</v>
      </c>
      <c r="H599" t="s">
        <v>106</v>
      </c>
      <c r="I599" t="s">
        <v>1405</v>
      </c>
      <c r="J599">
        <v>30.230833000000001</v>
      </c>
      <c r="K599">
        <v>-92.306667000000004</v>
      </c>
      <c r="L599">
        <v>5169</v>
      </c>
      <c r="M599" s="175" t="str">
        <f>VLOOKUP(L599, '2022 SIC to NAICS'!A:D, 2)</f>
        <v>Chemicals and Allied Products, Nec</v>
      </c>
      <c r="N599" s="184">
        <f>VLOOKUP(L599, '2022 SIC to NAICS'!A:D, 3)</f>
        <v>425120</v>
      </c>
      <c r="O599" s="184" t="str">
        <f>VLOOKUP(L599, '2022 SIC to NAICS'!A:D, 4)</f>
        <v xml:space="preserve">Wholesale Trade Agents and Brokers </v>
      </c>
      <c r="P599" s="185" t="str">
        <f>VLOOKUP(N599, 'NAICS OES crosswalk'!A:C, 3, FALSE)</f>
        <v>TBD</v>
      </c>
      <c r="T599" s="186" t="s">
        <v>1479</v>
      </c>
      <c r="U599" t="s">
        <v>1480</v>
      </c>
      <c r="V599">
        <v>2.8784925000000001E-5</v>
      </c>
      <c r="X599" t="b">
        <f t="shared" si="11"/>
        <v>1</v>
      </c>
      <c r="Y599" s="186" t="s">
        <v>1418</v>
      </c>
      <c r="Z599" t="s">
        <v>1403</v>
      </c>
    </row>
    <row r="600" spans="1:26" x14ac:dyDescent="0.25">
      <c r="A600">
        <v>2023</v>
      </c>
      <c r="B600" t="s">
        <v>1400</v>
      </c>
      <c r="C600" t="s">
        <v>1117</v>
      </c>
      <c r="D600" s="1">
        <v>110004306938</v>
      </c>
      <c r="E600" t="s">
        <v>156</v>
      </c>
      <c r="F600" t="s">
        <v>157</v>
      </c>
      <c r="G600" t="s">
        <v>575</v>
      </c>
      <c r="H600" t="s">
        <v>158</v>
      </c>
      <c r="I600" t="s">
        <v>1405</v>
      </c>
      <c r="J600">
        <v>36.122100000000003</v>
      </c>
      <c r="K600">
        <v>-115.17139</v>
      </c>
      <c r="L600">
        <v>7011</v>
      </c>
      <c r="M600" s="175" t="str">
        <f>VLOOKUP(L600, '2022 SIC to NAICS'!A:D, 2)</f>
        <v>Communication Services, Nec</v>
      </c>
      <c r="N600" s="184">
        <f>VLOOKUP(L600, '2022 SIC to NAICS'!A:D, 3)</f>
        <v>517810</v>
      </c>
      <c r="O600" s="184" t="str">
        <f>VLOOKUP(L600, '2022 SIC to NAICS'!A:D, 4)</f>
        <v xml:space="preserve">All Other Telecommunications </v>
      </c>
      <c r="P600" s="185" t="str">
        <f>VLOOKUP(N600, 'NAICS OES crosswalk'!A:C, 3, FALSE)</f>
        <v>TBD</v>
      </c>
      <c r="T600">
        <v>150100150604</v>
      </c>
      <c r="U600" t="s">
        <v>578</v>
      </c>
      <c r="V600">
        <v>1.94138800625E-2</v>
      </c>
      <c r="X600" t="b">
        <f t="shared" si="11"/>
        <v>0</v>
      </c>
      <c r="Y600" s="186" t="s">
        <v>1404</v>
      </c>
      <c r="Z600" t="s">
        <v>1403</v>
      </c>
    </row>
    <row r="601" spans="1:26" x14ac:dyDescent="0.25">
      <c r="A601">
        <v>2023</v>
      </c>
      <c r="B601" t="s">
        <v>1400</v>
      </c>
      <c r="C601" t="s">
        <v>872</v>
      </c>
      <c r="D601" s="1">
        <v>110018199377</v>
      </c>
      <c r="E601" t="s">
        <v>212</v>
      </c>
      <c r="F601" t="s">
        <v>213</v>
      </c>
      <c r="G601" t="s">
        <v>870</v>
      </c>
      <c r="H601" t="s">
        <v>141</v>
      </c>
      <c r="I601" t="s">
        <v>1405</v>
      </c>
      <c r="J601">
        <v>41.692782000000001</v>
      </c>
      <c r="K601">
        <v>-87.951100999999994</v>
      </c>
      <c r="L601">
        <v>4226</v>
      </c>
      <c r="M601" s="175" t="str">
        <f>VLOOKUP(L601, '2022 SIC to NAICS'!A:D, 2)</f>
        <v>Manufacturing Industries, Nec</v>
      </c>
      <c r="N601" s="184">
        <f>VLOOKUP(L601, '2022 SIC to NAICS'!A:D, 3)</f>
        <v>339999</v>
      </c>
      <c r="O601" s="184" t="str">
        <f>VLOOKUP(L601, '2022 SIC to NAICS'!A:D, 4)</f>
        <v xml:space="preserve">All Other Miscellaneous Manufacturing </v>
      </c>
      <c r="P601" s="185" t="str">
        <f>VLOOKUP(N601, 'NAICS OES crosswalk'!A:C, 3, FALSE)</f>
        <v>TBD</v>
      </c>
      <c r="T601" s="186" t="s">
        <v>1200</v>
      </c>
      <c r="U601" t="s">
        <v>873</v>
      </c>
      <c r="V601">
        <v>0.10041605000000001</v>
      </c>
      <c r="X601" t="b">
        <f t="shared" si="11"/>
        <v>0</v>
      </c>
      <c r="Y601" s="186" t="s">
        <v>1404</v>
      </c>
      <c r="Z601" t="s">
        <v>1403</v>
      </c>
    </row>
    <row r="602" spans="1:26" x14ac:dyDescent="0.25">
      <c r="A602">
        <v>2023</v>
      </c>
      <c r="B602" t="s">
        <v>1400</v>
      </c>
      <c r="C602" t="s">
        <v>583</v>
      </c>
      <c r="D602" s="1">
        <v>110000846602</v>
      </c>
      <c r="E602" t="s">
        <v>401</v>
      </c>
      <c r="F602" t="s">
        <v>402</v>
      </c>
      <c r="G602" t="s">
        <v>402</v>
      </c>
      <c r="H602" t="s">
        <v>106</v>
      </c>
      <c r="I602" t="s">
        <v>1405</v>
      </c>
      <c r="J602">
        <v>30.27083</v>
      </c>
      <c r="K602">
        <v>-92.037279999999996</v>
      </c>
      <c r="L602">
        <v>2821</v>
      </c>
      <c r="M602" s="175" t="str">
        <f>VLOOKUP(L602, '2022 SIC to NAICS'!A:D, 2)</f>
        <v>Platemaking Services</v>
      </c>
      <c r="N602" s="184">
        <f>VLOOKUP(L602, '2022 SIC to NAICS'!A:D, 3)</f>
        <v>323120</v>
      </c>
      <c r="O602" s="184" t="str">
        <f>VLOOKUP(L602, '2022 SIC to NAICS'!A:D, 4)</f>
        <v>Support Activities for Printing</v>
      </c>
      <c r="P602" s="185" t="str">
        <f>VLOOKUP(N602, 'NAICS OES crosswalk'!A:C, 3, FALSE)</f>
        <v>TBD</v>
      </c>
      <c r="T602" s="186" t="s">
        <v>1264</v>
      </c>
      <c r="U602" t="s">
        <v>584</v>
      </c>
      <c r="V602">
        <v>4.0637557874999997E-3</v>
      </c>
      <c r="X602" t="b">
        <f t="shared" si="11"/>
        <v>0</v>
      </c>
      <c r="Y602" s="186" t="s">
        <v>1402</v>
      </c>
      <c r="Z602" t="s">
        <v>1403</v>
      </c>
    </row>
    <row r="603" spans="1:26" x14ac:dyDescent="0.25">
      <c r="A603">
        <v>2023</v>
      </c>
      <c r="B603" t="s">
        <v>1400</v>
      </c>
      <c r="C603" t="s">
        <v>1018</v>
      </c>
      <c r="D603" s="1">
        <v>110001163062</v>
      </c>
      <c r="E603" t="s">
        <v>516</v>
      </c>
      <c r="F603" t="s">
        <v>517</v>
      </c>
      <c r="G603" t="s">
        <v>736</v>
      </c>
      <c r="H603" t="s">
        <v>146</v>
      </c>
      <c r="I603" t="s">
        <v>1405</v>
      </c>
      <c r="J603">
        <v>38.055900000000001</v>
      </c>
      <c r="K603">
        <v>-122.21435</v>
      </c>
      <c r="L603">
        <v>4931</v>
      </c>
      <c r="M603" s="175" t="str">
        <f>VLOOKUP(L603, '2022 SIC to NAICS'!A:D, 2)</f>
        <v>Manufacturing Industries, Nec</v>
      </c>
      <c r="N603" s="184">
        <f>VLOOKUP(L603, '2022 SIC to NAICS'!A:D, 3)</f>
        <v>339999</v>
      </c>
      <c r="O603" s="184" t="str">
        <f>VLOOKUP(L603, '2022 SIC to NAICS'!A:D, 4)</f>
        <v xml:space="preserve">All Other Miscellaneous Manufacturing </v>
      </c>
      <c r="P603" s="185" t="str">
        <f>VLOOKUP(N603, 'NAICS OES crosswalk'!A:C, 3, FALSE)</f>
        <v>TBD</v>
      </c>
      <c r="T603">
        <v>180500010303</v>
      </c>
      <c r="U603" t="s">
        <v>1019</v>
      </c>
      <c r="V603">
        <v>2.7174161569625001E-3</v>
      </c>
      <c r="X603" t="b">
        <f t="shared" si="11"/>
        <v>0</v>
      </c>
      <c r="Y603" s="186" t="s">
        <v>1402</v>
      </c>
      <c r="Z603" t="s">
        <v>1403</v>
      </c>
    </row>
    <row r="604" spans="1:26" x14ac:dyDescent="0.25">
      <c r="A604">
        <v>2023</v>
      </c>
      <c r="B604" t="s">
        <v>1400</v>
      </c>
      <c r="C604" t="s">
        <v>1117</v>
      </c>
      <c r="D604" s="1">
        <v>110004306938</v>
      </c>
      <c r="E604" t="s">
        <v>156</v>
      </c>
      <c r="F604" t="s">
        <v>157</v>
      </c>
      <c r="G604" t="s">
        <v>575</v>
      </c>
      <c r="H604" t="s">
        <v>158</v>
      </c>
      <c r="I604" t="s">
        <v>1405</v>
      </c>
      <c r="J604">
        <v>36.122100000000003</v>
      </c>
      <c r="K604">
        <v>-115.17139</v>
      </c>
      <c r="L604">
        <v>7011</v>
      </c>
      <c r="M604" s="175" t="str">
        <f>VLOOKUP(L604, '2022 SIC to NAICS'!A:D, 2)</f>
        <v>Communication Services, Nec</v>
      </c>
      <c r="N604" s="184">
        <f>VLOOKUP(L604, '2022 SIC to NAICS'!A:D, 3)</f>
        <v>517810</v>
      </c>
      <c r="O604" s="184" t="str">
        <f>VLOOKUP(L604, '2022 SIC to NAICS'!A:D, 4)</f>
        <v xml:space="preserve">All Other Telecommunications </v>
      </c>
      <c r="P604" s="185" t="str">
        <f>VLOOKUP(N604, 'NAICS OES crosswalk'!A:C, 3, FALSE)</f>
        <v>TBD</v>
      </c>
      <c r="T604">
        <v>150100150604</v>
      </c>
      <c r="U604" t="s">
        <v>578</v>
      </c>
      <c r="V604">
        <v>2.5347529937499998E-2</v>
      </c>
      <c r="X604" t="b">
        <f t="shared" si="11"/>
        <v>0</v>
      </c>
      <c r="Y604" s="186" t="s">
        <v>1430</v>
      </c>
      <c r="Z604" t="s">
        <v>1403</v>
      </c>
    </row>
    <row r="605" spans="1:26" x14ac:dyDescent="0.25">
      <c r="A605">
        <v>2023</v>
      </c>
      <c r="B605" t="s">
        <v>1400</v>
      </c>
      <c r="C605" t="s">
        <v>657</v>
      </c>
      <c r="D605" s="1">
        <v>110046184516</v>
      </c>
      <c r="E605" t="s">
        <v>184</v>
      </c>
      <c r="F605" t="s">
        <v>185</v>
      </c>
      <c r="G605" t="s">
        <v>185</v>
      </c>
      <c r="H605" t="s">
        <v>186</v>
      </c>
      <c r="I605" t="s">
        <v>1405</v>
      </c>
      <c r="J605">
        <v>21.352499999999999</v>
      </c>
      <c r="K605">
        <v>-157.95813899999999</v>
      </c>
      <c r="L605">
        <v>3731</v>
      </c>
      <c r="M605" s="175" t="str">
        <f>VLOOKUP(L605, '2022 SIC to NAICS'!A:D, 2)</f>
        <v>Office Machines, Nec</v>
      </c>
      <c r="N605" s="184">
        <f>VLOOKUP(L605, '2022 SIC to NAICS'!A:D, 3)</f>
        <v>339940</v>
      </c>
      <c r="O605" s="184" t="str">
        <f>VLOOKUP(L605, '2022 SIC to NAICS'!A:D, 4)</f>
        <v>Office Supplies (except Paper) Manufacturing</v>
      </c>
      <c r="P605" s="185" t="str">
        <f>VLOOKUP(N605, 'NAICS OES crosswalk'!A:C, 3, FALSE)</f>
        <v>TBD</v>
      </c>
      <c r="T605">
        <v>200600000401</v>
      </c>
      <c r="U605" t="s">
        <v>658</v>
      </c>
      <c r="V605">
        <v>0.82891499999999996</v>
      </c>
      <c r="X605" t="b">
        <f t="shared" si="11"/>
        <v>0</v>
      </c>
      <c r="Y605" t="s">
        <v>1481</v>
      </c>
      <c r="Z605" t="s">
        <v>1403</v>
      </c>
    </row>
    <row r="606" spans="1:26" x14ac:dyDescent="0.25">
      <c r="A606">
        <v>2023</v>
      </c>
      <c r="B606" t="s">
        <v>1400</v>
      </c>
      <c r="C606" t="s">
        <v>1038</v>
      </c>
      <c r="D606" s="1">
        <v>110064634686</v>
      </c>
      <c r="E606" t="s">
        <v>273</v>
      </c>
      <c r="F606" t="s">
        <v>274</v>
      </c>
      <c r="G606" t="s">
        <v>1036</v>
      </c>
      <c r="H606" t="s">
        <v>268</v>
      </c>
      <c r="I606" t="s">
        <v>1401</v>
      </c>
      <c r="J606">
        <v>40.094276999999998</v>
      </c>
      <c r="K606">
        <v>-74.865442000000002</v>
      </c>
      <c r="L606">
        <v>2821</v>
      </c>
      <c r="M606" s="175" t="str">
        <f>VLOOKUP(L606, '2022 SIC to NAICS'!A:D, 2)</f>
        <v>Platemaking Services</v>
      </c>
      <c r="N606" s="184">
        <f>VLOOKUP(L606, '2022 SIC to NAICS'!A:D, 3)</f>
        <v>323120</v>
      </c>
      <c r="O606" s="184" t="str">
        <f>VLOOKUP(L606, '2022 SIC to NAICS'!A:D, 4)</f>
        <v>Support Activities for Printing</v>
      </c>
      <c r="P606" s="185" t="str">
        <f>VLOOKUP(N606, 'NAICS OES crosswalk'!A:C, 3, FALSE)</f>
        <v>TBD</v>
      </c>
      <c r="T606" s="186" t="s">
        <v>1221</v>
      </c>
      <c r="U606" t="s">
        <v>1039</v>
      </c>
      <c r="V606">
        <v>0.19637769999999999</v>
      </c>
      <c r="X606" t="b">
        <f t="shared" si="11"/>
        <v>0</v>
      </c>
      <c r="Y606" s="186" t="s">
        <v>1433</v>
      </c>
      <c r="Z606" t="s">
        <v>1403</v>
      </c>
    </row>
    <row r="607" spans="1:26" x14ac:dyDescent="0.25">
      <c r="A607">
        <v>2023</v>
      </c>
      <c r="B607" t="s">
        <v>1400</v>
      </c>
      <c r="C607" t="s">
        <v>1006</v>
      </c>
      <c r="D607" s="1">
        <v>110071158765</v>
      </c>
      <c r="E607" t="s">
        <v>518</v>
      </c>
      <c r="F607" t="s">
        <v>519</v>
      </c>
      <c r="G607" t="s">
        <v>1004</v>
      </c>
      <c r="H607" t="s">
        <v>520</v>
      </c>
      <c r="I607" t="s">
        <v>1405</v>
      </c>
      <c r="J607">
        <v>42.362200000000001</v>
      </c>
      <c r="K607">
        <v>-71.084089000000006</v>
      </c>
      <c r="L607">
        <v>4959</v>
      </c>
      <c r="M607" s="175" t="str">
        <f>VLOOKUP(L607, '2022 SIC to NAICS'!A:D, 2)</f>
        <v>Manufacturing Industries, Nec</v>
      </c>
      <c r="N607" s="184">
        <f>VLOOKUP(L607, '2022 SIC to NAICS'!A:D, 3)</f>
        <v>339999</v>
      </c>
      <c r="O607" s="184" t="str">
        <f>VLOOKUP(L607, '2022 SIC to NAICS'!A:D, 4)</f>
        <v xml:space="preserve">All Other Miscellaneous Manufacturing </v>
      </c>
      <c r="P607" s="185" t="str">
        <f>VLOOKUP(N607, 'NAICS OES crosswalk'!A:C, 3, FALSE)</f>
        <v>TBD</v>
      </c>
      <c r="T607" s="186" t="s">
        <v>1289</v>
      </c>
      <c r="U607" t="s">
        <v>1003</v>
      </c>
      <c r="V607">
        <v>5.5009581375000003E-3</v>
      </c>
      <c r="X607" t="b">
        <f t="shared" si="11"/>
        <v>0</v>
      </c>
      <c r="Y607" s="186" t="s">
        <v>1402</v>
      </c>
      <c r="Z607" t="s">
        <v>1403</v>
      </c>
    </row>
    <row r="608" spans="1:26" x14ac:dyDescent="0.25">
      <c r="A608">
        <v>2023</v>
      </c>
      <c r="B608" t="s">
        <v>1400</v>
      </c>
      <c r="C608" t="s">
        <v>636</v>
      </c>
      <c r="D608" s="1">
        <v>110000487633</v>
      </c>
      <c r="E608" t="s">
        <v>195</v>
      </c>
      <c r="F608" t="s">
        <v>196</v>
      </c>
      <c r="G608" t="s">
        <v>634</v>
      </c>
      <c r="H608" t="s">
        <v>197</v>
      </c>
      <c r="I608" t="s">
        <v>1405</v>
      </c>
      <c r="J608">
        <v>45.543847</v>
      </c>
      <c r="K608">
        <v>-122.46656299999999</v>
      </c>
      <c r="L608">
        <v>3728</v>
      </c>
      <c r="M608" s="175" t="str">
        <f>VLOOKUP(L608, '2022 SIC to NAICS'!A:D, 2)</f>
        <v>Office Machines, Nec</v>
      </c>
      <c r="N608" s="184">
        <f>VLOOKUP(L608, '2022 SIC to NAICS'!A:D, 3)</f>
        <v>339940</v>
      </c>
      <c r="O608" s="184" t="str">
        <f>VLOOKUP(L608, '2022 SIC to NAICS'!A:D, 4)</f>
        <v>Office Supplies (except Paper) Manufacturing</v>
      </c>
      <c r="P608" s="185" t="str">
        <f>VLOOKUP(N608, 'NAICS OES crosswalk'!A:C, 3, FALSE)</f>
        <v>TBD</v>
      </c>
      <c r="T608">
        <v>170900120201</v>
      </c>
      <c r="U608" t="s">
        <v>637</v>
      </c>
      <c r="V608">
        <v>3.0835637999999999E-2</v>
      </c>
      <c r="X608" t="b">
        <f t="shared" si="11"/>
        <v>0</v>
      </c>
      <c r="Y608" s="186" t="s">
        <v>1402</v>
      </c>
      <c r="Z608" t="s">
        <v>1403</v>
      </c>
    </row>
    <row r="609" spans="1:26" x14ac:dyDescent="0.25">
      <c r="A609">
        <v>2023</v>
      </c>
      <c r="B609" t="s">
        <v>1400</v>
      </c>
      <c r="C609" t="s">
        <v>772</v>
      </c>
      <c r="D609" s="1">
        <v>110000433013</v>
      </c>
      <c r="E609" t="s">
        <v>223</v>
      </c>
      <c r="F609" t="s">
        <v>224</v>
      </c>
      <c r="G609" t="s">
        <v>771</v>
      </c>
      <c r="H609" t="s">
        <v>141</v>
      </c>
      <c r="I609" t="s">
        <v>1401</v>
      </c>
      <c r="J609">
        <v>41.412897000000001</v>
      </c>
      <c r="K609">
        <v>-88.329773000000003</v>
      </c>
      <c r="L609">
        <v>2821</v>
      </c>
      <c r="M609" s="175" t="str">
        <f>VLOOKUP(L609, '2022 SIC to NAICS'!A:D, 2)</f>
        <v>Platemaking Services</v>
      </c>
      <c r="N609" s="184">
        <f>VLOOKUP(L609, '2022 SIC to NAICS'!A:D, 3)</f>
        <v>323120</v>
      </c>
      <c r="O609" s="184" t="str">
        <f>VLOOKUP(L609, '2022 SIC to NAICS'!A:D, 4)</f>
        <v>Support Activities for Printing</v>
      </c>
      <c r="P609" s="185" t="str">
        <f>VLOOKUP(N609, 'NAICS OES crosswalk'!A:C, 3, FALSE)</f>
        <v>TBD</v>
      </c>
      <c r="T609" s="186" t="s">
        <v>1202</v>
      </c>
      <c r="U609" t="s">
        <v>773</v>
      </c>
      <c r="V609">
        <v>1.2530399999999999</v>
      </c>
      <c r="X609" t="b">
        <f t="shared" si="11"/>
        <v>0</v>
      </c>
      <c r="Y609" s="186" t="s">
        <v>1430</v>
      </c>
      <c r="Z609" t="s">
        <v>1403</v>
      </c>
    </row>
    <row r="610" spans="1:26" x14ac:dyDescent="0.25">
      <c r="A610">
        <v>2023</v>
      </c>
      <c r="B610" t="s">
        <v>1400</v>
      </c>
      <c r="C610" t="s">
        <v>1452</v>
      </c>
      <c r="D610" s="1">
        <v>110059861065</v>
      </c>
      <c r="E610" t="s">
        <v>1453</v>
      </c>
      <c r="F610" t="s">
        <v>157</v>
      </c>
      <c r="G610" t="s">
        <v>554</v>
      </c>
      <c r="H610" t="s">
        <v>158</v>
      </c>
      <c r="I610" t="s">
        <v>1405</v>
      </c>
      <c r="J610">
        <v>36.108890000000002</v>
      </c>
      <c r="K610">
        <v>-115.18118</v>
      </c>
      <c r="L610">
        <v>6531</v>
      </c>
      <c r="M610" s="175" t="str">
        <f>VLOOKUP(L610, '2022 SIC to NAICS'!A:D, 2)</f>
        <v>Communication Services, Nec</v>
      </c>
      <c r="N610" s="184">
        <f>VLOOKUP(L610, '2022 SIC to NAICS'!A:D, 3)</f>
        <v>517810</v>
      </c>
      <c r="O610" s="184" t="str">
        <f>VLOOKUP(L610, '2022 SIC to NAICS'!A:D, 4)</f>
        <v xml:space="preserve">All Other Telecommunications </v>
      </c>
      <c r="P610" s="185" t="str">
        <f>VLOOKUP(N610, 'NAICS OES crosswalk'!A:C, 3, FALSE)</f>
        <v>TBD</v>
      </c>
      <c r="T610">
        <v>150100150505</v>
      </c>
      <c r="U610" t="s">
        <v>557</v>
      </c>
      <c r="V610">
        <v>7.2391909999999999E-4</v>
      </c>
      <c r="X610" t="b">
        <f t="shared" si="11"/>
        <v>1</v>
      </c>
      <c r="Y610" s="186" t="s">
        <v>1404</v>
      </c>
      <c r="Z610" t="s">
        <v>1403</v>
      </c>
    </row>
    <row r="611" spans="1:26" x14ac:dyDescent="0.25">
      <c r="A611">
        <v>2023</v>
      </c>
      <c r="B611" t="s">
        <v>1400</v>
      </c>
      <c r="C611" t="s">
        <v>594</v>
      </c>
      <c r="D611" s="1">
        <v>110000322311</v>
      </c>
      <c r="E611" t="s">
        <v>521</v>
      </c>
      <c r="F611" t="s">
        <v>522</v>
      </c>
      <c r="G611" t="s">
        <v>592</v>
      </c>
      <c r="H611" t="s">
        <v>153</v>
      </c>
      <c r="I611" t="s">
        <v>1401</v>
      </c>
      <c r="J611">
        <v>40.703099000000002</v>
      </c>
      <c r="K611">
        <v>-75.197676000000001</v>
      </c>
      <c r="L611">
        <v>2819</v>
      </c>
      <c r="M611" s="175" t="str">
        <f>VLOOKUP(L611, '2022 SIC to NAICS'!A:D, 2)</f>
        <v>Platemaking Services</v>
      </c>
      <c r="N611" s="184">
        <f>VLOOKUP(L611, '2022 SIC to NAICS'!A:D, 3)</f>
        <v>323120</v>
      </c>
      <c r="O611" s="184" t="str">
        <f>VLOOKUP(L611, '2022 SIC to NAICS'!A:D, 4)</f>
        <v>Support Activities for Printing</v>
      </c>
      <c r="P611" s="185" t="str">
        <f>VLOOKUP(N611, 'NAICS OES crosswalk'!A:C, 3, FALSE)</f>
        <v>TBD</v>
      </c>
      <c r="T611" s="186" t="s">
        <v>1290</v>
      </c>
      <c r="U611" t="s">
        <v>595</v>
      </c>
      <c r="V611">
        <v>0.15440000000000001</v>
      </c>
      <c r="X611" t="b">
        <f t="shared" si="11"/>
        <v>0</v>
      </c>
      <c r="Y611" s="186" t="s">
        <v>1402</v>
      </c>
      <c r="Z611" t="s">
        <v>1403</v>
      </c>
    </row>
    <row r="612" spans="1:26" x14ac:dyDescent="0.25">
      <c r="A612">
        <v>2023</v>
      </c>
      <c r="B612" t="s">
        <v>1400</v>
      </c>
      <c r="C612" t="s">
        <v>1063</v>
      </c>
      <c r="D612" s="1">
        <v>110064786085</v>
      </c>
      <c r="E612" t="s">
        <v>330</v>
      </c>
      <c r="F612" t="s">
        <v>331</v>
      </c>
      <c r="G612" t="s">
        <v>1061</v>
      </c>
      <c r="H612" t="s">
        <v>250</v>
      </c>
      <c r="I612" t="s">
        <v>1405</v>
      </c>
      <c r="J612">
        <v>44.700833000000003</v>
      </c>
      <c r="K612">
        <v>-73.591667000000001</v>
      </c>
      <c r="L612">
        <v>9511</v>
      </c>
      <c r="M612" s="175" t="str">
        <f>VLOOKUP(L612, '2022 SIC to NAICS'!A:D, 2)</f>
        <v>Air, Water, and Solid Waste Management</v>
      </c>
      <c r="N612" s="184">
        <f>VLOOKUP(L612, '2022 SIC to NAICS'!A:D, 3)</f>
        <v>924110</v>
      </c>
      <c r="O612" s="184" t="str">
        <f>VLOOKUP(L612, '2022 SIC to NAICS'!A:D, 4)</f>
        <v xml:space="preserve">Administration of Air and Water Resource and Solid Waste Management Programs </v>
      </c>
      <c r="P612" s="185" t="str">
        <f>VLOOKUP(N612, 'NAICS OES crosswalk'!A:C, 3, FALSE)</f>
        <v>TBD</v>
      </c>
      <c r="T612" s="186" t="s">
        <v>1243</v>
      </c>
      <c r="U612" t="s">
        <v>1064</v>
      </c>
      <c r="V612">
        <v>6.6826338127499996E-2</v>
      </c>
      <c r="X612" t="b">
        <f t="shared" si="11"/>
        <v>0</v>
      </c>
      <c r="Y612" s="186" t="s">
        <v>1402</v>
      </c>
      <c r="Z612" t="s">
        <v>1403</v>
      </c>
    </row>
    <row r="613" spans="1:26" x14ac:dyDescent="0.25">
      <c r="A613">
        <v>2023</v>
      </c>
      <c r="B613" t="s">
        <v>1400</v>
      </c>
      <c r="C613" t="s">
        <v>580</v>
      </c>
      <c r="D613" s="1">
        <v>110064134459</v>
      </c>
      <c r="E613" t="s">
        <v>233</v>
      </c>
      <c r="F613" t="s">
        <v>157</v>
      </c>
      <c r="G613" t="s">
        <v>554</v>
      </c>
      <c r="H613" t="s">
        <v>158</v>
      </c>
      <c r="I613" t="s">
        <v>1405</v>
      </c>
      <c r="J613">
        <v>36.075400000000002</v>
      </c>
      <c r="K613">
        <v>-115.1669</v>
      </c>
      <c r="L613">
        <v>4581</v>
      </c>
      <c r="M613" s="175" t="str">
        <f>VLOOKUP(L613, '2022 SIC to NAICS'!A:D, 2)</f>
        <v>Manufacturing Industries, Nec</v>
      </c>
      <c r="N613" s="184">
        <f>VLOOKUP(L613, '2022 SIC to NAICS'!A:D, 3)</f>
        <v>339999</v>
      </c>
      <c r="O613" s="184" t="str">
        <f>VLOOKUP(L613, '2022 SIC to NAICS'!A:D, 4)</f>
        <v xml:space="preserve">All Other Miscellaneous Manufacturing </v>
      </c>
      <c r="P613" s="185" t="str">
        <f>VLOOKUP(N613, 'NAICS OES crosswalk'!A:C, 3, FALSE)</f>
        <v>TBD</v>
      </c>
      <c r="T613">
        <v>150100150704</v>
      </c>
      <c r="U613" t="s">
        <v>581</v>
      </c>
      <c r="V613">
        <v>7.1289528749999996E-3</v>
      </c>
      <c r="X613" t="b">
        <f t="shared" si="11"/>
        <v>0</v>
      </c>
      <c r="Y613" s="186" t="s">
        <v>1402</v>
      </c>
      <c r="Z613" t="s">
        <v>1403</v>
      </c>
    </row>
    <row r="614" spans="1:26" x14ac:dyDescent="0.25">
      <c r="A614">
        <v>2023</v>
      </c>
      <c r="B614" t="s">
        <v>1400</v>
      </c>
      <c r="C614" t="s">
        <v>1027</v>
      </c>
      <c r="D614" s="1">
        <v>110013128169</v>
      </c>
      <c r="E614" t="s">
        <v>523</v>
      </c>
      <c r="F614" t="s">
        <v>190</v>
      </c>
      <c r="G614" t="s">
        <v>566</v>
      </c>
      <c r="H614" t="s">
        <v>146</v>
      </c>
      <c r="I614" t="s">
        <v>1405</v>
      </c>
      <c r="J614">
        <v>32.796432000000003</v>
      </c>
      <c r="K614">
        <v>-115.667761</v>
      </c>
      <c r="L614">
        <v>4952</v>
      </c>
      <c r="M614" s="175" t="str">
        <f>VLOOKUP(L614, '2022 SIC to NAICS'!A:D, 2)</f>
        <v>Manufacturing Industries, Nec</v>
      </c>
      <c r="N614" s="184">
        <f>VLOOKUP(L614, '2022 SIC to NAICS'!A:D, 3)</f>
        <v>339999</v>
      </c>
      <c r="O614" s="184" t="str">
        <f>VLOOKUP(L614, '2022 SIC to NAICS'!A:D, 4)</f>
        <v xml:space="preserve">All Other Miscellaneous Manufacturing </v>
      </c>
      <c r="P614" s="185" t="str">
        <f>VLOOKUP(N614, 'NAICS OES crosswalk'!A:C, 3, FALSE)</f>
        <v>TBD</v>
      </c>
      <c r="T614">
        <v>181002040902</v>
      </c>
      <c r="U614" t="s">
        <v>674</v>
      </c>
      <c r="V614">
        <v>2.0722875000000001E-3</v>
      </c>
      <c r="X614" t="b">
        <f t="shared" si="11"/>
        <v>0</v>
      </c>
      <c r="Y614" s="186" t="s">
        <v>1402</v>
      </c>
      <c r="Z614" t="s">
        <v>1403</v>
      </c>
    </row>
    <row r="615" spans="1:26" x14ac:dyDescent="0.25">
      <c r="A615">
        <v>2023</v>
      </c>
      <c r="B615" t="s">
        <v>1400</v>
      </c>
      <c r="C615" t="s">
        <v>743</v>
      </c>
      <c r="D615" s="1">
        <v>110000460901</v>
      </c>
      <c r="E615" t="s">
        <v>312</v>
      </c>
      <c r="F615" t="s">
        <v>313</v>
      </c>
      <c r="G615" t="s">
        <v>638</v>
      </c>
      <c r="H615" t="s">
        <v>114</v>
      </c>
      <c r="I615" t="s">
        <v>1401</v>
      </c>
      <c r="J615">
        <v>29.718139000000001</v>
      </c>
      <c r="K615">
        <v>-95.268749999999997</v>
      </c>
      <c r="L615">
        <v>2819</v>
      </c>
      <c r="M615" s="175" t="str">
        <f>VLOOKUP(L615, '2022 SIC to NAICS'!A:D, 2)</f>
        <v>Platemaking Services</v>
      </c>
      <c r="N615" s="184">
        <f>VLOOKUP(L615, '2022 SIC to NAICS'!A:D, 3)</f>
        <v>323120</v>
      </c>
      <c r="O615" s="184" t="str">
        <f>VLOOKUP(L615, '2022 SIC to NAICS'!A:D, 4)</f>
        <v>Support Activities for Printing</v>
      </c>
      <c r="P615" s="185" t="str">
        <f>VLOOKUP(N615, 'NAICS OES crosswalk'!A:C, 3, FALSE)</f>
        <v>TBD</v>
      </c>
      <c r="T615">
        <v>120401040502</v>
      </c>
      <c r="U615" t="s">
        <v>744</v>
      </c>
      <c r="V615">
        <v>12.42144</v>
      </c>
      <c r="X615" t="b">
        <f t="shared" si="11"/>
        <v>0</v>
      </c>
      <c r="Y615" s="186" t="s">
        <v>1402</v>
      </c>
    </row>
    <row r="616" spans="1:26" x14ac:dyDescent="0.25">
      <c r="A616">
        <v>2023</v>
      </c>
      <c r="B616" t="s">
        <v>1400</v>
      </c>
      <c r="C616" t="s">
        <v>580</v>
      </c>
      <c r="D616" s="1">
        <v>110064134459</v>
      </c>
      <c r="E616" t="s">
        <v>233</v>
      </c>
      <c r="F616" t="s">
        <v>157</v>
      </c>
      <c r="G616" t="s">
        <v>554</v>
      </c>
      <c r="H616" t="s">
        <v>158</v>
      </c>
      <c r="I616" t="s">
        <v>1405</v>
      </c>
      <c r="J616">
        <v>36.075400000000002</v>
      </c>
      <c r="K616">
        <v>-115.1669</v>
      </c>
      <c r="L616">
        <v>4581</v>
      </c>
      <c r="M616" s="175" t="str">
        <f>VLOOKUP(L616, '2022 SIC to NAICS'!A:D, 2)</f>
        <v>Manufacturing Industries, Nec</v>
      </c>
      <c r="N616" s="184">
        <f>VLOOKUP(L616, '2022 SIC to NAICS'!A:D, 3)</f>
        <v>339999</v>
      </c>
      <c r="O616" s="184" t="str">
        <f>VLOOKUP(L616, '2022 SIC to NAICS'!A:D, 4)</f>
        <v xml:space="preserve">All Other Miscellaneous Manufacturing </v>
      </c>
      <c r="P616" s="185" t="str">
        <f>VLOOKUP(N616, 'NAICS OES crosswalk'!A:C, 3, FALSE)</f>
        <v>TBD</v>
      </c>
      <c r="T616">
        <v>150100150704</v>
      </c>
      <c r="U616" t="s">
        <v>581</v>
      </c>
      <c r="V616">
        <v>4.0396358750000002E-3</v>
      </c>
      <c r="X616" t="b">
        <f t="shared" si="11"/>
        <v>0</v>
      </c>
      <c r="Y616" s="186" t="s">
        <v>1404</v>
      </c>
      <c r="Z616" t="s">
        <v>1403</v>
      </c>
    </row>
    <row r="617" spans="1:26" x14ac:dyDescent="0.25">
      <c r="A617">
        <v>2023</v>
      </c>
      <c r="B617" t="s">
        <v>1400</v>
      </c>
      <c r="C617" t="s">
        <v>821</v>
      </c>
      <c r="D617" s="1">
        <v>110064624018</v>
      </c>
      <c r="E617" t="s">
        <v>445</v>
      </c>
      <c r="F617" t="s">
        <v>446</v>
      </c>
      <c r="G617" t="s">
        <v>446</v>
      </c>
      <c r="H617" t="s">
        <v>146</v>
      </c>
      <c r="I617" t="s">
        <v>1401</v>
      </c>
      <c r="J617">
        <v>33.990146000000003</v>
      </c>
      <c r="K617">
        <v>-118.36358</v>
      </c>
      <c r="L617">
        <v>2911</v>
      </c>
      <c r="M617" s="175" t="str">
        <f>VLOOKUP(L617, '2022 SIC to NAICS'!A:D, 2)</f>
        <v>Explosives</v>
      </c>
      <c r="N617" s="184">
        <f>VLOOKUP(L617, '2022 SIC to NAICS'!A:D, 3)</f>
        <v>325920</v>
      </c>
      <c r="O617" s="184" t="str">
        <f>VLOOKUP(L617, '2022 SIC to NAICS'!A:D, 4)</f>
        <v>Explosives Manufacturing</v>
      </c>
      <c r="P617" s="185" t="str">
        <f>VLOOKUP(N617, 'NAICS OES crosswalk'!A:C, 3, FALSE)</f>
        <v>TBD</v>
      </c>
      <c r="T617">
        <v>180701040300</v>
      </c>
      <c r="U617" t="s">
        <v>822</v>
      </c>
      <c r="V617">
        <v>0.20771228375</v>
      </c>
      <c r="X617" t="b">
        <f t="shared" si="11"/>
        <v>0</v>
      </c>
      <c r="Y617" s="186" t="s">
        <v>1402</v>
      </c>
      <c r="Z617" t="s">
        <v>1403</v>
      </c>
    </row>
    <row r="618" spans="1:26" x14ac:dyDescent="0.25">
      <c r="A618">
        <v>2023</v>
      </c>
      <c r="B618" t="s">
        <v>1400</v>
      </c>
      <c r="C618" t="s">
        <v>1085</v>
      </c>
      <c r="D618" s="1">
        <v>110000542896</v>
      </c>
      <c r="E618" t="s">
        <v>524</v>
      </c>
      <c r="F618" t="s">
        <v>315</v>
      </c>
      <c r="G618" t="s">
        <v>554</v>
      </c>
      <c r="H618" t="s">
        <v>138</v>
      </c>
      <c r="I618" t="s">
        <v>1401</v>
      </c>
      <c r="J618">
        <v>38.041639000000004</v>
      </c>
      <c r="K618">
        <v>-84.208667000000005</v>
      </c>
      <c r="L618">
        <v>4952</v>
      </c>
      <c r="M618" s="175" t="str">
        <f>VLOOKUP(L618, '2022 SIC to NAICS'!A:D, 2)</f>
        <v>Manufacturing Industries, Nec</v>
      </c>
      <c r="N618" s="184">
        <f>VLOOKUP(L618, '2022 SIC to NAICS'!A:D, 3)</f>
        <v>339999</v>
      </c>
      <c r="O618" s="184" t="str">
        <f>VLOOKUP(L618, '2022 SIC to NAICS'!A:D, 4)</f>
        <v xml:space="preserve">All Other Miscellaneous Manufacturing </v>
      </c>
      <c r="P618" s="185" t="str">
        <f>VLOOKUP(N618, 'NAICS OES crosswalk'!A:C, 3, FALSE)</f>
        <v>TBD</v>
      </c>
      <c r="T618" s="186" t="s">
        <v>1291</v>
      </c>
      <c r="U618" t="s">
        <v>1086</v>
      </c>
      <c r="V618">
        <v>0.55833642112500004</v>
      </c>
      <c r="X618" t="b">
        <f t="shared" si="11"/>
        <v>0</v>
      </c>
      <c r="Y618" s="186" t="s">
        <v>1402</v>
      </c>
      <c r="Z618" t="s">
        <v>1403</v>
      </c>
    </row>
    <row r="619" spans="1:26" x14ac:dyDescent="0.25">
      <c r="A619">
        <v>2023</v>
      </c>
      <c r="B619" t="s">
        <v>1400</v>
      </c>
      <c r="C619" t="s">
        <v>984</v>
      </c>
      <c r="D619" s="1">
        <v>110064615590</v>
      </c>
      <c r="E619" t="s">
        <v>443</v>
      </c>
      <c r="F619" t="s">
        <v>444</v>
      </c>
      <c r="G619" t="s">
        <v>901</v>
      </c>
      <c r="H619" t="s">
        <v>138</v>
      </c>
      <c r="I619" t="s">
        <v>1401</v>
      </c>
      <c r="J619">
        <v>38.32978</v>
      </c>
      <c r="K619">
        <v>-85.540719999999993</v>
      </c>
      <c r="L619">
        <v>4952</v>
      </c>
      <c r="M619" s="175" t="str">
        <f>VLOOKUP(L619, '2022 SIC to NAICS'!A:D, 2)</f>
        <v>Manufacturing Industries, Nec</v>
      </c>
      <c r="N619" s="184">
        <f>VLOOKUP(L619, '2022 SIC to NAICS'!A:D, 3)</f>
        <v>339999</v>
      </c>
      <c r="O619" s="184" t="str">
        <f>VLOOKUP(L619, '2022 SIC to NAICS'!A:D, 4)</f>
        <v xml:space="preserve">All Other Miscellaneous Manufacturing </v>
      </c>
      <c r="P619" s="185" t="str">
        <f>VLOOKUP(N619, 'NAICS OES crosswalk'!A:C, 3, FALSE)</f>
        <v>TBD</v>
      </c>
      <c r="T619" s="186" t="s">
        <v>1241</v>
      </c>
      <c r="U619" t="s">
        <v>857</v>
      </c>
      <c r="V619">
        <v>0.74256968749999996</v>
      </c>
      <c r="X619" t="b">
        <f t="shared" si="11"/>
        <v>0</v>
      </c>
      <c r="Y619" s="186" t="s">
        <v>1402</v>
      </c>
      <c r="Z619" t="s">
        <v>1403</v>
      </c>
    </row>
    <row r="620" spans="1:26" x14ac:dyDescent="0.25">
      <c r="A620">
        <v>2023</v>
      </c>
      <c r="B620" t="s">
        <v>1400</v>
      </c>
      <c r="C620" t="s">
        <v>961</v>
      </c>
      <c r="D620" s="1">
        <v>110000519920</v>
      </c>
      <c r="E620" t="s">
        <v>385</v>
      </c>
      <c r="F620" t="s">
        <v>386</v>
      </c>
      <c r="G620" t="s">
        <v>960</v>
      </c>
      <c r="H620" t="s">
        <v>146</v>
      </c>
      <c r="I620" t="s">
        <v>1405</v>
      </c>
      <c r="J620">
        <v>39.259749999999997</v>
      </c>
      <c r="K620">
        <v>-121.03075</v>
      </c>
      <c r="L620">
        <v>4952</v>
      </c>
      <c r="M620" s="175" t="str">
        <f>VLOOKUP(L620, '2022 SIC to NAICS'!A:D, 2)</f>
        <v>Manufacturing Industries, Nec</v>
      </c>
      <c r="N620" s="184">
        <f>VLOOKUP(L620, '2022 SIC to NAICS'!A:D, 3)</f>
        <v>339999</v>
      </c>
      <c r="O620" s="184" t="str">
        <f>VLOOKUP(L620, '2022 SIC to NAICS'!A:D, 4)</f>
        <v xml:space="preserve">All Other Miscellaneous Manufacturing </v>
      </c>
      <c r="P620" s="185" t="str">
        <f>VLOOKUP(N620, 'NAICS OES crosswalk'!A:C, 3, FALSE)</f>
        <v>TBD</v>
      </c>
      <c r="T620">
        <v>180201250802</v>
      </c>
      <c r="U620" t="s">
        <v>962</v>
      </c>
      <c r="V620">
        <v>2.7037890120000001E-2</v>
      </c>
      <c r="X620" t="b">
        <f t="shared" si="11"/>
        <v>0</v>
      </c>
      <c r="Y620" s="186" t="s">
        <v>1402</v>
      </c>
      <c r="Z620" t="s">
        <v>1403</v>
      </c>
    </row>
    <row r="621" spans="1:26" x14ac:dyDescent="0.25">
      <c r="A621">
        <v>2023</v>
      </c>
      <c r="B621" t="s">
        <v>1400</v>
      </c>
      <c r="C621" t="s">
        <v>848</v>
      </c>
      <c r="D621" s="1">
        <v>110000433022</v>
      </c>
      <c r="E621" t="s">
        <v>296</v>
      </c>
      <c r="F621" t="s">
        <v>224</v>
      </c>
      <c r="G621" t="s">
        <v>771</v>
      </c>
      <c r="H621" t="s">
        <v>141</v>
      </c>
      <c r="I621" t="s">
        <v>1405</v>
      </c>
      <c r="J621">
        <v>41.305320000000002</v>
      </c>
      <c r="K621">
        <v>-88.561769999999996</v>
      </c>
      <c r="L621">
        <v>2821</v>
      </c>
      <c r="M621" s="175" t="str">
        <f>VLOOKUP(L621, '2022 SIC to NAICS'!A:D, 2)</f>
        <v>Platemaking Services</v>
      </c>
      <c r="N621" s="184">
        <f>VLOOKUP(L621, '2022 SIC to NAICS'!A:D, 3)</f>
        <v>323120</v>
      </c>
      <c r="O621" s="184" t="str">
        <f>VLOOKUP(L621, '2022 SIC to NAICS'!A:D, 4)</f>
        <v>Support Activities for Printing</v>
      </c>
      <c r="P621" s="185" t="str">
        <f>VLOOKUP(N621, 'NAICS OES crosswalk'!A:C, 3, FALSE)</f>
        <v>TBD</v>
      </c>
      <c r="T621" s="186" t="s">
        <v>1231</v>
      </c>
      <c r="U621" t="s">
        <v>849</v>
      </c>
      <c r="V621">
        <v>3.7533314999999998E-2</v>
      </c>
      <c r="X621" t="b">
        <f t="shared" si="11"/>
        <v>0</v>
      </c>
      <c r="Y621" s="186" t="s">
        <v>1402</v>
      </c>
      <c r="Z621" t="s">
        <v>1403</v>
      </c>
    </row>
    <row r="622" spans="1:26" x14ac:dyDescent="0.25">
      <c r="A622">
        <v>2023</v>
      </c>
      <c r="B622" t="s">
        <v>1400</v>
      </c>
      <c r="C622" t="s">
        <v>846</v>
      </c>
      <c r="D622" s="1">
        <v>110013786698</v>
      </c>
      <c r="E622" t="s">
        <v>455</v>
      </c>
      <c r="F622" t="s">
        <v>456</v>
      </c>
      <c r="G622" t="s">
        <v>845</v>
      </c>
      <c r="H622" t="s">
        <v>186</v>
      </c>
      <c r="I622" t="s">
        <v>1401</v>
      </c>
      <c r="J622">
        <v>19.713750000000001</v>
      </c>
      <c r="K622">
        <v>-155.01927800000001</v>
      </c>
      <c r="L622">
        <v>4952</v>
      </c>
      <c r="M622" s="175" t="str">
        <f>VLOOKUP(L622, '2022 SIC to NAICS'!A:D, 2)</f>
        <v>Manufacturing Industries, Nec</v>
      </c>
      <c r="N622" s="184">
        <f>VLOOKUP(L622, '2022 SIC to NAICS'!A:D, 3)</f>
        <v>339999</v>
      </c>
      <c r="O622" s="184" t="str">
        <f>VLOOKUP(L622, '2022 SIC to NAICS'!A:D, 4)</f>
        <v xml:space="preserve">All Other Miscellaneous Manufacturing </v>
      </c>
      <c r="P622" s="185" t="str">
        <f>VLOOKUP(N622, 'NAICS OES crosswalk'!A:C, 3, FALSE)</f>
        <v>TBD</v>
      </c>
      <c r="T622">
        <v>200100000407</v>
      </c>
      <c r="U622" t="s">
        <v>847</v>
      </c>
      <c r="V622">
        <v>2.2691548125000001</v>
      </c>
      <c r="X622" t="b">
        <f t="shared" si="11"/>
        <v>0</v>
      </c>
      <c r="Y622" s="186" t="s">
        <v>1402</v>
      </c>
      <c r="Z622" t="s">
        <v>1403</v>
      </c>
    </row>
    <row r="623" spans="1:26" x14ac:dyDescent="0.25">
      <c r="A623">
        <v>2023</v>
      </c>
      <c r="B623" t="s">
        <v>1400</v>
      </c>
      <c r="C623" t="s">
        <v>851</v>
      </c>
      <c r="D623" s="1">
        <v>110070210457</v>
      </c>
      <c r="E623" t="s">
        <v>191</v>
      </c>
      <c r="F623" t="s">
        <v>192</v>
      </c>
      <c r="G623" t="s">
        <v>731</v>
      </c>
      <c r="H623" t="s">
        <v>153</v>
      </c>
      <c r="I623" t="s">
        <v>1405</v>
      </c>
      <c r="J623">
        <v>39.827696000000003</v>
      </c>
      <c r="K623">
        <v>-75.277782000000002</v>
      </c>
      <c r="L623">
        <v>2869</v>
      </c>
      <c r="M623" s="175" t="str">
        <f>VLOOKUP(L623, '2022 SIC to NAICS'!A:D, 2)</f>
        <v>Industrial Organic Chemicals, Nec</v>
      </c>
      <c r="N623" s="184">
        <f>VLOOKUP(L623, '2022 SIC to NAICS'!A:D, 3)</f>
        <v>325180</v>
      </c>
      <c r="O623" s="184" t="str">
        <f>VLOOKUP(L623, '2022 SIC to NAICS'!A:D, 4)</f>
        <v xml:space="preserve">Other Basic Inorganic Chemical Manufacturing </v>
      </c>
      <c r="P623" s="185" t="str">
        <f>VLOOKUP(N623, 'NAICS OES crosswalk'!A:C, 3, FALSE)</f>
        <v>Processing as a reactant</v>
      </c>
      <c r="T623" s="186" t="s">
        <v>1195</v>
      </c>
      <c r="U623" t="s">
        <v>852</v>
      </c>
      <c r="V623">
        <v>3.3324086249999999E-3</v>
      </c>
      <c r="X623" t="b">
        <f t="shared" si="11"/>
        <v>0</v>
      </c>
      <c r="Y623" s="186" t="s">
        <v>1402</v>
      </c>
      <c r="Z623" t="s">
        <v>1403</v>
      </c>
    </row>
    <row r="624" spans="1:26" x14ac:dyDescent="0.25">
      <c r="A624">
        <v>2023</v>
      </c>
      <c r="B624" t="s">
        <v>1400</v>
      </c>
      <c r="C624" t="s">
        <v>1028</v>
      </c>
      <c r="D624" s="1">
        <v>110004300596</v>
      </c>
      <c r="E624" t="s">
        <v>525</v>
      </c>
      <c r="F624" t="s">
        <v>157</v>
      </c>
      <c r="G624" t="s">
        <v>554</v>
      </c>
      <c r="H624" t="s">
        <v>158</v>
      </c>
      <c r="I624" t="s">
        <v>1405</v>
      </c>
      <c r="J624">
        <v>36.170819999999999</v>
      </c>
      <c r="K624">
        <v>-115.14431</v>
      </c>
      <c r="L624">
        <v>7011</v>
      </c>
      <c r="M624" s="175" t="str">
        <f>VLOOKUP(L624, '2022 SIC to NAICS'!A:D, 2)</f>
        <v>Communication Services, Nec</v>
      </c>
      <c r="N624" s="184">
        <f>VLOOKUP(L624, '2022 SIC to NAICS'!A:D, 3)</f>
        <v>517810</v>
      </c>
      <c r="O624" s="184" t="str">
        <f>VLOOKUP(L624, '2022 SIC to NAICS'!A:D, 4)</f>
        <v xml:space="preserve">All Other Telecommunications </v>
      </c>
      <c r="P624" s="185" t="str">
        <f>VLOOKUP(N624, 'NAICS OES crosswalk'!A:C, 3, FALSE)</f>
        <v>TBD</v>
      </c>
      <c r="T624">
        <v>150100150604</v>
      </c>
      <c r="U624" t="s">
        <v>578</v>
      </c>
      <c r="V624">
        <v>2.2898776875000001E-3</v>
      </c>
      <c r="X624" t="b">
        <f t="shared" si="11"/>
        <v>0</v>
      </c>
      <c r="Y624" s="186" t="s">
        <v>1402</v>
      </c>
      <c r="Z624" t="s">
        <v>1403</v>
      </c>
    </row>
    <row r="625" spans="1:26" x14ac:dyDescent="0.25">
      <c r="A625">
        <v>2023</v>
      </c>
      <c r="B625" t="s">
        <v>1400</v>
      </c>
      <c r="C625" t="s">
        <v>708</v>
      </c>
      <c r="D625" s="1">
        <v>110009696356</v>
      </c>
      <c r="E625" t="s">
        <v>323</v>
      </c>
      <c r="F625" t="s">
        <v>324</v>
      </c>
      <c r="G625" t="s">
        <v>707</v>
      </c>
      <c r="H625" t="s">
        <v>138</v>
      </c>
      <c r="I625" t="s">
        <v>1401</v>
      </c>
      <c r="J625">
        <v>37.108094000000001</v>
      </c>
      <c r="K625">
        <v>-85.303033999999997</v>
      </c>
      <c r="L625">
        <v>4952</v>
      </c>
      <c r="M625" s="175" t="str">
        <f>VLOOKUP(L625, '2022 SIC to NAICS'!A:D, 2)</f>
        <v>Manufacturing Industries, Nec</v>
      </c>
      <c r="N625" s="184">
        <f>VLOOKUP(L625, '2022 SIC to NAICS'!A:D, 3)</f>
        <v>339999</v>
      </c>
      <c r="O625" s="184" t="str">
        <f>VLOOKUP(L625, '2022 SIC to NAICS'!A:D, 4)</f>
        <v xml:space="preserve">All Other Miscellaneous Manufacturing </v>
      </c>
      <c r="P625" s="185" t="str">
        <f>VLOOKUP(N625, 'NAICS OES crosswalk'!A:C, 3, FALSE)</f>
        <v>TBD</v>
      </c>
      <c r="T625" s="186" t="s">
        <v>1240</v>
      </c>
      <c r="U625" t="s">
        <v>709</v>
      </c>
      <c r="V625">
        <v>1.90477759375</v>
      </c>
      <c r="X625" t="b">
        <f t="shared" si="11"/>
        <v>0</v>
      </c>
      <c r="Y625" s="186" t="s">
        <v>1402</v>
      </c>
      <c r="Z625" t="s">
        <v>1403</v>
      </c>
    </row>
    <row r="626" spans="1:26" x14ac:dyDescent="0.25">
      <c r="A626">
        <v>2023</v>
      </c>
      <c r="B626" t="s">
        <v>1400</v>
      </c>
      <c r="C626" t="s">
        <v>977</v>
      </c>
      <c r="D626" s="1">
        <v>110064644782</v>
      </c>
      <c r="E626" t="s">
        <v>471</v>
      </c>
      <c r="F626" t="s">
        <v>472</v>
      </c>
      <c r="G626" t="s">
        <v>975</v>
      </c>
      <c r="H626" t="s">
        <v>106</v>
      </c>
      <c r="I626" t="s">
        <v>1401</v>
      </c>
      <c r="J626">
        <v>30.584540000000001</v>
      </c>
      <c r="K626">
        <v>-91.247479999999996</v>
      </c>
      <c r="L626">
        <v>4953</v>
      </c>
      <c r="M626" s="175" t="str">
        <f>VLOOKUP(L626, '2022 SIC to NAICS'!A:D, 2)</f>
        <v>Manufacturing Industries, Nec</v>
      </c>
      <c r="N626" s="184">
        <f>VLOOKUP(L626, '2022 SIC to NAICS'!A:D, 3)</f>
        <v>339999</v>
      </c>
      <c r="O626" s="184" t="str">
        <f>VLOOKUP(L626, '2022 SIC to NAICS'!A:D, 4)</f>
        <v xml:space="preserve">All Other Miscellaneous Manufacturing </v>
      </c>
      <c r="P626" s="185" t="str">
        <f>VLOOKUP(N626, 'NAICS OES crosswalk'!A:C, 3, FALSE)</f>
        <v>TBD</v>
      </c>
      <c r="T626" s="186" t="s">
        <v>1282</v>
      </c>
      <c r="U626" t="s">
        <v>978</v>
      </c>
      <c r="V626">
        <v>1.9980504024999998E-3</v>
      </c>
      <c r="X626" t="b">
        <f t="shared" si="11"/>
        <v>0</v>
      </c>
      <c r="Y626" s="186" t="s">
        <v>1472</v>
      </c>
      <c r="Z626" t="s">
        <v>1403</v>
      </c>
    </row>
    <row r="627" spans="1:26" x14ac:dyDescent="0.25">
      <c r="A627">
        <v>2023</v>
      </c>
      <c r="B627" t="s">
        <v>1400</v>
      </c>
      <c r="C627" t="s">
        <v>942</v>
      </c>
      <c r="D627" s="1">
        <v>110000460983</v>
      </c>
      <c r="E627" t="s">
        <v>418</v>
      </c>
      <c r="F627" t="s">
        <v>313</v>
      </c>
      <c r="G627" t="s">
        <v>904</v>
      </c>
      <c r="H627" t="s">
        <v>114</v>
      </c>
      <c r="I627" t="s">
        <v>1405</v>
      </c>
      <c r="J627">
        <v>29.75487</v>
      </c>
      <c r="K627">
        <v>-95.103269999999995</v>
      </c>
      <c r="L627">
        <v>2869</v>
      </c>
      <c r="M627" s="175" t="str">
        <f>VLOOKUP(L627, '2022 SIC to NAICS'!A:D, 2)</f>
        <v>Industrial Organic Chemicals, Nec</v>
      </c>
      <c r="N627" s="184">
        <f>VLOOKUP(L627, '2022 SIC to NAICS'!A:D, 3)</f>
        <v>325180</v>
      </c>
      <c r="O627" s="184" t="str">
        <f>VLOOKUP(L627, '2022 SIC to NAICS'!A:D, 4)</f>
        <v xml:space="preserve">Other Basic Inorganic Chemical Manufacturing </v>
      </c>
      <c r="P627" s="185" t="str">
        <f>VLOOKUP(N627, 'NAICS OES crosswalk'!A:C, 3, FALSE)</f>
        <v>Processing as a reactant</v>
      </c>
      <c r="T627">
        <v>120401040702</v>
      </c>
      <c r="U627" t="s">
        <v>943</v>
      </c>
      <c r="V627">
        <v>0.198852</v>
      </c>
      <c r="X627" t="b">
        <f t="shared" si="11"/>
        <v>0</v>
      </c>
      <c r="Y627" s="186" t="s">
        <v>1402</v>
      </c>
    </row>
    <row r="628" spans="1:26" x14ac:dyDescent="0.25">
      <c r="A628">
        <v>2023</v>
      </c>
      <c r="B628" t="s">
        <v>1400</v>
      </c>
      <c r="C628" t="s">
        <v>764</v>
      </c>
      <c r="D628" s="1">
        <v>110060340162</v>
      </c>
      <c r="E628" t="s">
        <v>302</v>
      </c>
      <c r="F628" t="s">
        <v>303</v>
      </c>
      <c r="G628" t="s">
        <v>638</v>
      </c>
      <c r="H628" t="s">
        <v>114</v>
      </c>
      <c r="I628" t="s">
        <v>1405</v>
      </c>
      <c r="J628">
        <v>29.741954</v>
      </c>
      <c r="K628">
        <v>-95.165228999999997</v>
      </c>
      <c r="L628">
        <v>2869</v>
      </c>
      <c r="M628" s="175" t="str">
        <f>VLOOKUP(L628, '2022 SIC to NAICS'!A:D, 2)</f>
        <v>Industrial Organic Chemicals, Nec</v>
      </c>
      <c r="N628" s="184">
        <f>VLOOKUP(L628, '2022 SIC to NAICS'!A:D, 3)</f>
        <v>325180</v>
      </c>
      <c r="O628" s="184" t="str">
        <f>VLOOKUP(L628, '2022 SIC to NAICS'!A:D, 4)</f>
        <v xml:space="preserve">Other Basic Inorganic Chemical Manufacturing </v>
      </c>
      <c r="P628" s="185" t="str">
        <f>VLOOKUP(N628, 'NAICS OES crosswalk'!A:C, 3, FALSE)</f>
        <v>Processing as a reactant</v>
      </c>
      <c r="T628">
        <v>120401040703</v>
      </c>
      <c r="U628" t="s">
        <v>765</v>
      </c>
      <c r="V628">
        <v>6.4240912499999997E-2</v>
      </c>
      <c r="X628" t="b">
        <f t="shared" si="11"/>
        <v>0</v>
      </c>
      <c r="Y628" s="186" t="s">
        <v>1402</v>
      </c>
      <c r="Z628" t="s">
        <v>1403</v>
      </c>
    </row>
    <row r="629" spans="1:26" x14ac:dyDescent="0.25">
      <c r="A629">
        <v>2023</v>
      </c>
      <c r="B629" t="s">
        <v>1400</v>
      </c>
      <c r="C629" t="s">
        <v>872</v>
      </c>
      <c r="D629" s="1">
        <v>110018199377</v>
      </c>
      <c r="E629" t="s">
        <v>212</v>
      </c>
      <c r="F629" t="s">
        <v>213</v>
      </c>
      <c r="G629" t="s">
        <v>870</v>
      </c>
      <c r="H629" t="s">
        <v>141</v>
      </c>
      <c r="I629" t="s">
        <v>1405</v>
      </c>
      <c r="J629">
        <v>41.692782000000001</v>
      </c>
      <c r="K629">
        <v>-87.951100999999994</v>
      </c>
      <c r="L629">
        <v>4226</v>
      </c>
      <c r="M629" s="175" t="str">
        <f>VLOOKUP(L629, '2022 SIC to NAICS'!A:D, 2)</f>
        <v>Manufacturing Industries, Nec</v>
      </c>
      <c r="N629" s="184">
        <f>VLOOKUP(L629, '2022 SIC to NAICS'!A:D, 3)</f>
        <v>339999</v>
      </c>
      <c r="O629" s="184" t="str">
        <f>VLOOKUP(L629, '2022 SIC to NAICS'!A:D, 4)</f>
        <v xml:space="preserve">All Other Miscellaneous Manufacturing </v>
      </c>
      <c r="P629" s="185" t="str">
        <f>VLOOKUP(N629, 'NAICS OES crosswalk'!A:C, 3, FALSE)</f>
        <v>TBD</v>
      </c>
      <c r="T629" s="186" t="s">
        <v>1200</v>
      </c>
      <c r="U629" t="s">
        <v>873</v>
      </c>
      <c r="V629">
        <v>7.9437687500000007E-2</v>
      </c>
      <c r="X629" t="b">
        <f t="shared" si="11"/>
        <v>0</v>
      </c>
      <c r="Y629" s="186" t="s">
        <v>1418</v>
      </c>
      <c r="Z629" t="s">
        <v>1403</v>
      </c>
    </row>
    <row r="630" spans="1:26" x14ac:dyDescent="0.25">
      <c r="A630">
        <v>2023</v>
      </c>
      <c r="B630" t="s">
        <v>1400</v>
      </c>
      <c r="C630" t="s">
        <v>618</v>
      </c>
      <c r="D630" s="1">
        <v>110054272210</v>
      </c>
      <c r="E630" t="s">
        <v>510</v>
      </c>
      <c r="F630" t="s">
        <v>145</v>
      </c>
      <c r="G630" t="s">
        <v>616</v>
      </c>
      <c r="H630" t="s">
        <v>146</v>
      </c>
      <c r="I630" t="s">
        <v>1405</v>
      </c>
      <c r="J630">
        <v>39.915689999999998</v>
      </c>
      <c r="K630">
        <v>-122.10365</v>
      </c>
      <c r="L630">
        <v>2033</v>
      </c>
      <c r="M630" s="175" t="str">
        <f>VLOOKUP(L630, '2022 SIC to NAICS'!A:D, 2)</f>
        <v>Special Trade Contractors, Nec</v>
      </c>
      <c r="N630" s="184">
        <f>VLOOKUP(L630, '2022 SIC to NAICS'!A:D, 3)</f>
        <v>238990</v>
      </c>
      <c r="O630" s="184" t="str">
        <f>VLOOKUP(L630, '2022 SIC to NAICS'!A:D, 4)</f>
        <v>All Other Specialty Trade Contractors</v>
      </c>
      <c r="P630" s="185" t="str">
        <f>VLOOKUP(N630, 'NAICS OES crosswalk'!A:C, 3, FALSE)</f>
        <v>TBD</v>
      </c>
      <c r="T630">
        <v>180201570701</v>
      </c>
      <c r="U630" t="s">
        <v>619</v>
      </c>
      <c r="V630">
        <v>0.16759979999999999</v>
      </c>
      <c r="X630" t="b">
        <f t="shared" si="11"/>
        <v>0</v>
      </c>
      <c r="Y630" s="186" t="s">
        <v>1402</v>
      </c>
      <c r="Z630" t="s">
        <v>1403</v>
      </c>
    </row>
    <row r="631" spans="1:26" x14ac:dyDescent="0.25">
      <c r="A631">
        <v>2023</v>
      </c>
      <c r="B631" t="s">
        <v>1400</v>
      </c>
      <c r="C631" t="s">
        <v>974</v>
      </c>
      <c r="D631" s="1">
        <v>110000547196</v>
      </c>
      <c r="E631" t="s">
        <v>329</v>
      </c>
      <c r="F631" t="s">
        <v>224</v>
      </c>
      <c r="G631" t="s">
        <v>973</v>
      </c>
      <c r="H631" t="s">
        <v>141</v>
      </c>
      <c r="I631" t="s">
        <v>1405</v>
      </c>
      <c r="J631">
        <v>41.405655000000003</v>
      </c>
      <c r="K631">
        <v>-88.335212999999996</v>
      </c>
      <c r="L631">
        <v>2869</v>
      </c>
      <c r="M631" s="175" t="str">
        <f>VLOOKUP(L631, '2022 SIC to NAICS'!A:D, 2)</f>
        <v>Industrial Organic Chemicals, Nec</v>
      </c>
      <c r="N631" s="184">
        <f>VLOOKUP(L631, '2022 SIC to NAICS'!A:D, 3)</f>
        <v>325180</v>
      </c>
      <c r="O631" s="184" t="str">
        <f>VLOOKUP(L631, '2022 SIC to NAICS'!A:D, 4)</f>
        <v xml:space="preserve">Other Basic Inorganic Chemical Manufacturing </v>
      </c>
      <c r="P631" s="185" t="str">
        <f>VLOOKUP(N631, 'NAICS OES crosswalk'!A:C, 3, FALSE)</f>
        <v>Processing as a reactant</v>
      </c>
      <c r="T631" s="186" t="s">
        <v>1202</v>
      </c>
      <c r="U631" t="s">
        <v>773</v>
      </c>
      <c r="V631">
        <v>4.4099289999999999E-2</v>
      </c>
      <c r="X631" t="b">
        <f t="shared" si="11"/>
        <v>0</v>
      </c>
      <c r="Y631" s="186" t="s">
        <v>1402</v>
      </c>
      <c r="Z631" t="s">
        <v>1403</v>
      </c>
    </row>
    <row r="632" spans="1:26" x14ac:dyDescent="0.25">
      <c r="A632">
        <v>2023</v>
      </c>
      <c r="B632" t="s">
        <v>1400</v>
      </c>
      <c r="C632" t="s">
        <v>1117</v>
      </c>
      <c r="D632" s="1">
        <v>110004306938</v>
      </c>
      <c r="E632" t="s">
        <v>156</v>
      </c>
      <c r="F632" t="s">
        <v>157</v>
      </c>
      <c r="G632" t="s">
        <v>575</v>
      </c>
      <c r="H632" t="s">
        <v>158</v>
      </c>
      <c r="I632" t="s">
        <v>1405</v>
      </c>
      <c r="J632">
        <v>36.122100000000003</v>
      </c>
      <c r="K632">
        <v>-115.17139</v>
      </c>
      <c r="L632">
        <v>7011</v>
      </c>
      <c r="M632" s="175" t="str">
        <f>VLOOKUP(L632, '2022 SIC to NAICS'!A:D, 2)</f>
        <v>Communication Services, Nec</v>
      </c>
      <c r="N632" s="184">
        <f>VLOOKUP(L632, '2022 SIC to NAICS'!A:D, 3)</f>
        <v>517810</v>
      </c>
      <c r="O632" s="184" t="str">
        <f>VLOOKUP(L632, '2022 SIC to NAICS'!A:D, 4)</f>
        <v xml:space="preserve">All Other Telecommunications </v>
      </c>
      <c r="P632" s="185" t="str">
        <f>VLOOKUP(N632, 'NAICS OES crosswalk'!A:C, 3, FALSE)</f>
        <v>TBD</v>
      </c>
      <c r="T632">
        <v>150100150604</v>
      </c>
      <c r="U632" t="s">
        <v>578</v>
      </c>
      <c r="V632">
        <v>3.9787919999999997E-2</v>
      </c>
      <c r="X632" t="b">
        <f t="shared" si="11"/>
        <v>0</v>
      </c>
      <c r="Y632" s="186" t="s">
        <v>1411</v>
      </c>
      <c r="Z632" t="s">
        <v>1403</v>
      </c>
    </row>
    <row r="633" spans="1:26" x14ac:dyDescent="0.25">
      <c r="A633">
        <v>2023</v>
      </c>
      <c r="B633" t="s">
        <v>1400</v>
      </c>
      <c r="C633" t="s">
        <v>1475</v>
      </c>
      <c r="D633" s="1">
        <v>110000449435</v>
      </c>
      <c r="E633" t="s">
        <v>1476</v>
      </c>
      <c r="F633" t="s">
        <v>1477</v>
      </c>
      <c r="G633" t="s">
        <v>1478</v>
      </c>
      <c r="H633" t="s">
        <v>106</v>
      </c>
      <c r="I633" t="s">
        <v>1405</v>
      </c>
      <c r="J633">
        <v>30.230833000000001</v>
      </c>
      <c r="K633">
        <v>-92.306667000000004</v>
      </c>
      <c r="L633">
        <v>5169</v>
      </c>
      <c r="M633" s="175" t="str">
        <f>VLOOKUP(L633, '2022 SIC to NAICS'!A:D, 2)</f>
        <v>Chemicals and Allied Products, Nec</v>
      </c>
      <c r="N633" s="184">
        <f>VLOOKUP(L633, '2022 SIC to NAICS'!A:D, 3)</f>
        <v>425120</v>
      </c>
      <c r="O633" s="184" t="str">
        <f>VLOOKUP(L633, '2022 SIC to NAICS'!A:D, 4)</f>
        <v xml:space="preserve">Wholesale Trade Agents and Brokers </v>
      </c>
      <c r="P633" s="185" t="str">
        <f>VLOOKUP(N633, 'NAICS OES crosswalk'!A:C, 3, FALSE)</f>
        <v>TBD</v>
      </c>
      <c r="T633" s="186" t="s">
        <v>1479</v>
      </c>
      <c r="U633" t="s">
        <v>1480</v>
      </c>
      <c r="V633">
        <v>2.8784924999999999E-4</v>
      </c>
      <c r="X633" t="b">
        <f t="shared" si="11"/>
        <v>1</v>
      </c>
      <c r="Y633" s="186" t="s">
        <v>1402</v>
      </c>
      <c r="Z633" t="s">
        <v>1403</v>
      </c>
    </row>
    <row r="634" spans="1:26" x14ac:dyDescent="0.25">
      <c r="A634">
        <v>2023</v>
      </c>
      <c r="B634" t="s">
        <v>1400</v>
      </c>
      <c r="C634" t="s">
        <v>912</v>
      </c>
      <c r="D634" s="1">
        <v>110059844156</v>
      </c>
      <c r="E634" t="s">
        <v>415</v>
      </c>
      <c r="F634" t="s">
        <v>157</v>
      </c>
      <c r="G634" t="s">
        <v>554</v>
      </c>
      <c r="H634" t="s">
        <v>158</v>
      </c>
      <c r="I634" t="s">
        <v>1405</v>
      </c>
      <c r="J634">
        <v>36.131489999999999</v>
      </c>
      <c r="K634">
        <v>-115.15483</v>
      </c>
      <c r="L634">
        <v>1799</v>
      </c>
      <c r="M634" s="175" t="str">
        <f>VLOOKUP(L634, '2022 SIC to NAICS'!A:D, 2)</f>
        <v>Special Trade Contractors, Nec</v>
      </c>
      <c r="N634" s="184">
        <f>VLOOKUP(L634, '2022 SIC to NAICS'!A:D, 3)</f>
        <v>238990</v>
      </c>
      <c r="O634" s="184" t="str">
        <f>VLOOKUP(L634, '2022 SIC to NAICS'!A:D, 4)</f>
        <v>All Other Specialty Trade Contractors</v>
      </c>
      <c r="P634" s="185" t="str">
        <f>VLOOKUP(N634, 'NAICS OES crosswalk'!A:C, 3, FALSE)</f>
        <v>TBD</v>
      </c>
      <c r="T634">
        <v>150100150604</v>
      </c>
      <c r="U634" t="s">
        <v>578</v>
      </c>
      <c r="V634">
        <v>3.7662098406249997E-2</v>
      </c>
      <c r="X634" t="b">
        <f t="shared" si="11"/>
        <v>0</v>
      </c>
      <c r="Y634" t="s">
        <v>1457</v>
      </c>
      <c r="Z634" t="s">
        <v>1403</v>
      </c>
    </row>
    <row r="635" spans="1:26" x14ac:dyDescent="0.25">
      <c r="A635">
        <v>2023</v>
      </c>
      <c r="B635" t="s">
        <v>1400</v>
      </c>
      <c r="C635" t="s">
        <v>1455</v>
      </c>
      <c r="D635" s="1">
        <v>110037274133</v>
      </c>
      <c r="E635" t="s">
        <v>1456</v>
      </c>
      <c r="F635" t="s">
        <v>157</v>
      </c>
      <c r="G635" t="s">
        <v>554</v>
      </c>
      <c r="H635" t="s">
        <v>158</v>
      </c>
      <c r="I635" t="s">
        <v>1405</v>
      </c>
      <c r="J635">
        <v>36.119079999999997</v>
      </c>
      <c r="K635">
        <v>-115.15727</v>
      </c>
      <c r="L635">
        <v>6512</v>
      </c>
      <c r="M635" s="175" t="str">
        <f>VLOOKUP(L635, '2022 SIC to NAICS'!A:D, 2)</f>
        <v>Communication Services, Nec</v>
      </c>
      <c r="N635" s="184">
        <f>VLOOKUP(L635, '2022 SIC to NAICS'!A:D, 3)</f>
        <v>517810</v>
      </c>
      <c r="O635" s="184" t="str">
        <f>VLOOKUP(L635, '2022 SIC to NAICS'!A:D, 4)</f>
        <v xml:space="preserve">All Other Telecommunications </v>
      </c>
      <c r="P635" s="185" t="str">
        <f>VLOOKUP(N635, 'NAICS OES crosswalk'!A:C, 3, FALSE)</f>
        <v>TBD</v>
      </c>
      <c r="T635">
        <v>150100150505</v>
      </c>
      <c r="U635" t="s">
        <v>557</v>
      </c>
      <c r="V635">
        <v>2.0722875E-6</v>
      </c>
      <c r="X635" t="b">
        <f t="shared" si="11"/>
        <v>1</v>
      </c>
      <c r="Y635" s="186" t="s">
        <v>1402</v>
      </c>
      <c r="Z635" t="s">
        <v>1403</v>
      </c>
    </row>
    <row r="636" spans="1:26" x14ac:dyDescent="0.25">
      <c r="A636">
        <v>2023</v>
      </c>
      <c r="B636" t="s">
        <v>1400</v>
      </c>
      <c r="C636" t="s">
        <v>1043</v>
      </c>
      <c r="D636" s="1">
        <v>110000736730</v>
      </c>
      <c r="E636" t="s">
        <v>242</v>
      </c>
      <c r="F636" t="s">
        <v>243</v>
      </c>
      <c r="G636" t="s">
        <v>589</v>
      </c>
      <c r="H636" t="s">
        <v>138</v>
      </c>
      <c r="I636" t="s">
        <v>1401</v>
      </c>
      <c r="J636">
        <v>36.856732000000001</v>
      </c>
      <c r="K636">
        <v>-86.889048000000003</v>
      </c>
      <c r="L636">
        <v>4952</v>
      </c>
      <c r="M636" s="175" t="str">
        <f>VLOOKUP(L636, '2022 SIC to NAICS'!A:D, 2)</f>
        <v>Manufacturing Industries, Nec</v>
      </c>
      <c r="N636" s="184">
        <f>VLOOKUP(L636, '2022 SIC to NAICS'!A:D, 3)</f>
        <v>339999</v>
      </c>
      <c r="O636" s="184" t="str">
        <f>VLOOKUP(L636, '2022 SIC to NAICS'!A:D, 4)</f>
        <v xml:space="preserve">All Other Miscellaneous Manufacturing </v>
      </c>
      <c r="P636" s="185" t="str">
        <f>VLOOKUP(N636, 'NAICS OES crosswalk'!A:C, 3, FALSE)</f>
        <v>TBD</v>
      </c>
      <c r="T636" s="186" t="s">
        <v>1207</v>
      </c>
      <c r="U636" t="s">
        <v>1044</v>
      </c>
      <c r="V636">
        <v>4.6557392499999999E-4</v>
      </c>
      <c r="X636" t="b">
        <f t="shared" si="11"/>
        <v>1</v>
      </c>
      <c r="Y636" s="186" t="s">
        <v>1402</v>
      </c>
      <c r="Z636" t="s">
        <v>1403</v>
      </c>
    </row>
    <row r="637" spans="1:26" x14ac:dyDescent="0.25">
      <c r="A637">
        <v>2023</v>
      </c>
      <c r="B637" t="s">
        <v>1400</v>
      </c>
      <c r="C637" t="s">
        <v>740</v>
      </c>
      <c r="D637" s="1">
        <v>110000574423</v>
      </c>
      <c r="E637" t="s">
        <v>307</v>
      </c>
      <c r="F637" t="s">
        <v>308</v>
      </c>
      <c r="G637" t="s">
        <v>739</v>
      </c>
      <c r="H637" t="s">
        <v>309</v>
      </c>
      <c r="I637" t="s">
        <v>1401</v>
      </c>
      <c r="J637">
        <v>36.527054999999997</v>
      </c>
      <c r="K637">
        <v>-82.538579999999996</v>
      </c>
      <c r="L637">
        <v>2869</v>
      </c>
      <c r="M637" s="175" t="str">
        <f>VLOOKUP(L637, '2022 SIC to NAICS'!A:D, 2)</f>
        <v>Industrial Organic Chemicals, Nec</v>
      </c>
      <c r="N637" s="184">
        <f>VLOOKUP(L637, '2022 SIC to NAICS'!A:D, 3)</f>
        <v>325180</v>
      </c>
      <c r="O637" s="184" t="str">
        <f>VLOOKUP(L637, '2022 SIC to NAICS'!A:D, 4)</f>
        <v xml:space="preserve">Other Basic Inorganic Chemical Manufacturing </v>
      </c>
      <c r="P637" s="185" t="str">
        <f>VLOOKUP(N637, 'NAICS OES crosswalk'!A:C, 3, FALSE)</f>
        <v>Processing as a reactant</v>
      </c>
      <c r="T637" s="186" t="s">
        <v>1235</v>
      </c>
      <c r="U637" t="s">
        <v>741</v>
      </c>
      <c r="V637">
        <v>0.21579420499999999</v>
      </c>
      <c r="X637" t="b">
        <f t="shared" si="11"/>
        <v>0</v>
      </c>
      <c r="Y637" t="s">
        <v>1443</v>
      </c>
      <c r="Z637" t="s">
        <v>1403</v>
      </c>
    </row>
    <row r="638" spans="1:26" x14ac:dyDescent="0.25">
      <c r="A638">
        <v>2023</v>
      </c>
      <c r="B638" t="s">
        <v>1400</v>
      </c>
      <c r="C638" t="s">
        <v>573</v>
      </c>
      <c r="D638" s="1">
        <v>110070053140</v>
      </c>
      <c r="E638" t="s">
        <v>216</v>
      </c>
      <c r="F638" t="s">
        <v>217</v>
      </c>
      <c r="G638" t="s">
        <v>571</v>
      </c>
      <c r="H638" t="s">
        <v>218</v>
      </c>
      <c r="I638" t="s">
        <v>1405</v>
      </c>
      <c r="J638">
        <v>40.393799999999999</v>
      </c>
      <c r="K638">
        <v>-105.074</v>
      </c>
      <c r="L638">
        <v>7521</v>
      </c>
      <c r="M638" s="175" t="str">
        <f>VLOOKUP(L638, '2022 SIC to NAICS'!A:D, 2)</f>
        <v>Barber Shops</v>
      </c>
      <c r="N638" s="184">
        <f>VLOOKUP(L638, '2022 SIC to NAICS'!A:D, 3)</f>
        <v>611511</v>
      </c>
      <c r="O638" s="184" t="str">
        <f>VLOOKUP(L638, '2022 SIC to NAICS'!A:D, 4)</f>
        <v xml:space="preserve">Cosmetology and Barber Schools </v>
      </c>
      <c r="P638" s="185" t="str">
        <f>VLOOKUP(N638, 'NAICS OES crosswalk'!A:C, 3, FALSE)</f>
        <v>All purpose liquid cleaner/polish</v>
      </c>
      <c r="T638">
        <v>101900060605</v>
      </c>
      <c r="U638" t="s">
        <v>574</v>
      </c>
      <c r="V638">
        <v>5.8727870750000001E-2</v>
      </c>
      <c r="X638" t="b">
        <f t="shared" si="11"/>
        <v>0</v>
      </c>
      <c r="Y638" s="186" t="s">
        <v>1402</v>
      </c>
      <c r="Z638" t="s">
        <v>1403</v>
      </c>
    </row>
    <row r="639" spans="1:26" x14ac:dyDescent="0.25">
      <c r="A639">
        <v>2023</v>
      </c>
      <c r="B639" t="s">
        <v>1400</v>
      </c>
      <c r="C639" t="s">
        <v>1475</v>
      </c>
      <c r="D639" s="1">
        <v>110000449435</v>
      </c>
      <c r="E639" t="s">
        <v>1476</v>
      </c>
      <c r="F639" t="s">
        <v>1477</v>
      </c>
      <c r="G639" t="s">
        <v>1478</v>
      </c>
      <c r="H639" t="s">
        <v>106</v>
      </c>
      <c r="I639" t="s">
        <v>1405</v>
      </c>
      <c r="J639">
        <v>30.230833000000001</v>
      </c>
      <c r="K639">
        <v>-92.306667000000004</v>
      </c>
      <c r="L639">
        <v>5169</v>
      </c>
      <c r="M639" s="175" t="str">
        <f>VLOOKUP(L639, '2022 SIC to NAICS'!A:D, 2)</f>
        <v>Chemicals and Allied Products, Nec</v>
      </c>
      <c r="N639" s="184">
        <f>VLOOKUP(L639, '2022 SIC to NAICS'!A:D, 3)</f>
        <v>425120</v>
      </c>
      <c r="O639" s="184" t="str">
        <f>VLOOKUP(L639, '2022 SIC to NAICS'!A:D, 4)</f>
        <v xml:space="preserve">Wholesale Trade Agents and Brokers </v>
      </c>
      <c r="P639" s="185" t="str">
        <f>VLOOKUP(N639, 'NAICS OES crosswalk'!A:C, 3, FALSE)</f>
        <v>TBD</v>
      </c>
      <c r="T639" s="186" t="s">
        <v>1479</v>
      </c>
      <c r="U639" t="s">
        <v>1480</v>
      </c>
      <c r="V639">
        <v>2.8784925000000001E-5</v>
      </c>
      <c r="X639" t="b">
        <f t="shared" si="11"/>
        <v>1</v>
      </c>
      <c r="Y639" s="186" t="s">
        <v>1404</v>
      </c>
      <c r="Z639" t="s">
        <v>1403</v>
      </c>
    </row>
    <row r="640" spans="1:26" x14ac:dyDescent="0.25">
      <c r="A640">
        <v>2023</v>
      </c>
      <c r="B640" t="s">
        <v>1400</v>
      </c>
      <c r="C640" t="s">
        <v>1412</v>
      </c>
      <c r="D640" s="1">
        <v>110041245015</v>
      </c>
      <c r="E640" t="s">
        <v>1413</v>
      </c>
      <c r="F640" t="s">
        <v>1414</v>
      </c>
      <c r="G640" t="s">
        <v>683</v>
      </c>
      <c r="H640" t="s">
        <v>364</v>
      </c>
      <c r="I640" t="s">
        <v>1405</v>
      </c>
      <c r="J640">
        <v>39.567390000000003</v>
      </c>
      <c r="K640">
        <v>-76.920410000000004</v>
      </c>
      <c r="L640"/>
      <c r="M640" s="175" t="e">
        <f>VLOOKUP(L640, '2022 SIC to NAICS'!A:D, 2)</f>
        <v>#N/A</v>
      </c>
      <c r="N640" s="184" t="e">
        <f>VLOOKUP(L640, '2022 SIC to NAICS'!A:D, 3)</f>
        <v>#N/A</v>
      </c>
      <c r="O640" s="184" t="e">
        <f>VLOOKUP(L640, '2022 SIC to NAICS'!A:D, 4)</f>
        <v>#N/A</v>
      </c>
      <c r="P640" s="185" t="e">
        <f>VLOOKUP(N640, 'NAICS OES crosswalk'!A:C, 3, FALSE)</f>
        <v>#N/A</v>
      </c>
      <c r="T640" s="186" t="s">
        <v>1415</v>
      </c>
      <c r="U640" t="s">
        <v>1416</v>
      </c>
      <c r="V640">
        <v>1.0257823125000001E-3</v>
      </c>
      <c r="X640" t="b">
        <f t="shared" si="11"/>
        <v>1</v>
      </c>
      <c r="Y640" s="186" t="s">
        <v>1402</v>
      </c>
      <c r="Z640" t="s">
        <v>1403</v>
      </c>
    </row>
    <row r="641" spans="1:26" x14ac:dyDescent="0.25">
      <c r="A641">
        <v>2023</v>
      </c>
      <c r="B641" t="s">
        <v>1400</v>
      </c>
      <c r="C641" t="s">
        <v>1103</v>
      </c>
      <c r="D641" s="1">
        <v>110043808467</v>
      </c>
      <c r="E641" t="s">
        <v>172</v>
      </c>
      <c r="F641" t="s">
        <v>173</v>
      </c>
      <c r="G641" t="s">
        <v>554</v>
      </c>
      <c r="H641" t="s">
        <v>158</v>
      </c>
      <c r="I641" t="s">
        <v>1405</v>
      </c>
      <c r="J641">
        <v>36.035440000000001</v>
      </c>
      <c r="K641">
        <v>-114.99994</v>
      </c>
      <c r="L641">
        <v>1799</v>
      </c>
      <c r="M641" s="175" t="str">
        <f>VLOOKUP(L641, '2022 SIC to NAICS'!A:D, 2)</f>
        <v>Special Trade Contractors, Nec</v>
      </c>
      <c r="N641" s="184">
        <f>VLOOKUP(L641, '2022 SIC to NAICS'!A:D, 3)</f>
        <v>238990</v>
      </c>
      <c r="O641" s="184" t="str">
        <f>VLOOKUP(L641, '2022 SIC to NAICS'!A:D, 4)</f>
        <v>All Other Specialty Trade Contractors</v>
      </c>
      <c r="P641" s="185" t="str">
        <f>VLOOKUP(N641, 'NAICS OES crosswalk'!A:C, 3, FALSE)</f>
        <v>TBD</v>
      </c>
      <c r="T641">
        <v>150100150708</v>
      </c>
      <c r="U641" t="s">
        <v>1104</v>
      </c>
      <c r="V641">
        <v>0.60328944674999996</v>
      </c>
      <c r="X641" t="b">
        <f t="shared" si="11"/>
        <v>0</v>
      </c>
      <c r="Y641" s="186" t="s">
        <v>1402</v>
      </c>
      <c r="Z641" t="s">
        <v>1403</v>
      </c>
    </row>
    <row r="642" spans="1:26" x14ac:dyDescent="0.25">
      <c r="A642">
        <v>2023</v>
      </c>
      <c r="B642" t="s">
        <v>1400</v>
      </c>
      <c r="C642" t="s">
        <v>556</v>
      </c>
      <c r="D642" s="1">
        <v>110015972562</v>
      </c>
      <c r="E642" t="s">
        <v>167</v>
      </c>
      <c r="F642" t="s">
        <v>157</v>
      </c>
      <c r="G642" t="s">
        <v>554</v>
      </c>
      <c r="H642" t="s">
        <v>158</v>
      </c>
      <c r="I642" t="s">
        <v>1405</v>
      </c>
      <c r="J642">
        <v>36.116160999999998</v>
      </c>
      <c r="K642">
        <v>-115.172741</v>
      </c>
      <c r="L642">
        <v>7011</v>
      </c>
      <c r="M642" s="175" t="str">
        <f>VLOOKUP(L642, '2022 SIC to NAICS'!A:D, 2)</f>
        <v>Communication Services, Nec</v>
      </c>
      <c r="N642" s="184">
        <f>VLOOKUP(L642, '2022 SIC to NAICS'!A:D, 3)</f>
        <v>517810</v>
      </c>
      <c r="O642" s="184" t="str">
        <f>VLOOKUP(L642, '2022 SIC to NAICS'!A:D, 4)</f>
        <v xml:space="preserve">All Other Telecommunications </v>
      </c>
      <c r="P642" s="185" t="str">
        <f>VLOOKUP(N642, 'NAICS OES crosswalk'!A:C, 3, FALSE)</f>
        <v>TBD</v>
      </c>
      <c r="T642">
        <v>150100150505</v>
      </c>
      <c r="U642" t="s">
        <v>557</v>
      </c>
      <c r="V642">
        <v>0.1119060893375</v>
      </c>
      <c r="X642" t="b">
        <f t="shared" si="11"/>
        <v>0</v>
      </c>
      <c r="Y642" s="186" t="s">
        <v>1402</v>
      </c>
      <c r="Z642" t="s">
        <v>1403</v>
      </c>
    </row>
    <row r="643" spans="1:26" x14ac:dyDescent="0.25">
      <c r="A643">
        <v>2023</v>
      </c>
      <c r="B643" t="s">
        <v>1400</v>
      </c>
      <c r="C643" t="s">
        <v>740</v>
      </c>
      <c r="D643" s="1">
        <v>110000574423</v>
      </c>
      <c r="E643" t="s">
        <v>307</v>
      </c>
      <c r="F643" t="s">
        <v>308</v>
      </c>
      <c r="G643" t="s">
        <v>739</v>
      </c>
      <c r="H643" t="s">
        <v>309</v>
      </c>
      <c r="I643" t="s">
        <v>1401</v>
      </c>
      <c r="J643">
        <v>36.527054999999997</v>
      </c>
      <c r="K643">
        <v>-82.538579999999996</v>
      </c>
      <c r="L643">
        <v>2869</v>
      </c>
      <c r="M643" s="175" t="str">
        <f>VLOOKUP(L643, '2022 SIC to NAICS'!A:D, 2)</f>
        <v>Industrial Organic Chemicals, Nec</v>
      </c>
      <c r="N643" s="184">
        <f>VLOOKUP(L643, '2022 SIC to NAICS'!A:D, 3)</f>
        <v>325180</v>
      </c>
      <c r="O643" s="184" t="str">
        <f>VLOOKUP(L643, '2022 SIC to NAICS'!A:D, 4)</f>
        <v xml:space="preserve">Other Basic Inorganic Chemical Manufacturing </v>
      </c>
      <c r="P643" s="185" t="str">
        <f>VLOOKUP(N643, 'NAICS OES crosswalk'!A:C, 3, FALSE)</f>
        <v>Processing as a reactant</v>
      </c>
      <c r="T643" s="186" t="s">
        <v>1235</v>
      </c>
      <c r="U643" t="s">
        <v>741</v>
      </c>
      <c r="V643">
        <v>8.6997750000000007</v>
      </c>
      <c r="X643" t="b">
        <f t="shared" si="11"/>
        <v>0</v>
      </c>
      <c r="Y643" s="186" t="s">
        <v>1404</v>
      </c>
      <c r="Z643" t="s">
        <v>1403</v>
      </c>
    </row>
    <row r="644" spans="1:26" x14ac:dyDescent="0.25">
      <c r="A644">
        <v>2023</v>
      </c>
      <c r="B644" t="s">
        <v>1400</v>
      </c>
      <c r="C644" t="s">
        <v>977</v>
      </c>
      <c r="D644" s="1">
        <v>110064644782</v>
      </c>
      <c r="E644" t="s">
        <v>471</v>
      </c>
      <c r="F644" t="s">
        <v>472</v>
      </c>
      <c r="G644" t="s">
        <v>975</v>
      </c>
      <c r="H644" t="s">
        <v>106</v>
      </c>
      <c r="I644" t="s">
        <v>1401</v>
      </c>
      <c r="J644">
        <v>30.584540000000001</v>
      </c>
      <c r="K644">
        <v>-91.247479999999996</v>
      </c>
      <c r="L644">
        <v>4953</v>
      </c>
      <c r="M644" s="175" t="str">
        <f>VLOOKUP(L644, '2022 SIC to NAICS'!A:D, 2)</f>
        <v>Manufacturing Industries, Nec</v>
      </c>
      <c r="N644" s="184">
        <f>VLOOKUP(L644, '2022 SIC to NAICS'!A:D, 3)</f>
        <v>339999</v>
      </c>
      <c r="O644" s="184" t="str">
        <f>VLOOKUP(L644, '2022 SIC to NAICS'!A:D, 4)</f>
        <v xml:space="preserve">All Other Miscellaneous Manufacturing </v>
      </c>
      <c r="P644" s="185" t="str">
        <f>VLOOKUP(N644, 'NAICS OES crosswalk'!A:C, 3, FALSE)</f>
        <v>TBD</v>
      </c>
      <c r="T644" s="186" t="s">
        <v>1282</v>
      </c>
      <c r="U644" t="s">
        <v>978</v>
      </c>
      <c r="V644">
        <v>1.9485872655E-2</v>
      </c>
      <c r="X644" t="b">
        <f t="shared" si="11"/>
        <v>0</v>
      </c>
      <c r="Y644" s="186" t="s">
        <v>1427</v>
      </c>
      <c r="Z644" t="s">
        <v>1403</v>
      </c>
    </row>
    <row r="645" spans="1:26" x14ac:dyDescent="0.25">
      <c r="A645">
        <v>2023</v>
      </c>
      <c r="B645" t="s">
        <v>1400</v>
      </c>
      <c r="C645" t="s">
        <v>813</v>
      </c>
      <c r="D645" s="1">
        <v>110000732208</v>
      </c>
      <c r="E645" t="s">
        <v>490</v>
      </c>
      <c r="F645" t="s">
        <v>488</v>
      </c>
      <c r="G645" t="s">
        <v>812</v>
      </c>
      <c r="H645" t="s">
        <v>138</v>
      </c>
      <c r="I645" t="s">
        <v>1401</v>
      </c>
      <c r="J645">
        <v>38.217222</v>
      </c>
      <c r="K645">
        <v>-84.564166999999998</v>
      </c>
      <c r="L645">
        <v>4952</v>
      </c>
      <c r="M645" s="175" t="str">
        <f>VLOOKUP(L645, '2022 SIC to NAICS'!A:D, 2)</f>
        <v>Manufacturing Industries, Nec</v>
      </c>
      <c r="N645" s="184">
        <f>VLOOKUP(L645, '2022 SIC to NAICS'!A:D, 3)</f>
        <v>339999</v>
      </c>
      <c r="O645" s="184" t="str">
        <f>VLOOKUP(L645, '2022 SIC to NAICS'!A:D, 4)</f>
        <v xml:space="preserve">All Other Miscellaneous Manufacturing </v>
      </c>
      <c r="P645" s="185" t="str">
        <f>VLOOKUP(N645, 'NAICS OES crosswalk'!A:C, 3, FALSE)</f>
        <v>TBD</v>
      </c>
      <c r="T645" s="186" t="s">
        <v>1284</v>
      </c>
      <c r="U645" t="s">
        <v>814</v>
      </c>
      <c r="V645">
        <v>8.4618406250000007</v>
      </c>
      <c r="X645" t="b">
        <f t="shared" si="11"/>
        <v>0</v>
      </c>
      <c r="Y645" s="186" t="s">
        <v>1402</v>
      </c>
      <c r="Z645" t="s">
        <v>1403</v>
      </c>
    </row>
    <row r="646" spans="1:26" x14ac:dyDescent="0.25">
      <c r="A646">
        <v>2023</v>
      </c>
      <c r="B646" t="s">
        <v>1400</v>
      </c>
      <c r="C646" t="s">
        <v>743</v>
      </c>
      <c r="D646" s="1">
        <v>110000460901</v>
      </c>
      <c r="E646" t="s">
        <v>312</v>
      </c>
      <c r="F646" t="s">
        <v>313</v>
      </c>
      <c r="G646" t="s">
        <v>638</v>
      </c>
      <c r="H646" t="s">
        <v>114</v>
      </c>
      <c r="I646" t="s">
        <v>1401</v>
      </c>
      <c r="J646">
        <v>29.718139000000001</v>
      </c>
      <c r="K646">
        <v>-95.268749999999997</v>
      </c>
      <c r="L646">
        <v>2819</v>
      </c>
      <c r="M646" s="175" t="str">
        <f>VLOOKUP(L646, '2022 SIC to NAICS'!A:D, 2)</f>
        <v>Platemaking Services</v>
      </c>
      <c r="N646" s="184">
        <f>VLOOKUP(L646, '2022 SIC to NAICS'!A:D, 3)</f>
        <v>323120</v>
      </c>
      <c r="O646" s="184" t="str">
        <f>VLOOKUP(L646, '2022 SIC to NAICS'!A:D, 4)</f>
        <v>Support Activities for Printing</v>
      </c>
      <c r="P646" s="185" t="str">
        <f>VLOOKUP(N646, 'NAICS OES crosswalk'!A:C, 3, FALSE)</f>
        <v>TBD</v>
      </c>
      <c r="T646">
        <v>120401040502</v>
      </c>
      <c r="U646" t="s">
        <v>744</v>
      </c>
      <c r="V646">
        <v>12.42144</v>
      </c>
      <c r="X646" t="b">
        <f t="shared" si="11"/>
        <v>0</v>
      </c>
      <c r="Y646" s="186" t="s">
        <v>1418</v>
      </c>
    </row>
    <row r="647" spans="1:26" x14ac:dyDescent="0.25">
      <c r="A647">
        <v>2023</v>
      </c>
      <c r="B647" t="s">
        <v>1400</v>
      </c>
      <c r="C647" t="s">
        <v>1083</v>
      </c>
      <c r="D647" s="1">
        <v>110000432504</v>
      </c>
      <c r="E647" t="s">
        <v>139</v>
      </c>
      <c r="F647" t="s">
        <v>140</v>
      </c>
      <c r="G647" t="s">
        <v>1081</v>
      </c>
      <c r="H647" t="s">
        <v>141</v>
      </c>
      <c r="I647" t="s">
        <v>1401</v>
      </c>
      <c r="J647">
        <v>41.441667000000002</v>
      </c>
      <c r="K647">
        <v>-88.159719999999993</v>
      </c>
      <c r="L647">
        <v>2843</v>
      </c>
      <c r="M647" s="175" t="str">
        <f>VLOOKUP(L647, '2022 SIC to NAICS'!A:D, 2)</f>
        <v>Platemaking Services</v>
      </c>
      <c r="N647" s="184">
        <f>VLOOKUP(L647, '2022 SIC to NAICS'!A:D, 3)</f>
        <v>323120</v>
      </c>
      <c r="O647" s="184" t="str">
        <f>VLOOKUP(L647, '2022 SIC to NAICS'!A:D, 4)</f>
        <v>Support Activities for Printing</v>
      </c>
      <c r="P647" s="185" t="str">
        <f>VLOOKUP(N647, 'NAICS OES crosswalk'!A:C, 3, FALSE)</f>
        <v>TBD</v>
      </c>
      <c r="T647" s="186" t="s">
        <v>1183</v>
      </c>
      <c r="U647" t="s">
        <v>1084</v>
      </c>
      <c r="V647">
        <v>0.58066600000000002</v>
      </c>
      <c r="X647" t="b">
        <f t="shared" si="11"/>
        <v>0</v>
      </c>
      <c r="Y647" s="186" t="s">
        <v>1402</v>
      </c>
    </row>
    <row r="648" spans="1:26" x14ac:dyDescent="0.25">
      <c r="A648">
        <v>2023</v>
      </c>
      <c r="B648" t="s">
        <v>1400</v>
      </c>
      <c r="C648" t="s">
        <v>806</v>
      </c>
      <c r="D648" s="1">
        <v>110037256867</v>
      </c>
      <c r="E648" t="s">
        <v>165</v>
      </c>
      <c r="F648" t="s">
        <v>166</v>
      </c>
      <c r="G648" t="s">
        <v>804</v>
      </c>
      <c r="H648" t="s">
        <v>146</v>
      </c>
      <c r="I648" t="s">
        <v>1405</v>
      </c>
      <c r="J648">
        <v>35.178620000000002</v>
      </c>
      <c r="K648">
        <v>-120.62067500000001</v>
      </c>
      <c r="L648">
        <v>2911</v>
      </c>
      <c r="M648" s="175" t="str">
        <f>VLOOKUP(L648, '2022 SIC to NAICS'!A:D, 2)</f>
        <v>Explosives</v>
      </c>
      <c r="N648" s="184">
        <f>VLOOKUP(L648, '2022 SIC to NAICS'!A:D, 3)</f>
        <v>325920</v>
      </c>
      <c r="O648" s="184" t="str">
        <f>VLOOKUP(L648, '2022 SIC to NAICS'!A:D, 4)</f>
        <v>Explosives Manufacturing</v>
      </c>
      <c r="P648" s="185" t="str">
        <f>VLOOKUP(N648, 'NAICS OES crosswalk'!A:C, 3, FALSE)</f>
        <v>TBD</v>
      </c>
      <c r="T648">
        <v>180600060703</v>
      </c>
      <c r="U648" t="s">
        <v>807</v>
      </c>
      <c r="V648">
        <v>1.7959824999999999E-2</v>
      </c>
      <c r="X648" t="b">
        <f t="shared" si="11"/>
        <v>0</v>
      </c>
      <c r="Y648" s="186" t="s">
        <v>1402</v>
      </c>
      <c r="Z648" t="s">
        <v>1403</v>
      </c>
    </row>
    <row r="649" spans="1:26" x14ac:dyDescent="0.25">
      <c r="A649">
        <v>2023</v>
      </c>
      <c r="B649" t="s">
        <v>1400</v>
      </c>
      <c r="C649" t="s">
        <v>720</v>
      </c>
      <c r="D649" s="1">
        <v>110020737540</v>
      </c>
      <c r="E649" t="s">
        <v>449</v>
      </c>
      <c r="F649" t="s">
        <v>450</v>
      </c>
      <c r="G649" t="s">
        <v>719</v>
      </c>
      <c r="H649" t="s">
        <v>138</v>
      </c>
      <c r="I649" t="s">
        <v>1401</v>
      </c>
      <c r="J649">
        <v>38.394444</v>
      </c>
      <c r="K649">
        <v>-84.284999999999997</v>
      </c>
      <c r="L649">
        <v>4952</v>
      </c>
      <c r="M649" s="175" t="str">
        <f>VLOOKUP(L649, '2022 SIC to NAICS'!A:D, 2)</f>
        <v>Manufacturing Industries, Nec</v>
      </c>
      <c r="N649" s="184">
        <f>VLOOKUP(L649, '2022 SIC to NAICS'!A:D, 3)</f>
        <v>339999</v>
      </c>
      <c r="O649" s="184" t="str">
        <f>VLOOKUP(L649, '2022 SIC to NAICS'!A:D, 4)</f>
        <v xml:space="preserve">All Other Miscellaneous Manufacturing </v>
      </c>
      <c r="P649" s="185" t="str">
        <f>VLOOKUP(N649, 'NAICS OES crosswalk'!A:C, 3, FALSE)</f>
        <v>TBD</v>
      </c>
      <c r="T649" s="186" t="s">
        <v>1277</v>
      </c>
      <c r="U649" t="s">
        <v>721</v>
      </c>
      <c r="V649">
        <v>2.9322868125000001</v>
      </c>
      <c r="X649" t="b">
        <f t="shared" si="11"/>
        <v>0</v>
      </c>
      <c r="Y649" s="186" t="s">
        <v>1402</v>
      </c>
      <c r="Z649" t="s">
        <v>1403</v>
      </c>
    </row>
    <row r="650" spans="1:26" x14ac:dyDescent="0.25">
      <c r="A650">
        <v>2023</v>
      </c>
      <c r="B650" t="s">
        <v>1400</v>
      </c>
      <c r="C650" t="s">
        <v>1010</v>
      </c>
      <c r="D650" s="1">
        <v>110006644872</v>
      </c>
      <c r="E650" t="s">
        <v>349</v>
      </c>
      <c r="F650" t="s">
        <v>350</v>
      </c>
      <c r="G650" t="s">
        <v>677</v>
      </c>
      <c r="H650" t="s">
        <v>138</v>
      </c>
      <c r="I650" t="s">
        <v>1401</v>
      </c>
      <c r="J650">
        <v>37.491857000000003</v>
      </c>
      <c r="K650">
        <v>-82.539703000000003</v>
      </c>
      <c r="L650">
        <v>4952</v>
      </c>
      <c r="M650" s="175" t="str">
        <f>VLOOKUP(L650, '2022 SIC to NAICS'!A:D, 2)</f>
        <v>Manufacturing Industries, Nec</v>
      </c>
      <c r="N650" s="184">
        <f>VLOOKUP(L650, '2022 SIC to NAICS'!A:D, 3)</f>
        <v>339999</v>
      </c>
      <c r="O650" s="184" t="str">
        <f>VLOOKUP(L650, '2022 SIC to NAICS'!A:D, 4)</f>
        <v xml:space="preserve">All Other Miscellaneous Manufacturing </v>
      </c>
      <c r="P650" s="185" t="str">
        <f>VLOOKUP(N650, 'NAICS OES crosswalk'!A:C, 3, FALSE)</f>
        <v>TBD</v>
      </c>
      <c r="T650" s="186" t="s">
        <v>1248</v>
      </c>
      <c r="U650" t="s">
        <v>1011</v>
      </c>
      <c r="V650">
        <v>1.2218897862500001E-3</v>
      </c>
      <c r="X650" t="b">
        <f t="shared" si="11"/>
        <v>0</v>
      </c>
      <c r="Y650" s="186" t="s">
        <v>1402</v>
      </c>
      <c r="Z650" t="s">
        <v>1403</v>
      </c>
    </row>
    <row r="651" spans="1:26" x14ac:dyDescent="0.25">
      <c r="A651">
        <v>2023</v>
      </c>
      <c r="B651" t="s">
        <v>1400</v>
      </c>
      <c r="C651" t="s">
        <v>821</v>
      </c>
      <c r="D651" s="1">
        <v>110064624018</v>
      </c>
      <c r="E651" t="s">
        <v>445</v>
      </c>
      <c r="F651" t="s">
        <v>446</v>
      </c>
      <c r="G651" t="s">
        <v>446</v>
      </c>
      <c r="H651" t="s">
        <v>146</v>
      </c>
      <c r="I651" t="s">
        <v>1401</v>
      </c>
      <c r="J651">
        <v>33.990146000000003</v>
      </c>
      <c r="K651">
        <v>-118.36358</v>
      </c>
      <c r="L651">
        <v>2911</v>
      </c>
      <c r="M651" s="175" t="str">
        <f>VLOOKUP(L651, '2022 SIC to NAICS'!A:D, 2)</f>
        <v>Explosives</v>
      </c>
      <c r="N651" s="184">
        <f>VLOOKUP(L651, '2022 SIC to NAICS'!A:D, 3)</f>
        <v>325920</v>
      </c>
      <c r="O651" s="184" t="str">
        <f>VLOOKUP(L651, '2022 SIC to NAICS'!A:D, 4)</f>
        <v>Explosives Manufacturing</v>
      </c>
      <c r="P651" s="185" t="str">
        <f>VLOOKUP(N651, 'NAICS OES crosswalk'!A:C, 3, FALSE)</f>
        <v>TBD</v>
      </c>
      <c r="T651">
        <v>180701040300</v>
      </c>
      <c r="U651" t="s">
        <v>822</v>
      </c>
      <c r="V651">
        <v>5.5261000000000004E-4</v>
      </c>
      <c r="X651" t="b">
        <f t="shared" si="11"/>
        <v>1</v>
      </c>
      <c r="Y651" s="186" t="s">
        <v>1427</v>
      </c>
      <c r="Z651" t="s">
        <v>1403</v>
      </c>
    </row>
    <row r="652" spans="1:26" x14ac:dyDescent="0.25">
      <c r="A652">
        <v>2023</v>
      </c>
      <c r="B652" t="s">
        <v>1400</v>
      </c>
      <c r="C652" t="s">
        <v>1114</v>
      </c>
      <c r="D652" s="1">
        <v>110000571373</v>
      </c>
      <c r="E652" t="s">
        <v>136</v>
      </c>
      <c r="F652" t="s">
        <v>137</v>
      </c>
      <c r="G652" t="s">
        <v>1020</v>
      </c>
      <c r="H652" t="s">
        <v>138</v>
      </c>
      <c r="I652" t="s">
        <v>1401</v>
      </c>
      <c r="J652">
        <v>37.642310000000002</v>
      </c>
      <c r="K652">
        <v>-85.903570000000002</v>
      </c>
      <c r="L652">
        <v>4952</v>
      </c>
      <c r="M652" s="175" t="str">
        <f>VLOOKUP(L652, '2022 SIC to NAICS'!A:D, 2)</f>
        <v>Manufacturing Industries, Nec</v>
      </c>
      <c r="N652" s="184">
        <f>VLOOKUP(L652, '2022 SIC to NAICS'!A:D, 3)</f>
        <v>339999</v>
      </c>
      <c r="O652" s="184" t="str">
        <f>VLOOKUP(L652, '2022 SIC to NAICS'!A:D, 4)</f>
        <v xml:space="preserve">All Other Miscellaneous Manufacturing </v>
      </c>
      <c r="P652" s="185" t="str">
        <f>VLOOKUP(N652, 'NAICS OES crosswalk'!A:C, 3, FALSE)</f>
        <v>TBD</v>
      </c>
      <c r="T652" s="186" t="s">
        <v>1182</v>
      </c>
      <c r="U652" t="s">
        <v>1115</v>
      </c>
      <c r="V652">
        <v>3.3156599999999998</v>
      </c>
      <c r="X652" t="b">
        <f t="shared" si="11"/>
        <v>0</v>
      </c>
      <c r="Y652" s="186" t="s">
        <v>1402</v>
      </c>
      <c r="Z652" t="s">
        <v>1403</v>
      </c>
    </row>
    <row r="653" spans="1:26" x14ac:dyDescent="0.25">
      <c r="A653">
        <v>2023</v>
      </c>
      <c r="B653" t="s">
        <v>1400</v>
      </c>
      <c r="C653" t="s">
        <v>1080</v>
      </c>
      <c r="D653" s="1">
        <v>110013317614</v>
      </c>
      <c r="E653" t="s">
        <v>405</v>
      </c>
      <c r="F653" t="s">
        <v>406</v>
      </c>
      <c r="G653" t="s">
        <v>731</v>
      </c>
      <c r="H653" t="s">
        <v>153</v>
      </c>
      <c r="I653" t="s">
        <v>1401</v>
      </c>
      <c r="J653">
        <v>39.845474000000003</v>
      </c>
      <c r="K653">
        <v>-75.209485999999998</v>
      </c>
      <c r="L653">
        <v>2821</v>
      </c>
      <c r="M653" s="175" t="str">
        <f>VLOOKUP(L653, '2022 SIC to NAICS'!A:D, 2)</f>
        <v>Platemaking Services</v>
      </c>
      <c r="N653" s="184">
        <f>VLOOKUP(L653, '2022 SIC to NAICS'!A:D, 3)</f>
        <v>323120</v>
      </c>
      <c r="O653" s="184" t="str">
        <f>VLOOKUP(L653, '2022 SIC to NAICS'!A:D, 4)</f>
        <v>Support Activities for Printing</v>
      </c>
      <c r="P653" s="185" t="str">
        <f>VLOOKUP(N653, 'NAICS OES crosswalk'!A:C, 3, FALSE)</f>
        <v>TBD</v>
      </c>
      <c r="T653" s="186" t="s">
        <v>1195</v>
      </c>
      <c r="U653" t="s">
        <v>852</v>
      </c>
      <c r="V653">
        <v>3.6661600000000003E-2</v>
      </c>
      <c r="X653" t="b">
        <f t="shared" si="11"/>
        <v>0</v>
      </c>
      <c r="Y653" s="186" t="s">
        <v>1402</v>
      </c>
      <c r="Z653" t="s">
        <v>1403</v>
      </c>
    </row>
    <row r="654" spans="1:26" x14ac:dyDescent="0.25">
      <c r="A654">
        <v>2023</v>
      </c>
      <c r="B654" t="s">
        <v>1400</v>
      </c>
      <c r="C654" t="s">
        <v>699</v>
      </c>
      <c r="D654" s="1">
        <v>110001075345</v>
      </c>
      <c r="E654" t="s">
        <v>299</v>
      </c>
      <c r="F654" t="s">
        <v>300</v>
      </c>
      <c r="G654" t="s">
        <v>697</v>
      </c>
      <c r="H654" t="s">
        <v>268</v>
      </c>
      <c r="I654" t="s">
        <v>1405</v>
      </c>
      <c r="J654">
        <v>40.700989999999997</v>
      </c>
      <c r="K654">
        <v>-75.214780000000005</v>
      </c>
      <c r="L654">
        <v>4953</v>
      </c>
      <c r="M654" s="175" t="str">
        <f>VLOOKUP(L654, '2022 SIC to NAICS'!A:D, 2)</f>
        <v>Manufacturing Industries, Nec</v>
      </c>
      <c r="N654" s="184">
        <f>VLOOKUP(L654, '2022 SIC to NAICS'!A:D, 3)</f>
        <v>339999</v>
      </c>
      <c r="O654" s="184" t="str">
        <f>VLOOKUP(L654, '2022 SIC to NAICS'!A:D, 4)</f>
        <v xml:space="preserve">All Other Miscellaneous Manufacturing </v>
      </c>
      <c r="P654" s="185" t="str">
        <f>VLOOKUP(N654, 'NAICS OES crosswalk'!A:C, 3, FALSE)</f>
        <v>TBD</v>
      </c>
      <c r="T654" s="186" t="s">
        <v>1233</v>
      </c>
      <c r="U654" t="s">
        <v>700</v>
      </c>
      <c r="V654">
        <v>6.5348781999999994E-2</v>
      </c>
      <c r="X654" t="b">
        <f t="shared" si="11"/>
        <v>0</v>
      </c>
      <c r="Y654" s="186" t="s">
        <v>1402</v>
      </c>
      <c r="Z654" t="s">
        <v>1403</v>
      </c>
    </row>
    <row r="655" spans="1:26" x14ac:dyDescent="0.25">
      <c r="A655">
        <v>2023</v>
      </c>
      <c r="B655" t="s">
        <v>1400</v>
      </c>
      <c r="C655" t="s">
        <v>684</v>
      </c>
      <c r="D655" s="1">
        <v>110015632216</v>
      </c>
      <c r="E655" t="s">
        <v>142</v>
      </c>
      <c r="F655" t="s">
        <v>143</v>
      </c>
      <c r="G655" t="s">
        <v>683</v>
      </c>
      <c r="H655" t="s">
        <v>138</v>
      </c>
      <c r="I655" t="s">
        <v>1401</v>
      </c>
      <c r="J655">
        <v>38.627777999999999</v>
      </c>
      <c r="K655">
        <v>-85.115832999999995</v>
      </c>
      <c r="L655">
        <v>4952</v>
      </c>
      <c r="M655" s="175" t="str">
        <f>VLOOKUP(L655, '2022 SIC to NAICS'!A:D, 2)</f>
        <v>Manufacturing Industries, Nec</v>
      </c>
      <c r="N655" s="184">
        <f>VLOOKUP(L655, '2022 SIC to NAICS'!A:D, 3)</f>
        <v>339999</v>
      </c>
      <c r="O655" s="184" t="str">
        <f>VLOOKUP(L655, '2022 SIC to NAICS'!A:D, 4)</f>
        <v xml:space="preserve">All Other Miscellaneous Manufacturing </v>
      </c>
      <c r="P655" s="185" t="str">
        <f>VLOOKUP(N655, 'NAICS OES crosswalk'!A:C, 3, FALSE)</f>
        <v>TBD</v>
      </c>
      <c r="T655" s="186" t="s">
        <v>1184</v>
      </c>
      <c r="U655" t="s">
        <v>685</v>
      </c>
      <c r="V655">
        <v>2.7043351874999999</v>
      </c>
      <c r="X655" t="b">
        <f t="shared" si="11"/>
        <v>0</v>
      </c>
      <c r="Y655" s="186" t="s">
        <v>1402</v>
      </c>
      <c r="Z655" t="s">
        <v>1403</v>
      </c>
    </row>
    <row r="656" spans="1:26" x14ac:dyDescent="0.25">
      <c r="A656">
        <v>2023</v>
      </c>
      <c r="B656" t="s">
        <v>1400</v>
      </c>
      <c r="C656" t="s">
        <v>910</v>
      </c>
      <c r="D656" s="1">
        <v>110020039402</v>
      </c>
      <c r="E656" t="s">
        <v>470</v>
      </c>
      <c r="F656" t="s">
        <v>157</v>
      </c>
      <c r="G656" t="s">
        <v>554</v>
      </c>
      <c r="H656" t="s">
        <v>158</v>
      </c>
      <c r="I656" t="s">
        <v>1405</v>
      </c>
      <c r="J656">
        <v>36.137529999999998</v>
      </c>
      <c r="K656">
        <v>-115.15479000000001</v>
      </c>
      <c r="L656">
        <v>7011</v>
      </c>
      <c r="M656" s="175" t="str">
        <f>VLOOKUP(L656, '2022 SIC to NAICS'!A:D, 2)</f>
        <v>Communication Services, Nec</v>
      </c>
      <c r="N656" s="184">
        <f>VLOOKUP(L656, '2022 SIC to NAICS'!A:D, 3)</f>
        <v>517810</v>
      </c>
      <c r="O656" s="184" t="str">
        <f>VLOOKUP(L656, '2022 SIC to NAICS'!A:D, 4)</f>
        <v xml:space="preserve">All Other Telecommunications </v>
      </c>
      <c r="P656" s="185" t="str">
        <f>VLOOKUP(N656, 'NAICS OES crosswalk'!A:C, 3, FALSE)</f>
        <v>TBD</v>
      </c>
      <c r="T656">
        <v>150100150604</v>
      </c>
      <c r="U656" t="s">
        <v>578</v>
      </c>
      <c r="V656">
        <v>1.9505063768887501E-3</v>
      </c>
      <c r="X656" t="b">
        <f t="shared" si="11"/>
        <v>0</v>
      </c>
      <c r="Y656" t="s">
        <v>1426</v>
      </c>
      <c r="Z656" t="s">
        <v>1403</v>
      </c>
    </row>
    <row r="657" spans="1:26" x14ac:dyDescent="0.25">
      <c r="A657">
        <v>2023</v>
      </c>
      <c r="B657" t="s">
        <v>1400</v>
      </c>
      <c r="C657" t="s">
        <v>695</v>
      </c>
      <c r="D657" s="1">
        <v>110007970142</v>
      </c>
      <c r="E657" t="s">
        <v>355</v>
      </c>
      <c r="F657" t="s">
        <v>356</v>
      </c>
      <c r="G657" t="s">
        <v>694</v>
      </c>
      <c r="H657" t="s">
        <v>153</v>
      </c>
      <c r="I657" t="s">
        <v>1401</v>
      </c>
      <c r="J657">
        <v>39.698279999999997</v>
      </c>
      <c r="K657">
        <v>-75.503974999999997</v>
      </c>
      <c r="L657">
        <v>2869</v>
      </c>
      <c r="M657" s="175" t="str">
        <f>VLOOKUP(L657, '2022 SIC to NAICS'!A:D, 2)</f>
        <v>Industrial Organic Chemicals, Nec</v>
      </c>
      <c r="N657" s="184">
        <f>VLOOKUP(L657, '2022 SIC to NAICS'!A:D, 3)</f>
        <v>325180</v>
      </c>
      <c r="O657" s="184" t="str">
        <f>VLOOKUP(L657, '2022 SIC to NAICS'!A:D, 4)</f>
        <v xml:space="preserve">Other Basic Inorganic Chemical Manufacturing </v>
      </c>
      <c r="P657" s="185" t="str">
        <f>VLOOKUP(N657, 'NAICS OES crosswalk'!A:C, 3, FALSE)</f>
        <v>Processing as a reactant</v>
      </c>
      <c r="T657" s="186" t="s">
        <v>1250</v>
      </c>
      <c r="U657" t="s">
        <v>696</v>
      </c>
      <c r="V657">
        <v>0.80800000000000005</v>
      </c>
      <c r="X657" t="b">
        <f t="shared" si="11"/>
        <v>0</v>
      </c>
      <c r="Y657">
        <v>662</v>
      </c>
      <c r="Z657" t="s">
        <v>1403</v>
      </c>
    </row>
    <row r="658" spans="1:26" x14ac:dyDescent="0.25">
      <c r="A658">
        <v>2023</v>
      </c>
      <c r="B658" t="s">
        <v>1400</v>
      </c>
      <c r="C658" t="s">
        <v>1078</v>
      </c>
      <c r="D658" s="1">
        <v>110000572782</v>
      </c>
      <c r="E658" t="s">
        <v>163</v>
      </c>
      <c r="F658" t="s">
        <v>164</v>
      </c>
      <c r="G658" t="s">
        <v>1077</v>
      </c>
      <c r="H658" t="s">
        <v>135</v>
      </c>
      <c r="I658" t="s">
        <v>1401</v>
      </c>
      <c r="J658">
        <v>39.599829999999997</v>
      </c>
      <c r="K658">
        <v>-79.97148</v>
      </c>
      <c r="L658">
        <v>2869</v>
      </c>
      <c r="M658" s="175" t="str">
        <f>VLOOKUP(L658, '2022 SIC to NAICS'!A:D, 2)</f>
        <v>Industrial Organic Chemicals, Nec</v>
      </c>
      <c r="N658" s="184">
        <f>VLOOKUP(L658, '2022 SIC to NAICS'!A:D, 3)</f>
        <v>325180</v>
      </c>
      <c r="O658" s="184" t="str">
        <f>VLOOKUP(L658, '2022 SIC to NAICS'!A:D, 4)</f>
        <v xml:space="preserve">Other Basic Inorganic Chemical Manufacturing </v>
      </c>
      <c r="P658" s="185" t="str">
        <f>VLOOKUP(N658, 'NAICS OES crosswalk'!A:C, 3, FALSE)</f>
        <v>Processing as a reactant</v>
      </c>
      <c r="T658" s="186" t="s">
        <v>1190</v>
      </c>
      <c r="U658" t="s">
        <v>1079</v>
      </c>
      <c r="V658">
        <v>3.1135320000000001E-2</v>
      </c>
      <c r="X658" t="b">
        <f t="shared" ref="X658:X721" si="12">V658 &lt;= _xlfn.PERCENTILE.INC($V$593:$V$733, 0.1)</f>
        <v>0</v>
      </c>
      <c r="Y658">
        <v>101</v>
      </c>
    </row>
    <row r="659" spans="1:26" x14ac:dyDescent="0.25">
      <c r="A659">
        <v>2023</v>
      </c>
      <c r="B659" t="s">
        <v>1400</v>
      </c>
      <c r="C659" t="s">
        <v>1071</v>
      </c>
      <c r="D659" s="1">
        <v>110000329038</v>
      </c>
      <c r="E659" t="s">
        <v>496</v>
      </c>
      <c r="F659" t="s">
        <v>333</v>
      </c>
      <c r="G659" t="s">
        <v>653</v>
      </c>
      <c r="H659" t="s">
        <v>268</v>
      </c>
      <c r="I659" t="s">
        <v>1401</v>
      </c>
      <c r="J659">
        <v>40.670580000000001</v>
      </c>
      <c r="K659">
        <v>-80.336500000000001</v>
      </c>
      <c r="L659">
        <v>2869</v>
      </c>
      <c r="M659" s="175" t="str">
        <f>VLOOKUP(L659, '2022 SIC to NAICS'!A:D, 2)</f>
        <v>Industrial Organic Chemicals, Nec</v>
      </c>
      <c r="N659" s="184">
        <f>VLOOKUP(L659, '2022 SIC to NAICS'!A:D, 3)</f>
        <v>325180</v>
      </c>
      <c r="O659" s="184" t="str">
        <f>VLOOKUP(L659, '2022 SIC to NAICS'!A:D, 4)</f>
        <v xml:space="preserve">Other Basic Inorganic Chemical Manufacturing </v>
      </c>
      <c r="P659" s="185" t="str">
        <f>VLOOKUP(N659, 'NAICS OES crosswalk'!A:C, 3, FALSE)</f>
        <v>Processing as a reactant</v>
      </c>
      <c r="T659" s="186" t="s">
        <v>1244</v>
      </c>
      <c r="U659" t="s">
        <v>655</v>
      </c>
      <c r="V659">
        <v>2.8147999999999999E-2</v>
      </c>
      <c r="X659" t="b">
        <f t="shared" si="12"/>
        <v>0</v>
      </c>
      <c r="Y659" s="186" t="s">
        <v>1411</v>
      </c>
      <c r="Z659" t="s">
        <v>1403</v>
      </c>
    </row>
    <row r="660" spans="1:26" x14ac:dyDescent="0.25">
      <c r="A660">
        <v>2023</v>
      </c>
      <c r="B660" t="s">
        <v>1400</v>
      </c>
      <c r="C660" t="s">
        <v>1030</v>
      </c>
      <c r="D660" s="1">
        <v>110000525842</v>
      </c>
      <c r="E660" t="s">
        <v>161</v>
      </c>
      <c r="F660" t="s">
        <v>162</v>
      </c>
      <c r="G660" t="s">
        <v>1029</v>
      </c>
      <c r="H660" t="s">
        <v>146</v>
      </c>
      <c r="I660" t="s">
        <v>1401</v>
      </c>
      <c r="J660">
        <v>34.055900000000001</v>
      </c>
      <c r="K660">
        <v>-117.36134</v>
      </c>
      <c r="L660">
        <v>4952</v>
      </c>
      <c r="M660" s="175" t="str">
        <f>VLOOKUP(L660, '2022 SIC to NAICS'!A:D, 2)</f>
        <v>Manufacturing Industries, Nec</v>
      </c>
      <c r="N660" s="184">
        <f>VLOOKUP(L660, '2022 SIC to NAICS'!A:D, 3)</f>
        <v>339999</v>
      </c>
      <c r="O660" s="184" t="str">
        <f>VLOOKUP(L660, '2022 SIC to NAICS'!A:D, 4)</f>
        <v xml:space="preserve">All Other Miscellaneous Manufacturing </v>
      </c>
      <c r="P660" s="185" t="str">
        <f>VLOOKUP(N660, 'NAICS OES crosswalk'!A:C, 3, FALSE)</f>
        <v>TBD</v>
      </c>
      <c r="T660">
        <v>180702030804</v>
      </c>
      <c r="U660" t="s">
        <v>1031</v>
      </c>
      <c r="V660">
        <v>2.4338193449999999</v>
      </c>
      <c r="X660" t="b">
        <f t="shared" si="12"/>
        <v>0</v>
      </c>
      <c r="Y660" s="186" t="s">
        <v>1402</v>
      </c>
      <c r="Z660" t="s">
        <v>1403</v>
      </c>
    </row>
    <row r="661" spans="1:26" x14ac:dyDescent="0.25">
      <c r="A661">
        <v>2023</v>
      </c>
      <c r="B661" t="s">
        <v>1400</v>
      </c>
      <c r="C661" t="s">
        <v>1445</v>
      </c>
      <c r="D661" s="1">
        <v>110056966699</v>
      </c>
      <c r="E661" t="s">
        <v>1446</v>
      </c>
      <c r="F661" t="s">
        <v>1447</v>
      </c>
      <c r="G661" t="s">
        <v>1448</v>
      </c>
      <c r="H661" t="s">
        <v>118</v>
      </c>
      <c r="I661" t="s">
        <v>1401</v>
      </c>
      <c r="J661">
        <v>41.948850999999998</v>
      </c>
      <c r="K661">
        <v>-83.958619999999996</v>
      </c>
      <c r="L661">
        <v>2821</v>
      </c>
      <c r="M661" s="175" t="str">
        <f>VLOOKUP(L661, '2022 SIC to NAICS'!A:D, 2)</f>
        <v>Platemaking Services</v>
      </c>
      <c r="N661" s="184">
        <f>VLOOKUP(L661, '2022 SIC to NAICS'!A:D, 3)</f>
        <v>323120</v>
      </c>
      <c r="O661" s="184" t="str">
        <f>VLOOKUP(L661, '2022 SIC to NAICS'!A:D, 4)</f>
        <v>Support Activities for Printing</v>
      </c>
      <c r="P661" s="185" t="str">
        <f>VLOOKUP(N661, 'NAICS OES crosswalk'!A:C, 3, FALSE)</f>
        <v>TBD</v>
      </c>
      <c r="T661" s="186" t="s">
        <v>1449</v>
      </c>
      <c r="U661" t="s">
        <v>1450</v>
      </c>
      <c r="V661">
        <v>4.4919108500000003E-6</v>
      </c>
      <c r="X661" t="b">
        <f t="shared" si="12"/>
        <v>1</v>
      </c>
      <c r="Y661" s="186" t="s">
        <v>1402</v>
      </c>
      <c r="Z661" t="s">
        <v>1403</v>
      </c>
    </row>
    <row r="662" spans="1:26" x14ac:dyDescent="0.25">
      <c r="A662">
        <v>2023</v>
      </c>
      <c r="B662" t="s">
        <v>1400</v>
      </c>
      <c r="C662" t="s">
        <v>1032</v>
      </c>
      <c r="D662" s="1">
        <v>110031112659</v>
      </c>
      <c r="E662" t="s">
        <v>495</v>
      </c>
      <c r="F662" t="s">
        <v>183</v>
      </c>
      <c r="G662" t="s">
        <v>627</v>
      </c>
      <c r="H662" t="s">
        <v>138</v>
      </c>
      <c r="I662" t="s">
        <v>1401</v>
      </c>
      <c r="J662">
        <v>37.801943999999999</v>
      </c>
      <c r="K662">
        <v>-84.261111</v>
      </c>
      <c r="L662">
        <v>4952</v>
      </c>
      <c r="M662" s="175" t="str">
        <f>VLOOKUP(L662, '2022 SIC to NAICS'!A:D, 2)</f>
        <v>Manufacturing Industries, Nec</v>
      </c>
      <c r="N662" s="184">
        <f>VLOOKUP(L662, '2022 SIC to NAICS'!A:D, 3)</f>
        <v>339999</v>
      </c>
      <c r="O662" s="184" t="str">
        <f>VLOOKUP(L662, '2022 SIC to NAICS'!A:D, 4)</f>
        <v xml:space="preserve">All Other Miscellaneous Manufacturing </v>
      </c>
      <c r="P662" s="185" t="str">
        <f>VLOOKUP(N662, 'NAICS OES crosswalk'!A:C, 3, FALSE)</f>
        <v>TBD</v>
      </c>
      <c r="T662" s="186" t="s">
        <v>1286</v>
      </c>
      <c r="U662" t="s">
        <v>1033</v>
      </c>
      <c r="V662">
        <v>27.865359250000001</v>
      </c>
      <c r="X662" t="b">
        <f t="shared" si="12"/>
        <v>0</v>
      </c>
      <c r="Y662" s="186" t="s">
        <v>1402</v>
      </c>
    </row>
    <row r="663" spans="1:26" x14ac:dyDescent="0.25">
      <c r="A663">
        <v>2023</v>
      </c>
      <c r="B663" t="s">
        <v>1400</v>
      </c>
      <c r="C663" t="s">
        <v>802</v>
      </c>
      <c r="D663" s="1">
        <v>110039840740</v>
      </c>
      <c r="E663" t="s">
        <v>491</v>
      </c>
      <c r="F663" t="s">
        <v>492</v>
      </c>
      <c r="G663" t="s">
        <v>562</v>
      </c>
      <c r="H663" t="s">
        <v>268</v>
      </c>
      <c r="I663" t="s">
        <v>1401</v>
      </c>
      <c r="J663">
        <v>39.904949999999999</v>
      </c>
      <c r="K663">
        <v>-80.150440000000003</v>
      </c>
      <c r="L663">
        <v>4952</v>
      </c>
      <c r="M663" s="175" t="str">
        <f>VLOOKUP(L663, '2022 SIC to NAICS'!A:D, 2)</f>
        <v>Manufacturing Industries, Nec</v>
      </c>
      <c r="N663" s="184">
        <f>VLOOKUP(L663, '2022 SIC to NAICS'!A:D, 3)</f>
        <v>339999</v>
      </c>
      <c r="O663" s="184" t="str">
        <f>VLOOKUP(L663, '2022 SIC to NAICS'!A:D, 4)</f>
        <v xml:space="preserve">All Other Miscellaneous Manufacturing </v>
      </c>
      <c r="P663" s="185" t="str">
        <f>VLOOKUP(N663, 'NAICS OES crosswalk'!A:C, 3, FALSE)</f>
        <v>TBD</v>
      </c>
      <c r="T663" s="186" t="s">
        <v>1285</v>
      </c>
      <c r="U663" t="s">
        <v>803</v>
      </c>
      <c r="V663">
        <v>0.56949760000000005</v>
      </c>
      <c r="X663" t="b">
        <f t="shared" si="12"/>
        <v>0</v>
      </c>
      <c r="Y663" s="186" t="s">
        <v>1402</v>
      </c>
      <c r="Z663" t="s">
        <v>1403</v>
      </c>
    </row>
    <row r="664" spans="1:26" x14ac:dyDescent="0.25">
      <c r="A664">
        <v>2023</v>
      </c>
      <c r="B664" t="s">
        <v>1400</v>
      </c>
      <c r="C664" t="s">
        <v>762</v>
      </c>
      <c r="D664" s="1">
        <v>110064268260</v>
      </c>
      <c r="E664" t="s">
        <v>460</v>
      </c>
      <c r="F664" t="s">
        <v>461</v>
      </c>
      <c r="G664" t="s">
        <v>761</v>
      </c>
      <c r="H664" t="s">
        <v>138</v>
      </c>
      <c r="I664" t="s">
        <v>1405</v>
      </c>
      <c r="J664">
        <v>38.369734999999999</v>
      </c>
      <c r="K664">
        <v>-85.180234999999996</v>
      </c>
      <c r="L664">
        <v>4952</v>
      </c>
      <c r="M664" s="175" t="str">
        <f>VLOOKUP(L664, '2022 SIC to NAICS'!A:D, 2)</f>
        <v>Manufacturing Industries, Nec</v>
      </c>
      <c r="N664" s="184">
        <f>VLOOKUP(L664, '2022 SIC to NAICS'!A:D, 3)</f>
        <v>339999</v>
      </c>
      <c r="O664" s="184" t="str">
        <f>VLOOKUP(L664, '2022 SIC to NAICS'!A:D, 4)</f>
        <v xml:space="preserve">All Other Miscellaneous Manufacturing </v>
      </c>
      <c r="P664" s="185" t="str">
        <f>VLOOKUP(N664, 'NAICS OES crosswalk'!A:C, 3, FALSE)</f>
        <v>TBD</v>
      </c>
      <c r="T664" s="186" t="s">
        <v>1280</v>
      </c>
      <c r="U664" t="s">
        <v>763</v>
      </c>
      <c r="V664">
        <v>0.79783068749999997</v>
      </c>
      <c r="X664" t="b">
        <f t="shared" si="12"/>
        <v>0</v>
      </c>
      <c r="Y664" s="186" t="s">
        <v>1402</v>
      </c>
      <c r="Z664" t="s">
        <v>1403</v>
      </c>
    </row>
    <row r="665" spans="1:26" x14ac:dyDescent="0.25">
      <c r="A665">
        <v>2023</v>
      </c>
      <c r="B665" t="s">
        <v>1400</v>
      </c>
      <c r="C665" t="s">
        <v>868</v>
      </c>
      <c r="D665" s="1">
        <v>110000607772</v>
      </c>
      <c r="E665" t="s">
        <v>133</v>
      </c>
      <c r="F665" t="s">
        <v>134</v>
      </c>
      <c r="G665" t="s">
        <v>866</v>
      </c>
      <c r="H665" t="s">
        <v>135</v>
      </c>
      <c r="I665" t="s">
        <v>1401</v>
      </c>
      <c r="J665">
        <v>38.772219999999997</v>
      </c>
      <c r="K665">
        <v>-82.205560000000006</v>
      </c>
      <c r="L665">
        <v>2869</v>
      </c>
      <c r="M665" s="175" t="str">
        <f>VLOOKUP(L665, '2022 SIC to NAICS'!A:D, 2)</f>
        <v>Industrial Organic Chemicals, Nec</v>
      </c>
      <c r="N665" s="184">
        <f>VLOOKUP(L665, '2022 SIC to NAICS'!A:D, 3)</f>
        <v>325180</v>
      </c>
      <c r="O665" s="184" t="str">
        <f>VLOOKUP(L665, '2022 SIC to NAICS'!A:D, 4)</f>
        <v xml:space="preserve">Other Basic Inorganic Chemical Manufacturing </v>
      </c>
      <c r="P665" s="185" t="str">
        <f>VLOOKUP(N665, 'NAICS OES crosswalk'!A:C, 3, FALSE)</f>
        <v>Processing as a reactant</v>
      </c>
      <c r="T665" s="186" t="s">
        <v>1252</v>
      </c>
      <c r="U665" t="s">
        <v>869</v>
      </c>
      <c r="V665">
        <v>0.51358976999999995</v>
      </c>
      <c r="X665" t="b">
        <f t="shared" si="12"/>
        <v>0</v>
      </c>
      <c r="Y665" s="186" t="s">
        <v>1402</v>
      </c>
    </row>
    <row r="666" spans="1:26" x14ac:dyDescent="0.25">
      <c r="A666">
        <v>2023</v>
      </c>
      <c r="B666" t="s">
        <v>1400</v>
      </c>
      <c r="C666" t="s">
        <v>858</v>
      </c>
      <c r="D666" s="1">
        <v>110033659878</v>
      </c>
      <c r="E666" t="s">
        <v>201</v>
      </c>
      <c r="F666" t="s">
        <v>202</v>
      </c>
      <c r="G666" t="s">
        <v>663</v>
      </c>
      <c r="H666" t="s">
        <v>106</v>
      </c>
      <c r="I666" t="s">
        <v>1401</v>
      </c>
      <c r="J666">
        <v>30.221900000000002</v>
      </c>
      <c r="K666">
        <v>-91.051500000000004</v>
      </c>
      <c r="L666">
        <v>2869</v>
      </c>
      <c r="M666" s="175" t="str">
        <f>VLOOKUP(L666, '2022 SIC to NAICS'!A:D, 2)</f>
        <v>Industrial Organic Chemicals, Nec</v>
      </c>
      <c r="N666" s="184">
        <f>VLOOKUP(L666, '2022 SIC to NAICS'!A:D, 3)</f>
        <v>325180</v>
      </c>
      <c r="O666" s="184" t="str">
        <f>VLOOKUP(L666, '2022 SIC to NAICS'!A:D, 4)</f>
        <v xml:space="preserve">Other Basic Inorganic Chemical Manufacturing </v>
      </c>
      <c r="P666" s="185" t="str">
        <f>VLOOKUP(N666, 'NAICS OES crosswalk'!A:C, 3, FALSE)</f>
        <v>Processing as a reactant</v>
      </c>
      <c r="T666" s="186" t="s">
        <v>1198</v>
      </c>
      <c r="U666" t="s">
        <v>666</v>
      </c>
      <c r="V666">
        <v>3.8113299999999999</v>
      </c>
      <c r="X666" t="b">
        <f t="shared" si="12"/>
        <v>0</v>
      </c>
      <c r="Y666" s="186" t="s">
        <v>1402</v>
      </c>
    </row>
    <row r="667" spans="1:26" x14ac:dyDescent="0.25">
      <c r="A667">
        <v>2023</v>
      </c>
      <c r="B667" t="s">
        <v>1400</v>
      </c>
      <c r="C667" t="s">
        <v>1434</v>
      </c>
      <c r="D667" s="1">
        <v>110000339027</v>
      </c>
      <c r="E667" t="s">
        <v>1435</v>
      </c>
      <c r="F667" t="s">
        <v>1436</v>
      </c>
      <c r="G667" t="s">
        <v>1437</v>
      </c>
      <c r="H667" t="s">
        <v>344</v>
      </c>
      <c r="I667" t="s">
        <v>1401</v>
      </c>
      <c r="J667">
        <v>38.631867</v>
      </c>
      <c r="K667">
        <v>-75.628372999999996</v>
      </c>
      <c r="L667">
        <v>2821</v>
      </c>
      <c r="M667" s="175" t="str">
        <f>VLOOKUP(L667, '2022 SIC to NAICS'!A:D, 2)</f>
        <v>Platemaking Services</v>
      </c>
      <c r="N667" s="184">
        <f>VLOOKUP(L667, '2022 SIC to NAICS'!A:D, 3)</f>
        <v>323120</v>
      </c>
      <c r="O667" s="184" t="str">
        <f>VLOOKUP(L667, '2022 SIC to NAICS'!A:D, 4)</f>
        <v>Support Activities for Printing</v>
      </c>
      <c r="P667" s="185" t="str">
        <f>VLOOKUP(N667, 'NAICS OES crosswalk'!A:C, 3, FALSE)</f>
        <v>TBD</v>
      </c>
      <c r="T667" s="186" t="s">
        <v>1438</v>
      </c>
      <c r="U667" t="s">
        <v>1439</v>
      </c>
      <c r="V667">
        <v>4.2222000000000003E-5</v>
      </c>
      <c r="X667" t="b">
        <f t="shared" si="12"/>
        <v>1</v>
      </c>
      <c r="Y667" s="186" t="s">
        <v>1427</v>
      </c>
      <c r="Z667" t="s">
        <v>1403</v>
      </c>
    </row>
    <row r="668" spans="1:26" x14ac:dyDescent="0.25">
      <c r="A668">
        <v>2023</v>
      </c>
      <c r="B668" t="s">
        <v>1400</v>
      </c>
      <c r="C668" t="s">
        <v>1075</v>
      </c>
      <c r="D668" s="1">
        <v>110024409362</v>
      </c>
      <c r="E668" t="s">
        <v>526</v>
      </c>
      <c r="F668" t="s">
        <v>527</v>
      </c>
      <c r="G668" t="s">
        <v>757</v>
      </c>
      <c r="H668" t="s">
        <v>485</v>
      </c>
      <c r="I668" t="s">
        <v>1401</v>
      </c>
      <c r="J668">
        <v>36.786963999999998</v>
      </c>
      <c r="K668">
        <v>-108.711493</v>
      </c>
      <c r="L668">
        <v>4952</v>
      </c>
      <c r="M668" s="175" t="str">
        <f>VLOOKUP(L668, '2022 SIC to NAICS'!A:D, 2)</f>
        <v>Manufacturing Industries, Nec</v>
      </c>
      <c r="N668" s="184">
        <f>VLOOKUP(L668, '2022 SIC to NAICS'!A:D, 3)</f>
        <v>339999</v>
      </c>
      <c r="O668" s="184" t="str">
        <f>VLOOKUP(L668, '2022 SIC to NAICS'!A:D, 4)</f>
        <v xml:space="preserve">All Other Miscellaneous Manufacturing </v>
      </c>
      <c r="P668" s="185" t="str">
        <f>VLOOKUP(N668, 'NAICS OES crosswalk'!A:C, 3, FALSE)</f>
        <v>TBD</v>
      </c>
      <c r="T668">
        <v>140801050704</v>
      </c>
      <c r="U668" t="s">
        <v>1076</v>
      </c>
      <c r="V668">
        <v>0.80347979999999997</v>
      </c>
      <c r="X668" t="b">
        <f t="shared" si="12"/>
        <v>0</v>
      </c>
      <c r="Y668" s="186" t="s">
        <v>1402</v>
      </c>
      <c r="Z668" t="s">
        <v>1403</v>
      </c>
    </row>
    <row r="669" spans="1:26" x14ac:dyDescent="0.25">
      <c r="A669">
        <v>2023</v>
      </c>
      <c r="B669" t="s">
        <v>1400</v>
      </c>
      <c r="C669" t="s">
        <v>815</v>
      </c>
      <c r="D669" s="1">
        <v>110000759741</v>
      </c>
      <c r="E669" t="s">
        <v>487</v>
      </c>
      <c r="F669" t="s">
        <v>488</v>
      </c>
      <c r="G669" t="s">
        <v>812</v>
      </c>
      <c r="H669" t="s">
        <v>138</v>
      </c>
      <c r="I669" t="s">
        <v>1401</v>
      </c>
      <c r="J669">
        <v>38.267437999999999</v>
      </c>
      <c r="K669">
        <v>-84.527996000000002</v>
      </c>
      <c r="L669">
        <v>4952</v>
      </c>
      <c r="M669" s="175" t="str">
        <f>VLOOKUP(L669, '2022 SIC to NAICS'!A:D, 2)</f>
        <v>Manufacturing Industries, Nec</v>
      </c>
      <c r="N669" s="184">
        <f>VLOOKUP(L669, '2022 SIC to NAICS'!A:D, 3)</f>
        <v>339999</v>
      </c>
      <c r="O669" s="184" t="str">
        <f>VLOOKUP(L669, '2022 SIC to NAICS'!A:D, 4)</f>
        <v xml:space="preserve">All Other Miscellaneous Manufacturing </v>
      </c>
      <c r="P669" s="185" t="str">
        <f>VLOOKUP(N669, 'NAICS OES crosswalk'!A:C, 3, FALSE)</f>
        <v>TBD</v>
      </c>
      <c r="T669" s="186" t="s">
        <v>1283</v>
      </c>
      <c r="U669" t="s">
        <v>816</v>
      </c>
      <c r="V669">
        <v>4.0789525624999996</v>
      </c>
      <c r="X669" t="b">
        <f t="shared" si="12"/>
        <v>0</v>
      </c>
      <c r="Y669" s="186" t="s">
        <v>1402</v>
      </c>
      <c r="Z669" t="s">
        <v>1403</v>
      </c>
    </row>
    <row r="670" spans="1:26" x14ac:dyDescent="0.25">
      <c r="A670">
        <v>2023</v>
      </c>
      <c r="B670" t="s">
        <v>1400</v>
      </c>
      <c r="C670" t="s">
        <v>1422</v>
      </c>
      <c r="D670" s="1">
        <v>110041022274</v>
      </c>
      <c r="E670" t="s">
        <v>1423</v>
      </c>
      <c r="F670" t="s">
        <v>1424</v>
      </c>
      <c r="G670" t="s">
        <v>694</v>
      </c>
      <c r="H670" t="s">
        <v>153</v>
      </c>
      <c r="I670" t="s">
        <v>1401</v>
      </c>
      <c r="J670">
        <v>39.766944000000002</v>
      </c>
      <c r="K670">
        <v>-75.421361000000005</v>
      </c>
      <c r="L670">
        <v>2821</v>
      </c>
      <c r="M670" s="175" t="str">
        <f>VLOOKUP(L670, '2022 SIC to NAICS'!A:D, 2)</f>
        <v>Platemaking Services</v>
      </c>
      <c r="N670" s="184">
        <f>VLOOKUP(L670, '2022 SIC to NAICS'!A:D, 3)</f>
        <v>323120</v>
      </c>
      <c r="O670" s="184" t="str">
        <f>VLOOKUP(L670, '2022 SIC to NAICS'!A:D, 4)</f>
        <v>Support Activities for Printing</v>
      </c>
      <c r="P670" s="185" t="str">
        <f>VLOOKUP(N670, 'NAICS OES crosswalk'!A:C, 3, FALSE)</f>
        <v>TBD</v>
      </c>
      <c r="T670" s="186" t="s">
        <v>1250</v>
      </c>
      <c r="U670" t="s">
        <v>696</v>
      </c>
      <c r="V670">
        <v>4.1E-5</v>
      </c>
      <c r="X670" t="b">
        <f t="shared" si="12"/>
        <v>1</v>
      </c>
      <c r="Y670" s="186" t="s">
        <v>1402</v>
      </c>
      <c r="Z670" t="s">
        <v>1403</v>
      </c>
    </row>
    <row r="671" spans="1:26" x14ac:dyDescent="0.25">
      <c r="A671">
        <v>2023</v>
      </c>
      <c r="B671" t="s">
        <v>1400</v>
      </c>
      <c r="C671" t="s">
        <v>1147</v>
      </c>
      <c r="D671" s="1">
        <v>110024409433</v>
      </c>
      <c r="E671" t="s">
        <v>379</v>
      </c>
      <c r="F671" t="s">
        <v>380</v>
      </c>
      <c r="G671" t="s">
        <v>1146</v>
      </c>
      <c r="H671" t="s">
        <v>367</v>
      </c>
      <c r="I671" t="s">
        <v>1401</v>
      </c>
      <c r="J671">
        <v>35.639485000000001</v>
      </c>
      <c r="K671">
        <v>-109.080939</v>
      </c>
      <c r="L671">
        <v>4952</v>
      </c>
      <c r="M671" s="175" t="str">
        <f>VLOOKUP(L671, '2022 SIC to NAICS'!A:D, 2)</f>
        <v>Manufacturing Industries, Nec</v>
      </c>
      <c r="N671" s="184">
        <f>VLOOKUP(L671, '2022 SIC to NAICS'!A:D, 3)</f>
        <v>339999</v>
      </c>
      <c r="O671" s="184" t="str">
        <f>VLOOKUP(L671, '2022 SIC to NAICS'!A:D, 4)</f>
        <v xml:space="preserve">All Other Miscellaneous Manufacturing </v>
      </c>
      <c r="P671" s="185" t="str">
        <f>VLOOKUP(N671, 'NAICS OES crosswalk'!A:C, 3, FALSE)</f>
        <v>TBD</v>
      </c>
      <c r="T671">
        <v>150200060604</v>
      </c>
      <c r="U671" t="s">
        <v>1148</v>
      </c>
      <c r="V671">
        <v>0.45590324999999998</v>
      </c>
      <c r="X671" t="b">
        <f t="shared" si="12"/>
        <v>0</v>
      </c>
      <c r="Y671" s="186" t="s">
        <v>1402</v>
      </c>
      <c r="Z671" t="s">
        <v>1403</v>
      </c>
    </row>
    <row r="672" spans="1:26" x14ac:dyDescent="0.25">
      <c r="A672">
        <v>2023</v>
      </c>
      <c r="B672" t="s">
        <v>1400</v>
      </c>
      <c r="C672" t="s">
        <v>723</v>
      </c>
      <c r="D672" s="1">
        <v>110000732351</v>
      </c>
      <c r="E672" t="s">
        <v>439</v>
      </c>
      <c r="F672" t="s">
        <v>440</v>
      </c>
      <c r="G672" t="s">
        <v>722</v>
      </c>
      <c r="H672" t="s">
        <v>138</v>
      </c>
      <c r="I672" t="s">
        <v>1401</v>
      </c>
      <c r="J672">
        <v>37.621431000000001</v>
      </c>
      <c r="K672">
        <v>-84.733756</v>
      </c>
      <c r="L672">
        <v>4952</v>
      </c>
      <c r="M672" s="175" t="str">
        <f>VLOOKUP(L672, '2022 SIC to NAICS'!A:D, 2)</f>
        <v>Manufacturing Industries, Nec</v>
      </c>
      <c r="N672" s="184">
        <f>VLOOKUP(L672, '2022 SIC to NAICS'!A:D, 3)</f>
        <v>339999</v>
      </c>
      <c r="O672" s="184" t="str">
        <f>VLOOKUP(L672, '2022 SIC to NAICS'!A:D, 4)</f>
        <v xml:space="preserve">All Other Miscellaneous Manufacturing </v>
      </c>
      <c r="P672" s="185" t="str">
        <f>VLOOKUP(N672, 'NAICS OES crosswalk'!A:C, 3, FALSE)</f>
        <v>TBD</v>
      </c>
      <c r="T672" s="186" t="s">
        <v>1275</v>
      </c>
      <c r="U672" t="s">
        <v>724</v>
      </c>
      <c r="V672">
        <v>15.404003749999999</v>
      </c>
      <c r="X672" t="b">
        <f t="shared" si="12"/>
        <v>0</v>
      </c>
      <c r="Y672" s="186" t="s">
        <v>1402</v>
      </c>
      <c r="Z672" t="s">
        <v>1403</v>
      </c>
    </row>
    <row r="673" spans="1:26" x14ac:dyDescent="0.25">
      <c r="A673">
        <v>2023</v>
      </c>
      <c r="B673" t="s">
        <v>1400</v>
      </c>
      <c r="C673" t="s">
        <v>1052</v>
      </c>
      <c r="D673" s="1">
        <v>110013848453</v>
      </c>
      <c r="E673" t="s">
        <v>229</v>
      </c>
      <c r="F673" t="s">
        <v>230</v>
      </c>
      <c r="G673" t="s">
        <v>230</v>
      </c>
      <c r="H673" t="s">
        <v>146</v>
      </c>
      <c r="I673" t="s">
        <v>1401</v>
      </c>
      <c r="J673">
        <v>36.963245999999998</v>
      </c>
      <c r="K673">
        <v>-122.034009</v>
      </c>
      <c r="L673">
        <v>4952</v>
      </c>
      <c r="M673" s="175" t="str">
        <f>VLOOKUP(L673, '2022 SIC to NAICS'!A:D, 2)</f>
        <v>Manufacturing Industries, Nec</v>
      </c>
      <c r="N673" s="184">
        <f>VLOOKUP(L673, '2022 SIC to NAICS'!A:D, 3)</f>
        <v>339999</v>
      </c>
      <c r="O673" s="184" t="str">
        <f>VLOOKUP(L673, '2022 SIC to NAICS'!A:D, 4)</f>
        <v xml:space="preserve">All Other Miscellaneous Manufacturing </v>
      </c>
      <c r="P673" s="185" t="str">
        <f>VLOOKUP(N673, 'NAICS OES crosswalk'!A:C, 3, FALSE)</f>
        <v>TBD</v>
      </c>
      <c r="T673">
        <v>180600150305</v>
      </c>
      <c r="U673" t="s">
        <v>1053</v>
      </c>
      <c r="V673">
        <v>1.037379174</v>
      </c>
      <c r="X673" t="b">
        <f t="shared" si="12"/>
        <v>0</v>
      </c>
      <c r="Y673" s="186" t="s">
        <v>1402</v>
      </c>
      <c r="Z673" t="s">
        <v>1403</v>
      </c>
    </row>
    <row r="674" spans="1:26" x14ac:dyDescent="0.25">
      <c r="A674">
        <v>2023</v>
      </c>
      <c r="B674" t="s">
        <v>1400</v>
      </c>
      <c r="C674" t="s">
        <v>734</v>
      </c>
      <c r="D674" s="1">
        <v>110000732379</v>
      </c>
      <c r="E674" t="s">
        <v>295</v>
      </c>
      <c r="F674" t="s">
        <v>235</v>
      </c>
      <c r="G674" t="s">
        <v>600</v>
      </c>
      <c r="H674" t="s">
        <v>138</v>
      </c>
      <c r="I674" t="s">
        <v>1401</v>
      </c>
      <c r="J674">
        <v>38.08614</v>
      </c>
      <c r="K674">
        <v>-85.898780000000002</v>
      </c>
      <c r="L674">
        <v>4952</v>
      </c>
      <c r="M674" s="175" t="str">
        <f>VLOOKUP(L674, '2022 SIC to NAICS'!A:D, 2)</f>
        <v>Manufacturing Industries, Nec</v>
      </c>
      <c r="N674" s="184">
        <f>VLOOKUP(L674, '2022 SIC to NAICS'!A:D, 3)</f>
        <v>339999</v>
      </c>
      <c r="O674" s="184" t="str">
        <f>VLOOKUP(L674, '2022 SIC to NAICS'!A:D, 4)</f>
        <v xml:space="preserve">All Other Miscellaneous Manufacturing </v>
      </c>
      <c r="P674" s="185" t="str">
        <f>VLOOKUP(N674, 'NAICS OES crosswalk'!A:C, 3, FALSE)</f>
        <v>TBD</v>
      </c>
      <c r="T674" s="186" t="s">
        <v>1230</v>
      </c>
      <c r="U674" t="s">
        <v>735</v>
      </c>
      <c r="V674">
        <v>87.896074312500005</v>
      </c>
      <c r="X674" t="b">
        <f t="shared" si="12"/>
        <v>0</v>
      </c>
      <c r="Y674" s="186" t="s">
        <v>1402</v>
      </c>
      <c r="Z674" t="s">
        <v>1403</v>
      </c>
    </row>
    <row r="675" spans="1:26" x14ac:dyDescent="0.25">
      <c r="A675">
        <v>2023</v>
      </c>
      <c r="B675" t="s">
        <v>1400</v>
      </c>
      <c r="C675" t="s">
        <v>936</v>
      </c>
      <c r="D675" s="1">
        <v>110070162955</v>
      </c>
      <c r="E675" t="s">
        <v>505</v>
      </c>
      <c r="F675" t="s">
        <v>498</v>
      </c>
      <c r="G675" t="s">
        <v>498</v>
      </c>
      <c r="H675" t="s">
        <v>218</v>
      </c>
      <c r="I675" t="s">
        <v>1405</v>
      </c>
      <c r="J675">
        <v>39.781474000000003</v>
      </c>
      <c r="K675">
        <v>-104.97438</v>
      </c>
      <c r="L675">
        <v>1629</v>
      </c>
      <c r="M675" s="175" t="str">
        <f>VLOOKUP(L675, '2022 SIC to NAICS'!A:D, 2)</f>
        <v>Heavy Construction, Nec</v>
      </c>
      <c r="N675" s="184">
        <f>VLOOKUP(L675, '2022 SIC to NAICS'!A:D, 3)</f>
        <v>237990</v>
      </c>
      <c r="O675" s="184" t="str">
        <f>VLOOKUP(L675, '2022 SIC to NAICS'!A:D, 4)</f>
        <v xml:space="preserve">Other Heavy and Civil Engineering Construction </v>
      </c>
      <c r="P675" s="185" t="str">
        <f>VLOOKUP(N675, 'NAICS OES crosswalk'!A:C, 3, FALSE)</f>
        <v>TBD</v>
      </c>
      <c r="T675">
        <v>101900030304</v>
      </c>
      <c r="U675" t="s">
        <v>934</v>
      </c>
      <c r="V675">
        <v>2.5072994424999999E-3</v>
      </c>
      <c r="X675" t="b">
        <f t="shared" si="12"/>
        <v>0</v>
      </c>
      <c r="Y675" s="186" t="s">
        <v>1402</v>
      </c>
      <c r="Z675" t="s">
        <v>1403</v>
      </c>
    </row>
    <row r="676" spans="1:26" x14ac:dyDescent="0.25">
      <c r="A676">
        <v>2023</v>
      </c>
      <c r="B676" t="s">
        <v>1400</v>
      </c>
      <c r="C676" t="s">
        <v>1108</v>
      </c>
      <c r="D676" s="1">
        <v>110041973460</v>
      </c>
      <c r="E676" t="s">
        <v>395</v>
      </c>
      <c r="F676" t="s">
        <v>396</v>
      </c>
      <c r="G676" t="s">
        <v>185</v>
      </c>
      <c r="H676" t="s">
        <v>186</v>
      </c>
      <c r="I676" t="s">
        <v>1401</v>
      </c>
      <c r="J676">
        <v>21.438638999999998</v>
      </c>
      <c r="K676">
        <v>-157.75847200000001</v>
      </c>
      <c r="L676">
        <v>4952</v>
      </c>
      <c r="M676" s="175" t="str">
        <f>VLOOKUP(L676, '2022 SIC to NAICS'!A:D, 2)</f>
        <v>Manufacturing Industries, Nec</v>
      </c>
      <c r="N676" s="184">
        <f>VLOOKUP(L676, '2022 SIC to NAICS'!A:D, 3)</f>
        <v>339999</v>
      </c>
      <c r="O676" s="184" t="str">
        <f>VLOOKUP(L676, '2022 SIC to NAICS'!A:D, 4)</f>
        <v xml:space="preserve">All Other Miscellaneous Manufacturing </v>
      </c>
      <c r="P676" s="185" t="str">
        <f>VLOOKUP(N676, 'NAICS OES crosswalk'!A:C, 3, FALSE)</f>
        <v>TBD</v>
      </c>
      <c r="T676">
        <v>200600000205</v>
      </c>
      <c r="U676" t="s">
        <v>1109</v>
      </c>
      <c r="V676">
        <v>1.6523038999999999</v>
      </c>
      <c r="X676" t="b">
        <f t="shared" si="12"/>
        <v>0</v>
      </c>
      <c r="Y676" s="186" t="s">
        <v>1402</v>
      </c>
      <c r="Z676" t="s">
        <v>1403</v>
      </c>
    </row>
    <row r="677" spans="1:26" x14ac:dyDescent="0.25">
      <c r="A677">
        <v>2023</v>
      </c>
      <c r="B677" t="s">
        <v>1400</v>
      </c>
      <c r="C677" t="s">
        <v>779</v>
      </c>
      <c r="D677" s="1">
        <v>110023140420</v>
      </c>
      <c r="E677" t="s">
        <v>528</v>
      </c>
      <c r="F677" t="s">
        <v>529</v>
      </c>
      <c r="G677" t="s">
        <v>778</v>
      </c>
      <c r="H677" t="s">
        <v>138</v>
      </c>
      <c r="I677" t="s">
        <v>1405</v>
      </c>
      <c r="J677">
        <v>38.691943999999999</v>
      </c>
      <c r="K677">
        <v>-84.325000000000003</v>
      </c>
      <c r="L677">
        <v>4952</v>
      </c>
      <c r="M677" s="175" t="str">
        <f>VLOOKUP(L677, '2022 SIC to NAICS'!A:D, 2)</f>
        <v>Manufacturing Industries, Nec</v>
      </c>
      <c r="N677" s="184">
        <f>VLOOKUP(L677, '2022 SIC to NAICS'!A:D, 3)</f>
        <v>339999</v>
      </c>
      <c r="O677" s="184" t="str">
        <f>VLOOKUP(L677, '2022 SIC to NAICS'!A:D, 4)</f>
        <v xml:space="preserve">All Other Miscellaneous Manufacturing </v>
      </c>
      <c r="P677" s="185" t="str">
        <f>VLOOKUP(N677, 'NAICS OES crosswalk'!A:C, 3, FALSE)</f>
        <v>TBD</v>
      </c>
      <c r="T677" s="186" t="s">
        <v>1292</v>
      </c>
      <c r="U677" t="s">
        <v>780</v>
      </c>
      <c r="V677">
        <v>1.4194029616874999</v>
      </c>
      <c r="X677" t="b">
        <f t="shared" si="12"/>
        <v>0</v>
      </c>
      <c r="Y677" s="186" t="s">
        <v>1402</v>
      </c>
      <c r="Z677" t="s">
        <v>1403</v>
      </c>
    </row>
    <row r="678" spans="1:26" x14ac:dyDescent="0.25">
      <c r="A678">
        <v>2023</v>
      </c>
      <c r="B678" t="s">
        <v>1400</v>
      </c>
      <c r="C678" t="s">
        <v>1047</v>
      </c>
      <c r="D678" s="1">
        <v>110000403670</v>
      </c>
      <c r="E678" t="s">
        <v>290</v>
      </c>
      <c r="F678" t="s">
        <v>291</v>
      </c>
      <c r="G678" t="s">
        <v>1046</v>
      </c>
      <c r="H678" t="s">
        <v>292</v>
      </c>
      <c r="I678" t="s">
        <v>1401</v>
      </c>
      <c r="J678">
        <v>37.907200000000003</v>
      </c>
      <c r="K678">
        <v>-87.927099999999996</v>
      </c>
      <c r="L678">
        <v>2821</v>
      </c>
      <c r="M678" s="175" t="str">
        <f>VLOOKUP(L678, '2022 SIC to NAICS'!A:D, 2)</f>
        <v>Platemaking Services</v>
      </c>
      <c r="N678" s="184">
        <f>VLOOKUP(L678, '2022 SIC to NAICS'!A:D, 3)</f>
        <v>323120</v>
      </c>
      <c r="O678" s="184" t="str">
        <f>VLOOKUP(L678, '2022 SIC to NAICS'!A:D, 4)</f>
        <v>Support Activities for Printing</v>
      </c>
      <c r="P678" s="185" t="str">
        <f>VLOOKUP(N678, 'NAICS OES crosswalk'!A:C, 3, FALSE)</f>
        <v>TBD</v>
      </c>
      <c r="T678" s="186" t="s">
        <v>1228</v>
      </c>
      <c r="U678" t="s">
        <v>1048</v>
      </c>
      <c r="V678">
        <v>3.34144</v>
      </c>
      <c r="X678" t="b">
        <f t="shared" si="12"/>
        <v>0</v>
      </c>
      <c r="Y678" s="186" t="s">
        <v>1406</v>
      </c>
      <c r="Z678" t="s">
        <v>1403</v>
      </c>
    </row>
    <row r="679" spans="1:26" x14ac:dyDescent="0.25">
      <c r="A679">
        <v>2023</v>
      </c>
      <c r="B679" t="s">
        <v>1400</v>
      </c>
      <c r="C679" t="s">
        <v>1008</v>
      </c>
      <c r="D679" s="1">
        <v>110041133163</v>
      </c>
      <c r="E679" t="s">
        <v>310</v>
      </c>
      <c r="F679" t="s">
        <v>311</v>
      </c>
      <c r="G679" t="s">
        <v>950</v>
      </c>
      <c r="H679" t="s">
        <v>153</v>
      </c>
      <c r="I679" t="s">
        <v>1401</v>
      </c>
      <c r="J679">
        <v>40.640135000000001</v>
      </c>
      <c r="K679">
        <v>-74.218879999999999</v>
      </c>
      <c r="L679">
        <v>2911</v>
      </c>
      <c r="M679" s="175" t="str">
        <f>VLOOKUP(L679, '2022 SIC to NAICS'!A:D, 2)</f>
        <v>Explosives</v>
      </c>
      <c r="N679" s="184">
        <f>VLOOKUP(L679, '2022 SIC to NAICS'!A:D, 3)</f>
        <v>325920</v>
      </c>
      <c r="O679" s="184" t="str">
        <f>VLOOKUP(L679, '2022 SIC to NAICS'!A:D, 4)</f>
        <v>Explosives Manufacturing</v>
      </c>
      <c r="P679" s="185" t="str">
        <f>VLOOKUP(N679, 'NAICS OES crosswalk'!A:C, 3, FALSE)</f>
        <v>TBD</v>
      </c>
      <c r="T679" s="186" t="s">
        <v>1236</v>
      </c>
      <c r="U679" t="s">
        <v>1009</v>
      </c>
      <c r="V679">
        <v>2.3050000000000002</v>
      </c>
      <c r="X679" t="b">
        <f t="shared" si="12"/>
        <v>0</v>
      </c>
      <c r="Y679" s="186" t="s">
        <v>1404</v>
      </c>
      <c r="Z679" t="s">
        <v>1403</v>
      </c>
    </row>
    <row r="680" spans="1:26" x14ac:dyDescent="0.25">
      <c r="A680">
        <v>2023</v>
      </c>
      <c r="B680" t="s">
        <v>1400</v>
      </c>
      <c r="C680" t="s">
        <v>1112</v>
      </c>
      <c r="D680" s="1">
        <v>110033145353</v>
      </c>
      <c r="E680" t="s">
        <v>530</v>
      </c>
      <c r="F680" t="s">
        <v>531</v>
      </c>
      <c r="G680" t="s">
        <v>1110</v>
      </c>
      <c r="H680" t="s">
        <v>146</v>
      </c>
      <c r="I680" t="s">
        <v>1401</v>
      </c>
      <c r="J680">
        <v>38.074433999999997</v>
      </c>
      <c r="K680">
        <v>-122.144397</v>
      </c>
      <c r="L680">
        <v>2911</v>
      </c>
      <c r="M680" s="175" t="str">
        <f>VLOOKUP(L680, '2022 SIC to NAICS'!A:D, 2)</f>
        <v>Explosives</v>
      </c>
      <c r="N680" s="184">
        <f>VLOOKUP(L680, '2022 SIC to NAICS'!A:D, 3)</f>
        <v>325920</v>
      </c>
      <c r="O680" s="184" t="str">
        <f>VLOOKUP(L680, '2022 SIC to NAICS'!A:D, 4)</f>
        <v>Explosives Manufacturing</v>
      </c>
      <c r="P680" s="185" t="str">
        <f>VLOOKUP(N680, 'NAICS OES crosswalk'!A:C, 3, FALSE)</f>
        <v>TBD</v>
      </c>
      <c r="T680">
        <v>180500010109</v>
      </c>
      <c r="U680" t="s">
        <v>1113</v>
      </c>
      <c r="V680">
        <v>0.27745942499999998</v>
      </c>
      <c r="X680" t="b">
        <f t="shared" si="12"/>
        <v>0</v>
      </c>
      <c r="Y680" s="186" t="s">
        <v>1402</v>
      </c>
    </row>
    <row r="681" spans="1:26" x14ac:dyDescent="0.25">
      <c r="A681">
        <v>2023</v>
      </c>
      <c r="B681" t="s">
        <v>1400</v>
      </c>
      <c r="C681" t="s">
        <v>668</v>
      </c>
      <c r="D681" s="1">
        <v>110041253256</v>
      </c>
      <c r="E681" t="s">
        <v>171</v>
      </c>
      <c r="F681" t="s">
        <v>157</v>
      </c>
      <c r="G681" t="s">
        <v>554</v>
      </c>
      <c r="H681" t="s">
        <v>158</v>
      </c>
      <c r="I681" t="s">
        <v>1405</v>
      </c>
      <c r="J681">
        <v>36.132570000000001</v>
      </c>
      <c r="K681">
        <v>-115.16477</v>
      </c>
      <c r="L681">
        <v>7011</v>
      </c>
      <c r="M681" s="175" t="str">
        <f>VLOOKUP(L681, '2022 SIC to NAICS'!A:D, 2)</f>
        <v>Communication Services, Nec</v>
      </c>
      <c r="N681" s="184">
        <f>VLOOKUP(L681, '2022 SIC to NAICS'!A:D, 3)</f>
        <v>517810</v>
      </c>
      <c r="O681" s="184" t="str">
        <f>VLOOKUP(L681, '2022 SIC to NAICS'!A:D, 4)</f>
        <v xml:space="preserve">All Other Telecommunications </v>
      </c>
      <c r="P681" s="185" t="str">
        <f>VLOOKUP(N681, 'NAICS OES crosswalk'!A:C, 3, FALSE)</f>
        <v>TBD</v>
      </c>
      <c r="T681">
        <v>150100150604</v>
      </c>
      <c r="U681" t="s">
        <v>578</v>
      </c>
      <c r="V681">
        <v>0.1271003</v>
      </c>
      <c r="X681" t="b">
        <f t="shared" si="12"/>
        <v>0</v>
      </c>
      <c r="Y681" s="186" t="s">
        <v>1402</v>
      </c>
      <c r="Z681" t="s">
        <v>1403</v>
      </c>
    </row>
    <row r="682" spans="1:26" x14ac:dyDescent="0.25">
      <c r="A682">
        <v>2023</v>
      </c>
      <c r="B682" t="s">
        <v>1400</v>
      </c>
      <c r="C682" t="s">
        <v>837</v>
      </c>
      <c r="D682" s="1">
        <v>110000484039</v>
      </c>
      <c r="E682" t="s">
        <v>493</v>
      </c>
      <c r="F682" t="s">
        <v>494</v>
      </c>
      <c r="G682" t="s">
        <v>835</v>
      </c>
      <c r="H682" t="s">
        <v>146</v>
      </c>
      <c r="I682" t="s">
        <v>1401</v>
      </c>
      <c r="J682">
        <v>37.318058999999998</v>
      </c>
      <c r="K682">
        <v>-122.09263199999999</v>
      </c>
      <c r="L682">
        <v>3241</v>
      </c>
      <c r="M682" s="175" t="str">
        <f>VLOOKUP(L682, '2022 SIC to NAICS'!A:D, 2)</f>
        <v>Fabricated Rubber Products, Nec</v>
      </c>
      <c r="N682" s="184">
        <f>VLOOKUP(L682, '2022 SIC to NAICS'!A:D, 3)</f>
        <v>326299</v>
      </c>
      <c r="O682" s="184" t="str">
        <f>VLOOKUP(L682, '2022 SIC to NAICS'!A:D, 4)</f>
        <v xml:space="preserve">All Other Rubber Product Manufacturing </v>
      </c>
      <c r="P682" s="185" t="str">
        <f>VLOOKUP(N682, 'NAICS OES crosswalk'!A:C, 3, FALSE)</f>
        <v>TBD</v>
      </c>
      <c r="T682">
        <v>180500030406</v>
      </c>
      <c r="U682" t="s">
        <v>838</v>
      </c>
      <c r="V682">
        <v>2.2587933750000001E-2</v>
      </c>
      <c r="X682" t="b">
        <f t="shared" si="12"/>
        <v>0</v>
      </c>
      <c r="Y682" s="186" t="s">
        <v>1406</v>
      </c>
      <c r="Z682" t="s">
        <v>1403</v>
      </c>
    </row>
    <row r="683" spans="1:26" x14ac:dyDescent="0.25">
      <c r="A683">
        <v>2023</v>
      </c>
      <c r="B683" t="s">
        <v>1400</v>
      </c>
      <c r="C683" t="s">
        <v>671</v>
      </c>
      <c r="D683" s="1">
        <v>110042004915</v>
      </c>
      <c r="E683" t="s">
        <v>240</v>
      </c>
      <c r="F683" t="s">
        <v>241</v>
      </c>
      <c r="G683" t="s">
        <v>669</v>
      </c>
      <c r="H683" t="s">
        <v>114</v>
      </c>
      <c r="I683" t="s">
        <v>1405</v>
      </c>
      <c r="J683">
        <v>29.378699999999998</v>
      </c>
      <c r="K683">
        <v>-98.551670000000001</v>
      </c>
      <c r="L683">
        <v>9711</v>
      </c>
      <c r="M683" s="175" t="str">
        <f>VLOOKUP(L683, '2022 SIC to NAICS'!A:D, 2)</f>
        <v>National Security</v>
      </c>
      <c r="N683" s="184">
        <f>VLOOKUP(L683, '2022 SIC to NAICS'!A:D, 3)</f>
        <v>928110</v>
      </c>
      <c r="O683" s="184" t="str">
        <f>VLOOKUP(L683, '2022 SIC to NAICS'!A:D, 4)</f>
        <v xml:space="preserve">National Security </v>
      </c>
      <c r="P683" s="185" t="str">
        <f>VLOOKUP(N683, 'NAICS OES crosswalk'!A:C, 3, FALSE)</f>
        <v>TBD</v>
      </c>
      <c r="T683">
        <v>121003010203</v>
      </c>
      <c r="U683" t="s">
        <v>672</v>
      </c>
      <c r="V683">
        <v>3.4654466437500003E-2</v>
      </c>
      <c r="X683" t="b">
        <f t="shared" si="12"/>
        <v>0</v>
      </c>
      <c r="Y683" s="186" t="s">
        <v>1402</v>
      </c>
      <c r="Z683" t="s">
        <v>1403</v>
      </c>
    </row>
    <row r="684" spans="1:26" x14ac:dyDescent="0.25">
      <c r="A684">
        <v>2023</v>
      </c>
      <c r="B684" t="s">
        <v>1400</v>
      </c>
      <c r="C684" t="s">
        <v>577</v>
      </c>
      <c r="D684" s="1">
        <v>110008995490</v>
      </c>
      <c r="E684" t="s">
        <v>301</v>
      </c>
      <c r="F684" t="s">
        <v>157</v>
      </c>
      <c r="G684" t="s">
        <v>575</v>
      </c>
      <c r="H684" t="s">
        <v>158</v>
      </c>
      <c r="I684" t="s">
        <v>1405</v>
      </c>
      <c r="J684">
        <v>36.176639999999999</v>
      </c>
      <c r="K684">
        <v>-115.12891999999999</v>
      </c>
      <c r="L684">
        <v>6513</v>
      </c>
      <c r="M684" s="175" t="str">
        <f>VLOOKUP(L684, '2022 SIC to NAICS'!A:D, 2)</f>
        <v>Communication Services, Nec</v>
      </c>
      <c r="N684" s="184">
        <f>VLOOKUP(L684, '2022 SIC to NAICS'!A:D, 3)</f>
        <v>517810</v>
      </c>
      <c r="O684" s="184" t="str">
        <f>VLOOKUP(L684, '2022 SIC to NAICS'!A:D, 4)</f>
        <v xml:space="preserve">All Other Telecommunications </v>
      </c>
      <c r="P684" s="185" t="str">
        <f>VLOOKUP(N684, 'NAICS OES crosswalk'!A:C, 3, FALSE)</f>
        <v>TBD</v>
      </c>
      <c r="T684">
        <v>150100150604</v>
      </c>
      <c r="U684" t="s">
        <v>578</v>
      </c>
      <c r="V684">
        <v>0.25150662624999998</v>
      </c>
      <c r="X684" t="b">
        <f t="shared" si="12"/>
        <v>0</v>
      </c>
      <c r="Y684" s="186" t="s">
        <v>1402</v>
      </c>
      <c r="Z684" t="s">
        <v>1403</v>
      </c>
    </row>
    <row r="685" spans="1:26" x14ac:dyDescent="0.25">
      <c r="A685">
        <v>2023</v>
      </c>
      <c r="B685" t="s">
        <v>1400</v>
      </c>
      <c r="C685" t="s">
        <v>782</v>
      </c>
      <c r="D685" s="1">
        <v>110000321651</v>
      </c>
      <c r="E685" t="s">
        <v>282</v>
      </c>
      <c r="F685" t="s">
        <v>283</v>
      </c>
      <c r="G685" t="s">
        <v>781</v>
      </c>
      <c r="H685" t="s">
        <v>153</v>
      </c>
      <c r="I685" t="s">
        <v>1401</v>
      </c>
      <c r="J685">
        <v>40.331944</v>
      </c>
      <c r="K685">
        <v>-74.619721999999996</v>
      </c>
      <c r="L685">
        <v>2869</v>
      </c>
      <c r="M685" s="175" t="str">
        <f>VLOOKUP(L685, '2022 SIC to NAICS'!A:D, 2)</f>
        <v>Industrial Organic Chemicals, Nec</v>
      </c>
      <c r="N685" s="184">
        <f>VLOOKUP(L685, '2022 SIC to NAICS'!A:D, 3)</f>
        <v>325180</v>
      </c>
      <c r="O685" s="184" t="str">
        <f>VLOOKUP(L685, '2022 SIC to NAICS'!A:D, 4)</f>
        <v xml:space="preserve">Other Basic Inorganic Chemical Manufacturing </v>
      </c>
      <c r="P685" s="185" t="str">
        <f>VLOOKUP(N685, 'NAICS OES crosswalk'!A:C, 3, FALSE)</f>
        <v>Processing as a reactant</v>
      </c>
      <c r="T685" s="186" t="s">
        <v>1225</v>
      </c>
      <c r="U685" t="s">
        <v>783</v>
      </c>
      <c r="V685">
        <v>3.0999999999999999E-3</v>
      </c>
      <c r="X685" t="b">
        <f t="shared" si="12"/>
        <v>0</v>
      </c>
      <c r="Y685" s="186" t="s">
        <v>1404</v>
      </c>
      <c r="Z685" t="s">
        <v>1403</v>
      </c>
    </row>
    <row r="686" spans="1:26" x14ac:dyDescent="0.25">
      <c r="A686">
        <v>2023</v>
      </c>
      <c r="B686" t="s">
        <v>1400</v>
      </c>
      <c r="C686" t="s">
        <v>1094</v>
      </c>
      <c r="D686" s="1">
        <v>110000373621</v>
      </c>
      <c r="E686" t="s">
        <v>458</v>
      </c>
      <c r="F686" t="s">
        <v>459</v>
      </c>
      <c r="G686" t="s">
        <v>1092</v>
      </c>
      <c r="H686" t="s">
        <v>309</v>
      </c>
      <c r="I686" t="s">
        <v>1405</v>
      </c>
      <c r="J686">
        <v>35.607599999999998</v>
      </c>
      <c r="K686">
        <v>-89.237700000000004</v>
      </c>
      <c r="L686">
        <v>3087</v>
      </c>
      <c r="M686" s="175" t="str">
        <f>VLOOKUP(L686, '2022 SIC to NAICS'!A:D, 2)</f>
        <v>Custom Compound Purchased Resins</v>
      </c>
      <c r="N686" s="184">
        <f>VLOOKUP(L686, '2022 SIC to NAICS'!A:D, 3)</f>
        <v>325991</v>
      </c>
      <c r="O686" s="184" t="str">
        <f>VLOOKUP(L686, '2022 SIC to NAICS'!A:D, 4)</f>
        <v xml:space="preserve">Custom Compounding of Purchased Resins </v>
      </c>
      <c r="P686" s="185" t="str">
        <f>VLOOKUP(N686, 'NAICS OES crosswalk'!A:C, 3, FALSE)</f>
        <v>TBD</v>
      </c>
      <c r="T686" s="186" t="s">
        <v>1279</v>
      </c>
      <c r="U686" t="s">
        <v>1095</v>
      </c>
      <c r="V686">
        <v>2.4176687499999999E-2</v>
      </c>
      <c r="X686" t="b">
        <f t="shared" si="12"/>
        <v>0</v>
      </c>
      <c r="Y686" s="186" t="s">
        <v>1402</v>
      </c>
      <c r="Z686" t="s">
        <v>1403</v>
      </c>
    </row>
    <row r="687" spans="1:26" x14ac:dyDescent="0.25">
      <c r="A687">
        <v>2023</v>
      </c>
      <c r="B687" t="s">
        <v>1400</v>
      </c>
      <c r="C687" t="s">
        <v>914</v>
      </c>
      <c r="D687" s="1">
        <v>110010059649</v>
      </c>
      <c r="E687" t="s">
        <v>508</v>
      </c>
      <c r="F687" t="s">
        <v>509</v>
      </c>
      <c r="G687" t="s">
        <v>913</v>
      </c>
      <c r="H687" t="s">
        <v>146</v>
      </c>
      <c r="I687" t="s">
        <v>1405</v>
      </c>
      <c r="J687">
        <v>40.638300000000001</v>
      </c>
      <c r="K687">
        <v>-124.22553000000001</v>
      </c>
      <c r="L687">
        <v>4952</v>
      </c>
      <c r="M687" s="175" t="str">
        <f>VLOOKUP(L687, '2022 SIC to NAICS'!A:D, 2)</f>
        <v>Manufacturing Industries, Nec</v>
      </c>
      <c r="N687" s="184">
        <f>VLOOKUP(L687, '2022 SIC to NAICS'!A:D, 3)</f>
        <v>339999</v>
      </c>
      <c r="O687" s="184" t="str">
        <f>VLOOKUP(L687, '2022 SIC to NAICS'!A:D, 4)</f>
        <v xml:space="preserve">All Other Miscellaneous Manufacturing </v>
      </c>
      <c r="P687" s="185" t="str">
        <f>VLOOKUP(N687, 'NAICS OES crosswalk'!A:C, 3, FALSE)</f>
        <v>TBD</v>
      </c>
      <c r="T687">
        <v>180101051102</v>
      </c>
      <c r="U687" t="s">
        <v>915</v>
      </c>
      <c r="V687">
        <v>1.222649625E-2</v>
      </c>
      <c r="X687" t="b">
        <f t="shared" si="12"/>
        <v>0</v>
      </c>
      <c r="Y687" s="186" t="s">
        <v>1402</v>
      </c>
      <c r="Z687" t="s">
        <v>1403</v>
      </c>
    </row>
    <row r="688" spans="1:26" x14ac:dyDescent="0.25">
      <c r="A688">
        <v>2023</v>
      </c>
      <c r="B688" t="s">
        <v>1400</v>
      </c>
      <c r="C688" t="s">
        <v>794</v>
      </c>
      <c r="D688" s="1">
        <v>110070215141</v>
      </c>
      <c r="E688" t="s">
        <v>419</v>
      </c>
      <c r="F688" t="s">
        <v>420</v>
      </c>
      <c r="G688" t="s">
        <v>781</v>
      </c>
      <c r="H688" t="s">
        <v>153</v>
      </c>
      <c r="I688" t="s">
        <v>1405</v>
      </c>
      <c r="J688">
        <v>40.515906999999999</v>
      </c>
      <c r="K688">
        <v>-74.325175999999999</v>
      </c>
      <c r="L688"/>
      <c r="M688" s="175" t="e">
        <f>VLOOKUP(L688, '2022 SIC to NAICS'!A:D, 2)</f>
        <v>#N/A</v>
      </c>
      <c r="N688" s="184" t="e">
        <f>VLOOKUP(L688, '2022 SIC to NAICS'!A:D, 3)</f>
        <v>#N/A</v>
      </c>
      <c r="O688" s="184" t="e">
        <f>VLOOKUP(L688, '2022 SIC to NAICS'!A:D, 4)</f>
        <v>#N/A</v>
      </c>
      <c r="P688" s="185" t="e">
        <f>VLOOKUP(N688, 'NAICS OES crosswalk'!A:C, 3, FALSE)</f>
        <v>#N/A</v>
      </c>
      <c r="T688" s="186" t="s">
        <v>1269</v>
      </c>
      <c r="U688" t="s">
        <v>795</v>
      </c>
      <c r="V688">
        <v>1.3359176425E-4</v>
      </c>
      <c r="X688" t="b">
        <f t="shared" si="12"/>
        <v>1</v>
      </c>
      <c r="Y688" s="186" t="s">
        <v>1418</v>
      </c>
      <c r="Z688" t="s">
        <v>1403</v>
      </c>
    </row>
    <row r="689" spans="1:26" x14ac:dyDescent="0.25">
      <c r="A689">
        <v>2023</v>
      </c>
      <c r="B689" t="s">
        <v>1400</v>
      </c>
      <c r="C689" t="s">
        <v>787</v>
      </c>
      <c r="D689" s="1">
        <v>110043486457</v>
      </c>
      <c r="E689" t="s">
        <v>277</v>
      </c>
      <c r="F689" t="s">
        <v>235</v>
      </c>
      <c r="G689" t="s">
        <v>600</v>
      </c>
      <c r="H689" t="s">
        <v>138</v>
      </c>
      <c r="I689" t="s">
        <v>1401</v>
      </c>
      <c r="J689">
        <v>38.236699999999999</v>
      </c>
      <c r="K689">
        <v>-85.466710000000006</v>
      </c>
      <c r="L689">
        <v>4952</v>
      </c>
      <c r="M689" s="175" t="str">
        <f>VLOOKUP(L689, '2022 SIC to NAICS'!A:D, 2)</f>
        <v>Manufacturing Industries, Nec</v>
      </c>
      <c r="N689" s="184">
        <f>VLOOKUP(L689, '2022 SIC to NAICS'!A:D, 3)</f>
        <v>339999</v>
      </c>
      <c r="O689" s="184" t="str">
        <f>VLOOKUP(L689, '2022 SIC to NAICS'!A:D, 4)</f>
        <v xml:space="preserve">All Other Miscellaneous Manufacturing </v>
      </c>
      <c r="P689" s="185" t="str">
        <f>VLOOKUP(N689, 'NAICS OES crosswalk'!A:C, 3, FALSE)</f>
        <v>TBD</v>
      </c>
      <c r="T689" s="186" t="s">
        <v>1223</v>
      </c>
      <c r="U689" t="s">
        <v>788</v>
      </c>
      <c r="V689">
        <v>11.722239625</v>
      </c>
      <c r="X689" t="b">
        <f t="shared" si="12"/>
        <v>0</v>
      </c>
      <c r="Y689" s="186" t="s">
        <v>1402</v>
      </c>
      <c r="Z689" t="s">
        <v>1403</v>
      </c>
    </row>
    <row r="690" spans="1:26" x14ac:dyDescent="0.25">
      <c r="A690">
        <v>2023</v>
      </c>
      <c r="B690" t="s">
        <v>1400</v>
      </c>
      <c r="C690" t="s">
        <v>1069</v>
      </c>
      <c r="D690" s="1">
        <v>110000854246</v>
      </c>
      <c r="E690" t="s">
        <v>451</v>
      </c>
      <c r="F690" t="s">
        <v>324</v>
      </c>
      <c r="G690" t="s">
        <v>1067</v>
      </c>
      <c r="H690" t="s">
        <v>452</v>
      </c>
      <c r="I690" t="s">
        <v>1401</v>
      </c>
      <c r="J690">
        <v>34.047217000000003</v>
      </c>
      <c r="K690">
        <v>-81.151325999999997</v>
      </c>
      <c r="L690">
        <v>2824</v>
      </c>
      <c r="M690" s="175" t="str">
        <f>VLOOKUP(L690, '2022 SIC to NAICS'!A:D, 2)</f>
        <v>Platemaking Services</v>
      </c>
      <c r="N690" s="184">
        <f>VLOOKUP(L690, '2022 SIC to NAICS'!A:D, 3)</f>
        <v>323120</v>
      </c>
      <c r="O690" s="184" t="str">
        <f>VLOOKUP(L690, '2022 SIC to NAICS'!A:D, 4)</f>
        <v>Support Activities for Printing</v>
      </c>
      <c r="P690" s="185" t="str">
        <f>VLOOKUP(N690, 'NAICS OES crosswalk'!A:C, 3, FALSE)</f>
        <v>TBD</v>
      </c>
      <c r="T690" s="186" t="s">
        <v>1278</v>
      </c>
      <c r="U690" t="s">
        <v>1070</v>
      </c>
      <c r="V690">
        <v>0.33141999999999999</v>
      </c>
      <c r="X690" t="b">
        <f t="shared" si="12"/>
        <v>0</v>
      </c>
      <c r="Y690" t="s">
        <v>1471</v>
      </c>
    </row>
    <row r="691" spans="1:26" x14ac:dyDescent="0.25">
      <c r="A691">
        <v>2023</v>
      </c>
      <c r="B691" t="s">
        <v>1400</v>
      </c>
      <c r="C691" t="s">
        <v>1117</v>
      </c>
      <c r="D691" s="1">
        <v>110004306938</v>
      </c>
      <c r="E691" t="s">
        <v>156</v>
      </c>
      <c r="F691" t="s">
        <v>157</v>
      </c>
      <c r="G691" t="s">
        <v>575</v>
      </c>
      <c r="H691" t="s">
        <v>158</v>
      </c>
      <c r="I691" t="s">
        <v>1405</v>
      </c>
      <c r="J691">
        <v>36.122100000000003</v>
      </c>
      <c r="K691">
        <v>-115.17139</v>
      </c>
      <c r="L691">
        <v>7011</v>
      </c>
      <c r="M691" s="175" t="str">
        <f>VLOOKUP(L691, '2022 SIC to NAICS'!A:D, 2)</f>
        <v>Communication Services, Nec</v>
      </c>
      <c r="N691" s="184">
        <f>VLOOKUP(L691, '2022 SIC to NAICS'!A:D, 3)</f>
        <v>517810</v>
      </c>
      <c r="O691" s="184" t="str">
        <f>VLOOKUP(L691, '2022 SIC to NAICS'!A:D, 4)</f>
        <v xml:space="preserve">All Other Telecommunications </v>
      </c>
      <c r="P691" s="185" t="str">
        <f>VLOOKUP(N691, 'NAICS OES crosswalk'!A:C, 3, FALSE)</f>
        <v>TBD</v>
      </c>
      <c r="T691">
        <v>150100150604</v>
      </c>
      <c r="U691" t="s">
        <v>578</v>
      </c>
      <c r="V691">
        <v>0.67112412212500006</v>
      </c>
      <c r="X691" t="b">
        <f t="shared" si="12"/>
        <v>0</v>
      </c>
      <c r="Y691" s="186" t="s">
        <v>1418</v>
      </c>
      <c r="Z691" t="s">
        <v>1403</v>
      </c>
    </row>
    <row r="692" spans="1:26" x14ac:dyDescent="0.25">
      <c r="A692">
        <v>2023</v>
      </c>
      <c r="B692" t="s">
        <v>1400</v>
      </c>
      <c r="C692" t="s">
        <v>1482</v>
      </c>
      <c r="D692" s="1">
        <v>110010134185</v>
      </c>
      <c r="E692" t="s">
        <v>1483</v>
      </c>
      <c r="F692" t="s">
        <v>1484</v>
      </c>
      <c r="G692" t="s">
        <v>757</v>
      </c>
      <c r="H692" t="s">
        <v>1485</v>
      </c>
      <c r="I692" t="s">
        <v>1405</v>
      </c>
      <c r="J692">
        <v>37.041677</v>
      </c>
      <c r="K692">
        <v>-109.500685</v>
      </c>
      <c r="L692">
        <v>1311</v>
      </c>
      <c r="M692" s="175" t="str">
        <f>VLOOKUP(L692, '2022 SIC to NAICS'!A:D, 2)</f>
        <v>Animal Specialty Services</v>
      </c>
      <c r="N692" s="184">
        <f>VLOOKUP(L692, '2022 SIC to NAICS'!A:D, 3)</f>
        <v>115210</v>
      </c>
      <c r="O692" s="184" t="str">
        <f>VLOOKUP(L692, '2022 SIC to NAICS'!A:D, 4)</f>
        <v>Support Activities for Animal Production</v>
      </c>
      <c r="P692" s="185" t="e">
        <f>VLOOKUP(N692, 'NAICS OES crosswalk'!A:C, 3, FALSE)</f>
        <v>#N/A</v>
      </c>
      <c r="T692">
        <v>140802010602</v>
      </c>
      <c r="U692" t="s">
        <v>1486</v>
      </c>
      <c r="V692">
        <v>1.124145E-3</v>
      </c>
      <c r="X692" t="b">
        <f t="shared" si="12"/>
        <v>1</v>
      </c>
      <c r="Y692" s="186" t="s">
        <v>1402</v>
      </c>
      <c r="Z692" t="s">
        <v>1403</v>
      </c>
    </row>
    <row r="693" spans="1:26" x14ac:dyDescent="0.25">
      <c r="A693">
        <v>2023</v>
      </c>
      <c r="B693" t="s">
        <v>1400</v>
      </c>
      <c r="C693" t="s">
        <v>732</v>
      </c>
      <c r="D693" s="1">
        <v>110000582003</v>
      </c>
      <c r="E693" t="s">
        <v>151</v>
      </c>
      <c r="F693" t="s">
        <v>152</v>
      </c>
      <c r="G693" t="s">
        <v>731</v>
      </c>
      <c r="H693" t="s">
        <v>153</v>
      </c>
      <c r="I693" t="s">
        <v>1401</v>
      </c>
      <c r="J693">
        <v>39.80142</v>
      </c>
      <c r="K693">
        <v>-75.354990000000001</v>
      </c>
      <c r="L693">
        <v>2869</v>
      </c>
      <c r="M693" s="175" t="str">
        <f>VLOOKUP(L693, '2022 SIC to NAICS'!A:D, 2)</f>
        <v>Industrial Organic Chemicals, Nec</v>
      </c>
      <c r="N693" s="184">
        <f>VLOOKUP(L693, '2022 SIC to NAICS'!A:D, 3)</f>
        <v>325180</v>
      </c>
      <c r="O693" s="184" t="str">
        <f>VLOOKUP(L693, '2022 SIC to NAICS'!A:D, 4)</f>
        <v xml:space="preserve">Other Basic Inorganic Chemical Manufacturing </v>
      </c>
      <c r="P693" s="185" t="str">
        <f>VLOOKUP(N693, 'NAICS OES crosswalk'!A:C, 3, FALSE)</f>
        <v>Processing as a reactant</v>
      </c>
      <c r="T693" s="186" t="s">
        <v>1187</v>
      </c>
      <c r="U693" t="s">
        <v>733</v>
      </c>
      <c r="V693">
        <v>0.179255</v>
      </c>
      <c r="X693" t="b">
        <f t="shared" si="12"/>
        <v>0</v>
      </c>
      <c r="Y693" s="186" t="s">
        <v>1402</v>
      </c>
      <c r="Z693" t="s">
        <v>1403</v>
      </c>
    </row>
    <row r="694" spans="1:26" x14ac:dyDescent="0.25">
      <c r="A694">
        <v>2023</v>
      </c>
      <c r="B694" t="s">
        <v>1400</v>
      </c>
      <c r="C694" t="s">
        <v>991</v>
      </c>
      <c r="D694" s="1">
        <v>110006367136</v>
      </c>
      <c r="E694" t="s">
        <v>387</v>
      </c>
      <c r="F694" t="s">
        <v>388</v>
      </c>
      <c r="G694" t="s">
        <v>990</v>
      </c>
      <c r="H694" t="s">
        <v>138</v>
      </c>
      <c r="I694" t="s">
        <v>1401</v>
      </c>
      <c r="J694">
        <v>37.021974</v>
      </c>
      <c r="K694">
        <v>-88.512833000000001</v>
      </c>
      <c r="L694">
        <v>4952</v>
      </c>
      <c r="M694" s="175" t="str">
        <f>VLOOKUP(L694, '2022 SIC to NAICS'!A:D, 2)</f>
        <v>Manufacturing Industries, Nec</v>
      </c>
      <c r="N694" s="184">
        <f>VLOOKUP(L694, '2022 SIC to NAICS'!A:D, 3)</f>
        <v>339999</v>
      </c>
      <c r="O694" s="184" t="str">
        <f>VLOOKUP(L694, '2022 SIC to NAICS'!A:D, 4)</f>
        <v xml:space="preserve">All Other Miscellaneous Manufacturing </v>
      </c>
      <c r="P694" s="185" t="str">
        <f>VLOOKUP(N694, 'NAICS OES crosswalk'!A:C, 3, FALSE)</f>
        <v>TBD</v>
      </c>
      <c r="T694" s="186" t="s">
        <v>1259</v>
      </c>
      <c r="U694" t="s">
        <v>992</v>
      </c>
      <c r="V694">
        <v>0.8178628</v>
      </c>
      <c r="X694" t="b">
        <f t="shared" si="12"/>
        <v>0</v>
      </c>
      <c r="Y694" s="186" t="s">
        <v>1402</v>
      </c>
    </row>
    <row r="695" spans="1:26" x14ac:dyDescent="0.25">
      <c r="A695">
        <v>2023</v>
      </c>
      <c r="B695" t="s">
        <v>1400</v>
      </c>
      <c r="C695" t="s">
        <v>1452</v>
      </c>
      <c r="D695" s="1">
        <v>110059861065</v>
      </c>
      <c r="E695" t="s">
        <v>1453</v>
      </c>
      <c r="F695" t="s">
        <v>157</v>
      </c>
      <c r="G695" t="s">
        <v>554</v>
      </c>
      <c r="H695" t="s">
        <v>158</v>
      </c>
      <c r="I695" t="s">
        <v>1405</v>
      </c>
      <c r="J695">
        <v>36.108890000000002</v>
      </c>
      <c r="K695">
        <v>-115.18118</v>
      </c>
      <c r="L695">
        <v>6531</v>
      </c>
      <c r="M695" s="175" t="str">
        <f>VLOOKUP(L695, '2022 SIC to NAICS'!A:D, 2)</f>
        <v>Communication Services, Nec</v>
      </c>
      <c r="N695" s="184">
        <f>VLOOKUP(L695, '2022 SIC to NAICS'!A:D, 3)</f>
        <v>517810</v>
      </c>
      <c r="O695" s="184" t="str">
        <f>VLOOKUP(L695, '2022 SIC to NAICS'!A:D, 4)</f>
        <v xml:space="preserve">All Other Telecommunications </v>
      </c>
      <c r="P695" s="185" t="str">
        <f>VLOOKUP(N695, 'NAICS OES crosswalk'!A:C, 3, FALSE)</f>
        <v>TBD</v>
      </c>
      <c r="T695">
        <v>150100150505</v>
      </c>
      <c r="U695" t="s">
        <v>557</v>
      </c>
      <c r="V695">
        <v>3.4607201250000001E-4</v>
      </c>
      <c r="X695" t="b">
        <f t="shared" si="12"/>
        <v>1</v>
      </c>
      <c r="Y695" s="186" t="s">
        <v>1402</v>
      </c>
      <c r="Z695" t="s">
        <v>1403</v>
      </c>
    </row>
    <row r="696" spans="1:26" x14ac:dyDescent="0.25">
      <c r="A696">
        <v>2023</v>
      </c>
      <c r="B696" t="s">
        <v>1400</v>
      </c>
      <c r="C696" t="s">
        <v>611</v>
      </c>
      <c r="D696" s="1">
        <v>110000443226</v>
      </c>
      <c r="E696" t="s">
        <v>425</v>
      </c>
      <c r="F696" t="s">
        <v>426</v>
      </c>
      <c r="G696" t="s">
        <v>454</v>
      </c>
      <c r="H696" t="s">
        <v>170</v>
      </c>
      <c r="I696" t="s">
        <v>1401</v>
      </c>
      <c r="J696">
        <v>39.121471999999997</v>
      </c>
      <c r="K696">
        <v>-94.473416999999998</v>
      </c>
      <c r="L696">
        <v>2879</v>
      </c>
      <c r="M696" s="175" t="str">
        <f>VLOOKUP(L696, '2022 SIC to NAICS'!A:D, 2)</f>
        <v>Agricultural Chemicals, Nec</v>
      </c>
      <c r="N696" s="184">
        <f>VLOOKUP(L696, '2022 SIC to NAICS'!A:D, 3)</f>
        <v>325320</v>
      </c>
      <c r="O696" s="184" t="str">
        <f>VLOOKUP(L696, '2022 SIC to NAICS'!A:D, 4)</f>
        <v>Pesticide and Other Agricultural Chemical Manufacturing</v>
      </c>
      <c r="P696" s="185" t="str">
        <f>VLOOKUP(N696, 'NAICS OES crosswalk'!A:C, 3, FALSE)</f>
        <v>TBD</v>
      </c>
      <c r="T696">
        <v>103001010301</v>
      </c>
      <c r="U696" t="s">
        <v>612</v>
      </c>
      <c r="V696">
        <v>13.2568</v>
      </c>
      <c r="X696" t="b">
        <f t="shared" si="12"/>
        <v>0</v>
      </c>
      <c r="Y696" s="186" t="s">
        <v>1402</v>
      </c>
    </row>
    <row r="697" spans="1:26" x14ac:dyDescent="0.25">
      <c r="A697">
        <v>2023</v>
      </c>
      <c r="B697" t="s">
        <v>1400</v>
      </c>
      <c r="C697" t="s">
        <v>902</v>
      </c>
      <c r="D697" s="1">
        <v>110002108059</v>
      </c>
      <c r="E697" t="s">
        <v>381</v>
      </c>
      <c r="F697" t="s">
        <v>382</v>
      </c>
      <c r="G697" t="s">
        <v>901</v>
      </c>
      <c r="H697" t="s">
        <v>138</v>
      </c>
      <c r="I697" t="s">
        <v>1401</v>
      </c>
      <c r="J697">
        <v>38.391995999999999</v>
      </c>
      <c r="K697">
        <v>-85.416021999999998</v>
      </c>
      <c r="L697">
        <v>9223</v>
      </c>
      <c r="M697" s="175" t="str">
        <f>VLOOKUP(L697, '2022 SIC to NAICS'!A:D, 2)</f>
        <v>Individual and Family Services</v>
      </c>
      <c r="N697" s="184">
        <f>VLOOKUP(L697, '2022 SIC to NAICS'!A:D, 3)</f>
        <v>922150</v>
      </c>
      <c r="O697" s="184" t="str">
        <f>VLOOKUP(L697, '2022 SIC to NAICS'!A:D, 4)</f>
        <v xml:space="preserve">Parole Offices and Probation Offices </v>
      </c>
      <c r="P697" s="185" t="str">
        <f>VLOOKUP(N697, 'NAICS OES crosswalk'!A:C, 3, FALSE)</f>
        <v>TBD</v>
      </c>
      <c r="T697" s="186" t="s">
        <v>1257</v>
      </c>
      <c r="U697" t="s">
        <v>903</v>
      </c>
      <c r="V697">
        <v>1.7752596249999999</v>
      </c>
      <c r="X697" t="b">
        <f t="shared" si="12"/>
        <v>0</v>
      </c>
      <c r="Y697" s="186" t="s">
        <v>1402</v>
      </c>
      <c r="Z697" t="s">
        <v>1403</v>
      </c>
    </row>
    <row r="698" spans="1:26" x14ac:dyDescent="0.25">
      <c r="A698">
        <v>2023</v>
      </c>
      <c r="B698" t="s">
        <v>1400</v>
      </c>
      <c r="C698" t="s">
        <v>1131</v>
      </c>
      <c r="D698" s="1">
        <v>110010731262</v>
      </c>
      <c r="E698" t="s">
        <v>423</v>
      </c>
      <c r="F698" t="s">
        <v>424</v>
      </c>
      <c r="G698" t="s">
        <v>752</v>
      </c>
      <c r="H698" t="s">
        <v>186</v>
      </c>
      <c r="I698" t="s">
        <v>1401</v>
      </c>
      <c r="J698">
        <v>22.079093</v>
      </c>
      <c r="K698">
        <v>-159.35138900000001</v>
      </c>
      <c r="L698">
        <v>4952</v>
      </c>
      <c r="M698" s="175" t="str">
        <f>VLOOKUP(L698, '2022 SIC to NAICS'!A:D, 2)</f>
        <v>Manufacturing Industries, Nec</v>
      </c>
      <c r="N698" s="184">
        <f>VLOOKUP(L698, '2022 SIC to NAICS'!A:D, 3)</f>
        <v>339999</v>
      </c>
      <c r="O698" s="184" t="str">
        <f>VLOOKUP(L698, '2022 SIC to NAICS'!A:D, 4)</f>
        <v xml:space="preserve">All Other Miscellaneous Manufacturing </v>
      </c>
      <c r="P698" s="185" t="str">
        <f>VLOOKUP(N698, 'NAICS OES crosswalk'!A:C, 3, FALSE)</f>
        <v>TBD</v>
      </c>
      <c r="T698">
        <v>200700000202</v>
      </c>
      <c r="U698" t="s">
        <v>1132</v>
      </c>
      <c r="V698">
        <v>3.2829178575E-2</v>
      </c>
      <c r="X698" t="b">
        <f t="shared" si="12"/>
        <v>0</v>
      </c>
      <c r="Y698" s="186" t="s">
        <v>1402</v>
      </c>
      <c r="Z698" t="s">
        <v>1403</v>
      </c>
    </row>
    <row r="699" spans="1:26" x14ac:dyDescent="0.25">
      <c r="A699">
        <v>2023</v>
      </c>
      <c r="B699" t="s">
        <v>1400</v>
      </c>
      <c r="C699" t="s">
        <v>1094</v>
      </c>
      <c r="D699" s="1">
        <v>110000373621</v>
      </c>
      <c r="E699" t="s">
        <v>458</v>
      </c>
      <c r="F699" t="s">
        <v>459</v>
      </c>
      <c r="G699" t="s">
        <v>1092</v>
      </c>
      <c r="H699" t="s">
        <v>309</v>
      </c>
      <c r="I699" t="s">
        <v>1405</v>
      </c>
      <c r="J699">
        <v>35.607599999999998</v>
      </c>
      <c r="K699">
        <v>-89.237700000000004</v>
      </c>
      <c r="L699">
        <v>3087</v>
      </c>
      <c r="M699" s="175" t="str">
        <f>VLOOKUP(L699, '2022 SIC to NAICS'!A:D, 2)</f>
        <v>Custom Compound Purchased Resins</v>
      </c>
      <c r="N699" s="184">
        <f>VLOOKUP(L699, '2022 SIC to NAICS'!A:D, 3)</f>
        <v>325991</v>
      </c>
      <c r="O699" s="184" t="str">
        <f>VLOOKUP(L699, '2022 SIC to NAICS'!A:D, 4)</f>
        <v xml:space="preserve">Custom Compounding of Purchased Resins </v>
      </c>
      <c r="P699" s="185" t="str">
        <f>VLOOKUP(N699, 'NAICS OES crosswalk'!A:C, 3, FALSE)</f>
        <v>TBD</v>
      </c>
      <c r="T699" s="186" t="s">
        <v>1279</v>
      </c>
      <c r="U699" t="s">
        <v>1095</v>
      </c>
      <c r="V699">
        <v>7.5983875000000006E-2</v>
      </c>
      <c r="X699" t="b">
        <f t="shared" si="12"/>
        <v>0</v>
      </c>
      <c r="Y699" s="186" t="s">
        <v>1404</v>
      </c>
      <c r="Z699" t="s">
        <v>1403</v>
      </c>
    </row>
    <row r="700" spans="1:26" x14ac:dyDescent="0.25">
      <c r="A700">
        <v>2023</v>
      </c>
      <c r="B700" t="s">
        <v>1400</v>
      </c>
      <c r="C700" t="s">
        <v>1089</v>
      </c>
      <c r="D700" s="1">
        <v>110000597426</v>
      </c>
      <c r="E700" t="s">
        <v>246</v>
      </c>
      <c r="F700" t="s">
        <v>194</v>
      </c>
      <c r="G700" t="s">
        <v>1087</v>
      </c>
      <c r="H700" t="s">
        <v>106</v>
      </c>
      <c r="I700" t="s">
        <v>1401</v>
      </c>
      <c r="J700">
        <v>30.241299999999999</v>
      </c>
      <c r="K700">
        <v>-91.100899999999996</v>
      </c>
      <c r="L700">
        <v>2819</v>
      </c>
      <c r="M700" s="175" t="str">
        <f>VLOOKUP(L700, '2022 SIC to NAICS'!A:D, 2)</f>
        <v>Platemaking Services</v>
      </c>
      <c r="N700" s="184">
        <f>VLOOKUP(L700, '2022 SIC to NAICS'!A:D, 3)</f>
        <v>323120</v>
      </c>
      <c r="O700" s="184" t="str">
        <f>VLOOKUP(L700, '2022 SIC to NAICS'!A:D, 4)</f>
        <v>Support Activities for Printing</v>
      </c>
      <c r="P700" s="185" t="str">
        <f>VLOOKUP(N700, 'NAICS OES crosswalk'!A:C, 3, FALSE)</f>
        <v>TBD</v>
      </c>
      <c r="T700" s="186" t="s">
        <v>1196</v>
      </c>
      <c r="U700" t="s">
        <v>1090</v>
      </c>
      <c r="V700">
        <v>0.82855000000000001</v>
      </c>
      <c r="X700" t="b">
        <f t="shared" si="12"/>
        <v>0</v>
      </c>
      <c r="Y700">
        <v>301</v>
      </c>
      <c r="Z700" t="s">
        <v>1403</v>
      </c>
    </row>
    <row r="701" spans="1:26" x14ac:dyDescent="0.25">
      <c r="A701">
        <v>2023</v>
      </c>
      <c r="B701" t="s">
        <v>1400</v>
      </c>
      <c r="C701" t="s">
        <v>675</v>
      </c>
      <c r="D701" s="1">
        <v>110002043217</v>
      </c>
      <c r="E701" t="s">
        <v>479</v>
      </c>
      <c r="F701" t="s">
        <v>480</v>
      </c>
      <c r="G701" t="s">
        <v>566</v>
      </c>
      <c r="H701" t="s">
        <v>146</v>
      </c>
      <c r="I701" t="s">
        <v>1401</v>
      </c>
      <c r="J701">
        <v>33.147531999999998</v>
      </c>
      <c r="K701">
        <v>-115.54533000000001</v>
      </c>
      <c r="L701">
        <v>4952</v>
      </c>
      <c r="M701" s="175" t="str">
        <f>VLOOKUP(L701, '2022 SIC to NAICS'!A:D, 2)</f>
        <v>Manufacturing Industries, Nec</v>
      </c>
      <c r="N701" s="184">
        <f>VLOOKUP(L701, '2022 SIC to NAICS'!A:D, 3)</f>
        <v>339999</v>
      </c>
      <c r="O701" s="184" t="str">
        <f>VLOOKUP(L701, '2022 SIC to NAICS'!A:D, 4)</f>
        <v xml:space="preserve">All Other Miscellaneous Manufacturing </v>
      </c>
      <c r="P701" s="185" t="str">
        <f>VLOOKUP(N701, 'NAICS OES crosswalk'!A:C, 3, FALSE)</f>
        <v>TBD</v>
      </c>
      <c r="T701">
        <v>181002040707</v>
      </c>
      <c r="U701" t="s">
        <v>676</v>
      </c>
      <c r="V701">
        <v>3.813009E-3</v>
      </c>
      <c r="X701" t="b">
        <f t="shared" si="12"/>
        <v>0</v>
      </c>
      <c r="Y701" s="186" t="s">
        <v>1402</v>
      </c>
      <c r="Z701" t="s">
        <v>1403</v>
      </c>
    </row>
    <row r="702" spans="1:26" x14ac:dyDescent="0.25">
      <c r="A702">
        <v>2023</v>
      </c>
      <c r="B702" t="s">
        <v>1400</v>
      </c>
      <c r="C702" t="s">
        <v>825</v>
      </c>
      <c r="D702" s="1">
        <v>110000595981</v>
      </c>
      <c r="E702" t="s">
        <v>257</v>
      </c>
      <c r="F702" t="s">
        <v>258</v>
      </c>
      <c r="G702" t="s">
        <v>823</v>
      </c>
      <c r="H702" t="s">
        <v>170</v>
      </c>
      <c r="I702" t="s">
        <v>1405</v>
      </c>
      <c r="J702">
        <v>39.683477000000003</v>
      </c>
      <c r="K702">
        <v>-91.334682999999998</v>
      </c>
      <c r="L702">
        <v>3241</v>
      </c>
      <c r="M702" s="175" t="str">
        <f>VLOOKUP(L702, '2022 SIC to NAICS'!A:D, 2)</f>
        <v>Fabricated Rubber Products, Nec</v>
      </c>
      <c r="N702" s="184">
        <f>VLOOKUP(L702, '2022 SIC to NAICS'!A:D, 3)</f>
        <v>326299</v>
      </c>
      <c r="O702" s="184" t="str">
        <f>VLOOKUP(L702, '2022 SIC to NAICS'!A:D, 4)</f>
        <v xml:space="preserve">All Other Rubber Product Manufacturing </v>
      </c>
      <c r="P702" s="185" t="str">
        <f>VLOOKUP(N702, 'NAICS OES crosswalk'!A:C, 3, FALSE)</f>
        <v>TBD</v>
      </c>
      <c r="T702" s="186" t="s">
        <v>1214</v>
      </c>
      <c r="U702" t="s">
        <v>826</v>
      </c>
      <c r="V702">
        <v>0.110522</v>
      </c>
      <c r="X702" t="b">
        <f t="shared" si="12"/>
        <v>0</v>
      </c>
      <c r="Y702" s="186" t="s">
        <v>1427</v>
      </c>
      <c r="Z702" t="s">
        <v>1403</v>
      </c>
    </row>
    <row r="703" spans="1:26" x14ac:dyDescent="0.25">
      <c r="A703">
        <v>2023</v>
      </c>
      <c r="B703" t="s">
        <v>1400</v>
      </c>
      <c r="C703" t="s">
        <v>1006</v>
      </c>
      <c r="D703" s="1">
        <v>110071158765</v>
      </c>
      <c r="E703" t="s">
        <v>518</v>
      </c>
      <c r="F703" t="s">
        <v>519</v>
      </c>
      <c r="G703" t="s">
        <v>1004</v>
      </c>
      <c r="H703" t="s">
        <v>520</v>
      </c>
      <c r="I703" t="s">
        <v>1405</v>
      </c>
      <c r="J703">
        <v>42.362200000000001</v>
      </c>
      <c r="K703">
        <v>-71.084089000000006</v>
      </c>
      <c r="L703">
        <v>4959</v>
      </c>
      <c r="M703" s="175" t="str">
        <f>VLOOKUP(L703, '2022 SIC to NAICS'!A:D, 2)</f>
        <v>Manufacturing Industries, Nec</v>
      </c>
      <c r="N703" s="184">
        <f>VLOOKUP(L703, '2022 SIC to NAICS'!A:D, 3)</f>
        <v>339999</v>
      </c>
      <c r="O703" s="184" t="str">
        <f>VLOOKUP(L703, '2022 SIC to NAICS'!A:D, 4)</f>
        <v xml:space="preserve">All Other Miscellaneous Manufacturing </v>
      </c>
      <c r="P703" s="185" t="str">
        <f>VLOOKUP(N703, 'NAICS OES crosswalk'!A:C, 3, FALSE)</f>
        <v>TBD</v>
      </c>
      <c r="T703" s="186" t="s">
        <v>1289</v>
      </c>
      <c r="U703" t="s">
        <v>1003</v>
      </c>
      <c r="V703">
        <v>5.5009581375000003E-3</v>
      </c>
      <c r="X703" t="b">
        <f t="shared" si="12"/>
        <v>0</v>
      </c>
      <c r="Y703" s="186" t="s">
        <v>1404</v>
      </c>
      <c r="Z703" t="s">
        <v>1403</v>
      </c>
    </row>
    <row r="704" spans="1:26" x14ac:dyDescent="0.25">
      <c r="A704">
        <v>2023</v>
      </c>
      <c r="B704" t="s">
        <v>1400</v>
      </c>
      <c r="C704" t="s">
        <v>755</v>
      </c>
      <c r="D704" s="1">
        <v>110006777247</v>
      </c>
      <c r="E704" t="s">
        <v>462</v>
      </c>
      <c r="F704" t="s">
        <v>463</v>
      </c>
      <c r="G704" t="s">
        <v>752</v>
      </c>
      <c r="H704" t="s">
        <v>186</v>
      </c>
      <c r="I704" t="s">
        <v>1405</v>
      </c>
      <c r="J704">
        <v>21.994944</v>
      </c>
      <c r="K704">
        <v>-159.75363899999999</v>
      </c>
      <c r="L704" s="186" t="s">
        <v>753</v>
      </c>
      <c r="M704" s="175" t="e">
        <f>VLOOKUP(L704, '2022 SIC to NAICS'!A:D, 2)</f>
        <v>#N/A</v>
      </c>
      <c r="N704" s="184" t="e">
        <f>VLOOKUP(L704, '2022 SIC to NAICS'!A:D, 3)</f>
        <v>#N/A</v>
      </c>
      <c r="O704" s="184" t="e">
        <f>VLOOKUP(L704, '2022 SIC to NAICS'!A:D, 4)</f>
        <v>#N/A</v>
      </c>
      <c r="P704" s="185" t="e">
        <f>VLOOKUP(N704, 'NAICS OES crosswalk'!A:C, 3, FALSE)</f>
        <v>#N/A</v>
      </c>
      <c r="T704">
        <v>200700000501</v>
      </c>
      <c r="U704" t="s">
        <v>756</v>
      </c>
      <c r="V704">
        <v>0.46004782500000002</v>
      </c>
      <c r="X704" t="b">
        <f t="shared" si="12"/>
        <v>0</v>
      </c>
      <c r="Y704" s="186" t="s">
        <v>1402</v>
      </c>
      <c r="Z704" t="s">
        <v>1403</v>
      </c>
    </row>
    <row r="705" spans="1:26" x14ac:dyDescent="0.25">
      <c r="A705">
        <v>2023</v>
      </c>
      <c r="B705" t="s">
        <v>1400</v>
      </c>
      <c r="C705" t="s">
        <v>556</v>
      </c>
      <c r="D705" s="1">
        <v>110015972562</v>
      </c>
      <c r="E705" t="s">
        <v>167</v>
      </c>
      <c r="F705" t="s">
        <v>157</v>
      </c>
      <c r="G705" t="s">
        <v>554</v>
      </c>
      <c r="H705" t="s">
        <v>158</v>
      </c>
      <c r="I705" t="s">
        <v>1405</v>
      </c>
      <c r="J705">
        <v>36.116160999999998</v>
      </c>
      <c r="K705">
        <v>-115.172741</v>
      </c>
      <c r="L705">
        <v>7011</v>
      </c>
      <c r="M705" s="175" t="str">
        <f>VLOOKUP(L705, '2022 SIC to NAICS'!A:D, 2)</f>
        <v>Communication Services, Nec</v>
      </c>
      <c r="N705" s="184">
        <f>VLOOKUP(L705, '2022 SIC to NAICS'!A:D, 3)</f>
        <v>517810</v>
      </c>
      <c r="O705" s="184" t="str">
        <f>VLOOKUP(L705, '2022 SIC to NAICS'!A:D, 4)</f>
        <v xml:space="preserve">All Other Telecommunications </v>
      </c>
      <c r="P705" s="185" t="str">
        <f>VLOOKUP(N705, 'NAICS OES crosswalk'!A:C, 3, FALSE)</f>
        <v>TBD</v>
      </c>
      <c r="T705">
        <v>150100150505</v>
      </c>
      <c r="U705" t="s">
        <v>557</v>
      </c>
      <c r="V705">
        <v>5.3379590050000002E-2</v>
      </c>
      <c r="X705" t="b">
        <f t="shared" si="12"/>
        <v>0</v>
      </c>
      <c r="Y705" s="186" t="s">
        <v>1404</v>
      </c>
      <c r="Z705" t="s">
        <v>1403</v>
      </c>
    </row>
    <row r="706" spans="1:26" x14ac:dyDescent="0.25">
      <c r="A706">
        <v>2023</v>
      </c>
      <c r="B706" t="s">
        <v>1400</v>
      </c>
      <c r="C706" t="s">
        <v>933</v>
      </c>
      <c r="D706" s="1">
        <v>110056125376</v>
      </c>
      <c r="E706" t="s">
        <v>497</v>
      </c>
      <c r="F706" t="s">
        <v>498</v>
      </c>
      <c r="G706" t="s">
        <v>498</v>
      </c>
      <c r="H706" t="s">
        <v>218</v>
      </c>
      <c r="I706" t="s">
        <v>1405</v>
      </c>
      <c r="J706">
        <v>39.754530000000003</v>
      </c>
      <c r="K706">
        <v>-105.00681</v>
      </c>
      <c r="L706">
        <v>1799</v>
      </c>
      <c r="M706" s="175" t="str">
        <f>VLOOKUP(L706, '2022 SIC to NAICS'!A:D, 2)</f>
        <v>Special Trade Contractors, Nec</v>
      </c>
      <c r="N706" s="184">
        <f>VLOOKUP(L706, '2022 SIC to NAICS'!A:D, 3)</f>
        <v>238990</v>
      </c>
      <c r="O706" s="184" t="str">
        <f>VLOOKUP(L706, '2022 SIC to NAICS'!A:D, 4)</f>
        <v>All Other Specialty Trade Contractors</v>
      </c>
      <c r="P706" s="185" t="str">
        <f>VLOOKUP(N706, 'NAICS OES crosswalk'!A:C, 3, FALSE)</f>
        <v>TBD</v>
      </c>
      <c r="T706">
        <v>101900030304</v>
      </c>
      <c r="U706" t="s">
        <v>934</v>
      </c>
      <c r="V706">
        <v>6.2756056999999999E-3</v>
      </c>
      <c r="X706" t="b">
        <f t="shared" si="12"/>
        <v>0</v>
      </c>
      <c r="Y706" s="186" t="s">
        <v>1402</v>
      </c>
      <c r="Z706" t="s">
        <v>1403</v>
      </c>
    </row>
    <row r="707" spans="1:26" x14ac:dyDescent="0.25">
      <c r="A707">
        <v>2023</v>
      </c>
      <c r="B707" t="s">
        <v>1400</v>
      </c>
      <c r="C707" t="s">
        <v>1002</v>
      </c>
      <c r="D707" s="1">
        <v>110071445083</v>
      </c>
      <c r="E707" t="s">
        <v>532</v>
      </c>
      <c r="F707" t="s">
        <v>533</v>
      </c>
      <c r="G707" t="s">
        <v>1000</v>
      </c>
      <c r="H707" t="s">
        <v>520</v>
      </c>
      <c r="I707" t="s">
        <v>1405</v>
      </c>
      <c r="J707">
        <v>42.313240999999998</v>
      </c>
      <c r="K707">
        <v>-71.046143999999998</v>
      </c>
      <c r="L707">
        <v>4959</v>
      </c>
      <c r="M707" s="175" t="str">
        <f>VLOOKUP(L707, '2022 SIC to NAICS'!A:D, 2)</f>
        <v>Manufacturing Industries, Nec</v>
      </c>
      <c r="N707" s="184">
        <f>VLOOKUP(L707, '2022 SIC to NAICS'!A:D, 3)</f>
        <v>339999</v>
      </c>
      <c r="O707" s="184" t="str">
        <f>VLOOKUP(L707, '2022 SIC to NAICS'!A:D, 4)</f>
        <v xml:space="preserve">All Other Miscellaneous Manufacturing </v>
      </c>
      <c r="P707" s="185" t="str">
        <f>VLOOKUP(N707, 'NAICS OES crosswalk'!A:C, 3, FALSE)</f>
        <v>TBD</v>
      </c>
      <c r="T707" s="186" t="s">
        <v>1289</v>
      </c>
      <c r="U707" t="s">
        <v>1003</v>
      </c>
      <c r="V707">
        <v>4.6591457500000004E-3</v>
      </c>
      <c r="X707" t="b">
        <f t="shared" si="12"/>
        <v>0</v>
      </c>
      <c r="Y707" s="186" t="s">
        <v>1406</v>
      </c>
      <c r="Z707" t="s">
        <v>1403</v>
      </c>
    </row>
    <row r="708" spans="1:26" x14ac:dyDescent="0.25">
      <c r="A708">
        <v>2023</v>
      </c>
      <c r="B708" t="s">
        <v>1400</v>
      </c>
      <c r="C708" t="s">
        <v>794</v>
      </c>
      <c r="D708" s="1">
        <v>110070215141</v>
      </c>
      <c r="E708" t="s">
        <v>419</v>
      </c>
      <c r="F708" t="s">
        <v>420</v>
      </c>
      <c r="G708" t="s">
        <v>781</v>
      </c>
      <c r="H708" t="s">
        <v>153</v>
      </c>
      <c r="I708" t="s">
        <v>1405</v>
      </c>
      <c r="J708">
        <v>40.515906999999999</v>
      </c>
      <c r="K708">
        <v>-74.325175999999999</v>
      </c>
      <c r="L708"/>
      <c r="M708" s="175" t="e">
        <f>VLOOKUP(L708, '2022 SIC to NAICS'!A:D, 2)</f>
        <v>#N/A</v>
      </c>
      <c r="N708" s="184" t="e">
        <f>VLOOKUP(L708, '2022 SIC to NAICS'!A:D, 3)</f>
        <v>#N/A</v>
      </c>
      <c r="O708" s="184" t="e">
        <f>VLOOKUP(L708, '2022 SIC to NAICS'!A:D, 4)</f>
        <v>#N/A</v>
      </c>
      <c r="P708" s="185" t="e">
        <f>VLOOKUP(N708, 'NAICS OES crosswalk'!A:C, 3, FALSE)</f>
        <v>#N/A</v>
      </c>
      <c r="T708" s="186" t="s">
        <v>1269</v>
      </c>
      <c r="U708" t="s">
        <v>795</v>
      </c>
      <c r="V708">
        <v>2.7346469815000001E-3</v>
      </c>
      <c r="X708" t="b">
        <f t="shared" si="12"/>
        <v>0</v>
      </c>
      <c r="Y708" s="186" t="s">
        <v>1404</v>
      </c>
      <c r="Z708" t="s">
        <v>1403</v>
      </c>
    </row>
    <row r="709" spans="1:26" x14ac:dyDescent="0.25">
      <c r="A709">
        <v>2023</v>
      </c>
      <c r="B709" t="s">
        <v>1400</v>
      </c>
      <c r="C709" t="s">
        <v>821</v>
      </c>
      <c r="D709" s="1">
        <v>110064624018</v>
      </c>
      <c r="E709" t="s">
        <v>445</v>
      </c>
      <c r="F709" t="s">
        <v>446</v>
      </c>
      <c r="G709" t="s">
        <v>446</v>
      </c>
      <c r="H709" t="s">
        <v>146</v>
      </c>
      <c r="I709" t="s">
        <v>1401</v>
      </c>
      <c r="J709">
        <v>33.990146000000003</v>
      </c>
      <c r="K709">
        <v>-118.36358</v>
      </c>
      <c r="L709">
        <v>2911</v>
      </c>
      <c r="M709" s="175" t="str">
        <f>VLOOKUP(L709, '2022 SIC to NAICS'!A:D, 2)</f>
        <v>Explosives</v>
      </c>
      <c r="N709" s="184">
        <f>VLOOKUP(L709, '2022 SIC to NAICS'!A:D, 3)</f>
        <v>325920</v>
      </c>
      <c r="O709" s="184" t="str">
        <f>VLOOKUP(L709, '2022 SIC to NAICS'!A:D, 4)</f>
        <v>Explosives Manufacturing</v>
      </c>
      <c r="P709" s="185" t="str">
        <f>VLOOKUP(N709, 'NAICS OES crosswalk'!A:C, 3, FALSE)</f>
        <v>TBD</v>
      </c>
      <c r="T709">
        <v>180701040300</v>
      </c>
      <c r="U709" t="s">
        <v>822</v>
      </c>
      <c r="V709">
        <v>0.1823613</v>
      </c>
      <c r="X709" t="b">
        <f t="shared" si="12"/>
        <v>0</v>
      </c>
      <c r="Y709" s="186" t="s">
        <v>1404</v>
      </c>
      <c r="Z709" t="s">
        <v>1403</v>
      </c>
    </row>
    <row r="710" spans="1:26" x14ac:dyDescent="0.25">
      <c r="A710">
        <v>2023</v>
      </c>
      <c r="B710" t="s">
        <v>1400</v>
      </c>
      <c r="C710" t="s">
        <v>1059</v>
      </c>
      <c r="D710" s="1">
        <v>110008476327</v>
      </c>
      <c r="E710" t="s">
        <v>266</v>
      </c>
      <c r="F710" t="s">
        <v>267</v>
      </c>
      <c r="G710" t="s">
        <v>1057</v>
      </c>
      <c r="H710" t="s">
        <v>268</v>
      </c>
      <c r="I710" t="s">
        <v>1405</v>
      </c>
      <c r="J710">
        <v>41.452778000000002</v>
      </c>
      <c r="K710">
        <v>-79.690278000000006</v>
      </c>
      <c r="L710">
        <v>2865</v>
      </c>
      <c r="M710" s="175" t="str">
        <f>VLOOKUP(L710, '2022 SIC to NAICS'!A:D, 2)</f>
        <v>Platemaking Services</v>
      </c>
      <c r="N710" s="184">
        <f>VLOOKUP(L710, '2022 SIC to NAICS'!A:D, 3)</f>
        <v>323120</v>
      </c>
      <c r="O710" s="184" t="str">
        <f>VLOOKUP(L710, '2022 SIC to NAICS'!A:D, 4)</f>
        <v>Support Activities for Printing</v>
      </c>
      <c r="P710" s="185" t="str">
        <f>VLOOKUP(N710, 'NAICS OES crosswalk'!A:C, 3, FALSE)</f>
        <v>TBD</v>
      </c>
      <c r="T710" s="186" t="s">
        <v>1219</v>
      </c>
      <c r="U710" t="s">
        <v>1060</v>
      </c>
      <c r="V710">
        <v>1.6570999999999999E-3</v>
      </c>
      <c r="X710" t="b">
        <f t="shared" si="12"/>
        <v>0</v>
      </c>
      <c r="Y710" s="186" t="s">
        <v>1402</v>
      </c>
      <c r="Z710" t="s">
        <v>1403</v>
      </c>
    </row>
    <row r="711" spans="1:26" x14ac:dyDescent="0.25">
      <c r="A711">
        <v>2023</v>
      </c>
      <c r="B711" t="s">
        <v>1400</v>
      </c>
      <c r="C711" t="s">
        <v>772</v>
      </c>
      <c r="D711" s="1">
        <v>110000433013</v>
      </c>
      <c r="E711" t="s">
        <v>223</v>
      </c>
      <c r="F711" t="s">
        <v>224</v>
      </c>
      <c r="G711" t="s">
        <v>771</v>
      </c>
      <c r="H711" t="s">
        <v>141</v>
      </c>
      <c r="I711" t="s">
        <v>1401</v>
      </c>
      <c r="J711">
        <v>41.412897000000001</v>
      </c>
      <c r="K711">
        <v>-88.329773000000003</v>
      </c>
      <c r="L711">
        <v>2821</v>
      </c>
      <c r="M711" s="175" t="str">
        <f>VLOOKUP(L711, '2022 SIC to NAICS'!A:D, 2)</f>
        <v>Platemaking Services</v>
      </c>
      <c r="N711" s="184">
        <f>VLOOKUP(L711, '2022 SIC to NAICS'!A:D, 3)</f>
        <v>323120</v>
      </c>
      <c r="O711" s="184" t="str">
        <f>VLOOKUP(L711, '2022 SIC to NAICS'!A:D, 4)</f>
        <v>Support Activities for Printing</v>
      </c>
      <c r="P711" s="185" t="str">
        <f>VLOOKUP(N711, 'NAICS OES crosswalk'!A:C, 3, FALSE)</f>
        <v>TBD</v>
      </c>
      <c r="T711" s="186" t="s">
        <v>1202</v>
      </c>
      <c r="U711" t="s">
        <v>773</v>
      </c>
      <c r="V711">
        <v>2.09748</v>
      </c>
      <c r="X711" t="b">
        <f t="shared" si="12"/>
        <v>0</v>
      </c>
      <c r="Y711" s="186" t="s">
        <v>1402</v>
      </c>
      <c r="Z711" t="s">
        <v>1403</v>
      </c>
    </row>
    <row r="712" spans="1:26" x14ac:dyDescent="0.25">
      <c r="A712">
        <v>2023</v>
      </c>
      <c r="B712" t="s">
        <v>1400</v>
      </c>
      <c r="C712" t="s">
        <v>896</v>
      </c>
      <c r="D712" s="1">
        <v>110000492173</v>
      </c>
      <c r="E712" t="s">
        <v>248</v>
      </c>
      <c r="F712" t="s">
        <v>249</v>
      </c>
      <c r="G712" t="s">
        <v>895</v>
      </c>
      <c r="H712" t="s">
        <v>250</v>
      </c>
      <c r="I712" t="s">
        <v>1401</v>
      </c>
      <c r="J712">
        <v>43.197788000000003</v>
      </c>
      <c r="K712">
        <v>-77.629835999999997</v>
      </c>
      <c r="L712">
        <v>3861</v>
      </c>
      <c r="M712" s="175" t="str">
        <f>VLOOKUP(L712, '2022 SIC to NAICS'!A:D, 2)</f>
        <v>Office Machines, Nec</v>
      </c>
      <c r="N712" s="184">
        <f>VLOOKUP(L712, '2022 SIC to NAICS'!A:D, 3)</f>
        <v>339940</v>
      </c>
      <c r="O712" s="184" t="str">
        <f>VLOOKUP(L712, '2022 SIC to NAICS'!A:D, 4)</f>
        <v>Office Supplies (except Paper) Manufacturing</v>
      </c>
      <c r="P712" s="185" t="str">
        <f>VLOOKUP(N712, 'NAICS OES crosswalk'!A:C, 3, FALSE)</f>
        <v>TBD</v>
      </c>
      <c r="T712" s="186" t="s">
        <v>1210</v>
      </c>
      <c r="U712" t="s">
        <v>897</v>
      </c>
      <c r="V712">
        <v>3.4622039999999998</v>
      </c>
      <c r="X712" t="b">
        <f t="shared" si="12"/>
        <v>0</v>
      </c>
      <c r="Y712" s="186" t="s">
        <v>1402</v>
      </c>
    </row>
    <row r="713" spans="1:26" x14ac:dyDescent="0.25">
      <c r="A713">
        <v>2023</v>
      </c>
      <c r="B713" t="s">
        <v>1400</v>
      </c>
      <c r="C713" t="s">
        <v>1016</v>
      </c>
      <c r="D713" s="1">
        <v>110012876557</v>
      </c>
      <c r="E713" t="s">
        <v>534</v>
      </c>
      <c r="F713" t="s">
        <v>190</v>
      </c>
      <c r="G713" t="s">
        <v>566</v>
      </c>
      <c r="H713" t="s">
        <v>146</v>
      </c>
      <c r="I713" t="s">
        <v>1405</v>
      </c>
      <c r="J713">
        <v>32.781489999999998</v>
      </c>
      <c r="K713">
        <v>-115.5035</v>
      </c>
      <c r="L713">
        <v>6515</v>
      </c>
      <c r="M713" s="175" t="str">
        <f>VLOOKUP(L713, '2022 SIC to NAICS'!A:D, 2)</f>
        <v>Communication Services, Nec</v>
      </c>
      <c r="N713" s="184">
        <f>VLOOKUP(L713, '2022 SIC to NAICS'!A:D, 3)</f>
        <v>517810</v>
      </c>
      <c r="O713" s="184" t="str">
        <f>VLOOKUP(L713, '2022 SIC to NAICS'!A:D, 4)</f>
        <v xml:space="preserve">All Other Telecommunications </v>
      </c>
      <c r="P713" s="185" t="str">
        <f>VLOOKUP(N713, 'NAICS OES crosswalk'!A:C, 3, FALSE)</f>
        <v>TBD</v>
      </c>
      <c r="T713">
        <v>181002040701</v>
      </c>
      <c r="U713" t="s">
        <v>570</v>
      </c>
      <c r="V713">
        <v>7.94376875E-3</v>
      </c>
      <c r="X713" t="b">
        <f t="shared" si="12"/>
        <v>0</v>
      </c>
      <c r="Y713" s="186" t="s">
        <v>1402</v>
      </c>
      <c r="Z713" t="s">
        <v>1403</v>
      </c>
    </row>
    <row r="714" spans="1:26" x14ac:dyDescent="0.25">
      <c r="A714">
        <v>2023</v>
      </c>
      <c r="B714" t="s">
        <v>1400</v>
      </c>
      <c r="C714" t="s">
        <v>661</v>
      </c>
      <c r="D714" s="1">
        <v>110044852068</v>
      </c>
      <c r="E714" t="s">
        <v>231</v>
      </c>
      <c r="F714" t="s">
        <v>232</v>
      </c>
      <c r="G714" t="s">
        <v>659</v>
      </c>
      <c r="H714" t="s">
        <v>141</v>
      </c>
      <c r="I714" t="s">
        <v>1405</v>
      </c>
      <c r="J714">
        <v>38.2774</v>
      </c>
      <c r="K714">
        <v>-89.666899999999998</v>
      </c>
      <c r="L714">
        <v>4911</v>
      </c>
      <c r="M714" s="175" t="str">
        <f>VLOOKUP(L714, '2022 SIC to NAICS'!A:D, 2)</f>
        <v>Manufacturing Industries, Nec</v>
      </c>
      <c r="N714" s="184">
        <f>VLOOKUP(L714, '2022 SIC to NAICS'!A:D, 3)</f>
        <v>339999</v>
      </c>
      <c r="O714" s="184" t="str">
        <f>VLOOKUP(L714, '2022 SIC to NAICS'!A:D, 4)</f>
        <v xml:space="preserve">All Other Miscellaneous Manufacturing </v>
      </c>
      <c r="P714" s="185" t="str">
        <f>VLOOKUP(N714, 'NAICS OES crosswalk'!A:C, 3, FALSE)</f>
        <v>TBD</v>
      </c>
      <c r="T714" s="186" t="s">
        <v>1204</v>
      </c>
      <c r="U714" t="s">
        <v>662</v>
      </c>
      <c r="V714">
        <v>2.4298261700000001</v>
      </c>
      <c r="X714" t="b">
        <f t="shared" si="12"/>
        <v>0</v>
      </c>
      <c r="Y714" s="186" t="s">
        <v>1402</v>
      </c>
      <c r="Z714" t="s">
        <v>1403</v>
      </c>
    </row>
    <row r="715" spans="1:26" x14ac:dyDescent="0.25">
      <c r="A715">
        <v>2023</v>
      </c>
      <c r="B715" t="s">
        <v>1400</v>
      </c>
      <c r="C715" t="s">
        <v>912</v>
      </c>
      <c r="D715" s="1">
        <v>110059844156</v>
      </c>
      <c r="E715" t="s">
        <v>415</v>
      </c>
      <c r="F715" t="s">
        <v>157</v>
      </c>
      <c r="G715" t="s">
        <v>554</v>
      </c>
      <c r="H715" t="s">
        <v>158</v>
      </c>
      <c r="I715" t="s">
        <v>1405</v>
      </c>
      <c r="J715">
        <v>36.131489999999999</v>
      </c>
      <c r="K715">
        <v>-115.15483</v>
      </c>
      <c r="L715">
        <v>1799</v>
      </c>
      <c r="M715" s="175" t="str">
        <f>VLOOKUP(L715, '2022 SIC to NAICS'!A:D, 2)</f>
        <v>Special Trade Contractors, Nec</v>
      </c>
      <c r="N715" s="184">
        <f>VLOOKUP(L715, '2022 SIC to NAICS'!A:D, 3)</f>
        <v>238990</v>
      </c>
      <c r="O715" s="184" t="str">
        <f>VLOOKUP(L715, '2022 SIC to NAICS'!A:D, 4)</f>
        <v>All Other Specialty Trade Contractors</v>
      </c>
      <c r="P715" s="185" t="str">
        <f>VLOOKUP(N715, 'NAICS OES crosswalk'!A:C, 3, FALSE)</f>
        <v>TBD</v>
      </c>
      <c r="T715">
        <v>150100150604</v>
      </c>
      <c r="U715" t="s">
        <v>578</v>
      </c>
      <c r="V715">
        <v>4.09242243125E-2</v>
      </c>
      <c r="X715" t="b">
        <f t="shared" si="12"/>
        <v>0</v>
      </c>
      <c r="Y715" t="s">
        <v>1470</v>
      </c>
      <c r="Z715" t="s">
        <v>1403</v>
      </c>
    </row>
    <row r="716" spans="1:26" x14ac:dyDescent="0.25">
      <c r="A716">
        <v>2023</v>
      </c>
      <c r="B716" t="s">
        <v>1400</v>
      </c>
      <c r="C716" t="s">
        <v>872</v>
      </c>
      <c r="D716" s="1">
        <v>110018199377</v>
      </c>
      <c r="E716" t="s">
        <v>212</v>
      </c>
      <c r="F716" t="s">
        <v>213</v>
      </c>
      <c r="G716" t="s">
        <v>870</v>
      </c>
      <c r="H716" t="s">
        <v>141</v>
      </c>
      <c r="I716" t="s">
        <v>1405</v>
      </c>
      <c r="J716">
        <v>41.692782000000001</v>
      </c>
      <c r="K716">
        <v>-87.951100999999994</v>
      </c>
      <c r="L716">
        <v>4226</v>
      </c>
      <c r="M716" s="175" t="str">
        <f>VLOOKUP(L716, '2022 SIC to NAICS'!A:D, 2)</f>
        <v>Manufacturing Industries, Nec</v>
      </c>
      <c r="N716" s="184">
        <f>VLOOKUP(L716, '2022 SIC to NAICS'!A:D, 3)</f>
        <v>339999</v>
      </c>
      <c r="O716" s="184" t="str">
        <f>VLOOKUP(L716, '2022 SIC to NAICS'!A:D, 4)</f>
        <v xml:space="preserve">All Other Miscellaneous Manufacturing </v>
      </c>
      <c r="P716" s="185" t="str">
        <f>VLOOKUP(N716, 'NAICS OES crosswalk'!A:C, 3, FALSE)</f>
        <v>TBD</v>
      </c>
      <c r="T716" s="186" t="s">
        <v>1200</v>
      </c>
      <c r="U716" t="s">
        <v>873</v>
      </c>
      <c r="V716">
        <v>0.97568783749999999</v>
      </c>
      <c r="X716" t="b">
        <f t="shared" si="12"/>
        <v>0</v>
      </c>
      <c r="Y716" s="186" t="s">
        <v>1402</v>
      </c>
      <c r="Z716" t="s">
        <v>1403</v>
      </c>
    </row>
    <row r="717" spans="1:26" x14ac:dyDescent="0.25">
      <c r="A717">
        <v>2023</v>
      </c>
      <c r="B717" t="s">
        <v>1400</v>
      </c>
      <c r="C717" t="s">
        <v>1045</v>
      </c>
      <c r="D717" s="1">
        <v>110039998214</v>
      </c>
      <c r="E717" t="s">
        <v>316</v>
      </c>
      <c r="F717" t="s">
        <v>150</v>
      </c>
      <c r="G717" t="s">
        <v>985</v>
      </c>
      <c r="H717" t="s">
        <v>138</v>
      </c>
      <c r="I717" t="s">
        <v>1401</v>
      </c>
      <c r="J717">
        <v>37.790278000000001</v>
      </c>
      <c r="K717">
        <v>-87.140277999999995</v>
      </c>
      <c r="L717">
        <v>4952</v>
      </c>
      <c r="M717" s="175" t="str">
        <f>VLOOKUP(L717, '2022 SIC to NAICS'!A:D, 2)</f>
        <v>Manufacturing Industries, Nec</v>
      </c>
      <c r="N717" s="184">
        <f>VLOOKUP(L717, '2022 SIC to NAICS'!A:D, 3)</f>
        <v>339999</v>
      </c>
      <c r="O717" s="184" t="str">
        <f>VLOOKUP(L717, '2022 SIC to NAICS'!A:D, 4)</f>
        <v xml:space="preserve">All Other Miscellaneous Manufacturing </v>
      </c>
      <c r="P717" s="185" t="str">
        <f>VLOOKUP(N717, 'NAICS OES crosswalk'!A:C, 3, FALSE)</f>
        <v>TBD</v>
      </c>
      <c r="T717" s="186" t="s">
        <v>1186</v>
      </c>
      <c r="U717" t="s">
        <v>989</v>
      </c>
      <c r="V717">
        <v>9.6015987500000008</v>
      </c>
      <c r="X717" t="b">
        <f t="shared" si="12"/>
        <v>0</v>
      </c>
      <c r="Y717" s="186" t="s">
        <v>1402</v>
      </c>
      <c r="Z717" t="s">
        <v>1403</v>
      </c>
    </row>
    <row r="718" spans="1:26" x14ac:dyDescent="0.25">
      <c r="A718">
        <v>2023</v>
      </c>
      <c r="B718" t="s">
        <v>1400</v>
      </c>
      <c r="C718" t="s">
        <v>956</v>
      </c>
      <c r="D718" s="1">
        <v>110007015871</v>
      </c>
      <c r="E718" t="s">
        <v>351</v>
      </c>
      <c r="F718" t="s">
        <v>352</v>
      </c>
      <c r="G718" t="s">
        <v>955</v>
      </c>
      <c r="H718" t="s">
        <v>106</v>
      </c>
      <c r="I718" t="s">
        <v>1401</v>
      </c>
      <c r="J718">
        <v>30.048590999999998</v>
      </c>
      <c r="K718">
        <v>-90.630941000000007</v>
      </c>
      <c r="L718">
        <v>2869</v>
      </c>
      <c r="M718" s="175" t="str">
        <f>VLOOKUP(L718, '2022 SIC to NAICS'!A:D, 2)</f>
        <v>Industrial Organic Chemicals, Nec</v>
      </c>
      <c r="N718" s="184">
        <f>VLOOKUP(L718, '2022 SIC to NAICS'!A:D, 3)</f>
        <v>325180</v>
      </c>
      <c r="O718" s="184" t="str">
        <f>VLOOKUP(L718, '2022 SIC to NAICS'!A:D, 4)</f>
        <v xml:space="preserve">Other Basic Inorganic Chemical Manufacturing </v>
      </c>
      <c r="P718" s="185" t="str">
        <f>VLOOKUP(N718, 'NAICS OES crosswalk'!A:C, 3, FALSE)</f>
        <v>Processing as a reactant</v>
      </c>
      <c r="T718" s="186" t="s">
        <v>1249</v>
      </c>
      <c r="U718" t="s">
        <v>957</v>
      </c>
      <c r="V718">
        <v>8.2854999999999998E-2</v>
      </c>
      <c r="X718" t="b">
        <f t="shared" si="12"/>
        <v>0</v>
      </c>
      <c r="Y718" s="186" t="s">
        <v>1402</v>
      </c>
      <c r="Z718" t="s">
        <v>1403</v>
      </c>
    </row>
    <row r="719" spans="1:26" x14ac:dyDescent="0.25">
      <c r="A719">
        <v>2023</v>
      </c>
      <c r="B719" t="s">
        <v>1400</v>
      </c>
      <c r="C719" t="s">
        <v>1106</v>
      </c>
      <c r="D719" s="1">
        <v>110024409344</v>
      </c>
      <c r="E719" t="s">
        <v>429</v>
      </c>
      <c r="F719" t="s">
        <v>430</v>
      </c>
      <c r="G719" t="s">
        <v>1105</v>
      </c>
      <c r="H719" t="s">
        <v>367</v>
      </c>
      <c r="I719" t="s">
        <v>1401</v>
      </c>
      <c r="J719">
        <v>36.091380999999998</v>
      </c>
      <c r="K719">
        <v>-111.289585</v>
      </c>
      <c r="L719">
        <v>4952</v>
      </c>
      <c r="M719" s="175" t="str">
        <f>VLOOKUP(L719, '2022 SIC to NAICS'!A:D, 2)</f>
        <v>Manufacturing Industries, Nec</v>
      </c>
      <c r="N719" s="184">
        <f>VLOOKUP(L719, '2022 SIC to NAICS'!A:D, 3)</f>
        <v>339999</v>
      </c>
      <c r="O719" s="184" t="str">
        <f>VLOOKUP(L719, '2022 SIC to NAICS'!A:D, 4)</f>
        <v xml:space="preserve">All Other Miscellaneous Manufacturing </v>
      </c>
      <c r="P719" s="185" t="str">
        <f>VLOOKUP(N719, 'NAICS OES crosswalk'!A:C, 3, FALSE)</f>
        <v>TBD</v>
      </c>
      <c r="T719">
        <v>150200181004</v>
      </c>
      <c r="U719" t="s">
        <v>1107</v>
      </c>
      <c r="V719">
        <v>1.2317904</v>
      </c>
      <c r="X719" t="b">
        <f t="shared" si="12"/>
        <v>0</v>
      </c>
      <c r="Y719" s="186" t="s">
        <v>1402</v>
      </c>
      <c r="Z719" t="s">
        <v>1403</v>
      </c>
    </row>
    <row r="720" spans="1:26" x14ac:dyDescent="0.25">
      <c r="A720">
        <v>2023</v>
      </c>
      <c r="B720" t="s">
        <v>1400</v>
      </c>
      <c r="C720" t="s">
        <v>614</v>
      </c>
      <c r="D720" s="1">
        <v>110055992993</v>
      </c>
      <c r="E720" t="s">
        <v>416</v>
      </c>
      <c r="F720" t="s">
        <v>417</v>
      </c>
      <c r="G720" t="s">
        <v>613</v>
      </c>
      <c r="H720" t="s">
        <v>146</v>
      </c>
      <c r="I720" t="s">
        <v>1401</v>
      </c>
      <c r="J720">
        <v>33.926245999999999</v>
      </c>
      <c r="K720">
        <v>-116.992552</v>
      </c>
      <c r="L720">
        <v>4952</v>
      </c>
      <c r="M720" s="175" t="str">
        <f>VLOOKUP(L720, '2022 SIC to NAICS'!A:D, 2)</f>
        <v>Manufacturing Industries, Nec</v>
      </c>
      <c r="N720" s="184">
        <f>VLOOKUP(L720, '2022 SIC to NAICS'!A:D, 3)</f>
        <v>339999</v>
      </c>
      <c r="O720" s="184" t="str">
        <f>VLOOKUP(L720, '2022 SIC to NAICS'!A:D, 4)</f>
        <v xml:space="preserve">All Other Miscellaneous Manufacturing </v>
      </c>
      <c r="P720" s="185" t="str">
        <f>VLOOKUP(N720, 'NAICS OES crosswalk'!A:C, 3, FALSE)</f>
        <v>TBD</v>
      </c>
      <c r="T720">
        <v>180702030401</v>
      </c>
      <c r="U720" t="s">
        <v>615</v>
      </c>
      <c r="V720">
        <v>1.178440825</v>
      </c>
      <c r="X720" t="b">
        <f t="shared" si="12"/>
        <v>0</v>
      </c>
      <c r="Y720" s="186" t="s">
        <v>1402</v>
      </c>
      <c r="Z720" t="s">
        <v>1403</v>
      </c>
    </row>
    <row r="721" spans="1:26" x14ac:dyDescent="0.25">
      <c r="A721">
        <v>2023</v>
      </c>
      <c r="B721" t="s">
        <v>1400</v>
      </c>
      <c r="C721" t="s">
        <v>1078</v>
      </c>
      <c r="D721" s="1">
        <v>110000572782</v>
      </c>
      <c r="E721" t="s">
        <v>163</v>
      </c>
      <c r="F721" t="s">
        <v>164</v>
      </c>
      <c r="G721" t="s">
        <v>1077</v>
      </c>
      <c r="H721" t="s">
        <v>135</v>
      </c>
      <c r="I721" t="s">
        <v>1401</v>
      </c>
      <c r="J721">
        <v>39.599829999999997</v>
      </c>
      <c r="K721">
        <v>-79.97148</v>
      </c>
      <c r="L721">
        <v>2869</v>
      </c>
      <c r="M721" s="175" t="str">
        <f>VLOOKUP(L721, '2022 SIC to NAICS'!A:D, 2)</f>
        <v>Industrial Organic Chemicals, Nec</v>
      </c>
      <c r="N721" s="184">
        <f>VLOOKUP(L721, '2022 SIC to NAICS'!A:D, 3)</f>
        <v>325180</v>
      </c>
      <c r="O721" s="184" t="str">
        <f>VLOOKUP(L721, '2022 SIC to NAICS'!A:D, 4)</f>
        <v xml:space="preserve">Other Basic Inorganic Chemical Manufacturing </v>
      </c>
      <c r="P721" s="185" t="str">
        <f>VLOOKUP(N721, 'NAICS OES crosswalk'!A:C, 3, FALSE)</f>
        <v>Processing as a reactant</v>
      </c>
      <c r="T721" s="186" t="s">
        <v>1190</v>
      </c>
      <c r="U721" t="s">
        <v>1079</v>
      </c>
      <c r="V721">
        <v>3.5230400000000002E-2</v>
      </c>
      <c r="X721" t="b">
        <f t="shared" si="12"/>
        <v>0</v>
      </c>
      <c r="Y721" s="186" t="s">
        <v>1402</v>
      </c>
    </row>
    <row r="722" spans="1:26" x14ac:dyDescent="0.25">
      <c r="A722">
        <v>2023</v>
      </c>
      <c r="B722" t="s">
        <v>1400</v>
      </c>
      <c r="C722" t="s">
        <v>673</v>
      </c>
      <c r="D722" s="1">
        <v>110000730825</v>
      </c>
      <c r="E722" t="s">
        <v>214</v>
      </c>
      <c r="F722" t="s">
        <v>215</v>
      </c>
      <c r="G722" t="s">
        <v>566</v>
      </c>
      <c r="H722" t="s">
        <v>146</v>
      </c>
      <c r="I722" t="s">
        <v>1401</v>
      </c>
      <c r="J722">
        <v>32.664450000000002</v>
      </c>
      <c r="K722">
        <v>-115.55970499999999</v>
      </c>
      <c r="L722">
        <v>4952</v>
      </c>
      <c r="M722" s="175" t="str">
        <f>VLOOKUP(L722, '2022 SIC to NAICS'!A:D, 2)</f>
        <v>Manufacturing Industries, Nec</v>
      </c>
      <c r="N722" s="184">
        <f>VLOOKUP(L722, '2022 SIC to NAICS'!A:D, 3)</f>
        <v>339999</v>
      </c>
      <c r="O722" s="184" t="str">
        <f>VLOOKUP(L722, '2022 SIC to NAICS'!A:D, 4)</f>
        <v xml:space="preserve">All Other Miscellaneous Manufacturing </v>
      </c>
      <c r="P722" s="185" t="str">
        <f>VLOOKUP(N722, 'NAICS OES crosswalk'!A:C, 3, FALSE)</f>
        <v>TBD</v>
      </c>
      <c r="T722">
        <v>181002040902</v>
      </c>
      <c r="U722" t="s">
        <v>674</v>
      </c>
      <c r="V722">
        <v>0.2156560525</v>
      </c>
      <c r="X722" t="b">
        <f t="shared" ref="X722:X733" si="13">V722 &lt;= _xlfn.PERCENTILE.INC($V$593:$V$733, 0.1)</f>
        <v>0</v>
      </c>
      <c r="Y722" s="186" t="s">
        <v>1402</v>
      </c>
      <c r="Z722" t="s">
        <v>1403</v>
      </c>
    </row>
    <row r="723" spans="1:26" x14ac:dyDescent="0.25">
      <c r="A723">
        <v>2023</v>
      </c>
      <c r="B723" t="s">
        <v>1400</v>
      </c>
      <c r="C723" t="s">
        <v>1100</v>
      </c>
      <c r="D723" s="1">
        <v>110012150858</v>
      </c>
      <c r="E723" t="s">
        <v>535</v>
      </c>
      <c r="F723" t="s">
        <v>536</v>
      </c>
      <c r="G723" t="s">
        <v>571</v>
      </c>
      <c r="H723" t="s">
        <v>218</v>
      </c>
      <c r="I723" t="s">
        <v>1405</v>
      </c>
      <c r="J723">
        <v>40.49682</v>
      </c>
      <c r="K723">
        <v>-105.11552</v>
      </c>
      <c r="L723">
        <v>4953</v>
      </c>
      <c r="M723" s="175" t="str">
        <f>VLOOKUP(L723, '2022 SIC to NAICS'!A:D, 2)</f>
        <v>Manufacturing Industries, Nec</v>
      </c>
      <c r="N723" s="184">
        <f>VLOOKUP(L723, '2022 SIC to NAICS'!A:D, 3)</f>
        <v>339999</v>
      </c>
      <c r="O723" s="184" t="str">
        <f>VLOOKUP(L723, '2022 SIC to NAICS'!A:D, 4)</f>
        <v xml:space="preserve">All Other Miscellaneous Manufacturing </v>
      </c>
      <c r="P723" s="185" t="str">
        <f>VLOOKUP(N723, 'NAICS OES crosswalk'!A:C, 3, FALSE)</f>
        <v>TBD</v>
      </c>
      <c r="T723">
        <v>101900071002</v>
      </c>
      <c r="U723" t="s">
        <v>1101</v>
      </c>
      <c r="V723">
        <v>2.4702492818181798E-3</v>
      </c>
      <c r="X723" t="b">
        <f t="shared" si="13"/>
        <v>0</v>
      </c>
      <c r="Y723" s="186" t="s">
        <v>1402</v>
      </c>
      <c r="Z723" t="s">
        <v>1403</v>
      </c>
    </row>
    <row r="724" spans="1:26" x14ac:dyDescent="0.25">
      <c r="A724">
        <v>2023</v>
      </c>
      <c r="B724" t="s">
        <v>1400</v>
      </c>
      <c r="C724" t="s">
        <v>689</v>
      </c>
      <c r="D724" s="1">
        <v>110043485421</v>
      </c>
      <c r="E724" t="s">
        <v>247</v>
      </c>
      <c r="F724" t="s">
        <v>235</v>
      </c>
      <c r="G724" t="s">
        <v>600</v>
      </c>
      <c r="H724" t="s">
        <v>138</v>
      </c>
      <c r="I724" t="s">
        <v>1401</v>
      </c>
      <c r="J724">
        <v>38.122354000000001</v>
      </c>
      <c r="K724">
        <v>-85.587648000000002</v>
      </c>
      <c r="L724">
        <v>4952</v>
      </c>
      <c r="M724" s="175" t="str">
        <f>VLOOKUP(L724, '2022 SIC to NAICS'!A:D, 2)</f>
        <v>Manufacturing Industries, Nec</v>
      </c>
      <c r="N724" s="184">
        <f>VLOOKUP(L724, '2022 SIC to NAICS'!A:D, 3)</f>
        <v>339999</v>
      </c>
      <c r="O724" s="184" t="str">
        <f>VLOOKUP(L724, '2022 SIC to NAICS'!A:D, 4)</f>
        <v xml:space="preserve">All Other Miscellaneous Manufacturing </v>
      </c>
      <c r="P724" s="185" t="str">
        <f>VLOOKUP(N724, 'NAICS OES crosswalk'!A:C, 3, FALSE)</f>
        <v>TBD</v>
      </c>
      <c r="T724" s="186" t="s">
        <v>1209</v>
      </c>
      <c r="U724" t="s">
        <v>690</v>
      </c>
      <c r="V724">
        <v>16.3192640625</v>
      </c>
      <c r="X724" t="b">
        <f t="shared" si="13"/>
        <v>0</v>
      </c>
      <c r="Y724" s="186" t="s">
        <v>1402</v>
      </c>
      <c r="Z724" t="s">
        <v>1403</v>
      </c>
    </row>
    <row r="725" spans="1:26" x14ac:dyDescent="0.25">
      <c r="A725">
        <v>2023</v>
      </c>
      <c r="B725" t="s">
        <v>1400</v>
      </c>
      <c r="C725" t="s">
        <v>678</v>
      </c>
      <c r="D725" s="1">
        <v>110054612558</v>
      </c>
      <c r="E725" t="s">
        <v>340</v>
      </c>
      <c r="F725" t="s">
        <v>341</v>
      </c>
      <c r="G725" t="s">
        <v>677</v>
      </c>
      <c r="H725" t="s">
        <v>170</v>
      </c>
      <c r="I725" t="s">
        <v>1401</v>
      </c>
      <c r="J725">
        <v>39.423425000000002</v>
      </c>
      <c r="K725">
        <v>-91.025666000000001</v>
      </c>
      <c r="L725">
        <v>2869</v>
      </c>
      <c r="M725" s="175" t="str">
        <f>VLOOKUP(L725, '2022 SIC to NAICS'!A:D, 2)</f>
        <v>Industrial Organic Chemicals, Nec</v>
      </c>
      <c r="N725" s="184">
        <f>VLOOKUP(L725, '2022 SIC to NAICS'!A:D, 3)</f>
        <v>325180</v>
      </c>
      <c r="O725" s="184" t="str">
        <f>VLOOKUP(L725, '2022 SIC to NAICS'!A:D, 4)</f>
        <v xml:space="preserve">Other Basic Inorganic Chemical Manufacturing </v>
      </c>
      <c r="P725" s="185" t="str">
        <f>VLOOKUP(N725, 'NAICS OES crosswalk'!A:C, 3, FALSE)</f>
        <v>Processing as a reactant</v>
      </c>
      <c r="T725" s="186" t="s">
        <v>1245</v>
      </c>
      <c r="U725" t="s">
        <v>679</v>
      </c>
      <c r="V725">
        <v>5.2505099999999999E-2</v>
      </c>
      <c r="X725" t="b">
        <f t="shared" si="13"/>
        <v>0</v>
      </c>
      <c r="Y725" s="186" t="s">
        <v>1404</v>
      </c>
      <c r="Z725" t="s">
        <v>1403</v>
      </c>
    </row>
    <row r="726" spans="1:26" x14ac:dyDescent="0.25">
      <c r="A726">
        <v>2023</v>
      </c>
      <c r="B726" t="s">
        <v>1400</v>
      </c>
      <c r="C726" t="s">
        <v>1097</v>
      </c>
      <c r="D726" s="1">
        <v>110071349304</v>
      </c>
      <c r="E726" t="s">
        <v>511</v>
      </c>
      <c r="F726" t="s">
        <v>512</v>
      </c>
      <c r="G726" t="s">
        <v>736</v>
      </c>
      <c r="H726" t="s">
        <v>146</v>
      </c>
      <c r="I726" t="s">
        <v>1401</v>
      </c>
      <c r="J726">
        <v>38.030833000000001</v>
      </c>
      <c r="K726">
        <v>-122.075</v>
      </c>
      <c r="L726">
        <v>2911</v>
      </c>
      <c r="M726" s="175" t="str">
        <f>VLOOKUP(L726, '2022 SIC to NAICS'!A:D, 2)</f>
        <v>Explosives</v>
      </c>
      <c r="N726" s="184">
        <f>VLOOKUP(L726, '2022 SIC to NAICS'!A:D, 3)</f>
        <v>325920</v>
      </c>
      <c r="O726" s="184" t="str">
        <f>VLOOKUP(L726, '2022 SIC to NAICS'!A:D, 4)</f>
        <v>Explosives Manufacturing</v>
      </c>
      <c r="P726" s="185" t="str">
        <f>VLOOKUP(N726, 'NAICS OES crosswalk'!A:C, 3, FALSE)</f>
        <v>TBD</v>
      </c>
      <c r="T726">
        <v>180500010302</v>
      </c>
      <c r="U726" t="s">
        <v>1098</v>
      </c>
      <c r="V726">
        <v>2.95882534E-2</v>
      </c>
      <c r="X726" t="b">
        <f t="shared" si="13"/>
        <v>0</v>
      </c>
      <c r="Y726" s="186" t="s">
        <v>1402</v>
      </c>
      <c r="Z726" t="s">
        <v>1403</v>
      </c>
    </row>
    <row r="727" spans="1:26" x14ac:dyDescent="0.25">
      <c r="A727">
        <v>2023</v>
      </c>
      <c r="B727" t="s">
        <v>1400</v>
      </c>
      <c r="C727" t="s">
        <v>751</v>
      </c>
      <c r="D727" s="1">
        <v>110070948151</v>
      </c>
      <c r="E727" t="s">
        <v>457</v>
      </c>
      <c r="F727" t="s">
        <v>157</v>
      </c>
      <c r="G727" t="s">
        <v>575</v>
      </c>
      <c r="H727" t="s">
        <v>158</v>
      </c>
      <c r="I727" t="s">
        <v>1405</v>
      </c>
      <c r="J727">
        <v>36.090899999999998</v>
      </c>
      <c r="K727">
        <v>-115.1833</v>
      </c>
      <c r="L727">
        <v>7941</v>
      </c>
      <c r="M727" s="175" t="str">
        <f>VLOOKUP(L727, '2022 SIC to NAICS'!A:D, 2)</f>
        <v>Dance Studios, Schools, and Halls</v>
      </c>
      <c r="N727" s="184">
        <f>VLOOKUP(L727, '2022 SIC to NAICS'!A:D, 3)</f>
        <v>611610</v>
      </c>
      <c r="O727" s="184" t="str">
        <f>VLOOKUP(L727, '2022 SIC to NAICS'!A:D, 4)</f>
        <v xml:space="preserve">Fine Arts Schools </v>
      </c>
      <c r="P727" s="185" t="str">
        <f>VLOOKUP(N727, 'NAICS OES crosswalk'!A:C, 3, FALSE)</f>
        <v>All purpose liquid cleaner/polish</v>
      </c>
      <c r="T727">
        <v>150100150505</v>
      </c>
      <c r="U727" t="s">
        <v>557</v>
      </c>
      <c r="V727">
        <v>6.2714327375000004E-2</v>
      </c>
      <c r="X727" t="b">
        <f t="shared" si="13"/>
        <v>0</v>
      </c>
      <c r="Y727" s="186" t="s">
        <v>1402</v>
      </c>
      <c r="Z727" t="s">
        <v>1403</v>
      </c>
    </row>
    <row r="728" spans="1:26" x14ac:dyDescent="0.25">
      <c r="A728">
        <v>2023</v>
      </c>
      <c r="B728" t="s">
        <v>1400</v>
      </c>
      <c r="C728" t="s">
        <v>602</v>
      </c>
      <c r="D728" s="1">
        <v>110000378467</v>
      </c>
      <c r="E728" t="s">
        <v>234</v>
      </c>
      <c r="F728" t="s">
        <v>235</v>
      </c>
      <c r="G728" t="s">
        <v>600</v>
      </c>
      <c r="H728" t="s">
        <v>138</v>
      </c>
      <c r="I728" t="s">
        <v>1401</v>
      </c>
      <c r="J728">
        <v>38.195278000000002</v>
      </c>
      <c r="K728">
        <v>-85.872221999999994</v>
      </c>
      <c r="L728">
        <v>2869</v>
      </c>
      <c r="M728" s="175" t="str">
        <f>VLOOKUP(L728, '2022 SIC to NAICS'!A:D, 2)</f>
        <v>Industrial Organic Chemicals, Nec</v>
      </c>
      <c r="N728" s="184">
        <f>VLOOKUP(L728, '2022 SIC to NAICS'!A:D, 3)</f>
        <v>325180</v>
      </c>
      <c r="O728" s="184" t="str">
        <f>VLOOKUP(L728, '2022 SIC to NAICS'!A:D, 4)</f>
        <v xml:space="preserve">Other Basic Inorganic Chemical Manufacturing </v>
      </c>
      <c r="P728" s="185" t="str">
        <f>VLOOKUP(N728, 'NAICS OES crosswalk'!A:C, 3, FALSE)</f>
        <v>Processing as a reactant</v>
      </c>
      <c r="T728" s="186" t="s">
        <v>1205</v>
      </c>
      <c r="U728" t="s">
        <v>603</v>
      </c>
      <c r="V728">
        <v>0.91140500000000002</v>
      </c>
      <c r="X728" t="b">
        <f t="shared" si="13"/>
        <v>0</v>
      </c>
      <c r="Y728" s="186" t="s">
        <v>1402</v>
      </c>
      <c r="Z728" t="s">
        <v>1403</v>
      </c>
    </row>
    <row r="729" spans="1:26" x14ac:dyDescent="0.25">
      <c r="A729">
        <v>2023</v>
      </c>
      <c r="B729" t="s">
        <v>1400</v>
      </c>
      <c r="C729" t="s">
        <v>881</v>
      </c>
      <c r="D729" s="1">
        <v>110000741608</v>
      </c>
      <c r="E729" t="s">
        <v>275</v>
      </c>
      <c r="F729" t="s">
        <v>276</v>
      </c>
      <c r="G729" t="s">
        <v>620</v>
      </c>
      <c r="H729" t="s">
        <v>138</v>
      </c>
      <c r="I729" t="s">
        <v>1401</v>
      </c>
      <c r="J729">
        <v>37.047736999999998</v>
      </c>
      <c r="K729">
        <v>-88.35866</v>
      </c>
      <c r="L729">
        <v>2869</v>
      </c>
      <c r="M729" s="175" t="str">
        <f>VLOOKUP(L729, '2022 SIC to NAICS'!A:D, 2)</f>
        <v>Industrial Organic Chemicals, Nec</v>
      </c>
      <c r="N729" s="184">
        <f>VLOOKUP(L729, '2022 SIC to NAICS'!A:D, 3)</f>
        <v>325180</v>
      </c>
      <c r="O729" s="184" t="str">
        <f>VLOOKUP(L729, '2022 SIC to NAICS'!A:D, 4)</f>
        <v xml:space="preserve">Other Basic Inorganic Chemical Manufacturing </v>
      </c>
      <c r="P729" s="185" t="str">
        <f>VLOOKUP(N729, 'NAICS OES crosswalk'!A:C, 3, FALSE)</f>
        <v>Processing as a reactant</v>
      </c>
      <c r="T729" s="186" t="s">
        <v>1222</v>
      </c>
      <c r="U729" t="s">
        <v>882</v>
      </c>
      <c r="V729">
        <v>0.49713000000000002</v>
      </c>
      <c r="X729" t="b">
        <f t="shared" si="13"/>
        <v>0</v>
      </c>
      <c r="Y729" s="186" t="s">
        <v>1402</v>
      </c>
      <c r="Z729" t="s">
        <v>1403</v>
      </c>
    </row>
    <row r="730" spans="1:26" x14ac:dyDescent="0.25">
      <c r="A730">
        <v>2023</v>
      </c>
      <c r="B730" t="s">
        <v>1400</v>
      </c>
      <c r="C730" t="s">
        <v>654</v>
      </c>
      <c r="D730" s="1">
        <v>110059344473</v>
      </c>
      <c r="E730" t="s">
        <v>332</v>
      </c>
      <c r="F730" t="s">
        <v>333</v>
      </c>
      <c r="G730" t="s">
        <v>653</v>
      </c>
      <c r="H730" t="s">
        <v>268</v>
      </c>
      <c r="I730" t="s">
        <v>1401</v>
      </c>
      <c r="J730">
        <v>40.655278000000003</v>
      </c>
      <c r="K730">
        <v>-80.356388999999993</v>
      </c>
      <c r="L730">
        <v>2821</v>
      </c>
      <c r="M730" s="175" t="str">
        <f>VLOOKUP(L730, '2022 SIC to NAICS'!A:D, 2)</f>
        <v>Platemaking Services</v>
      </c>
      <c r="N730" s="184">
        <f>VLOOKUP(L730, '2022 SIC to NAICS'!A:D, 3)</f>
        <v>323120</v>
      </c>
      <c r="O730" s="184" t="str">
        <f>VLOOKUP(L730, '2022 SIC to NAICS'!A:D, 4)</f>
        <v>Support Activities for Printing</v>
      </c>
      <c r="P730" s="185" t="str">
        <f>VLOOKUP(N730, 'NAICS OES crosswalk'!A:C, 3, FALSE)</f>
        <v>TBD</v>
      </c>
      <c r="T730" s="186" t="s">
        <v>1244</v>
      </c>
      <c r="U730" t="s">
        <v>655</v>
      </c>
      <c r="V730">
        <v>0.57998499999999997</v>
      </c>
      <c r="X730" t="b">
        <f t="shared" si="13"/>
        <v>0</v>
      </c>
      <c r="Y730" s="186" t="s">
        <v>1404</v>
      </c>
      <c r="Z730" t="s">
        <v>1403</v>
      </c>
    </row>
    <row r="731" spans="1:26" x14ac:dyDescent="0.25">
      <c r="A731">
        <v>2023</v>
      </c>
      <c r="B731" t="s">
        <v>1400</v>
      </c>
      <c r="C731" t="s">
        <v>718</v>
      </c>
      <c r="D731" s="1">
        <v>110000730451</v>
      </c>
      <c r="E731" t="s">
        <v>144</v>
      </c>
      <c r="F731" t="s">
        <v>145</v>
      </c>
      <c r="G731" t="s">
        <v>616</v>
      </c>
      <c r="H731" t="s">
        <v>146</v>
      </c>
      <c r="I731" t="s">
        <v>1401</v>
      </c>
      <c r="J731">
        <v>39.916111000000001</v>
      </c>
      <c r="K731">
        <v>-122.104444</v>
      </c>
      <c r="L731">
        <v>4952</v>
      </c>
      <c r="M731" s="175" t="str">
        <f>VLOOKUP(L731, '2022 SIC to NAICS'!A:D, 2)</f>
        <v>Manufacturing Industries, Nec</v>
      </c>
      <c r="N731" s="184">
        <f>VLOOKUP(L731, '2022 SIC to NAICS'!A:D, 3)</f>
        <v>339999</v>
      </c>
      <c r="O731" s="184" t="str">
        <f>VLOOKUP(L731, '2022 SIC to NAICS'!A:D, 4)</f>
        <v xml:space="preserve">All Other Miscellaneous Manufacturing </v>
      </c>
      <c r="P731" s="185" t="str">
        <f>VLOOKUP(N731, 'NAICS OES crosswalk'!A:C, 3, FALSE)</f>
        <v>TBD</v>
      </c>
      <c r="T731">
        <v>180201570701</v>
      </c>
      <c r="U731" t="s">
        <v>619</v>
      </c>
      <c r="V731">
        <v>1.46376043333333E-2</v>
      </c>
      <c r="X731" t="b">
        <f t="shared" si="13"/>
        <v>0</v>
      </c>
      <c r="Y731" s="186" t="s">
        <v>1402</v>
      </c>
      <c r="Z731" t="s">
        <v>1403</v>
      </c>
    </row>
    <row r="732" spans="1:26" x14ac:dyDescent="0.25">
      <c r="A732">
        <v>2023</v>
      </c>
      <c r="B732" t="s">
        <v>1400</v>
      </c>
      <c r="C732" t="s">
        <v>800</v>
      </c>
      <c r="D732" s="1">
        <v>110000732299</v>
      </c>
      <c r="E732" t="s">
        <v>537</v>
      </c>
      <c r="F732" t="s">
        <v>538</v>
      </c>
      <c r="G732" t="s">
        <v>799</v>
      </c>
      <c r="H732" t="s">
        <v>138</v>
      </c>
      <c r="I732" t="s">
        <v>1401</v>
      </c>
      <c r="J732">
        <v>38.213957000000001</v>
      </c>
      <c r="K732">
        <v>-84.873705000000001</v>
      </c>
      <c r="L732">
        <v>4952</v>
      </c>
      <c r="M732" s="175" t="str">
        <f>VLOOKUP(L732, '2022 SIC to NAICS'!A:D, 2)</f>
        <v>Manufacturing Industries, Nec</v>
      </c>
      <c r="N732" s="184">
        <f>VLOOKUP(L732, '2022 SIC to NAICS'!A:D, 3)</f>
        <v>339999</v>
      </c>
      <c r="O732" s="184" t="str">
        <f>VLOOKUP(L732, '2022 SIC to NAICS'!A:D, 4)</f>
        <v xml:space="preserve">All Other Miscellaneous Manufacturing </v>
      </c>
      <c r="P732" s="185" t="str">
        <f>VLOOKUP(N732, 'NAICS OES crosswalk'!A:C, 3, FALSE)</f>
        <v>TBD</v>
      </c>
      <c r="T732" s="186" t="s">
        <v>1293</v>
      </c>
      <c r="U732" t="s">
        <v>801</v>
      </c>
      <c r="V732">
        <v>13.4007925</v>
      </c>
      <c r="X732" t="b">
        <f t="shared" si="13"/>
        <v>0</v>
      </c>
      <c r="Y732" s="186" t="s">
        <v>1402</v>
      </c>
      <c r="Z732" t="s">
        <v>1403</v>
      </c>
    </row>
    <row r="733" spans="1:26" x14ac:dyDescent="0.25">
      <c r="A733">
        <v>2023</v>
      </c>
      <c r="B733" t="s">
        <v>1400</v>
      </c>
      <c r="C733" t="s">
        <v>937</v>
      </c>
      <c r="D733" s="1">
        <v>110000463677</v>
      </c>
      <c r="E733" t="s">
        <v>502</v>
      </c>
      <c r="F733" t="s">
        <v>372</v>
      </c>
      <c r="G733" t="s">
        <v>638</v>
      </c>
      <c r="H733" t="s">
        <v>114</v>
      </c>
      <c r="I733" t="s">
        <v>1405</v>
      </c>
      <c r="J733">
        <v>29.726065999999999</v>
      </c>
      <c r="K733">
        <v>-95.079583999999997</v>
      </c>
      <c r="L733">
        <v>2821</v>
      </c>
      <c r="M733" s="175" t="str">
        <f>VLOOKUP(L733, '2022 SIC to NAICS'!A:D, 2)</f>
        <v>Platemaking Services</v>
      </c>
      <c r="N733" s="184">
        <f>VLOOKUP(L733, '2022 SIC to NAICS'!A:D, 3)</f>
        <v>323120</v>
      </c>
      <c r="O733" s="184" t="str">
        <f>VLOOKUP(L733, '2022 SIC to NAICS'!A:D, 4)</f>
        <v>Support Activities for Printing</v>
      </c>
      <c r="P733" s="185" t="str">
        <f>VLOOKUP(N733, 'NAICS OES crosswalk'!A:C, 3, FALSE)</f>
        <v>TBD</v>
      </c>
      <c r="T733">
        <v>120401040706</v>
      </c>
      <c r="U733" t="s">
        <v>640</v>
      </c>
      <c r="V733">
        <v>3.5461939999999999E-3</v>
      </c>
      <c r="X733" t="b">
        <f t="shared" si="13"/>
        <v>0</v>
      </c>
      <c r="Y733" s="186" t="s">
        <v>1402</v>
      </c>
    </row>
  </sheetData>
  <sheetProtection sheet="1" objects="1" scenarios="1" formatCells="0" formatColumns="0" formatRows="0" sort="0" autoFilter="0"/>
  <autoFilter ref="A1:Z733" xr:uid="{99832817-F5AD-48AE-A027-A54EB639EF5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AF087-9F02-427D-BCCE-3E1AFE251C94}">
  <sheetPr codeName="Sheet11">
    <tabColor theme="9"/>
  </sheetPr>
  <dimension ref="A1:P23"/>
  <sheetViews>
    <sheetView workbookViewId="0">
      <selection sqref="A1:G1"/>
    </sheetView>
  </sheetViews>
  <sheetFormatPr defaultRowHeight="15" x14ac:dyDescent="0.25"/>
  <cols>
    <col min="1" max="1" width="20.140625" bestFit="1" customWidth="1"/>
    <col min="2" max="2" width="17.7109375" customWidth="1"/>
    <col min="3" max="3" width="34.85546875" customWidth="1"/>
    <col min="4" max="4" width="42.5703125" style="7" customWidth="1"/>
    <col min="5" max="5" width="16.42578125" customWidth="1"/>
    <col min="6" max="6" width="0.140625" customWidth="1"/>
    <col min="7" max="10" width="23.42578125" customWidth="1"/>
    <col min="11" max="11" width="19.5703125" bestFit="1" customWidth="1"/>
    <col min="12" max="12" width="63.85546875" bestFit="1" customWidth="1"/>
    <col min="13" max="13" width="17.5703125" bestFit="1" customWidth="1"/>
    <col min="14" max="14" width="44.85546875" style="7" customWidth="1"/>
    <col min="15" max="15" width="32.85546875" bestFit="1" customWidth="1"/>
    <col min="16" max="16" width="13.85546875" customWidth="1"/>
    <col min="17" max="17" width="9.140625" bestFit="1" customWidth="1"/>
  </cols>
  <sheetData>
    <row r="1" spans="1:16" ht="15.75" thickBot="1" x14ac:dyDescent="0.3">
      <c r="A1" s="314" t="s">
        <v>1488</v>
      </c>
      <c r="B1" s="315"/>
      <c r="C1" s="315"/>
      <c r="D1" s="315"/>
      <c r="E1" s="315"/>
      <c r="F1" s="315"/>
      <c r="G1" s="315"/>
      <c r="H1" s="280"/>
      <c r="I1" s="280"/>
      <c r="J1" s="316" t="s">
        <v>1489</v>
      </c>
      <c r="K1" s="317"/>
      <c r="L1" s="317"/>
      <c r="M1" s="317"/>
      <c r="N1" s="317"/>
      <c r="O1" s="317"/>
      <c r="P1" s="318"/>
    </row>
    <row r="2" spans="1:16" s="7" customFormat="1" ht="195" x14ac:dyDescent="0.25">
      <c r="A2" s="140" t="s">
        <v>539</v>
      </c>
      <c r="B2" s="141" t="s">
        <v>1490</v>
      </c>
      <c r="C2" s="141" t="s">
        <v>1491</v>
      </c>
      <c r="D2" s="142" t="s">
        <v>1492</v>
      </c>
      <c r="E2" s="142" t="s">
        <v>1493</v>
      </c>
      <c r="F2" s="142" t="s">
        <v>1494</v>
      </c>
      <c r="G2" s="142" t="s">
        <v>1495</v>
      </c>
      <c r="H2" s="211" t="s">
        <v>132</v>
      </c>
      <c r="I2" s="212" t="s">
        <v>1496</v>
      </c>
      <c r="J2" s="143" t="s">
        <v>539</v>
      </c>
      <c r="K2" s="144" t="s">
        <v>1490</v>
      </c>
      <c r="L2" s="144" t="s">
        <v>1497</v>
      </c>
      <c r="M2" s="145" t="s">
        <v>1498</v>
      </c>
      <c r="N2" s="144" t="s">
        <v>1499</v>
      </c>
      <c r="O2" s="145" t="s">
        <v>1500</v>
      </c>
      <c r="P2" s="146" t="s">
        <v>1501</v>
      </c>
    </row>
    <row r="3" spans="1:16" x14ac:dyDescent="0.25">
      <c r="A3">
        <v>2019</v>
      </c>
      <c r="B3" s="94" t="s">
        <v>121</v>
      </c>
      <c r="C3" t="s">
        <v>120</v>
      </c>
      <c r="D3" t="s">
        <v>1502</v>
      </c>
      <c r="E3" s="1" t="s">
        <v>1487</v>
      </c>
      <c r="G3" s="1">
        <v>1076</v>
      </c>
      <c r="H3" s="9">
        <f>VLOOKUP(B3, 'Facility Discharge Summary'!$I$4:$O$48, 7, FALSE)</f>
        <v>350</v>
      </c>
      <c r="I3" s="148">
        <f>G3/H3</f>
        <v>3.0742857142857143</v>
      </c>
      <c r="M3" s="216"/>
      <c r="N3"/>
      <c r="O3" s="1"/>
    </row>
    <row r="4" spans="1:16" x14ac:dyDescent="0.25">
      <c r="A4">
        <v>2020</v>
      </c>
      <c r="B4" s="94" t="s">
        <v>121</v>
      </c>
      <c r="C4" t="s">
        <v>120</v>
      </c>
      <c r="D4" t="s">
        <v>1502</v>
      </c>
      <c r="E4" s="1" t="s">
        <v>1487</v>
      </c>
      <c r="G4" s="1">
        <v>7288</v>
      </c>
      <c r="H4" s="9">
        <f>VLOOKUP(B4, 'Facility Discharge Summary'!$I$4:$O$48, 7, FALSE)</f>
        <v>350</v>
      </c>
      <c r="I4" s="148">
        <f t="shared" ref="I4:I7" si="0">G4/H4</f>
        <v>20.822857142857142</v>
      </c>
      <c r="K4" s="1"/>
      <c r="M4" s="1"/>
      <c r="N4"/>
    </row>
    <row r="5" spans="1:16" x14ac:dyDescent="0.25">
      <c r="A5">
        <v>2021</v>
      </c>
      <c r="B5" s="94" t="s">
        <v>121</v>
      </c>
      <c r="C5" t="s">
        <v>120</v>
      </c>
      <c r="D5" t="s">
        <v>1502</v>
      </c>
      <c r="E5" s="1" t="s">
        <v>1487</v>
      </c>
      <c r="G5" s="1">
        <v>1263</v>
      </c>
      <c r="H5" s="9">
        <f>VLOOKUP(B5, 'Facility Discharge Summary'!$I$4:$O$48, 7, FALSE)</f>
        <v>350</v>
      </c>
      <c r="I5" s="148">
        <f t="shared" si="0"/>
        <v>3.6085714285714285</v>
      </c>
      <c r="K5" s="1"/>
      <c r="M5" s="1"/>
      <c r="N5"/>
    </row>
    <row r="6" spans="1:16" x14ac:dyDescent="0.25">
      <c r="A6">
        <v>2022</v>
      </c>
      <c r="B6" s="94" t="s">
        <v>121</v>
      </c>
      <c r="C6" t="s">
        <v>120</v>
      </c>
      <c r="D6" t="s">
        <v>1502</v>
      </c>
      <c r="E6" s="1" t="s">
        <v>1487</v>
      </c>
      <c r="G6" s="1">
        <v>4156</v>
      </c>
      <c r="H6" s="9">
        <f>VLOOKUP(B6, 'Facility Discharge Summary'!$I$4:$O$48, 7, FALSE)</f>
        <v>350</v>
      </c>
      <c r="I6" s="148">
        <f t="shared" si="0"/>
        <v>11.874285714285714</v>
      </c>
      <c r="N6"/>
    </row>
    <row r="7" spans="1:16" x14ac:dyDescent="0.25">
      <c r="A7">
        <v>2023</v>
      </c>
      <c r="B7" s="94" t="s">
        <v>121</v>
      </c>
      <c r="C7" t="s">
        <v>120</v>
      </c>
      <c r="D7" t="s">
        <v>1502</v>
      </c>
      <c r="E7" s="1" t="s">
        <v>1487</v>
      </c>
      <c r="G7" s="1">
        <v>2479</v>
      </c>
      <c r="H7" s="9">
        <f>VLOOKUP(B7, 'Facility Discharge Summary'!$I$4:$O$48, 7, FALSE)</f>
        <v>350</v>
      </c>
      <c r="I7" s="148">
        <f t="shared" si="0"/>
        <v>7.0828571428571427</v>
      </c>
      <c r="N7"/>
    </row>
    <row r="8" spans="1:16" x14ac:dyDescent="0.25">
      <c r="B8" s="94"/>
      <c r="D8"/>
      <c r="E8" s="1"/>
      <c r="M8" t="s">
        <v>2</v>
      </c>
      <c r="N8"/>
    </row>
    <row r="23" spans="15:15" x14ac:dyDescent="0.25">
      <c r="O23" t="s">
        <v>2</v>
      </c>
    </row>
  </sheetData>
  <sheetProtection sheet="1" objects="1" scenarios="1" formatCells="0" formatColumns="0" formatRows="0" sort="0" autoFilter="0"/>
  <autoFilter ref="A2:P2" xr:uid="{3ECAF087-9F02-427D-BCCE-3E1AFE251C94}"/>
  <mergeCells count="2">
    <mergeCell ref="A1:G1"/>
    <mergeCell ref="J1:P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CAD0C-0C68-4153-AE2F-100C56AFECF2}">
  <sheetPr codeName="Sheet12">
    <tabColor theme="8"/>
  </sheetPr>
  <dimension ref="A1:N218"/>
  <sheetViews>
    <sheetView workbookViewId="0">
      <selection activeCell="J2" sqref="J2"/>
    </sheetView>
  </sheetViews>
  <sheetFormatPr defaultRowHeight="15" x14ac:dyDescent="0.25"/>
  <cols>
    <col min="1" max="1" width="57.42578125" style="175" bestFit="1" customWidth="1"/>
    <col min="2" max="2" width="21.5703125" style="175" bestFit="1" customWidth="1"/>
    <col min="3" max="3" width="18.5703125" style="175" bestFit="1" customWidth="1"/>
    <col min="4" max="4" width="7.5703125" style="175" bestFit="1" customWidth="1"/>
    <col min="5" max="5" width="11.5703125" style="175" customWidth="1"/>
    <col min="6" max="6" width="16.42578125" style="175" bestFit="1" customWidth="1"/>
    <col min="7" max="7" width="18" style="175" bestFit="1" customWidth="1"/>
    <col min="8" max="8" width="20.42578125" customWidth="1"/>
    <col min="9" max="9" width="15.5703125" style="183" customWidth="1"/>
    <col min="10" max="10" width="21.5703125" style="100" customWidth="1"/>
    <col min="11" max="11" width="70.5703125" bestFit="1" customWidth="1"/>
    <col min="12" max="12" width="22.5703125" bestFit="1" customWidth="1"/>
    <col min="13" max="13" width="97.5703125" customWidth="1"/>
    <col min="14" max="14" width="33.140625" bestFit="1" customWidth="1"/>
    <col min="15" max="15" width="30.5703125" customWidth="1"/>
    <col min="16" max="16" width="30.28515625" customWidth="1"/>
  </cols>
  <sheetData>
    <row r="1" spans="1:14" ht="30" x14ac:dyDescent="0.25">
      <c r="A1" s="221" t="s">
        <v>83</v>
      </c>
      <c r="B1" s="221" t="s">
        <v>124</v>
      </c>
      <c r="C1" s="221" t="s">
        <v>84</v>
      </c>
      <c r="D1" s="221" t="s">
        <v>85</v>
      </c>
      <c r="E1" s="221" t="s">
        <v>125</v>
      </c>
      <c r="F1" s="221" t="s">
        <v>126</v>
      </c>
      <c r="G1" s="221" t="s">
        <v>127</v>
      </c>
      <c r="H1" s="221" t="s">
        <v>86</v>
      </c>
      <c r="I1" s="221" t="s">
        <v>87</v>
      </c>
      <c r="J1" s="222" t="s">
        <v>128</v>
      </c>
      <c r="K1" s="223" t="s">
        <v>129</v>
      </c>
      <c r="L1" s="223" t="s">
        <v>545</v>
      </c>
      <c r="M1" s="223" t="s">
        <v>1503</v>
      </c>
      <c r="N1" s="224" t="s">
        <v>1504</v>
      </c>
    </row>
    <row r="2" spans="1:14" ht="14.45" customHeight="1" x14ac:dyDescent="0.25">
      <c r="A2" t="s">
        <v>133</v>
      </c>
      <c r="B2"/>
      <c r="C2" t="s">
        <v>134</v>
      </c>
      <c r="D2" t="s">
        <v>135</v>
      </c>
      <c r="E2"/>
      <c r="F2">
        <f>IF(H2&lt;&gt;"", INDEX('Processed Non-zero TRI Data'!$G:$G, MATCH(H2, 'Processed Non-zero TRI Data'!$I:$I,0)), INDEX('Processed Non-zero DMR Data'!$F:$F, MATCH(I2,'Processed Non-zero DMR Data'!$I:$I, 0)))</f>
        <v>38.772219999999997</v>
      </c>
      <c r="G2">
        <f>IF(H2&lt;&gt;"", INDEX('Processed Non-zero TRI Data'!$H:$H, MATCH(H2, 'Processed Non-zero TRI Data'!$I:$I,0)), INDEX('Processed Non-zero DMR Data'!$G:$G, MATCH(I2,'Processed Non-zero DMR Data'!$I:$I, 0)))</f>
        <v>-82.205560000000006</v>
      </c>
      <c r="H2" t="s">
        <v>103</v>
      </c>
      <c r="I2" s="1">
        <v>110000607772</v>
      </c>
      <c r="J2" s="1">
        <f>IF(H2&lt;&gt;"",INDEX('Processed Non-zero TRI Data'!$L:$L,MATCH('Facility Summary_All'!H2,'Processed Non-zero TRI Data'!$I:$I,0)),INDEX('Processed Non-zero DMR Data'!$L:$L,MATCH('Facility Summary_All'!I2,'Processed Non-zero DMR Data'!$I:$I,0)))*1</f>
        <v>325998</v>
      </c>
      <c r="K2" s="185" t="str">
        <f>INDEX('2017 - 2022 NAICS'!$D:$D, MATCH('Facility Summary_All'!J2,'2017 - 2022 NAICS'!$C:$C,0))</f>
        <v>All Other Miscellaneous Chemical Product and Preparation Manufacturing</v>
      </c>
      <c r="L2" t="str">
        <f>IFERROR(VLOOKUP(J2,'NAICS Code to IS CDR Code'!A:C,2,FALSE), "NAICS/SIC Not Provided")</f>
        <v>IS34</v>
      </c>
      <c r="M2" t="str">
        <f>IFERROR(VLOOKUP(J2,'NAICS Code to IS CDR Code'!A:C,3,FALSE), "NAICS/SIC Not Provided")</f>
        <v>All Other Chemical Product and Preparation Manufacturing</v>
      </c>
      <c r="N2" t="str">
        <f>IF(COUNTIF('Facility Summary_Water'!$M$2:$M$98,I2)&gt;0,"Yes","No")</f>
        <v>Yes</v>
      </c>
    </row>
    <row r="3" spans="1:14" ht="14.45" customHeight="1" x14ac:dyDescent="0.25">
      <c r="A3" t="s">
        <v>104</v>
      </c>
      <c r="B3"/>
      <c r="C3" t="s">
        <v>105</v>
      </c>
      <c r="D3" t="s">
        <v>106</v>
      </c>
      <c r="E3"/>
      <c r="F3">
        <f>IF(H3&lt;&gt;"", INDEX('Processed Non-zero TRI Data'!$G:$G, MATCH(H3, 'Processed Non-zero TRI Data'!$I:$I,0)), INDEX('Processed Non-zero DMR Data'!$F:$F, MATCH(I3,'Processed Non-zero DMR Data'!$I:$I, 0)))</f>
        <v>30.320903000000001</v>
      </c>
      <c r="G3">
        <f>IF(H3&lt;&gt;"", INDEX('Processed Non-zero TRI Data'!$H:$H, MATCH(H3, 'Processed Non-zero TRI Data'!$I:$I,0)), INDEX('Processed Non-zero DMR Data'!$G:$G, MATCH(I3,'Processed Non-zero DMR Data'!$I:$I, 0)))</f>
        <v>-91.239014999999995</v>
      </c>
      <c r="H3" t="s">
        <v>107</v>
      </c>
      <c r="I3" s="1">
        <v>110001244724</v>
      </c>
      <c r="J3" s="1">
        <f>IF(H3&lt;&gt;"",INDEX('Processed Non-zero TRI Data'!$L:$L,MATCH('Facility Summary_All'!H3,'Processed Non-zero TRI Data'!$I:$I,0)),INDEX('Processed Non-zero DMR Data'!$L:$L,MATCH('Facility Summary_All'!I3,'Processed Non-zero DMR Data'!$I:$I,0)))*1</f>
        <v>325199</v>
      </c>
      <c r="K3" s="185" t="str">
        <f>INDEX('2017 - 2022 NAICS'!$D:$D, MATCH('Facility Summary_All'!J3,'2017 - 2022 NAICS'!$C:$C,0))</f>
        <v>All Other Basic Organic Chemical Manufacturing</v>
      </c>
      <c r="L3" t="str">
        <f>IFERROR(VLOOKUP(J3,'NAICS Code to IS CDR Code'!A:C,2,FALSE), "NAICS/SIC Not Provided")</f>
        <v>IS21</v>
      </c>
      <c r="M3" t="str">
        <f>IFERROR(VLOOKUP(J3,'NAICS Code to IS CDR Code'!A:C,3,FALSE), "NAICS/SIC Not Provided")</f>
        <v>All Other Basic Organic Chemical Manufacturing</v>
      </c>
      <c r="N3" t="str">
        <f>IF(COUNTIF('Facility Summary_Water'!$M$2:$M$98,I3)&gt;0,"Yes","No")</f>
        <v>Yes</v>
      </c>
    </row>
    <row r="4" spans="1:14" ht="14.45" customHeight="1" x14ac:dyDescent="0.25">
      <c r="A4" t="s">
        <v>108</v>
      </c>
      <c r="B4"/>
      <c r="C4" t="s">
        <v>109</v>
      </c>
      <c r="D4" t="s">
        <v>110</v>
      </c>
      <c r="E4"/>
      <c r="F4">
        <f>IF(H4&lt;&gt;"", INDEX('Processed Non-zero TRI Data'!$G:$G, MATCH(H4, 'Processed Non-zero TRI Data'!$I:$I,0)), INDEX('Processed Non-zero DMR Data'!$F:$F, MATCH(I4,'Processed Non-zero DMR Data'!$I:$I, 0)))</f>
        <v>36.651200000000003</v>
      </c>
      <c r="G4">
        <f>IF(H4&lt;&gt;"", INDEX('Processed Non-zero TRI Data'!$H:$H, MATCH(H4, 'Processed Non-zero TRI Data'!$I:$I,0)), INDEX('Processed Non-zero DMR Data'!$G:$G, MATCH(I4,'Processed Non-zero DMR Data'!$I:$I, 0)))</f>
        <v>-76.999044999999995</v>
      </c>
      <c r="H4" t="s">
        <v>111</v>
      </c>
      <c r="I4" s="1">
        <v>110000499611</v>
      </c>
      <c r="J4" s="1">
        <f>IF(H4&lt;&gt;"",INDEX('Processed Non-zero TRI Data'!$L:$L,MATCH('Facility Summary_All'!H4,'Processed Non-zero TRI Data'!$I:$I,0)),INDEX('Processed Non-zero DMR Data'!$L:$L,MATCH('Facility Summary_All'!I4,'Processed Non-zero DMR Data'!$I:$I,0)))*1</f>
        <v>325199</v>
      </c>
      <c r="K4" s="185" t="str">
        <f>INDEX('2017 - 2022 NAICS'!$D:$D, MATCH('Facility Summary_All'!J4,'2017 - 2022 NAICS'!$C:$C,0))</f>
        <v>All Other Basic Organic Chemical Manufacturing</v>
      </c>
      <c r="L4" t="str">
        <f>IFERROR(VLOOKUP(J4,'NAICS Code to IS CDR Code'!A:C,2,FALSE), "NAICS/SIC Not Provided")</f>
        <v>IS21</v>
      </c>
      <c r="M4" t="str">
        <f>IFERROR(VLOOKUP(J4,'NAICS Code to IS CDR Code'!A:C,3,FALSE), "NAICS/SIC Not Provided")</f>
        <v>All Other Basic Organic Chemical Manufacturing</v>
      </c>
      <c r="N4" t="str">
        <f>IF(COUNTIF('Facility Summary_Water'!$M$2:$M$98,I4)&gt;0,"Yes","No")</f>
        <v>Yes</v>
      </c>
    </row>
    <row r="5" spans="1:14" ht="14.45" customHeight="1" x14ac:dyDescent="0.25">
      <c r="A5" t="s">
        <v>112</v>
      </c>
      <c r="B5"/>
      <c r="C5" t="s">
        <v>113</v>
      </c>
      <c r="D5" t="s">
        <v>114</v>
      </c>
      <c r="E5"/>
      <c r="F5">
        <f>IF(H5&lt;&gt;"", INDEX('Processed Non-zero TRI Data'!$G:$G, MATCH(H5, 'Processed Non-zero TRI Data'!$I:$I,0)), INDEX('Processed Non-zero DMR Data'!$F:$F, MATCH(I5,'Processed Non-zero DMR Data'!$I:$I, 0)))</f>
        <v>28.980146999999999</v>
      </c>
      <c r="G5">
        <f>IF(H5&lt;&gt;"", INDEX('Processed Non-zero TRI Data'!$H:$H, MATCH(H5, 'Processed Non-zero TRI Data'!$I:$I,0)), INDEX('Processed Non-zero DMR Data'!$G:$G, MATCH(I5,'Processed Non-zero DMR Data'!$I:$I, 0)))</f>
        <v>-95.342271999999994</v>
      </c>
      <c r="H5" t="s">
        <v>115</v>
      </c>
      <c r="I5" s="1">
        <v>110008170237</v>
      </c>
      <c r="J5" s="1">
        <f>IF(H5&lt;&gt;"",INDEX('Processed Non-zero TRI Data'!$L:$L,MATCH('Facility Summary_All'!H5,'Processed Non-zero TRI Data'!$I:$I,0)),INDEX('Processed Non-zero DMR Data'!$L:$L,MATCH('Facility Summary_All'!I5,'Processed Non-zero DMR Data'!$I:$I,0)))*1</f>
        <v>325199</v>
      </c>
      <c r="K5" s="185" t="str">
        <f>INDEX('2017 - 2022 NAICS'!$D:$D, MATCH('Facility Summary_All'!J5,'2017 - 2022 NAICS'!$C:$C,0))</f>
        <v>All Other Basic Organic Chemical Manufacturing</v>
      </c>
      <c r="L5" t="str">
        <f>IFERROR(VLOOKUP(J5,'NAICS Code to IS CDR Code'!A:C,2,FALSE), "NAICS/SIC Not Provided")</f>
        <v>IS21</v>
      </c>
      <c r="M5" t="str">
        <f>IFERROR(VLOOKUP(J5,'NAICS Code to IS CDR Code'!A:C,3,FALSE), "NAICS/SIC Not Provided")</f>
        <v>All Other Basic Organic Chemical Manufacturing</v>
      </c>
      <c r="N5" t="str">
        <f>IF(COUNTIF('Facility Summary_Water'!$M$2:$M$98,I5)&gt;0,"Yes","No")</f>
        <v>Yes</v>
      </c>
    </row>
    <row r="6" spans="1:14" ht="41.45" customHeight="1" x14ac:dyDescent="0.25">
      <c r="A6" t="s">
        <v>116</v>
      </c>
      <c r="B6"/>
      <c r="C6" t="s">
        <v>117</v>
      </c>
      <c r="D6" t="s">
        <v>118</v>
      </c>
      <c r="E6"/>
      <c r="F6">
        <f>IF(H6&lt;&gt;"", INDEX('Processed Non-zero TRI Data'!$G:$G, MATCH(H6, 'Processed Non-zero TRI Data'!$I:$I,0)), INDEX('Processed Non-zero DMR Data'!$F:$F, MATCH(I6,'Processed Non-zero DMR Data'!$I:$I, 0)))</f>
        <v>43.600299999999997</v>
      </c>
      <c r="G6">
        <f>IF(H6&lt;&gt;"", INDEX('Processed Non-zero TRI Data'!$H:$H, MATCH(H6, 'Processed Non-zero TRI Data'!$I:$I,0)), INDEX('Processed Non-zero DMR Data'!$G:$G, MATCH(I6,'Processed Non-zero DMR Data'!$I:$I, 0)))</f>
        <v>-84.223399999999998</v>
      </c>
      <c r="H6" t="s">
        <v>119</v>
      </c>
      <c r="I6" s="1">
        <v>110043787408</v>
      </c>
      <c r="J6" s="1">
        <f>IF(H6&lt;&gt;"",INDEX('Processed Non-zero TRI Data'!$L:$L,MATCH('Facility Summary_All'!H6,'Processed Non-zero TRI Data'!$I:$I,0)),INDEX('Processed Non-zero DMR Data'!$L:$L,MATCH('Facility Summary_All'!I6,'Processed Non-zero DMR Data'!$I:$I,0)))*1</f>
        <v>325211</v>
      </c>
      <c r="K6" s="185" t="str">
        <f>INDEX('2017 - 2022 NAICS'!$D:$D, MATCH('Facility Summary_All'!J6,'2017 - 2022 NAICS'!$C:$C,0))</f>
        <v>Plastics Material and Resin Manufacturing</v>
      </c>
      <c r="L6" t="str">
        <f>IFERROR(VLOOKUP(J6,'NAICS Code to IS CDR Code'!A:C,2,FALSE), "NAICS/SIC Not Provided")</f>
        <v>IS22</v>
      </c>
      <c r="M6" t="str">
        <f>IFERROR(VLOOKUP(J6,'NAICS Code to IS CDR Code'!A:C,3,FALSE), "NAICS/SIC Not Provided")</f>
        <v>Plastic Material and Resin Manufacturing</v>
      </c>
      <c r="N6" t="str">
        <f>IF(COUNTIF('Facility Summary_Water'!$M$2:$M$98,I6)&gt;0,"Yes","No")</f>
        <v>Yes</v>
      </c>
    </row>
    <row r="7" spans="1:14" ht="14.45" customHeight="1" x14ac:dyDescent="0.25">
      <c r="A7" t="s">
        <v>120</v>
      </c>
      <c r="B7"/>
      <c r="C7" t="s">
        <v>113</v>
      </c>
      <c r="D7" t="s">
        <v>114</v>
      </c>
      <c r="E7"/>
      <c r="F7">
        <f>IF(H7&lt;&gt;"", INDEX('Processed Non-zero TRI Data'!$G:$G, MATCH(H7, 'Processed Non-zero TRI Data'!$I:$I,0)), INDEX('Processed Non-zero DMR Data'!$F:$F, MATCH(I7,'Processed Non-zero DMR Data'!$I:$I, 0)))</f>
        <v>28.969389</v>
      </c>
      <c r="G7">
        <f>IF(H7&lt;&gt;"", INDEX('Processed Non-zero TRI Data'!$H:$H, MATCH(H7, 'Processed Non-zero TRI Data'!$I:$I,0)), INDEX('Processed Non-zero DMR Data'!$G:$G, MATCH(I7,'Processed Non-zero DMR Data'!$I:$I, 0)))</f>
        <v>-95.379527999999993</v>
      </c>
      <c r="H7" t="s">
        <v>121</v>
      </c>
      <c r="I7" s="1">
        <v>110066943605</v>
      </c>
      <c r="J7" s="1">
        <f>IF(H7&lt;&gt;"",INDEX('Processed Non-zero TRI Data'!$L:$L,MATCH('Facility Summary_All'!H7,'Processed Non-zero TRI Data'!$I:$I,0)),INDEX('Processed Non-zero DMR Data'!$L:$L,MATCH('Facility Summary_All'!I7,'Processed Non-zero DMR Data'!$I:$I,0)))*1</f>
        <v>325199</v>
      </c>
      <c r="K7" s="185" t="str">
        <f>INDEX('2017 - 2022 NAICS'!$D:$D, MATCH('Facility Summary_All'!J7,'2017 - 2022 NAICS'!$C:$C,0))</f>
        <v>All Other Basic Organic Chemical Manufacturing</v>
      </c>
      <c r="L7" t="str">
        <f>IFERROR(VLOOKUP(J7,'NAICS Code to IS CDR Code'!A:C,2,FALSE), "NAICS/SIC Not Provided")</f>
        <v>IS21</v>
      </c>
      <c r="M7" t="str">
        <f>IFERROR(VLOOKUP(J7,'NAICS Code to IS CDR Code'!A:C,3,FALSE), "NAICS/SIC Not Provided")</f>
        <v>All Other Basic Organic Chemical Manufacturing</v>
      </c>
      <c r="N7" t="str">
        <f>IF(COUNTIF('Facility Summary_Water'!$M$2:$M$98,I7)&gt;0,"Yes","No")</f>
        <v>Yes</v>
      </c>
    </row>
    <row r="8" spans="1:14" ht="14.45" customHeight="1" x14ac:dyDescent="0.25">
      <c r="A8" t="s">
        <v>136</v>
      </c>
      <c r="B8"/>
      <c r="C8" t="s">
        <v>137</v>
      </c>
      <c r="D8" t="s">
        <v>138</v>
      </c>
      <c r="E8"/>
      <c r="F8">
        <f>IF(H8&lt;&gt;"", INDEX('Processed Non-zero TRI Data'!$G:$G, MATCH(H8, 'Processed Non-zero TRI Data'!$I:$I,0)), INDEX('Processed Non-zero DMR Data'!$F:$F, MATCH(I8,'Processed Non-zero DMR Data'!$I:$I, 0)))</f>
        <v>37.642310000000002</v>
      </c>
      <c r="G8">
        <f>IF(H8&lt;&gt;"", INDEX('Processed Non-zero TRI Data'!$H:$H, MATCH(H8, 'Processed Non-zero TRI Data'!$I:$I,0)), INDEX('Processed Non-zero DMR Data'!$G:$G, MATCH(I8,'Processed Non-zero DMR Data'!$I:$I, 0)))</f>
        <v>-85.903570000000002</v>
      </c>
      <c r="I8" s="1">
        <v>110000571373</v>
      </c>
      <c r="J8" s="1">
        <f>IF(H8&lt;&gt;"",INDEX('Processed Non-zero TRI Data'!$L:$L,MATCH('Facility Summary_All'!H8,'Processed Non-zero TRI Data'!$I:$I,0)),INDEX('Processed Non-zero DMR Data'!$L:$L,MATCH('Facility Summary_All'!I8,'Processed Non-zero DMR Data'!$I:$I,0)))*1</f>
        <v>221320</v>
      </c>
      <c r="K8" s="185" t="str">
        <f>INDEX('2017 - 2022 NAICS'!$D:$D, MATCH('Facility Summary_All'!J8,'2017 - 2022 NAICS'!$C:$C,0))</f>
        <v>Sewage Treatment Facilities</v>
      </c>
      <c r="L8" t="str">
        <f>IFERROR(VLOOKUP(J8,'NAICS Code to IS CDR Code'!A:C,2,FALSE), "NAICS/SIC Not Provided")</f>
        <v>IS4</v>
      </c>
      <c r="M8" t="str">
        <f>IFERROR(VLOOKUP(J8,'NAICS Code to IS CDR Code'!A:C,3,FALSE), "NAICS/SIC Not Provided")</f>
        <v>Utilities</v>
      </c>
      <c r="N8" t="str">
        <f>IF(COUNTIF('Facility Summary_Water'!$M$2:$M$98,I8)&gt;0,"Yes","No")</f>
        <v>Yes</v>
      </c>
    </row>
    <row r="9" spans="1:14" ht="28.7" customHeight="1" x14ac:dyDescent="0.25">
      <c r="A9" t="s">
        <v>139</v>
      </c>
      <c r="B9"/>
      <c r="C9" t="s">
        <v>140</v>
      </c>
      <c r="D9" t="s">
        <v>141</v>
      </c>
      <c r="E9"/>
      <c r="F9">
        <f>IF(H9&lt;&gt;"", INDEX('Processed Non-zero TRI Data'!$G:$G, MATCH(H9, 'Processed Non-zero TRI Data'!$I:$I,0)), INDEX('Processed Non-zero DMR Data'!$F:$F, MATCH(I9,'Processed Non-zero DMR Data'!$I:$I, 0)))</f>
        <v>41.441667000000002</v>
      </c>
      <c r="G9">
        <f>IF(H9&lt;&gt;"", INDEX('Processed Non-zero TRI Data'!$H:$H, MATCH(H9, 'Processed Non-zero TRI Data'!$I:$I,0)), INDEX('Processed Non-zero DMR Data'!$G:$G, MATCH(I9,'Processed Non-zero DMR Data'!$I:$I, 0)))</f>
        <v>-88.159719999999993</v>
      </c>
      <c r="I9" s="1">
        <v>110000432504</v>
      </c>
      <c r="J9" s="1">
        <f>IF(H9&lt;&gt;"",INDEX('Processed Non-zero TRI Data'!$L:$L,MATCH('Facility Summary_All'!H9,'Processed Non-zero TRI Data'!$I:$I,0)),INDEX('Processed Non-zero DMR Data'!$L:$L,MATCH('Facility Summary_All'!I9,'Processed Non-zero DMR Data'!$I:$I,0)))*1</f>
        <v>325613</v>
      </c>
      <c r="K9" s="185" t="str">
        <f>INDEX('2017 - 2022 NAICS'!$D:$D, MATCH('Facility Summary_All'!J9,'2017 - 2022 NAICS'!$C:$C,0))</f>
        <v>Surface Active Agent Manufacturing</v>
      </c>
      <c r="L9" t="str">
        <f>IFERROR(VLOOKUP(J9,'NAICS Code to IS CDR Code'!A:C,2,FALSE), "NAICS/SIC Not Provided")</f>
        <v>IS29</v>
      </c>
      <c r="M9" t="str">
        <f>IFERROR(VLOOKUP(J9,'NAICS Code to IS CDR Code'!A:C,3,FALSE), "NAICS/SIC Not Provided")</f>
        <v>Soap, Cleaning Compound, and Toilet Preparation Manufacturing</v>
      </c>
      <c r="N9" t="str">
        <f>IF(COUNTIF('Facility Summary_Water'!$M$2:$M$98,I9)&gt;0,"Yes","No")</f>
        <v>Yes</v>
      </c>
    </row>
    <row r="10" spans="1:14" ht="14.45" customHeight="1" x14ac:dyDescent="0.25">
      <c r="A10" t="s">
        <v>142</v>
      </c>
      <c r="B10"/>
      <c r="C10" t="s">
        <v>143</v>
      </c>
      <c r="D10" t="s">
        <v>138</v>
      </c>
      <c r="E10"/>
      <c r="F10">
        <f>IF(H10&lt;&gt;"", INDEX('Processed Non-zero TRI Data'!$G:$G, MATCH(H10, 'Processed Non-zero TRI Data'!$I:$I,0)), INDEX('Processed Non-zero DMR Data'!$F:$F, MATCH(I10,'Processed Non-zero DMR Data'!$I:$I, 0)))</f>
        <v>38.627777999999999</v>
      </c>
      <c r="G10">
        <f>IF(H10&lt;&gt;"", INDEX('Processed Non-zero TRI Data'!$H:$H, MATCH(H10, 'Processed Non-zero TRI Data'!$I:$I,0)), INDEX('Processed Non-zero DMR Data'!$G:$G, MATCH(I10,'Processed Non-zero DMR Data'!$I:$I, 0)))</f>
        <v>-85.115832999999995</v>
      </c>
      <c r="I10" s="1">
        <v>110015632216</v>
      </c>
      <c r="J10" s="1">
        <f>IF(H10&lt;&gt;"",INDEX('Processed Non-zero TRI Data'!$L:$L,MATCH('Facility Summary_All'!H10,'Processed Non-zero TRI Data'!$I:$I,0)),INDEX('Processed Non-zero DMR Data'!$L:$L,MATCH('Facility Summary_All'!I10,'Processed Non-zero DMR Data'!$I:$I,0)))*1</f>
        <v>221320</v>
      </c>
      <c r="K10" s="185" t="str">
        <f>INDEX('2017 - 2022 NAICS'!$D:$D, MATCH('Facility Summary_All'!J10,'2017 - 2022 NAICS'!$C:$C,0))</f>
        <v>Sewage Treatment Facilities</v>
      </c>
      <c r="L10" t="str">
        <f>IFERROR(VLOOKUP(J10,'NAICS Code to IS CDR Code'!A:C,2,FALSE), "NAICS/SIC Not Provided")</f>
        <v>IS4</v>
      </c>
      <c r="M10" t="str">
        <f>IFERROR(VLOOKUP(J10,'NAICS Code to IS CDR Code'!A:C,3,FALSE), "NAICS/SIC Not Provided")</f>
        <v>Utilities</v>
      </c>
      <c r="N10" t="str">
        <f>IF(COUNTIF('Facility Summary_Water'!$M$2:$M$98,I10)&gt;0,"Yes","No")</f>
        <v>Yes</v>
      </c>
    </row>
    <row r="11" spans="1:14" ht="14.45" customHeight="1" x14ac:dyDescent="0.25">
      <c r="A11" t="s">
        <v>144</v>
      </c>
      <c r="B11"/>
      <c r="C11" t="s">
        <v>145</v>
      </c>
      <c r="D11" t="s">
        <v>146</v>
      </c>
      <c r="E11"/>
      <c r="F11">
        <f>IF(H11&lt;&gt;"", INDEX('Processed Non-zero TRI Data'!$G:$G, MATCH(H11, 'Processed Non-zero TRI Data'!$I:$I,0)), INDEX('Processed Non-zero DMR Data'!$F:$F, MATCH(I11,'Processed Non-zero DMR Data'!$I:$I, 0)))</f>
        <v>39.916111000000001</v>
      </c>
      <c r="G11">
        <f>IF(H11&lt;&gt;"", INDEX('Processed Non-zero TRI Data'!$H:$H, MATCH(H11, 'Processed Non-zero TRI Data'!$I:$I,0)), INDEX('Processed Non-zero DMR Data'!$G:$G, MATCH(I11,'Processed Non-zero DMR Data'!$I:$I, 0)))</f>
        <v>-122.104444</v>
      </c>
      <c r="I11" s="1">
        <v>110000730451</v>
      </c>
      <c r="J11" s="1">
        <f>IF(H11&lt;&gt;"",INDEX('Processed Non-zero TRI Data'!$L:$L,MATCH('Facility Summary_All'!H11,'Processed Non-zero TRI Data'!$I:$I,0)),INDEX('Processed Non-zero DMR Data'!$L:$L,MATCH('Facility Summary_All'!I11,'Processed Non-zero DMR Data'!$I:$I,0)))*1</f>
        <v>221320</v>
      </c>
      <c r="K11" s="185" t="str">
        <f>INDEX('2017 - 2022 NAICS'!$D:$D, MATCH('Facility Summary_All'!J11,'2017 - 2022 NAICS'!$C:$C,0))</f>
        <v>Sewage Treatment Facilities</v>
      </c>
      <c r="L11" t="str">
        <f>IFERROR(VLOOKUP(J11,'NAICS Code to IS CDR Code'!A:C,2,FALSE), "NAICS/SIC Not Provided")</f>
        <v>IS4</v>
      </c>
      <c r="M11" t="str">
        <f>IFERROR(VLOOKUP(J11,'NAICS Code to IS CDR Code'!A:C,3,FALSE), "NAICS/SIC Not Provided")</f>
        <v>Utilities</v>
      </c>
      <c r="N11" t="str">
        <f>IF(COUNTIF('Facility Summary_Water'!$M$2:$M$98,I11)&gt;0,"Yes","No")</f>
        <v>Yes</v>
      </c>
    </row>
    <row r="12" spans="1:14" ht="14.45" customHeight="1" x14ac:dyDescent="0.25">
      <c r="A12" t="s">
        <v>147</v>
      </c>
      <c r="B12"/>
      <c r="C12" t="s">
        <v>148</v>
      </c>
      <c r="D12" t="s">
        <v>138</v>
      </c>
      <c r="E12"/>
      <c r="F12">
        <f>IF(H12&lt;&gt;"", INDEX('Processed Non-zero TRI Data'!$G:$G, MATCH(H12, 'Processed Non-zero TRI Data'!$I:$I,0)), INDEX('Processed Non-zero DMR Data'!$F:$F, MATCH(I12,'Processed Non-zero DMR Data'!$I:$I, 0)))</f>
        <v>37.845027999999999</v>
      </c>
      <c r="G12">
        <f>IF(H12&lt;&gt;"", INDEX('Processed Non-zero TRI Data'!$H:$H, MATCH(H12, 'Processed Non-zero TRI Data'!$I:$I,0)), INDEX('Processed Non-zero DMR Data'!$G:$G, MATCH(I12,'Processed Non-zero DMR Data'!$I:$I, 0)))</f>
        <v>-85.940962999999996</v>
      </c>
      <c r="I12" s="1">
        <v>110000732253</v>
      </c>
      <c r="J12" s="1">
        <f>IF(H12&lt;&gt;"",INDEX('Processed Non-zero TRI Data'!$L:$L,MATCH('Facility Summary_All'!H12,'Processed Non-zero TRI Data'!$I:$I,0)),INDEX('Processed Non-zero DMR Data'!$L:$L,MATCH('Facility Summary_All'!I12,'Processed Non-zero DMR Data'!$I:$I,0)))*1</f>
        <v>221320</v>
      </c>
      <c r="K12" s="185" t="str">
        <f>INDEX('2017 - 2022 NAICS'!$D:$D, MATCH('Facility Summary_All'!J12,'2017 - 2022 NAICS'!$C:$C,0))</f>
        <v>Sewage Treatment Facilities</v>
      </c>
      <c r="L12" t="str">
        <f>IFERROR(VLOOKUP(J12,'NAICS Code to IS CDR Code'!A:C,2,FALSE), "NAICS/SIC Not Provided")</f>
        <v>IS4</v>
      </c>
      <c r="M12" t="str">
        <f>IFERROR(VLOOKUP(J12,'NAICS Code to IS CDR Code'!A:C,3,FALSE), "NAICS/SIC Not Provided")</f>
        <v>Utilities</v>
      </c>
      <c r="N12" t="str">
        <f>IF(COUNTIF('Facility Summary_Water'!$M$2:$M$98,I12)&gt;0,"Yes","No")</f>
        <v>Yes</v>
      </c>
    </row>
    <row r="13" spans="1:14" ht="14.45" customHeight="1" x14ac:dyDescent="0.25">
      <c r="A13" t="s">
        <v>149</v>
      </c>
      <c r="B13"/>
      <c r="C13" t="s">
        <v>150</v>
      </c>
      <c r="D13" t="s">
        <v>138</v>
      </c>
      <c r="E13"/>
      <c r="F13">
        <f>IF(H13&lt;&gt;"", INDEX('Processed Non-zero TRI Data'!$G:$G, MATCH(H13, 'Processed Non-zero TRI Data'!$I:$I,0)), INDEX('Processed Non-zero DMR Data'!$F:$F, MATCH(I13,'Processed Non-zero DMR Data'!$I:$I, 0)))</f>
        <v>37.8125</v>
      </c>
      <c r="G13">
        <f>IF(H13&lt;&gt;"", INDEX('Processed Non-zero TRI Data'!$H:$H, MATCH(H13, 'Processed Non-zero TRI Data'!$I:$I,0)), INDEX('Processed Non-zero DMR Data'!$G:$G, MATCH(I13,'Processed Non-zero DMR Data'!$I:$I, 0)))</f>
        <v>-87.05</v>
      </c>
      <c r="I13" s="1">
        <v>110000747835</v>
      </c>
      <c r="J13" s="1">
        <f>IF(H13&lt;&gt;"",INDEX('Processed Non-zero TRI Data'!$L:$L,MATCH('Facility Summary_All'!H13,'Processed Non-zero TRI Data'!$I:$I,0)),INDEX('Processed Non-zero DMR Data'!$L:$L,MATCH('Facility Summary_All'!I13,'Processed Non-zero DMR Data'!$I:$I,0)))*1</f>
        <v>325211</v>
      </c>
      <c r="K13" s="185" t="str">
        <f>INDEX('2017 - 2022 NAICS'!$D:$D, MATCH('Facility Summary_All'!J13,'2017 - 2022 NAICS'!$C:$C,0))</f>
        <v>Plastics Material and Resin Manufacturing</v>
      </c>
      <c r="L13" t="str">
        <f>IFERROR(VLOOKUP(J13,'NAICS Code to IS CDR Code'!A:C,2,FALSE), "NAICS/SIC Not Provided")</f>
        <v>IS22</v>
      </c>
      <c r="M13" t="str">
        <f>IFERROR(VLOOKUP(J13,'NAICS Code to IS CDR Code'!A:C,3,FALSE), "NAICS/SIC Not Provided")</f>
        <v>Plastic Material and Resin Manufacturing</v>
      </c>
      <c r="N13" t="str">
        <f>IF(COUNTIF('Facility Summary_Water'!$M$2:$M$98,I13)&gt;0,"Yes","No")</f>
        <v>Yes</v>
      </c>
    </row>
    <row r="14" spans="1:14" ht="28.7" customHeight="1" x14ac:dyDescent="0.25">
      <c r="A14" t="s">
        <v>151</v>
      </c>
      <c r="B14"/>
      <c r="C14" t="s">
        <v>152</v>
      </c>
      <c r="D14" t="s">
        <v>153</v>
      </c>
      <c r="E14"/>
      <c r="F14">
        <f>IF(H14&lt;&gt;"", INDEX('Processed Non-zero TRI Data'!$G:$G, MATCH(H14, 'Processed Non-zero TRI Data'!$I:$I,0)), INDEX('Processed Non-zero DMR Data'!$F:$F, MATCH(I14,'Processed Non-zero DMR Data'!$I:$I, 0)))</f>
        <v>39.80142</v>
      </c>
      <c r="G14">
        <f>IF(H14&lt;&gt;"", INDEX('Processed Non-zero TRI Data'!$H:$H, MATCH(H14, 'Processed Non-zero TRI Data'!$I:$I,0)), INDEX('Processed Non-zero DMR Data'!$G:$G, MATCH(I14,'Processed Non-zero DMR Data'!$I:$I, 0)))</f>
        <v>-75.354990000000001</v>
      </c>
      <c r="I14" s="1">
        <v>110000582003</v>
      </c>
      <c r="J14" s="1">
        <f>IF(H14&lt;&gt;"",INDEX('Processed Non-zero TRI Data'!$L:$L,MATCH('Facility Summary_All'!H14,'Processed Non-zero TRI Data'!$I:$I,0)),INDEX('Processed Non-zero DMR Data'!$L:$L,MATCH('Facility Summary_All'!I14,'Processed Non-zero DMR Data'!$I:$I,0)))*1</f>
        <v>325110</v>
      </c>
      <c r="K14" s="185" t="str">
        <f>INDEX('2017 - 2022 NAICS'!$D:$D, MATCH('Facility Summary_All'!J14,'2017 - 2022 NAICS'!$C:$C,0))</f>
        <v>Petrochemical Manufacturing</v>
      </c>
      <c r="L14" t="str">
        <f>IFERROR(VLOOKUP(J14,'NAICS Code to IS CDR Code'!A:C,2,FALSE), "NAICS/SIC Not Provided")</f>
        <v>IS15</v>
      </c>
      <c r="M14" t="str">
        <f>IFERROR(VLOOKUP(J14,'NAICS Code to IS CDR Code'!A:C,3,FALSE), "NAICS/SIC Not Provided")</f>
        <v>Petrochemical Manufacturing</v>
      </c>
      <c r="N14" t="str">
        <f>IF(COUNTIF('Facility Summary_Water'!$M$2:$M$98,I14)&gt;0,"Yes","No")</f>
        <v>Yes</v>
      </c>
    </row>
    <row r="15" spans="1:14" ht="14.45" customHeight="1" x14ac:dyDescent="0.25">
      <c r="A15" t="s">
        <v>154</v>
      </c>
      <c r="B15"/>
      <c r="C15" t="s">
        <v>155</v>
      </c>
      <c r="D15" t="s">
        <v>138</v>
      </c>
      <c r="E15"/>
      <c r="F15">
        <f>IF(H15&lt;&gt;"", INDEX('Processed Non-zero TRI Data'!$G:$G, MATCH(H15, 'Processed Non-zero TRI Data'!$I:$I,0)), INDEX('Processed Non-zero DMR Data'!$F:$F, MATCH(I15,'Processed Non-zero DMR Data'!$I:$I, 0)))</f>
        <v>38.421495999999998</v>
      </c>
      <c r="G15">
        <f>IF(H15&lt;&gt;"", INDEX('Processed Non-zero TRI Data'!$H:$H, MATCH(H15, 'Processed Non-zero TRI Data'!$I:$I,0)), INDEX('Processed Non-zero DMR Data'!$G:$G, MATCH(I15,'Processed Non-zero DMR Data'!$I:$I, 0)))</f>
        <v>-83.734424000000004</v>
      </c>
      <c r="I15" s="1">
        <v>110003251427</v>
      </c>
      <c r="J15" s="1">
        <f>IF(H15&lt;&gt;"",INDEX('Processed Non-zero TRI Data'!$L:$L,MATCH('Facility Summary_All'!H15,'Processed Non-zero TRI Data'!$I:$I,0)),INDEX('Processed Non-zero DMR Data'!$L:$L,MATCH('Facility Summary_All'!I15,'Processed Non-zero DMR Data'!$I:$I,0)))*1</f>
        <v>221320</v>
      </c>
      <c r="K15" s="185" t="str">
        <f>INDEX('2017 - 2022 NAICS'!$D:$D, MATCH('Facility Summary_All'!J15,'2017 - 2022 NAICS'!$C:$C,0))</f>
        <v>Sewage Treatment Facilities</v>
      </c>
      <c r="L15" t="str">
        <f>IFERROR(VLOOKUP(J15,'NAICS Code to IS CDR Code'!A:C,2,FALSE), "NAICS/SIC Not Provided")</f>
        <v>IS4</v>
      </c>
      <c r="M15" t="str">
        <f>IFERROR(VLOOKUP(J15,'NAICS Code to IS CDR Code'!A:C,3,FALSE), "NAICS/SIC Not Provided")</f>
        <v>Utilities</v>
      </c>
      <c r="N15" t="str">
        <f>IF(COUNTIF('Facility Summary_Water'!$M$2:$M$98,I15)&gt;0,"Yes","No")</f>
        <v>Yes</v>
      </c>
    </row>
    <row r="16" spans="1:14" ht="14.45" customHeight="1" x14ac:dyDescent="0.25">
      <c r="A16" t="s">
        <v>156</v>
      </c>
      <c r="B16"/>
      <c r="C16" t="s">
        <v>157</v>
      </c>
      <c r="D16" t="s">
        <v>158</v>
      </c>
      <c r="E16"/>
      <c r="F16">
        <f>IF(H16&lt;&gt;"", INDEX('Processed Non-zero TRI Data'!$G:$G, MATCH(H16, 'Processed Non-zero TRI Data'!$I:$I,0)), INDEX('Processed Non-zero DMR Data'!$F:$F, MATCH(I16,'Processed Non-zero DMR Data'!$I:$I, 0)))</f>
        <v>36.122100000000003</v>
      </c>
      <c r="G16">
        <f>IF(H16&lt;&gt;"", INDEX('Processed Non-zero TRI Data'!$H:$H, MATCH(H16, 'Processed Non-zero TRI Data'!$I:$I,0)), INDEX('Processed Non-zero DMR Data'!$G:$G, MATCH(I16,'Processed Non-zero DMR Data'!$I:$I, 0)))</f>
        <v>-115.17139</v>
      </c>
      <c r="I16" s="1">
        <v>110004306938</v>
      </c>
      <c r="J16" s="1">
        <f>IF(H16&lt;&gt;"",INDEX('Processed Non-zero TRI Data'!$L:$L,MATCH('Facility Summary_All'!H16,'Processed Non-zero TRI Data'!$I:$I,0)),INDEX('Processed Non-zero DMR Data'!$L:$L,MATCH('Facility Summary_All'!I16,'Processed Non-zero DMR Data'!$I:$I,0)))*1</f>
        <v>721110</v>
      </c>
      <c r="K16" s="185" t="str">
        <f>INDEX('2017 - 2022 NAICS'!$D:$D, MATCH('Facility Summary_All'!J16,'2017 - 2022 NAICS'!$C:$C,0))</f>
        <v>Hotels (except Casino Hotels) and Motels</v>
      </c>
      <c r="L16" t="str">
        <f>IFERROR(VLOOKUP(J16,'NAICS Code to IS CDR Code'!A:C,2,FALSE), "NAICS/SIC Not Provided")</f>
        <v>IS47</v>
      </c>
      <c r="M16" t="str">
        <f>IFERROR(VLOOKUP(J16,'NAICS Code to IS CDR Code'!A:C,3,FALSE), "NAICS/SIC Not Provided")</f>
        <v>Services</v>
      </c>
      <c r="N16" t="str">
        <f>IF(COUNTIF('Facility Summary_Water'!$M$2:$M$98,I16)&gt;0,"Yes","No")</f>
        <v>Yes</v>
      </c>
    </row>
    <row r="17" spans="1:14" ht="14.45" customHeight="1" x14ac:dyDescent="0.25">
      <c r="A17" t="s">
        <v>159</v>
      </c>
      <c r="B17"/>
      <c r="C17" t="s">
        <v>160</v>
      </c>
      <c r="D17" t="s">
        <v>138</v>
      </c>
      <c r="E17"/>
      <c r="F17">
        <f>IF(H17&lt;&gt;"", INDEX('Processed Non-zero TRI Data'!$G:$G, MATCH(H17, 'Processed Non-zero TRI Data'!$I:$I,0)), INDEX('Processed Non-zero DMR Data'!$F:$F, MATCH(I17,'Processed Non-zero DMR Data'!$I:$I, 0)))</f>
        <v>37.983888999999998</v>
      </c>
      <c r="G17">
        <f>IF(H17&lt;&gt;"", INDEX('Processed Non-zero TRI Data'!$H:$H, MATCH(H17, 'Processed Non-zero TRI Data'!$I:$I,0)), INDEX('Processed Non-zero DMR Data'!$G:$G, MATCH(I17,'Processed Non-zero DMR Data'!$I:$I, 0)))</f>
        <v>-85.722778000000005</v>
      </c>
      <c r="I17" s="1">
        <v>110020941383</v>
      </c>
      <c r="J17" s="1">
        <f>IF(H17&lt;&gt;"",INDEX('Processed Non-zero TRI Data'!$L:$L,MATCH('Facility Summary_All'!H17,'Processed Non-zero TRI Data'!$I:$I,0)),INDEX('Processed Non-zero DMR Data'!$L:$L,MATCH('Facility Summary_All'!I17,'Processed Non-zero DMR Data'!$I:$I,0)))*1</f>
        <v>221320</v>
      </c>
      <c r="K17" s="185" t="str">
        <f>INDEX('2017 - 2022 NAICS'!$D:$D, MATCH('Facility Summary_All'!J17,'2017 - 2022 NAICS'!$C:$C,0))</f>
        <v>Sewage Treatment Facilities</v>
      </c>
      <c r="L17" t="str">
        <f>IFERROR(VLOOKUP(J17,'NAICS Code to IS CDR Code'!A:C,2,FALSE), "NAICS/SIC Not Provided")</f>
        <v>IS4</v>
      </c>
      <c r="M17" t="str">
        <f>IFERROR(VLOOKUP(J17,'NAICS Code to IS CDR Code'!A:C,3,FALSE), "NAICS/SIC Not Provided")</f>
        <v>Utilities</v>
      </c>
      <c r="N17" t="str">
        <f>IF(COUNTIF('Facility Summary_Water'!$M$2:$M$98,I17)&gt;0,"Yes","No")</f>
        <v>Yes</v>
      </c>
    </row>
    <row r="18" spans="1:14" ht="14.45" customHeight="1" x14ac:dyDescent="0.25">
      <c r="A18" t="s">
        <v>161</v>
      </c>
      <c r="B18"/>
      <c r="C18" t="s">
        <v>162</v>
      </c>
      <c r="D18" t="s">
        <v>146</v>
      </c>
      <c r="E18"/>
      <c r="F18">
        <f>IF(H18&lt;&gt;"", INDEX('Processed Non-zero TRI Data'!$G:$G, MATCH(H18, 'Processed Non-zero TRI Data'!$I:$I,0)), INDEX('Processed Non-zero DMR Data'!$F:$F, MATCH(I18,'Processed Non-zero DMR Data'!$I:$I, 0)))</f>
        <v>34.055900000000001</v>
      </c>
      <c r="G18">
        <f>IF(H18&lt;&gt;"", INDEX('Processed Non-zero TRI Data'!$H:$H, MATCH(H18, 'Processed Non-zero TRI Data'!$I:$I,0)), INDEX('Processed Non-zero DMR Data'!$G:$G, MATCH(I18,'Processed Non-zero DMR Data'!$I:$I, 0)))</f>
        <v>-117.36134</v>
      </c>
      <c r="I18" s="1">
        <v>110000525842</v>
      </c>
      <c r="J18" s="1">
        <f>IF(H18&lt;&gt;"",INDEX('Processed Non-zero TRI Data'!$L:$L,MATCH('Facility Summary_All'!H18,'Processed Non-zero TRI Data'!$I:$I,0)),INDEX('Processed Non-zero DMR Data'!$L:$L,MATCH('Facility Summary_All'!I18,'Processed Non-zero DMR Data'!$I:$I,0)))*1</f>
        <v>221320</v>
      </c>
      <c r="K18" s="185" t="str">
        <f>INDEX('2017 - 2022 NAICS'!$D:$D, MATCH('Facility Summary_All'!J18,'2017 - 2022 NAICS'!$C:$C,0))</f>
        <v>Sewage Treatment Facilities</v>
      </c>
      <c r="L18" t="str">
        <f>IFERROR(VLOOKUP(J18,'NAICS Code to IS CDR Code'!A:C,2,FALSE), "NAICS/SIC Not Provided")</f>
        <v>IS4</v>
      </c>
      <c r="M18" t="str">
        <f>IFERROR(VLOOKUP(J18,'NAICS Code to IS CDR Code'!A:C,3,FALSE), "NAICS/SIC Not Provided")</f>
        <v>Utilities</v>
      </c>
      <c r="N18" t="str">
        <f>IF(COUNTIF('Facility Summary_Water'!$M$2:$M$98,I18)&gt;0,"Yes","No")</f>
        <v>Yes</v>
      </c>
    </row>
    <row r="19" spans="1:14" ht="14.45" customHeight="1" x14ac:dyDescent="0.25">
      <c r="A19" t="s">
        <v>163</v>
      </c>
      <c r="B19"/>
      <c r="C19" t="s">
        <v>164</v>
      </c>
      <c r="D19" t="s">
        <v>135</v>
      </c>
      <c r="E19"/>
      <c r="F19">
        <f>IF(H19&lt;&gt;"", INDEX('Processed Non-zero TRI Data'!$G:$G, MATCH(H19, 'Processed Non-zero TRI Data'!$I:$I,0)), INDEX('Processed Non-zero DMR Data'!$F:$F, MATCH(I19,'Processed Non-zero DMR Data'!$I:$I, 0)))</f>
        <v>39.599829999999997</v>
      </c>
      <c r="G19">
        <f>IF(H19&lt;&gt;"", INDEX('Processed Non-zero TRI Data'!$H:$H, MATCH(H19, 'Processed Non-zero TRI Data'!$I:$I,0)), INDEX('Processed Non-zero DMR Data'!$G:$G, MATCH(I19,'Processed Non-zero DMR Data'!$I:$I, 0)))</f>
        <v>-79.97148</v>
      </c>
      <c r="I19" s="1">
        <v>110000572782</v>
      </c>
      <c r="J19" s="1">
        <f>IF(H19&lt;&gt;"",INDEX('Processed Non-zero TRI Data'!$L:$L,MATCH('Facility Summary_All'!H19,'Processed Non-zero TRI Data'!$I:$I,0)),INDEX('Processed Non-zero DMR Data'!$L:$L,MATCH('Facility Summary_All'!I19,'Processed Non-zero DMR Data'!$I:$I,0)))*1</f>
        <v>325110</v>
      </c>
      <c r="K19" s="185" t="str">
        <f>INDEX('2017 - 2022 NAICS'!$D:$D, MATCH('Facility Summary_All'!J19,'2017 - 2022 NAICS'!$C:$C,0))</f>
        <v>Petrochemical Manufacturing</v>
      </c>
      <c r="L19" t="str">
        <f>IFERROR(VLOOKUP(J19,'NAICS Code to IS CDR Code'!A:C,2,FALSE), "NAICS/SIC Not Provided")</f>
        <v>IS15</v>
      </c>
      <c r="M19" t="str">
        <f>IFERROR(VLOOKUP(J19,'NAICS Code to IS CDR Code'!A:C,3,FALSE), "NAICS/SIC Not Provided")</f>
        <v>Petrochemical Manufacturing</v>
      </c>
      <c r="N19" t="str">
        <f>IF(COUNTIF('Facility Summary_Water'!$M$2:$M$98,I19)&gt;0,"Yes","No")</f>
        <v>Yes</v>
      </c>
    </row>
    <row r="20" spans="1:14" ht="72" customHeight="1" x14ac:dyDescent="0.25">
      <c r="A20" t="s">
        <v>165</v>
      </c>
      <c r="B20"/>
      <c r="C20" t="s">
        <v>166</v>
      </c>
      <c r="D20" t="s">
        <v>146</v>
      </c>
      <c r="E20"/>
      <c r="F20">
        <f>IF(H20&lt;&gt;"", INDEX('Processed Non-zero TRI Data'!$G:$G, MATCH(H20, 'Processed Non-zero TRI Data'!$I:$I,0)), INDEX('Processed Non-zero DMR Data'!$F:$F, MATCH(I20,'Processed Non-zero DMR Data'!$I:$I, 0)))</f>
        <v>35.178620000000002</v>
      </c>
      <c r="G20">
        <f>IF(H20&lt;&gt;"", INDEX('Processed Non-zero TRI Data'!$H:$H, MATCH(H20, 'Processed Non-zero TRI Data'!$I:$I,0)), INDEX('Processed Non-zero DMR Data'!$G:$G, MATCH(I20,'Processed Non-zero DMR Data'!$I:$I, 0)))</f>
        <v>-120.62067500000001</v>
      </c>
      <c r="I20" s="1">
        <v>110037256867</v>
      </c>
      <c r="J20" s="1">
        <f>IF(H20&lt;&gt;"",INDEX('Processed Non-zero TRI Data'!$L:$L,MATCH('Facility Summary_All'!H20,'Processed Non-zero TRI Data'!$I:$I,0)),INDEX('Processed Non-zero DMR Data'!$L:$L,MATCH('Facility Summary_All'!I20,'Processed Non-zero DMR Data'!$I:$I,0)))*1</f>
        <v>324110</v>
      </c>
      <c r="K20" s="185" t="str">
        <f>INDEX('2017 - 2022 NAICS'!$D:$D, MATCH('Facility Summary_All'!J20,'2017 - 2022 NAICS'!$C:$C,0))</f>
        <v>Petroleum Refineries</v>
      </c>
      <c r="L20" t="str">
        <f>IFERROR(VLOOKUP(J20,'NAICS Code to IS CDR Code'!A:C,2,FALSE), "NAICS/SIC Not Provided")</f>
        <v>IS11</v>
      </c>
      <c r="M20" t="str">
        <f>IFERROR(VLOOKUP(J20,'NAICS Code to IS CDR Code'!A:C,3,FALSE), "NAICS/SIC Not Provided")</f>
        <v>Petroleum Refineries</v>
      </c>
      <c r="N20" t="str">
        <f>IF(COUNTIF('Facility Summary_Water'!$M$2:$M$98,I20)&gt;0,"Yes","No")</f>
        <v>Yes</v>
      </c>
    </row>
    <row r="21" spans="1:14" ht="14.45" customHeight="1" x14ac:dyDescent="0.25">
      <c r="A21" t="s">
        <v>167</v>
      </c>
      <c r="B21"/>
      <c r="C21" t="s">
        <v>157</v>
      </c>
      <c r="D21" t="s">
        <v>158</v>
      </c>
      <c r="E21"/>
      <c r="F21">
        <f>IF(H21&lt;&gt;"", INDEX('Processed Non-zero TRI Data'!$G:$G, MATCH(H21, 'Processed Non-zero TRI Data'!$I:$I,0)), INDEX('Processed Non-zero DMR Data'!$F:$F, MATCH(I21,'Processed Non-zero DMR Data'!$I:$I, 0)))</f>
        <v>36.116160999999998</v>
      </c>
      <c r="G21">
        <f>IF(H21&lt;&gt;"", INDEX('Processed Non-zero TRI Data'!$H:$H, MATCH(H21, 'Processed Non-zero TRI Data'!$I:$I,0)), INDEX('Processed Non-zero DMR Data'!$G:$G, MATCH(I21,'Processed Non-zero DMR Data'!$I:$I, 0)))</f>
        <v>-115.172741</v>
      </c>
      <c r="I21" s="1">
        <v>110015972562</v>
      </c>
      <c r="J21" s="1">
        <f>IF(H21&lt;&gt;"",INDEX('Processed Non-zero TRI Data'!$L:$L,MATCH('Facility Summary_All'!H21,'Processed Non-zero TRI Data'!$I:$I,0)),INDEX('Processed Non-zero DMR Data'!$L:$L,MATCH('Facility Summary_All'!I21,'Processed Non-zero DMR Data'!$I:$I,0)))*1</f>
        <v>721110</v>
      </c>
      <c r="K21" s="185" t="str">
        <f>INDEX('2017 - 2022 NAICS'!$D:$D, MATCH('Facility Summary_All'!J21,'2017 - 2022 NAICS'!$C:$C,0))</f>
        <v>Hotels (except Casino Hotels) and Motels</v>
      </c>
      <c r="L21" t="str">
        <f>IFERROR(VLOOKUP(J21,'NAICS Code to IS CDR Code'!A:C,2,FALSE), "NAICS/SIC Not Provided")</f>
        <v>IS47</v>
      </c>
      <c r="M21" t="str">
        <f>IFERROR(VLOOKUP(J21,'NAICS Code to IS CDR Code'!A:C,3,FALSE), "NAICS/SIC Not Provided")</f>
        <v>Services</v>
      </c>
      <c r="N21" t="str">
        <f>IF(COUNTIF('Facility Summary_Water'!$M$2:$M$98,I21)&gt;0,"Yes","No")</f>
        <v>Yes</v>
      </c>
    </row>
    <row r="22" spans="1:14" ht="14.45" customHeight="1" x14ac:dyDescent="0.25">
      <c r="A22" t="s">
        <v>168</v>
      </c>
      <c r="B22"/>
      <c r="C22" t="s">
        <v>169</v>
      </c>
      <c r="D22" t="s">
        <v>170</v>
      </c>
      <c r="E22"/>
      <c r="F22">
        <f>IF(H22&lt;&gt;"", INDEX('Processed Non-zero TRI Data'!$G:$G, MATCH(H22, 'Processed Non-zero TRI Data'!$I:$I,0)), INDEX('Processed Non-zero DMR Data'!$F:$F, MATCH(I22,'Processed Non-zero DMR Data'!$I:$I, 0)))</f>
        <v>37.188566000000002</v>
      </c>
      <c r="G22">
        <f>IF(H22&lt;&gt;"", INDEX('Processed Non-zero TRI Data'!$H:$H, MATCH(H22, 'Processed Non-zero TRI Data'!$I:$I,0)), INDEX('Processed Non-zero DMR Data'!$G:$G, MATCH(I22,'Processed Non-zero DMR Data'!$I:$I, 0)))</f>
        <v>-93.325920999999994</v>
      </c>
      <c r="I22" s="1">
        <v>110045547547</v>
      </c>
      <c r="J22" s="1">
        <f>IF(H22&lt;&gt;"",INDEX('Processed Non-zero TRI Data'!$L:$L,MATCH('Facility Summary_All'!H22,'Processed Non-zero TRI Data'!$I:$I,0)),INDEX('Processed Non-zero DMR Data'!$L:$L,MATCH('Facility Summary_All'!I22,'Processed Non-zero DMR Data'!$I:$I,0)))*1</f>
        <v>325411</v>
      </c>
      <c r="K22" s="185" t="str">
        <f>INDEX('2017 - 2022 NAICS'!$D:$D, MATCH('Facility Summary_All'!J22,'2017 - 2022 NAICS'!$C:$C,0))</f>
        <v>Medicinal and Botanical Manufacturing</v>
      </c>
      <c r="L22" t="str">
        <f>IFERROR(VLOOKUP(J22,'NAICS Code to IS CDR Code'!A:C,2,FALSE), "NAICS/SIC Not Provided")</f>
        <v>IS26</v>
      </c>
      <c r="M22" t="str">
        <f>IFERROR(VLOOKUP(J22,'NAICS Code to IS CDR Code'!A:C,3,FALSE), "NAICS/SIC Not Provided")</f>
        <v>Pharmaceutical and Medicine Manufacturing</v>
      </c>
      <c r="N22" t="str">
        <f>IF(COUNTIF('Facility Summary_Water'!$M$2:$M$98,I22)&gt;0,"Yes","No")</f>
        <v>Yes</v>
      </c>
    </row>
    <row r="23" spans="1:14" ht="14.45" customHeight="1" x14ac:dyDescent="0.25">
      <c r="A23" t="s">
        <v>171</v>
      </c>
      <c r="B23"/>
      <c r="C23" t="s">
        <v>157</v>
      </c>
      <c r="D23" t="s">
        <v>158</v>
      </c>
      <c r="E23"/>
      <c r="F23">
        <f>IF(H23&lt;&gt;"", INDEX('Processed Non-zero TRI Data'!$G:$G, MATCH(H23, 'Processed Non-zero TRI Data'!$I:$I,0)), INDEX('Processed Non-zero DMR Data'!$F:$F, MATCH(I23,'Processed Non-zero DMR Data'!$I:$I, 0)))</f>
        <v>36.132570000000001</v>
      </c>
      <c r="G23">
        <f>IF(H23&lt;&gt;"", INDEX('Processed Non-zero TRI Data'!$H:$H, MATCH(H23, 'Processed Non-zero TRI Data'!$I:$I,0)), INDEX('Processed Non-zero DMR Data'!$G:$G, MATCH(I23,'Processed Non-zero DMR Data'!$I:$I, 0)))</f>
        <v>-115.16477</v>
      </c>
      <c r="I23" s="1">
        <v>110041253256</v>
      </c>
      <c r="J23" s="1">
        <f>IF(H23&lt;&gt;"",INDEX('Processed Non-zero TRI Data'!$L:$L,MATCH('Facility Summary_All'!H23,'Processed Non-zero TRI Data'!$I:$I,0)),INDEX('Processed Non-zero DMR Data'!$L:$L,MATCH('Facility Summary_All'!I23,'Processed Non-zero DMR Data'!$I:$I,0)))*1</f>
        <v>721110</v>
      </c>
      <c r="K23" s="185" t="str">
        <f>INDEX('2017 - 2022 NAICS'!$D:$D, MATCH('Facility Summary_All'!J23,'2017 - 2022 NAICS'!$C:$C,0))</f>
        <v>Hotels (except Casino Hotels) and Motels</v>
      </c>
      <c r="L23" t="str">
        <f>IFERROR(VLOOKUP(J23,'NAICS Code to IS CDR Code'!A:C,2,FALSE), "NAICS/SIC Not Provided")</f>
        <v>IS47</v>
      </c>
      <c r="M23" t="str">
        <f>IFERROR(VLOOKUP(J23,'NAICS Code to IS CDR Code'!A:C,3,FALSE), "NAICS/SIC Not Provided")</f>
        <v>Services</v>
      </c>
      <c r="N23" t="str">
        <f>IF(COUNTIF('Facility Summary_Water'!$M$2:$M$98,I23)&gt;0,"Yes","No")</f>
        <v>Yes</v>
      </c>
    </row>
    <row r="24" spans="1:14" ht="14.45" customHeight="1" x14ac:dyDescent="0.25">
      <c r="A24" t="s">
        <v>172</v>
      </c>
      <c r="B24"/>
      <c r="C24" t="s">
        <v>173</v>
      </c>
      <c r="D24" t="s">
        <v>158</v>
      </c>
      <c r="E24"/>
      <c r="F24">
        <f>IF(H24&lt;&gt;"", INDEX('Processed Non-zero TRI Data'!$G:$G, MATCH(H24, 'Processed Non-zero TRI Data'!$I:$I,0)), INDEX('Processed Non-zero DMR Data'!$F:$F, MATCH(I24,'Processed Non-zero DMR Data'!$I:$I, 0)))</f>
        <v>36.035440000000001</v>
      </c>
      <c r="G24">
        <f>IF(H24&lt;&gt;"", INDEX('Processed Non-zero TRI Data'!$H:$H, MATCH(H24, 'Processed Non-zero TRI Data'!$I:$I,0)), INDEX('Processed Non-zero DMR Data'!$G:$G, MATCH(I24,'Processed Non-zero DMR Data'!$I:$I, 0)))</f>
        <v>-114.99994</v>
      </c>
      <c r="I24" s="1">
        <v>110043808467</v>
      </c>
      <c r="J24" s="1">
        <f>IF(H24&lt;&gt;"",INDEX('Processed Non-zero TRI Data'!$L:$L,MATCH('Facility Summary_All'!H24,'Processed Non-zero TRI Data'!$I:$I,0)),INDEX('Processed Non-zero DMR Data'!$L:$L,MATCH('Facility Summary_All'!I24,'Processed Non-zero DMR Data'!$I:$I,0)))*1</f>
        <v>236220</v>
      </c>
      <c r="K24" s="185" t="str">
        <f>INDEX('2017 - 2022 NAICS'!$D:$D, MATCH('Facility Summary_All'!J24,'2017 - 2022 NAICS'!$C:$C,0))</f>
        <v>Commercial and Institutional Building Construction</v>
      </c>
      <c r="L24" t="str">
        <f>IFERROR(VLOOKUP(J24,'NAICS Code to IS CDR Code'!A:C,2,FALSE), "NAICS/SIC Not Provided")</f>
        <v>IS5</v>
      </c>
      <c r="M24" t="str">
        <f>IFERROR(VLOOKUP(J24,'NAICS Code to IS CDR Code'!A:C,3,FALSE), "NAICS/SIC Not Provided")</f>
        <v>Construction</v>
      </c>
      <c r="N24" t="str">
        <f>IF(COUNTIF('Facility Summary_Water'!$M$2:$M$98,I24)&gt;0,"Yes","No")</f>
        <v>Yes</v>
      </c>
    </row>
    <row r="25" spans="1:14" ht="14.45" customHeight="1" x14ac:dyDescent="0.25">
      <c r="A25" t="s">
        <v>174</v>
      </c>
      <c r="B25"/>
      <c r="C25" t="s">
        <v>175</v>
      </c>
      <c r="D25" t="s">
        <v>106</v>
      </c>
      <c r="E25"/>
      <c r="F25">
        <f>IF(H25&lt;&gt;"", INDEX('Processed Non-zero TRI Data'!$G:$G, MATCH(H25, 'Processed Non-zero TRI Data'!$I:$I,0)), INDEX('Processed Non-zero DMR Data'!$F:$F, MATCH(I25,'Processed Non-zero DMR Data'!$I:$I, 0)))</f>
        <v>30.193916000000002</v>
      </c>
      <c r="G25">
        <f>IF(H25&lt;&gt;"", INDEX('Processed Non-zero TRI Data'!$H:$H, MATCH(H25, 'Processed Non-zero TRI Data'!$I:$I,0)), INDEX('Processed Non-zero DMR Data'!$G:$G, MATCH(I25,'Processed Non-zero DMR Data'!$I:$I, 0)))</f>
        <v>-93.321347000000003</v>
      </c>
      <c r="I25" s="1">
        <v>110000597266</v>
      </c>
      <c r="J25" s="1">
        <f>IF(H25&lt;&gt;"",INDEX('Processed Non-zero TRI Data'!$L:$L,MATCH('Facility Summary_All'!H25,'Processed Non-zero TRI Data'!$I:$I,0)),INDEX('Processed Non-zero DMR Data'!$L:$L,MATCH('Facility Summary_All'!I25,'Processed Non-zero DMR Data'!$I:$I,0)))*1</f>
        <v>325211</v>
      </c>
      <c r="K25" s="185" t="str">
        <f>INDEX('2017 - 2022 NAICS'!$D:$D, MATCH('Facility Summary_All'!J25,'2017 - 2022 NAICS'!$C:$C,0))</f>
        <v>Plastics Material and Resin Manufacturing</v>
      </c>
      <c r="L25" t="str">
        <f>IFERROR(VLOOKUP(J25,'NAICS Code to IS CDR Code'!A:C,2,FALSE), "NAICS/SIC Not Provided")</f>
        <v>IS22</v>
      </c>
      <c r="M25" t="str">
        <f>IFERROR(VLOOKUP(J25,'NAICS Code to IS CDR Code'!A:C,3,FALSE), "NAICS/SIC Not Provided")</f>
        <v>Plastic Material and Resin Manufacturing</v>
      </c>
      <c r="N25" t="str">
        <f>IF(COUNTIF('Facility Summary_Water'!$M$2:$M$98,I25)&gt;0,"Yes","No")</f>
        <v>Yes</v>
      </c>
    </row>
    <row r="26" spans="1:14" ht="14.45" customHeight="1" x14ac:dyDescent="0.25">
      <c r="A26" t="s">
        <v>176</v>
      </c>
      <c r="B26"/>
      <c r="C26" t="s">
        <v>177</v>
      </c>
      <c r="D26" t="s">
        <v>146</v>
      </c>
      <c r="E26"/>
      <c r="F26">
        <f>IF(H26&lt;&gt;"", INDEX('Processed Non-zero TRI Data'!$G:$G, MATCH(H26, 'Processed Non-zero TRI Data'!$I:$I,0)), INDEX('Processed Non-zero DMR Data'!$F:$F, MATCH(I26,'Processed Non-zero DMR Data'!$I:$I, 0)))</f>
        <v>38.368760000000002</v>
      </c>
      <c r="G26">
        <f>IF(H26&lt;&gt;"", INDEX('Processed Non-zero TRI Data'!$H:$H, MATCH(H26, 'Processed Non-zero TRI Data'!$I:$I,0)), INDEX('Processed Non-zero DMR Data'!$G:$G, MATCH(I26,'Processed Non-zero DMR Data'!$I:$I, 0)))</f>
        <v>-122.76860000000001</v>
      </c>
      <c r="I26" s="1">
        <v>110000730460</v>
      </c>
      <c r="J26" s="1">
        <f>IF(H26&lt;&gt;"",INDEX('Processed Non-zero TRI Data'!$L:$L,MATCH('Facility Summary_All'!H26,'Processed Non-zero TRI Data'!$I:$I,0)),INDEX('Processed Non-zero DMR Data'!$L:$L,MATCH('Facility Summary_All'!I26,'Processed Non-zero DMR Data'!$I:$I,0)))*1</f>
        <v>221320</v>
      </c>
      <c r="K26" s="185" t="str">
        <f>INDEX('2017 - 2022 NAICS'!$D:$D, MATCH('Facility Summary_All'!J26,'2017 - 2022 NAICS'!$C:$C,0))</f>
        <v>Sewage Treatment Facilities</v>
      </c>
      <c r="L26" t="str">
        <f>IFERROR(VLOOKUP(J26,'NAICS Code to IS CDR Code'!A:C,2,FALSE), "NAICS/SIC Not Provided")</f>
        <v>IS4</v>
      </c>
      <c r="M26" t="str">
        <f>IFERROR(VLOOKUP(J26,'NAICS Code to IS CDR Code'!A:C,3,FALSE), "NAICS/SIC Not Provided")</f>
        <v>Utilities</v>
      </c>
      <c r="N26" t="str">
        <f>IF(COUNTIF('Facility Summary_Water'!$M$2:$M$98,I26)&gt;0,"Yes","No")</f>
        <v>Yes</v>
      </c>
    </row>
    <row r="27" spans="1:14" ht="14.45" customHeight="1" x14ac:dyDescent="0.25">
      <c r="A27" t="s">
        <v>178</v>
      </c>
      <c r="B27"/>
      <c r="C27" t="s">
        <v>179</v>
      </c>
      <c r="D27" t="s">
        <v>138</v>
      </c>
      <c r="E27"/>
      <c r="F27">
        <f>IF(H27&lt;&gt;"", INDEX('Processed Non-zero TRI Data'!$G:$G, MATCH(H27, 'Processed Non-zero TRI Data'!$I:$I,0)), INDEX('Processed Non-zero DMR Data'!$F:$F, MATCH(I27,'Processed Non-zero DMR Data'!$I:$I, 0)))</f>
        <v>38.101582000000001</v>
      </c>
      <c r="G27">
        <f>IF(H27&lt;&gt;"", INDEX('Processed Non-zero TRI Data'!$H:$H, MATCH(H27, 'Processed Non-zero TRI Data'!$I:$I,0)), INDEX('Processed Non-zero DMR Data'!$G:$G, MATCH(I27,'Processed Non-zero DMR Data'!$I:$I, 0)))</f>
        <v>-83.919770999999997</v>
      </c>
      <c r="I27" s="1">
        <v>110039705361</v>
      </c>
      <c r="J27" s="1">
        <f>IF(H27&lt;&gt;"",INDEX('Processed Non-zero TRI Data'!$L:$L,MATCH('Facility Summary_All'!H27,'Processed Non-zero TRI Data'!$I:$I,0)),INDEX('Processed Non-zero DMR Data'!$L:$L,MATCH('Facility Summary_All'!I27,'Processed Non-zero DMR Data'!$I:$I,0)))*1</f>
        <v>221320</v>
      </c>
      <c r="K27" s="185" t="str">
        <f>INDEX('2017 - 2022 NAICS'!$D:$D, MATCH('Facility Summary_All'!J27,'2017 - 2022 NAICS'!$C:$C,0))</f>
        <v>Sewage Treatment Facilities</v>
      </c>
      <c r="L27" t="str">
        <f>IFERROR(VLOOKUP(J27,'NAICS Code to IS CDR Code'!A:C,2,FALSE), "NAICS/SIC Not Provided")</f>
        <v>IS4</v>
      </c>
      <c r="M27" t="str">
        <f>IFERROR(VLOOKUP(J27,'NAICS Code to IS CDR Code'!A:C,3,FALSE), "NAICS/SIC Not Provided")</f>
        <v>Utilities</v>
      </c>
      <c r="N27" t="str">
        <f>IF(COUNTIF('Facility Summary_Water'!$M$2:$M$98,I27)&gt;0,"Yes","No")</f>
        <v>Yes</v>
      </c>
    </row>
    <row r="28" spans="1:14" ht="14.45" customHeight="1" x14ac:dyDescent="0.25">
      <c r="A28" t="s">
        <v>180</v>
      </c>
      <c r="B28"/>
      <c r="C28" t="s">
        <v>181</v>
      </c>
      <c r="D28" t="s">
        <v>106</v>
      </c>
      <c r="E28"/>
      <c r="F28">
        <f>IF(H28&lt;&gt;"", INDEX('Processed Non-zero TRI Data'!$G:$G, MATCH(H28, 'Processed Non-zero TRI Data'!$I:$I,0)), INDEX('Processed Non-zero DMR Data'!$F:$F, MATCH(I28,'Processed Non-zero DMR Data'!$I:$I, 0)))</f>
        <v>30.486767</v>
      </c>
      <c r="G28">
        <f>IF(H28&lt;&gt;"", INDEX('Processed Non-zero TRI Data'!$H:$H, MATCH(H28, 'Processed Non-zero TRI Data'!$I:$I,0)), INDEX('Processed Non-zero DMR Data'!$G:$G, MATCH(I28,'Processed Non-zero DMR Data'!$I:$I, 0)))</f>
        <v>-90.925479999999993</v>
      </c>
      <c r="I28" s="1">
        <v>110000597355</v>
      </c>
      <c r="J28" s="1">
        <f>IF(H28&lt;&gt;"",INDEX('Processed Non-zero TRI Data'!$L:$L,MATCH('Facility Summary_All'!H28,'Processed Non-zero TRI Data'!$I:$I,0)),INDEX('Processed Non-zero DMR Data'!$L:$L,MATCH('Facility Summary_All'!I28,'Processed Non-zero DMR Data'!$I:$I,0)))*1</f>
        <v>311942</v>
      </c>
      <c r="K28" s="185" t="str">
        <f>INDEX('2017 - 2022 NAICS'!$D:$D, MATCH('Facility Summary_All'!J28,'2017 - 2022 NAICS'!$C:$C,0))</f>
        <v>Spice and Extract Manufacturing</v>
      </c>
      <c r="L28" t="str">
        <f>IFERROR(VLOOKUP(J28,'NAICS Code to IS CDR Code'!A:C,2,FALSE), "NAICS/SIC Not Provided")</f>
        <v>IS6</v>
      </c>
      <c r="M28" t="str">
        <f>IFERROR(VLOOKUP(J28,'NAICS Code to IS CDR Code'!A:C,3,FALSE), "NAICS/SIC Not Provided")</f>
        <v>Food, beverage, and tobacco product manufacturing</v>
      </c>
      <c r="N28" t="str">
        <f>IF(COUNTIF('Facility Summary_Water'!$M$2:$M$98,I28)&gt;0,"Yes","No")</f>
        <v>Yes</v>
      </c>
    </row>
    <row r="29" spans="1:14" ht="14.45" customHeight="1" x14ac:dyDescent="0.25">
      <c r="A29" t="s">
        <v>182</v>
      </c>
      <c r="B29"/>
      <c r="C29" t="s">
        <v>183</v>
      </c>
      <c r="D29" t="s">
        <v>138</v>
      </c>
      <c r="E29"/>
      <c r="F29">
        <f>IF(H29&lt;&gt;"", INDEX('Processed Non-zero TRI Data'!$G:$G, MATCH(H29, 'Processed Non-zero TRI Data'!$I:$I,0)), INDEX('Processed Non-zero DMR Data'!$F:$F, MATCH(I29,'Processed Non-zero DMR Data'!$I:$I, 0)))</f>
        <v>37.852220000000003</v>
      </c>
      <c r="G29">
        <f>IF(H29&lt;&gt;"", INDEX('Processed Non-zero TRI Data'!$H:$H, MATCH(H29, 'Processed Non-zero TRI Data'!$I:$I,0)), INDEX('Processed Non-zero DMR Data'!$G:$G, MATCH(I29,'Processed Non-zero DMR Data'!$I:$I, 0)))</f>
        <v>-84.363079999999997</v>
      </c>
      <c r="I29" s="1">
        <v>110016759444</v>
      </c>
      <c r="J29" s="1">
        <f>IF(H29&lt;&gt;"",INDEX('Processed Non-zero TRI Data'!$L:$L,MATCH('Facility Summary_All'!H29,'Processed Non-zero TRI Data'!$I:$I,0)),INDEX('Processed Non-zero DMR Data'!$L:$L,MATCH('Facility Summary_All'!I29,'Processed Non-zero DMR Data'!$I:$I,0)))*1</f>
        <v>221320</v>
      </c>
      <c r="K29" s="185" t="str">
        <f>INDEX('2017 - 2022 NAICS'!$D:$D, MATCH('Facility Summary_All'!J29,'2017 - 2022 NAICS'!$C:$C,0))</f>
        <v>Sewage Treatment Facilities</v>
      </c>
      <c r="L29" t="str">
        <f>IFERROR(VLOOKUP(J29,'NAICS Code to IS CDR Code'!A:C,2,FALSE), "NAICS/SIC Not Provided")</f>
        <v>IS4</v>
      </c>
      <c r="M29" t="str">
        <f>IFERROR(VLOOKUP(J29,'NAICS Code to IS CDR Code'!A:C,3,FALSE), "NAICS/SIC Not Provided")</f>
        <v>Utilities</v>
      </c>
      <c r="N29" t="str">
        <f>IF(COUNTIF('Facility Summary_Water'!$M$2:$M$98,I29)&gt;0,"Yes","No")</f>
        <v>Yes</v>
      </c>
    </row>
    <row r="30" spans="1:14" ht="14.45" customHeight="1" x14ac:dyDescent="0.25">
      <c r="A30" t="s">
        <v>184</v>
      </c>
      <c r="B30"/>
      <c r="C30" t="s">
        <v>185</v>
      </c>
      <c r="D30" t="s">
        <v>186</v>
      </c>
      <c r="E30"/>
      <c r="F30">
        <f>IF(H30&lt;&gt;"", INDEX('Processed Non-zero TRI Data'!$G:$G, MATCH(H30, 'Processed Non-zero TRI Data'!$I:$I,0)), INDEX('Processed Non-zero DMR Data'!$F:$F, MATCH(I30,'Processed Non-zero DMR Data'!$I:$I, 0)))</f>
        <v>21.352499999999999</v>
      </c>
      <c r="G30">
        <f>IF(H30&lt;&gt;"", INDEX('Processed Non-zero TRI Data'!$H:$H, MATCH(H30, 'Processed Non-zero TRI Data'!$I:$I,0)), INDEX('Processed Non-zero DMR Data'!$G:$G, MATCH(I30,'Processed Non-zero DMR Data'!$I:$I, 0)))</f>
        <v>-157.95813899999999</v>
      </c>
      <c r="I30" s="1">
        <v>110046184516</v>
      </c>
      <c r="J30" s="1">
        <f>IF(H30&lt;&gt;"",INDEX('Processed Non-zero TRI Data'!$L:$L,MATCH('Facility Summary_All'!H30,'Processed Non-zero TRI Data'!$I:$I,0)),INDEX('Processed Non-zero DMR Data'!$L:$L,MATCH('Facility Summary_All'!I30,'Processed Non-zero DMR Data'!$I:$I,0)))*1</f>
        <v>336611</v>
      </c>
      <c r="K30" s="185" t="str">
        <f>INDEX('2017 - 2022 NAICS'!$D:$D, MATCH('Facility Summary_All'!J30,'2017 - 2022 NAICS'!$C:$C,0))</f>
        <v>Ship Building and Repairing</v>
      </c>
      <c r="L30" t="str">
        <f>IFERROR(VLOOKUP(J30,'NAICS Code to IS CDR Code'!A:C,2,FALSE), "NAICS/SIC Not Provided")</f>
        <v>IS43</v>
      </c>
      <c r="M30" t="str">
        <f>IFERROR(VLOOKUP(J30,'NAICS Code to IS CDR Code'!A:C,3,FALSE), "NAICS/SIC Not Provided")</f>
        <v>Transportation Equipment Manufacturing</v>
      </c>
      <c r="N30" t="str">
        <f>IF(COUNTIF('Facility Summary_Water'!$M$2:$M$98,I30)&gt;0,"Yes","No")</f>
        <v>Yes</v>
      </c>
    </row>
    <row r="31" spans="1:14" ht="14.45" customHeight="1" x14ac:dyDescent="0.25">
      <c r="A31" t="s">
        <v>187</v>
      </c>
      <c r="B31"/>
      <c r="C31" t="s">
        <v>188</v>
      </c>
      <c r="D31" t="s">
        <v>114</v>
      </c>
      <c r="E31"/>
      <c r="F31">
        <f>IF(H31&lt;&gt;"", INDEX('Processed Non-zero TRI Data'!$G:$G, MATCH(H31, 'Processed Non-zero TRI Data'!$I:$I,0)), INDEX('Processed Non-zero DMR Data'!$F:$F, MATCH(I31,'Processed Non-zero DMR Data'!$I:$I, 0)))</f>
        <v>29.717471</v>
      </c>
      <c r="G31">
        <f>IF(H31&lt;&gt;"", INDEX('Processed Non-zero TRI Data'!$H:$H, MATCH(H31, 'Processed Non-zero TRI Data'!$I:$I,0)), INDEX('Processed Non-zero DMR Data'!$G:$G, MATCH(I31,'Processed Non-zero DMR Data'!$I:$I, 0)))</f>
        <v>-95.068008000000006</v>
      </c>
      <c r="I31" s="1">
        <v>110034641635</v>
      </c>
      <c r="J31" s="1">
        <f>IF(H31&lt;&gt;"",INDEX('Processed Non-zero TRI Data'!$L:$L,MATCH('Facility Summary_All'!H31,'Processed Non-zero TRI Data'!$I:$I,0)),INDEX('Processed Non-zero DMR Data'!$L:$L,MATCH('Facility Summary_All'!I31,'Processed Non-zero DMR Data'!$I:$I,0)))*1</f>
        <v>325110</v>
      </c>
      <c r="K31" s="185" t="str">
        <f>INDEX('2017 - 2022 NAICS'!$D:$D, MATCH('Facility Summary_All'!J31,'2017 - 2022 NAICS'!$C:$C,0))</f>
        <v>Petrochemical Manufacturing</v>
      </c>
      <c r="L31" t="str">
        <f>IFERROR(VLOOKUP(J31,'NAICS Code to IS CDR Code'!A:C,2,FALSE), "NAICS/SIC Not Provided")</f>
        <v>IS15</v>
      </c>
      <c r="M31" t="str">
        <f>IFERROR(VLOOKUP(J31,'NAICS Code to IS CDR Code'!A:C,3,FALSE), "NAICS/SIC Not Provided")</f>
        <v>Petrochemical Manufacturing</v>
      </c>
      <c r="N31" t="str">
        <f>IF(COUNTIF('Facility Summary_Water'!$M$2:$M$98,I31)&gt;0,"Yes","No")</f>
        <v>Yes</v>
      </c>
    </row>
    <row r="32" spans="1:14" ht="15" customHeight="1" x14ac:dyDescent="0.25">
      <c r="A32" t="s">
        <v>189</v>
      </c>
      <c r="B32"/>
      <c r="C32" t="s">
        <v>190</v>
      </c>
      <c r="D32" t="s">
        <v>146</v>
      </c>
      <c r="E32"/>
      <c r="F32">
        <f>IF(H32&lt;&gt;"", INDEX('Processed Non-zero TRI Data'!$G:$G, MATCH(H32, 'Processed Non-zero TRI Data'!$I:$I,0)), INDEX('Processed Non-zero DMR Data'!$F:$F, MATCH(I32,'Processed Non-zero DMR Data'!$I:$I, 0)))</f>
        <v>32.803809999999999</v>
      </c>
      <c r="G32">
        <f>IF(H32&lt;&gt;"", INDEX('Processed Non-zero TRI Data'!$H:$H, MATCH(H32, 'Processed Non-zero TRI Data'!$I:$I,0)), INDEX('Processed Non-zero DMR Data'!$G:$G, MATCH(I32,'Processed Non-zero DMR Data'!$I:$I, 0)))</f>
        <v>-115.53973999999999</v>
      </c>
      <c r="I32" s="1">
        <v>110002672484</v>
      </c>
      <c r="J32" s="1">
        <f>IF(H32&lt;&gt;"",INDEX('Processed Non-zero TRI Data'!$L:$L,MATCH('Facility Summary_All'!H32,'Processed Non-zero TRI Data'!$I:$I,0)),INDEX('Processed Non-zero DMR Data'!$L:$L,MATCH('Facility Summary_All'!I32,'Processed Non-zero DMR Data'!$I:$I,0)))*1</f>
        <v>112511</v>
      </c>
      <c r="K32" s="185" t="str">
        <f>INDEX('2017 - 2022 NAICS'!$D:$D, MATCH('Facility Summary_All'!J32,'2017 - 2022 NAICS'!$C:$C,0))</f>
        <v>Finfish Farming and Fish Hatcheries</v>
      </c>
      <c r="L32" t="str">
        <f>IFERROR(VLOOKUP(J32,'NAICS Code to IS CDR Code'!A:C,2,FALSE), "NAICS/SIC Not Provided")</f>
        <v>IS1</v>
      </c>
      <c r="M32" t="str">
        <f>IFERROR(VLOOKUP(J32,'NAICS Code to IS CDR Code'!A:C,3,FALSE), "NAICS/SIC Not Provided")</f>
        <v>Agriculture, Forestry, Fishing and Hunting</v>
      </c>
      <c r="N32" t="str">
        <f>IF(COUNTIF('Facility Summary_Water'!$M$2:$M$98,I32)&gt;0,"Yes","No")</f>
        <v>Yes</v>
      </c>
    </row>
    <row r="33" spans="1:14" ht="14.45" customHeight="1" x14ac:dyDescent="0.25">
      <c r="A33" t="s">
        <v>191</v>
      </c>
      <c r="B33"/>
      <c r="C33" t="s">
        <v>192</v>
      </c>
      <c r="D33" t="s">
        <v>153</v>
      </c>
      <c r="E33"/>
      <c r="F33">
        <f>IF(H33&lt;&gt;"", INDEX('Processed Non-zero TRI Data'!$G:$G, MATCH(H33, 'Processed Non-zero TRI Data'!$I:$I,0)), INDEX('Processed Non-zero DMR Data'!$F:$F, MATCH(I33,'Processed Non-zero DMR Data'!$I:$I, 0)))</f>
        <v>39.827696000000003</v>
      </c>
      <c r="G33">
        <f>IF(H33&lt;&gt;"", INDEX('Processed Non-zero TRI Data'!$H:$H, MATCH(H33, 'Processed Non-zero TRI Data'!$I:$I,0)), INDEX('Processed Non-zero DMR Data'!$G:$G, MATCH(I33,'Processed Non-zero DMR Data'!$I:$I, 0)))</f>
        <v>-75.277782000000002</v>
      </c>
      <c r="I33" s="1">
        <v>110070210457</v>
      </c>
      <c r="J33" s="1">
        <f>IF(H33&lt;&gt;"",INDEX('Processed Non-zero TRI Data'!$L:$L,MATCH('Facility Summary_All'!H33,'Processed Non-zero TRI Data'!$I:$I,0)),INDEX('Processed Non-zero DMR Data'!$L:$L,MATCH('Facility Summary_All'!I33,'Processed Non-zero DMR Data'!$I:$I,0)))*1</f>
        <v>325110</v>
      </c>
      <c r="K33" s="185" t="str">
        <f>INDEX('2017 - 2022 NAICS'!$D:$D, MATCH('Facility Summary_All'!J33,'2017 - 2022 NAICS'!$C:$C,0))</f>
        <v>Petrochemical Manufacturing</v>
      </c>
      <c r="L33" t="str">
        <f>IFERROR(VLOOKUP(J33,'NAICS Code to IS CDR Code'!A:C,2,FALSE), "NAICS/SIC Not Provided")</f>
        <v>IS15</v>
      </c>
      <c r="M33" t="str">
        <f>IFERROR(VLOOKUP(J33,'NAICS Code to IS CDR Code'!A:C,3,FALSE), "NAICS/SIC Not Provided")</f>
        <v>Petrochemical Manufacturing</v>
      </c>
      <c r="N33" t="str">
        <f>IF(COUNTIF('Facility Summary_Water'!$M$2:$M$98,I33)&gt;0,"Yes","No")</f>
        <v>Yes</v>
      </c>
    </row>
    <row r="34" spans="1:14" ht="14.45" customHeight="1" x14ac:dyDescent="0.25">
      <c r="A34" t="s">
        <v>193</v>
      </c>
      <c r="B34"/>
      <c r="C34" t="s">
        <v>194</v>
      </c>
      <c r="D34" t="s">
        <v>106</v>
      </c>
      <c r="E34"/>
      <c r="F34">
        <f>IF(H34&lt;&gt;"", INDEX('Processed Non-zero TRI Data'!$G:$G, MATCH(H34, 'Processed Non-zero TRI Data'!$I:$I,0)), INDEX('Processed Non-zero DMR Data'!$F:$F, MATCH(I34,'Processed Non-zero DMR Data'!$I:$I, 0)))</f>
        <v>30.250833</v>
      </c>
      <c r="G34">
        <f>IF(H34&lt;&gt;"", INDEX('Processed Non-zero TRI Data'!$H:$H, MATCH(H34, 'Processed Non-zero TRI Data'!$I:$I,0)), INDEX('Processed Non-zero DMR Data'!$G:$G, MATCH(I34,'Processed Non-zero DMR Data'!$I:$I, 0)))</f>
        <v>-91.092277999999993</v>
      </c>
      <c r="I34" s="1">
        <v>110056972432</v>
      </c>
      <c r="J34" s="1">
        <f>IF(H34&lt;&gt;"",INDEX('Processed Non-zero TRI Data'!$L:$L,MATCH('Facility Summary_All'!H34,'Processed Non-zero TRI Data'!$I:$I,0)),INDEX('Processed Non-zero DMR Data'!$L:$L,MATCH('Facility Summary_All'!I34,'Processed Non-zero DMR Data'!$I:$I,0)))*1</f>
        <v>325110</v>
      </c>
      <c r="K34" s="185" t="str">
        <f>INDEX('2017 - 2022 NAICS'!$D:$D, MATCH('Facility Summary_All'!J34,'2017 - 2022 NAICS'!$C:$C,0))</f>
        <v>Petrochemical Manufacturing</v>
      </c>
      <c r="L34" t="str">
        <f>IFERROR(VLOOKUP(J34,'NAICS Code to IS CDR Code'!A:C,2,FALSE), "NAICS/SIC Not Provided")</f>
        <v>IS15</v>
      </c>
      <c r="M34" t="str">
        <f>IFERROR(VLOOKUP(J34,'NAICS Code to IS CDR Code'!A:C,3,FALSE), "NAICS/SIC Not Provided")</f>
        <v>Petrochemical Manufacturing</v>
      </c>
      <c r="N34" t="str">
        <f>IF(COUNTIF('Facility Summary_Water'!$M$2:$M$98,I34)&gt;0,"Yes","No")</f>
        <v>Yes</v>
      </c>
    </row>
    <row r="35" spans="1:14" ht="14.45" customHeight="1" x14ac:dyDescent="0.25">
      <c r="A35" t="s">
        <v>195</v>
      </c>
      <c r="B35"/>
      <c r="C35" t="s">
        <v>196</v>
      </c>
      <c r="D35" t="s">
        <v>197</v>
      </c>
      <c r="E35"/>
      <c r="F35">
        <f>IF(H35&lt;&gt;"", INDEX('Processed Non-zero TRI Data'!$G:$G, MATCH(H35, 'Processed Non-zero TRI Data'!$I:$I,0)), INDEX('Processed Non-zero DMR Data'!$F:$F, MATCH(I35,'Processed Non-zero DMR Data'!$I:$I, 0)))</f>
        <v>45.543847</v>
      </c>
      <c r="G35">
        <f>IF(H35&lt;&gt;"", INDEX('Processed Non-zero TRI Data'!$H:$H, MATCH(H35, 'Processed Non-zero TRI Data'!$I:$I,0)), INDEX('Processed Non-zero DMR Data'!$G:$G, MATCH(I35,'Processed Non-zero DMR Data'!$I:$I, 0)))</f>
        <v>-122.46656299999999</v>
      </c>
      <c r="I35" s="1">
        <v>110000487633</v>
      </c>
      <c r="J35" s="1">
        <f>IF(H35&lt;&gt;"",INDEX('Processed Non-zero TRI Data'!$L:$L,MATCH('Facility Summary_All'!H35,'Processed Non-zero TRI Data'!$I:$I,0)),INDEX('Processed Non-zero DMR Data'!$L:$L,MATCH('Facility Summary_All'!I35,'Processed Non-zero DMR Data'!$I:$I,0)))*1</f>
        <v>332912</v>
      </c>
      <c r="K35" s="185" t="str">
        <f>INDEX('2017 - 2022 NAICS'!$D:$D, MATCH('Facility Summary_All'!J35,'2017 - 2022 NAICS'!$C:$C,0))</f>
        <v>Fluid Power Valve and Hose Fitting Manufacturing</v>
      </c>
      <c r="L35" t="str">
        <f>IFERROR(VLOOKUP(J35,'NAICS Code to IS CDR Code'!A:C,2,FALSE), "NAICS/SIC Not Provided")</f>
        <v>IS39</v>
      </c>
      <c r="M35" t="str">
        <f>IFERROR(VLOOKUP(J35,'NAICS Code to IS CDR Code'!A:C,3,FALSE), "NAICS/SIC Not Provided")</f>
        <v>Fabricated Metal Product Manufacturing</v>
      </c>
      <c r="N35" t="str">
        <f>IF(COUNTIF('Facility Summary_Water'!$M$2:$M$98,I35)&gt;0,"Yes","No")</f>
        <v>Yes</v>
      </c>
    </row>
    <row r="36" spans="1:14" ht="14.45" customHeight="1" x14ac:dyDescent="0.25">
      <c r="A36" t="s">
        <v>198</v>
      </c>
      <c r="B36"/>
      <c r="C36" t="s">
        <v>175</v>
      </c>
      <c r="D36" t="s">
        <v>106</v>
      </c>
      <c r="E36"/>
      <c r="F36">
        <f>IF(H36&lt;&gt;"", INDEX('Processed Non-zero TRI Data'!$G:$G, MATCH(H36, 'Processed Non-zero TRI Data'!$I:$I,0)), INDEX('Processed Non-zero DMR Data'!$F:$F, MATCH(I36,'Processed Non-zero DMR Data'!$I:$I, 0)))</f>
        <v>30.214192000000001</v>
      </c>
      <c r="G36">
        <f>IF(H36&lt;&gt;"", INDEX('Processed Non-zero TRI Data'!$H:$H, MATCH(H36, 'Processed Non-zero TRI Data'!$I:$I,0)), INDEX('Processed Non-zero DMR Data'!$G:$G, MATCH(I36,'Processed Non-zero DMR Data'!$I:$I, 0)))</f>
        <v>-93.308589999999995</v>
      </c>
      <c r="I36" s="1">
        <v>110070208769</v>
      </c>
      <c r="J36" s="1">
        <f>IF(H36&lt;&gt;"",INDEX('Processed Non-zero TRI Data'!$L:$L,MATCH('Facility Summary_All'!H36,'Processed Non-zero TRI Data'!$I:$I,0)),INDEX('Processed Non-zero DMR Data'!$L:$L,MATCH('Facility Summary_All'!I36,'Processed Non-zero DMR Data'!$I:$I,0)))*1</f>
        <v>325110</v>
      </c>
      <c r="K36" s="185" t="str">
        <f>INDEX('2017 - 2022 NAICS'!$D:$D, MATCH('Facility Summary_All'!J36,'2017 - 2022 NAICS'!$C:$C,0))</f>
        <v>Petrochemical Manufacturing</v>
      </c>
      <c r="L36" t="str">
        <f>IFERROR(VLOOKUP(J36,'NAICS Code to IS CDR Code'!A:C,2,FALSE), "NAICS/SIC Not Provided")</f>
        <v>IS15</v>
      </c>
      <c r="M36" t="str">
        <f>IFERROR(VLOOKUP(J36,'NAICS Code to IS CDR Code'!A:C,3,FALSE), "NAICS/SIC Not Provided")</f>
        <v>Petrochemical Manufacturing</v>
      </c>
      <c r="N36" t="str">
        <f>IF(COUNTIF('Facility Summary_Water'!$M$2:$M$98,I36)&gt;0,"Yes","No")</f>
        <v>Yes</v>
      </c>
    </row>
    <row r="37" spans="1:14" ht="14.45" customHeight="1" x14ac:dyDescent="0.25">
      <c r="A37" t="s">
        <v>199</v>
      </c>
      <c r="B37"/>
      <c r="C37" t="s">
        <v>200</v>
      </c>
      <c r="D37" t="s">
        <v>138</v>
      </c>
      <c r="E37"/>
      <c r="F37">
        <f>IF(H37&lt;&gt;"", INDEX('Processed Non-zero TRI Data'!$G:$G, MATCH(H37, 'Processed Non-zero TRI Data'!$I:$I,0)), INDEX('Processed Non-zero DMR Data'!$F:$F, MATCH(I37,'Processed Non-zero DMR Data'!$I:$I, 0)))</f>
        <v>36.787260000000003</v>
      </c>
      <c r="G37">
        <f>IF(H37&lt;&gt;"", INDEX('Processed Non-zero TRI Data'!$H:$H, MATCH(H37, 'Processed Non-zero TRI Data'!$I:$I,0)), INDEX('Processed Non-zero DMR Data'!$G:$G, MATCH(I37,'Processed Non-zero DMR Data'!$I:$I, 0)))</f>
        <v>-85.369240000000005</v>
      </c>
      <c r="I37" s="1">
        <v>110009938265</v>
      </c>
      <c r="J37" s="1">
        <f>IF(H37&lt;&gt;"",INDEX('Processed Non-zero TRI Data'!$L:$L,MATCH('Facility Summary_All'!H37,'Processed Non-zero TRI Data'!$I:$I,0)),INDEX('Processed Non-zero DMR Data'!$L:$L,MATCH('Facility Summary_All'!I37,'Processed Non-zero DMR Data'!$I:$I,0)))*1</f>
        <v>221320</v>
      </c>
      <c r="K37" s="185" t="str">
        <f>INDEX('2017 - 2022 NAICS'!$D:$D, MATCH('Facility Summary_All'!J37,'2017 - 2022 NAICS'!$C:$C,0))</f>
        <v>Sewage Treatment Facilities</v>
      </c>
      <c r="L37" t="str">
        <f>IFERROR(VLOOKUP(J37,'NAICS Code to IS CDR Code'!A:C,2,FALSE), "NAICS/SIC Not Provided")</f>
        <v>IS4</v>
      </c>
      <c r="M37" t="str">
        <f>IFERROR(VLOOKUP(J37,'NAICS Code to IS CDR Code'!A:C,3,FALSE), "NAICS/SIC Not Provided")</f>
        <v>Utilities</v>
      </c>
      <c r="N37" t="str">
        <f>IF(COUNTIF('Facility Summary_Water'!$M$2:$M$98,I37)&gt;0,"Yes","No")</f>
        <v>Yes</v>
      </c>
    </row>
    <row r="38" spans="1:14" ht="14.45" customHeight="1" x14ac:dyDescent="0.25">
      <c r="A38" t="s">
        <v>201</v>
      </c>
      <c r="B38"/>
      <c r="C38" t="s">
        <v>202</v>
      </c>
      <c r="D38" t="s">
        <v>106</v>
      </c>
      <c r="E38"/>
      <c r="F38">
        <f>IF(H38&lt;&gt;"", INDEX('Processed Non-zero TRI Data'!$G:$G, MATCH(H38, 'Processed Non-zero TRI Data'!$I:$I,0)), INDEX('Processed Non-zero DMR Data'!$F:$F, MATCH(I38,'Processed Non-zero DMR Data'!$I:$I, 0)))</f>
        <v>30.221900000000002</v>
      </c>
      <c r="G38">
        <f>IF(H38&lt;&gt;"", INDEX('Processed Non-zero TRI Data'!$H:$H, MATCH(H38, 'Processed Non-zero TRI Data'!$I:$I,0)), INDEX('Processed Non-zero DMR Data'!$G:$G, MATCH(I38,'Processed Non-zero DMR Data'!$I:$I, 0)))</f>
        <v>-91.051500000000004</v>
      </c>
      <c r="I38" s="1">
        <v>110033659878</v>
      </c>
      <c r="J38" s="1">
        <f>IF(H38&lt;&gt;"",INDEX('Processed Non-zero TRI Data'!$L:$L,MATCH('Facility Summary_All'!H38,'Processed Non-zero TRI Data'!$I:$I,0)),INDEX('Processed Non-zero DMR Data'!$L:$L,MATCH('Facility Summary_All'!I38,'Processed Non-zero DMR Data'!$I:$I,0)))*1</f>
        <v>325110</v>
      </c>
      <c r="K38" s="185" t="str">
        <f>INDEX('2017 - 2022 NAICS'!$D:$D, MATCH('Facility Summary_All'!J38,'2017 - 2022 NAICS'!$C:$C,0))</f>
        <v>Petrochemical Manufacturing</v>
      </c>
      <c r="L38" t="str">
        <f>IFERROR(VLOOKUP(J38,'NAICS Code to IS CDR Code'!A:C,2,FALSE), "NAICS/SIC Not Provided")</f>
        <v>IS15</v>
      </c>
      <c r="M38" t="str">
        <f>IFERROR(VLOOKUP(J38,'NAICS Code to IS CDR Code'!A:C,3,FALSE), "NAICS/SIC Not Provided")</f>
        <v>Petrochemical Manufacturing</v>
      </c>
      <c r="N38" t="str">
        <f>IF(COUNTIF('Facility Summary_Water'!$M$2:$M$98,I38)&gt;0,"Yes","No")</f>
        <v>Yes</v>
      </c>
    </row>
    <row r="39" spans="1:14" ht="14.45" customHeight="1" x14ac:dyDescent="0.25">
      <c r="A39" t="s">
        <v>203</v>
      </c>
      <c r="B39"/>
      <c r="C39" t="s">
        <v>204</v>
      </c>
      <c r="D39" t="s">
        <v>205</v>
      </c>
      <c r="E39"/>
      <c r="F39">
        <f>IF(H39&lt;&gt;"", INDEX('Processed Non-zero TRI Data'!$G:$G, MATCH(H39, 'Processed Non-zero TRI Data'!$I:$I,0)), INDEX('Processed Non-zero DMR Data'!$F:$F, MATCH(I39,'Processed Non-zero DMR Data'!$I:$I, 0)))</f>
        <v>35.136057000000001</v>
      </c>
      <c r="G39">
        <f>IF(H39&lt;&gt;"", INDEX('Processed Non-zero TRI Data'!$H:$H, MATCH(H39, 'Processed Non-zero TRI Data'!$I:$I,0)), INDEX('Processed Non-zero DMR Data'!$G:$G, MATCH(I39,'Processed Non-zero DMR Data'!$I:$I, 0)))</f>
        <v>-90.096892999999994</v>
      </c>
      <c r="I39" s="1">
        <v>110000452082</v>
      </c>
      <c r="J39" s="1">
        <f>IF(H39&lt;&gt;"",INDEX('Processed Non-zero TRI Data'!$L:$L,MATCH('Facility Summary_All'!H39,'Processed Non-zero TRI Data'!$I:$I,0)),INDEX('Processed Non-zero DMR Data'!$L:$L,MATCH('Facility Summary_All'!I39,'Processed Non-zero DMR Data'!$I:$I,0)))*1</f>
        <v>325110</v>
      </c>
      <c r="K39" s="185" t="str">
        <f>INDEX('2017 - 2022 NAICS'!$D:$D, MATCH('Facility Summary_All'!J39,'2017 - 2022 NAICS'!$C:$C,0))</f>
        <v>Petrochemical Manufacturing</v>
      </c>
      <c r="L39" t="str">
        <f>IFERROR(VLOOKUP(J39,'NAICS Code to IS CDR Code'!A:C,2,FALSE), "NAICS/SIC Not Provided")</f>
        <v>IS15</v>
      </c>
      <c r="M39" t="str">
        <f>IFERROR(VLOOKUP(J39,'NAICS Code to IS CDR Code'!A:C,3,FALSE), "NAICS/SIC Not Provided")</f>
        <v>Petrochemical Manufacturing</v>
      </c>
      <c r="N39" t="str">
        <f>IF(COUNTIF('Facility Summary_Water'!$M$2:$M$98,I39)&gt;0,"Yes","No")</f>
        <v>Yes</v>
      </c>
    </row>
    <row r="40" spans="1:14" ht="14.45" customHeight="1" x14ac:dyDescent="0.25">
      <c r="A40" t="s">
        <v>206</v>
      </c>
      <c r="B40"/>
      <c r="C40" t="s">
        <v>207</v>
      </c>
      <c r="D40" t="s">
        <v>205</v>
      </c>
      <c r="E40"/>
      <c r="F40">
        <f>IF(H40&lt;&gt;"", INDEX('Processed Non-zero TRI Data'!$G:$G, MATCH(H40, 'Processed Non-zero TRI Data'!$I:$I,0)), INDEX('Processed Non-zero DMR Data'!$F:$F, MATCH(I40,'Processed Non-zero DMR Data'!$I:$I, 0)))</f>
        <v>35.722341999999998</v>
      </c>
      <c r="G40">
        <f>IF(H40&lt;&gt;"", INDEX('Processed Non-zero TRI Data'!$H:$H, MATCH(H40, 'Processed Non-zero TRI Data'!$I:$I,0)), INDEX('Processed Non-zero DMR Data'!$G:$G, MATCH(I40,'Processed Non-zero DMR Data'!$I:$I, 0)))</f>
        <v>-91.524983000000006</v>
      </c>
      <c r="I40" s="1">
        <v>110017432937</v>
      </c>
      <c r="J40" s="1">
        <f>IF(H40&lt;&gt;"",INDEX('Processed Non-zero TRI Data'!$L:$L,MATCH('Facility Summary_All'!H40,'Processed Non-zero TRI Data'!$I:$I,0)),INDEX('Processed Non-zero DMR Data'!$L:$L,MATCH('Facility Summary_All'!I40,'Processed Non-zero DMR Data'!$I:$I,0)))*1</f>
        <v>325110</v>
      </c>
      <c r="K40" s="185" t="str">
        <f>INDEX('2017 - 2022 NAICS'!$D:$D, MATCH('Facility Summary_All'!J40,'2017 - 2022 NAICS'!$C:$C,0))</f>
        <v>Petrochemical Manufacturing</v>
      </c>
      <c r="L40" t="str">
        <f>IFERROR(VLOOKUP(J40,'NAICS Code to IS CDR Code'!A:C,2,FALSE), "NAICS/SIC Not Provided")</f>
        <v>IS15</v>
      </c>
      <c r="M40" t="str">
        <f>IFERROR(VLOOKUP(J40,'NAICS Code to IS CDR Code'!A:C,3,FALSE), "NAICS/SIC Not Provided")</f>
        <v>Petrochemical Manufacturing</v>
      </c>
      <c r="N40" t="str">
        <f>IF(COUNTIF('Facility Summary_Water'!$M$2:$M$98,I40)&gt;0,"Yes","No")</f>
        <v>Yes</v>
      </c>
    </row>
    <row r="41" spans="1:14" ht="14.45" customHeight="1" x14ac:dyDescent="0.25">
      <c r="A41" t="s">
        <v>208</v>
      </c>
      <c r="B41"/>
      <c r="C41" t="s">
        <v>209</v>
      </c>
      <c r="D41" t="s">
        <v>170</v>
      </c>
      <c r="E41"/>
      <c r="F41">
        <f>IF(H41&lt;&gt;"", INDEX('Processed Non-zero TRI Data'!$G:$G, MATCH(H41, 'Processed Non-zero TRI Data'!$I:$I,0)), INDEX('Processed Non-zero DMR Data'!$F:$F, MATCH(I41,'Processed Non-zero DMR Data'!$I:$I, 0)))</f>
        <v>39.248446999999999</v>
      </c>
      <c r="G41">
        <f>IF(H41&lt;&gt;"", INDEX('Processed Non-zero TRI Data'!$H:$H, MATCH(H41, 'Processed Non-zero TRI Data'!$I:$I,0)), INDEX('Processed Non-zero DMR Data'!$G:$G, MATCH(I41,'Processed Non-zero DMR Data'!$I:$I, 0)))</f>
        <v>-94.293233000000001</v>
      </c>
      <c r="I41" s="1">
        <v>110000614746</v>
      </c>
      <c r="J41" s="1">
        <f>IF(H41&lt;&gt;"",INDEX('Processed Non-zero TRI Data'!$L:$L,MATCH('Facility Summary_All'!H41,'Processed Non-zero TRI Data'!$I:$I,0)),INDEX('Processed Non-zero DMR Data'!$L:$L,MATCH('Facility Summary_All'!I41,'Processed Non-zero DMR Data'!$I:$I,0)))*1</f>
        <v>562211</v>
      </c>
      <c r="K41" s="185" t="str">
        <f>INDEX('2017 - 2022 NAICS'!$D:$D, MATCH('Facility Summary_All'!J41,'2017 - 2022 NAICS'!$C:$C,0))</f>
        <v>Hazardous Waste Treatment and Disposal</v>
      </c>
      <c r="L41" t="str">
        <f>IFERROR(VLOOKUP(J41,'NAICS Code to IS CDR Code'!A:C,2,FALSE), "NAICS/SIC Not Provided")</f>
        <v>IS47</v>
      </c>
      <c r="M41" t="str">
        <f>IFERROR(VLOOKUP(J41,'NAICS Code to IS CDR Code'!A:C,3,FALSE), "NAICS/SIC Not Provided")</f>
        <v>Services</v>
      </c>
      <c r="N41" t="str">
        <f>IF(COUNTIF('Facility Summary_Water'!$M$2:$M$98,I41)&gt;0,"Yes","No")</f>
        <v>Yes</v>
      </c>
    </row>
    <row r="42" spans="1:14" ht="14.45" customHeight="1" x14ac:dyDescent="0.25">
      <c r="A42" t="s">
        <v>210</v>
      </c>
      <c r="B42"/>
      <c r="C42" t="s">
        <v>211</v>
      </c>
      <c r="D42" t="s">
        <v>146</v>
      </c>
      <c r="E42"/>
      <c r="F42">
        <f>IF(H42&lt;&gt;"", INDEX('Processed Non-zero TRI Data'!$G:$G, MATCH(H42, 'Processed Non-zero TRI Data'!$I:$I,0)), INDEX('Processed Non-zero DMR Data'!$F:$F, MATCH(I42,'Processed Non-zero DMR Data'!$I:$I, 0)))</f>
        <v>33.762349999999998</v>
      </c>
      <c r="G42">
        <f>IF(H42&lt;&gt;"", INDEX('Processed Non-zero TRI Data'!$H:$H, MATCH(H42, 'Processed Non-zero TRI Data'!$I:$I,0)), INDEX('Processed Non-zero DMR Data'!$G:$G, MATCH(I42,'Processed Non-zero DMR Data'!$I:$I, 0)))</f>
        <v>-118.241775</v>
      </c>
      <c r="I42" s="1">
        <v>110017217545</v>
      </c>
      <c r="J42" s="1">
        <f>IF(H42&lt;&gt;"",INDEX('Processed Non-zero TRI Data'!$L:$L,MATCH('Facility Summary_All'!H42,'Processed Non-zero TRI Data'!$I:$I,0)),INDEX('Processed Non-zero DMR Data'!$L:$L,MATCH('Facility Summary_All'!I42,'Processed Non-zero DMR Data'!$I:$I,0)))*1</f>
        <v>424710</v>
      </c>
      <c r="K42" s="185" t="str">
        <f>INDEX('2017 - 2022 NAICS'!$D:$D, MATCH('Facility Summary_All'!J42,'2017 - 2022 NAICS'!$C:$C,0))</f>
        <v>Petroleum Bulk Stations and Terminals</v>
      </c>
      <c r="L42" t="str">
        <f>IFERROR(VLOOKUP(J42,'NAICS Code to IS CDR Code'!A:C,2,FALSE), "NAICS/SIC Not Provided")</f>
        <v>IS46</v>
      </c>
      <c r="M42" t="str">
        <f>IFERROR(VLOOKUP(J42,'NAICS Code to IS CDR Code'!A:C,3,FALSE), "NAICS/SIC Not Provided")</f>
        <v>Wholesale and Retail Trade</v>
      </c>
      <c r="N42" t="str">
        <f>IF(COUNTIF('Facility Summary_Water'!$M$2:$M$98,I42)&gt;0,"Yes","No")</f>
        <v>Yes</v>
      </c>
    </row>
    <row r="43" spans="1:14" ht="14.45" customHeight="1" x14ac:dyDescent="0.25">
      <c r="A43" t="s">
        <v>212</v>
      </c>
      <c r="B43"/>
      <c r="C43" t="s">
        <v>213</v>
      </c>
      <c r="D43" t="s">
        <v>141</v>
      </c>
      <c r="E43"/>
      <c r="F43">
        <f>IF(H43&lt;&gt;"", INDEX('Processed Non-zero TRI Data'!$G:$G, MATCH(H43, 'Processed Non-zero TRI Data'!$I:$I,0)), INDEX('Processed Non-zero DMR Data'!$F:$F, MATCH(I43,'Processed Non-zero DMR Data'!$I:$I, 0)))</f>
        <v>41.692782000000001</v>
      </c>
      <c r="G43">
        <f>IF(H43&lt;&gt;"", INDEX('Processed Non-zero TRI Data'!$H:$H, MATCH(H43, 'Processed Non-zero TRI Data'!$I:$I,0)), INDEX('Processed Non-zero DMR Data'!$G:$G, MATCH(I43,'Processed Non-zero DMR Data'!$I:$I, 0)))</f>
        <v>-87.951100999999994</v>
      </c>
      <c r="I43" s="1">
        <v>110018199377</v>
      </c>
      <c r="J43" s="1">
        <f>IF(H43&lt;&gt;"",INDEX('Processed Non-zero TRI Data'!$L:$L,MATCH('Facility Summary_All'!H43,'Processed Non-zero TRI Data'!$I:$I,0)),INDEX('Processed Non-zero DMR Data'!$L:$L,MATCH('Facility Summary_All'!I43,'Processed Non-zero DMR Data'!$I:$I,0)))*1</f>
        <v>493110</v>
      </c>
      <c r="K43" s="185" t="str">
        <f>INDEX('2017 - 2022 NAICS'!$D:$D, MATCH('Facility Summary_All'!J43,'2017 - 2022 NAICS'!$C:$C,0))</f>
        <v>General Warehousing and Storage</v>
      </c>
      <c r="L43" t="str">
        <f>IFERROR(VLOOKUP(J43,'NAICS Code to IS CDR Code'!A:C,2,FALSE), "NAICS/SIC Not Provided")</f>
        <v>IS46</v>
      </c>
      <c r="M43" t="str">
        <f>IFERROR(VLOOKUP(J43,'NAICS Code to IS CDR Code'!A:C,3,FALSE), "NAICS/SIC Not Provided")</f>
        <v>Wholesale and Retail Trade</v>
      </c>
      <c r="N43" t="str">
        <f>IF(COUNTIF('Facility Summary_Water'!$M$2:$M$98,I43)&gt;0,"Yes","No")</f>
        <v>Yes</v>
      </c>
    </row>
    <row r="44" spans="1:14" ht="14.45" customHeight="1" x14ac:dyDescent="0.25">
      <c r="A44" t="s">
        <v>214</v>
      </c>
      <c r="B44"/>
      <c r="C44" t="s">
        <v>215</v>
      </c>
      <c r="D44" t="s">
        <v>146</v>
      </c>
      <c r="E44"/>
      <c r="F44">
        <f>IF(H44&lt;&gt;"", INDEX('Processed Non-zero TRI Data'!$G:$G, MATCH(H44, 'Processed Non-zero TRI Data'!$I:$I,0)), INDEX('Processed Non-zero DMR Data'!$F:$F, MATCH(I44,'Processed Non-zero DMR Data'!$I:$I, 0)))</f>
        <v>32.664450000000002</v>
      </c>
      <c r="G44">
        <f>IF(H44&lt;&gt;"", INDEX('Processed Non-zero TRI Data'!$H:$H, MATCH(H44, 'Processed Non-zero TRI Data'!$I:$I,0)), INDEX('Processed Non-zero DMR Data'!$G:$G, MATCH(I44,'Processed Non-zero DMR Data'!$I:$I, 0)))</f>
        <v>-115.55970499999999</v>
      </c>
      <c r="I44" s="1">
        <v>110000730825</v>
      </c>
      <c r="J44" s="1">
        <f>IF(H44&lt;&gt;"",INDEX('Processed Non-zero TRI Data'!$L:$L,MATCH('Facility Summary_All'!H44,'Processed Non-zero TRI Data'!$I:$I,0)),INDEX('Processed Non-zero DMR Data'!$L:$L,MATCH('Facility Summary_All'!I44,'Processed Non-zero DMR Data'!$I:$I,0)))*1</f>
        <v>221320</v>
      </c>
      <c r="K44" s="185" t="str">
        <f>INDEX('2017 - 2022 NAICS'!$D:$D, MATCH('Facility Summary_All'!J44,'2017 - 2022 NAICS'!$C:$C,0))</f>
        <v>Sewage Treatment Facilities</v>
      </c>
      <c r="L44" t="str">
        <f>IFERROR(VLOOKUP(J44,'NAICS Code to IS CDR Code'!A:C,2,FALSE), "NAICS/SIC Not Provided")</f>
        <v>IS4</v>
      </c>
      <c r="M44" t="str">
        <f>IFERROR(VLOOKUP(J44,'NAICS Code to IS CDR Code'!A:C,3,FALSE), "NAICS/SIC Not Provided")</f>
        <v>Utilities</v>
      </c>
      <c r="N44" t="str">
        <f>IF(COUNTIF('Facility Summary_Water'!$M$2:$M$98,I44)&gt;0,"Yes","No")</f>
        <v>Yes</v>
      </c>
    </row>
    <row r="45" spans="1:14" ht="14.45" customHeight="1" x14ac:dyDescent="0.25">
      <c r="A45" t="s">
        <v>216</v>
      </c>
      <c r="B45"/>
      <c r="C45" t="s">
        <v>217</v>
      </c>
      <c r="D45" t="s">
        <v>218</v>
      </c>
      <c r="E45"/>
      <c r="F45">
        <f>IF(H45&lt;&gt;"", INDEX('Processed Non-zero TRI Data'!$G:$G, MATCH(H45, 'Processed Non-zero TRI Data'!$I:$I,0)), INDEX('Processed Non-zero DMR Data'!$F:$F, MATCH(I45,'Processed Non-zero DMR Data'!$I:$I, 0)))</f>
        <v>40.393799999999999</v>
      </c>
      <c r="G45">
        <f>IF(H45&lt;&gt;"", INDEX('Processed Non-zero TRI Data'!$H:$H, MATCH(H45, 'Processed Non-zero TRI Data'!$I:$I,0)), INDEX('Processed Non-zero DMR Data'!$G:$G, MATCH(I45,'Processed Non-zero DMR Data'!$I:$I, 0)))</f>
        <v>-105.074</v>
      </c>
      <c r="I45" s="1">
        <v>110070053140</v>
      </c>
      <c r="J45" s="1">
        <f>IF(H45&lt;&gt;"",INDEX('Processed Non-zero TRI Data'!$L:$L,MATCH('Facility Summary_All'!H45,'Processed Non-zero TRI Data'!$I:$I,0)),INDEX('Processed Non-zero DMR Data'!$L:$L,MATCH('Facility Summary_All'!I45,'Processed Non-zero DMR Data'!$I:$I,0)))*1</f>
        <v>812930</v>
      </c>
      <c r="K45" s="185" t="str">
        <f>INDEX('2017 - 2022 NAICS'!$D:$D, MATCH('Facility Summary_All'!J45,'2017 - 2022 NAICS'!$C:$C,0))</f>
        <v>Parking Lots and Garages</v>
      </c>
      <c r="L45" t="str">
        <f>IFERROR(VLOOKUP(J45,'NAICS Code to IS CDR Code'!A:C,2,FALSE), "NAICS/SIC Not Provided")</f>
        <v>IS47</v>
      </c>
      <c r="M45" t="str">
        <f>IFERROR(VLOOKUP(J45,'NAICS Code to IS CDR Code'!A:C,3,FALSE), "NAICS/SIC Not Provided")</f>
        <v>Services</v>
      </c>
      <c r="N45" t="str">
        <f>IF(COUNTIF('Facility Summary_Water'!$M$2:$M$98,I45)&gt;0,"Yes","No")</f>
        <v>Yes</v>
      </c>
    </row>
    <row r="46" spans="1:14" ht="14.45" customHeight="1" x14ac:dyDescent="0.25">
      <c r="A46" t="s">
        <v>219</v>
      </c>
      <c r="B46"/>
      <c r="C46" t="s">
        <v>220</v>
      </c>
      <c r="D46" t="s">
        <v>138</v>
      </c>
      <c r="E46"/>
      <c r="F46">
        <f>IF(H46&lt;&gt;"", INDEX('Processed Non-zero TRI Data'!$G:$G, MATCH(H46, 'Processed Non-zero TRI Data'!$I:$I,0)), INDEX('Processed Non-zero DMR Data'!$F:$F, MATCH(I46,'Processed Non-zero DMR Data'!$I:$I, 0)))</f>
        <v>37.776316000000001</v>
      </c>
      <c r="G46">
        <f>IF(H46&lt;&gt;"", INDEX('Processed Non-zero TRI Data'!$H:$H, MATCH(H46, 'Processed Non-zero TRI Data'!$I:$I,0)), INDEX('Processed Non-zero DMR Data'!$G:$G, MATCH(I46,'Processed Non-zero DMR Data'!$I:$I, 0)))</f>
        <v>-84.867384999999999</v>
      </c>
      <c r="I46" s="1">
        <v>110000732324</v>
      </c>
      <c r="J46" s="1">
        <f>IF(H46&lt;&gt;"",INDEX('Processed Non-zero TRI Data'!$L:$L,MATCH('Facility Summary_All'!H46,'Processed Non-zero TRI Data'!$I:$I,0)),INDEX('Processed Non-zero DMR Data'!$L:$L,MATCH('Facility Summary_All'!I46,'Processed Non-zero DMR Data'!$I:$I,0)))*1</f>
        <v>221320</v>
      </c>
      <c r="K46" s="185" t="str">
        <f>INDEX('2017 - 2022 NAICS'!$D:$D, MATCH('Facility Summary_All'!J46,'2017 - 2022 NAICS'!$C:$C,0))</f>
        <v>Sewage Treatment Facilities</v>
      </c>
      <c r="L46" t="str">
        <f>IFERROR(VLOOKUP(J46,'NAICS Code to IS CDR Code'!A:C,2,FALSE), "NAICS/SIC Not Provided")</f>
        <v>IS4</v>
      </c>
      <c r="M46" t="str">
        <f>IFERROR(VLOOKUP(J46,'NAICS Code to IS CDR Code'!A:C,3,FALSE), "NAICS/SIC Not Provided")</f>
        <v>Utilities</v>
      </c>
      <c r="N46" t="str">
        <f>IF(COUNTIF('Facility Summary_Water'!$M$2:$M$98,I46)&gt;0,"Yes","No")</f>
        <v>Yes</v>
      </c>
    </row>
    <row r="47" spans="1:14" ht="14.45" customHeight="1" x14ac:dyDescent="0.25">
      <c r="A47" s="7" t="s">
        <v>221</v>
      </c>
      <c r="B47" s="26"/>
      <c r="C47" s="26" t="s">
        <v>222</v>
      </c>
      <c r="D47" s="7" t="s">
        <v>158</v>
      </c>
      <c r="E47"/>
      <c r="F47">
        <f>IF(H47&lt;&gt;"", INDEX('Processed Non-zero TRI Data'!$G:$G, MATCH(H47, 'Processed Non-zero TRI Data'!$I:$I,0)), INDEX('Processed Non-zero DMR Data'!$F:$F, MATCH(I47,'Processed Non-zero DMR Data'!$I:$I, 0)))</f>
        <v>39.526260000000001</v>
      </c>
      <c r="G47">
        <f>IF(H47&lt;&gt;"", INDEX('Processed Non-zero TRI Data'!$H:$H, MATCH(H47, 'Processed Non-zero TRI Data'!$I:$I,0)), INDEX('Processed Non-zero DMR Data'!$G:$G, MATCH(I47,'Processed Non-zero DMR Data'!$I:$I, 0)))</f>
        <v>-119.81308</v>
      </c>
      <c r="H47" s="7"/>
      <c r="I47" s="183">
        <v>110009830273</v>
      </c>
      <c r="J47" s="1">
        <f>IF(H47&lt;&gt;"",INDEX('Processed Non-zero TRI Data'!$L:$L,MATCH('Facility Summary_All'!H47,'Processed Non-zero TRI Data'!$I:$I,0)),INDEX('Processed Non-zero DMR Data'!$L:$L,MATCH('Facility Summary_All'!I47,'Processed Non-zero DMR Data'!$I:$I,0)))*1</f>
        <v>721110</v>
      </c>
      <c r="K47" s="185" t="str">
        <f>INDEX('2017 - 2022 NAICS'!$D:$D, MATCH('Facility Summary_All'!J47,'2017 - 2022 NAICS'!$C:$C,0))</f>
        <v>Hotels (except Casino Hotels) and Motels</v>
      </c>
      <c r="N47" t="str">
        <f>IF(COUNTIF('Facility Summary_Water'!$M$2:$M$98,I47)&gt;0,"Yes","No")</f>
        <v>Yes</v>
      </c>
    </row>
    <row r="48" spans="1:14" ht="14.45" customHeight="1" x14ac:dyDescent="0.25">
      <c r="A48" s="7" t="s">
        <v>223</v>
      </c>
      <c r="B48" s="26"/>
      <c r="C48" s="26" t="s">
        <v>224</v>
      </c>
      <c r="D48" s="7" t="s">
        <v>141</v>
      </c>
      <c r="E48"/>
      <c r="F48">
        <f>IF(H48&lt;&gt;"", INDEX('Processed Non-zero TRI Data'!$G:$G, MATCH(H48, 'Processed Non-zero TRI Data'!$I:$I,0)), INDEX('Processed Non-zero DMR Data'!$F:$F, MATCH(I48,'Processed Non-zero DMR Data'!$I:$I, 0)))</f>
        <v>41.412897000000001</v>
      </c>
      <c r="G48">
        <f>IF(H48&lt;&gt;"", INDEX('Processed Non-zero TRI Data'!$H:$H, MATCH(H48, 'Processed Non-zero TRI Data'!$I:$I,0)), INDEX('Processed Non-zero DMR Data'!$G:$G, MATCH(I48,'Processed Non-zero DMR Data'!$I:$I, 0)))</f>
        <v>-88.329773000000003</v>
      </c>
      <c r="H48" s="7"/>
      <c r="I48" s="183">
        <v>110000433013</v>
      </c>
      <c r="J48" s="1">
        <f>IF(H48&lt;&gt;"",INDEX('Processed Non-zero TRI Data'!$L:$L,MATCH('Facility Summary_All'!H48,'Processed Non-zero TRI Data'!$I:$I,0)),INDEX('Processed Non-zero DMR Data'!$L:$L,MATCH('Facility Summary_All'!I48,'Processed Non-zero DMR Data'!$I:$I,0)))*1</f>
        <v>325211</v>
      </c>
      <c r="K48" s="185" t="str">
        <f>INDEX('2017 - 2022 NAICS'!$D:$D, MATCH('Facility Summary_All'!J48,'2017 - 2022 NAICS'!$C:$C,0))</f>
        <v>Plastics Material and Resin Manufacturing</v>
      </c>
      <c r="L48" t="str">
        <f>IFERROR(VLOOKUP(J48,'NAICS Code to IS CDR Code'!A:C,2,FALSE), "NAICS/SIC Not Provided")</f>
        <v>IS22</v>
      </c>
      <c r="M48" t="str">
        <f>IFERROR(VLOOKUP(J48,'NAICS Code to IS CDR Code'!A:C,3,FALSE), "NAICS/SIC Not Provided")</f>
        <v>Plastic Material and Resin Manufacturing</v>
      </c>
      <c r="N48" t="str">
        <f>IF(COUNTIF('Facility Summary_Water'!$M$2:$M$98,I48)&gt;0,"Yes","No")</f>
        <v>Yes</v>
      </c>
    </row>
    <row r="49" spans="1:14" ht="28.7" customHeight="1" x14ac:dyDescent="0.25">
      <c r="A49" s="7" t="s">
        <v>225</v>
      </c>
      <c r="B49" s="26"/>
      <c r="C49" s="26" t="s">
        <v>226</v>
      </c>
      <c r="D49" s="7" t="s">
        <v>146</v>
      </c>
      <c r="E49"/>
      <c r="F49">
        <f>IF(H49&lt;&gt;"", INDEX('Processed Non-zero TRI Data'!$G:$G, MATCH(H49, 'Processed Non-zero TRI Data'!$I:$I,0)), INDEX('Processed Non-zero DMR Data'!$F:$F, MATCH(I49,'Processed Non-zero DMR Data'!$I:$I, 0)))</f>
        <v>34.661079999999998</v>
      </c>
      <c r="G49">
        <f>IF(H49&lt;&gt;"", INDEX('Processed Non-zero TRI Data'!$H:$H, MATCH(H49, 'Processed Non-zero TRI Data'!$I:$I,0)), INDEX('Processed Non-zero DMR Data'!$G:$G, MATCH(I49,'Processed Non-zero DMR Data'!$I:$I, 0)))</f>
        <v>-120.48135000000001</v>
      </c>
      <c r="H49" s="7"/>
      <c r="I49" s="183">
        <v>110009547222</v>
      </c>
      <c r="J49" s="1">
        <f>IF(H49&lt;&gt;"",INDEX('Processed Non-zero TRI Data'!$L:$L,MATCH('Facility Summary_All'!H49,'Processed Non-zero TRI Data'!$I:$I,0)),INDEX('Processed Non-zero DMR Data'!$L:$L,MATCH('Facility Summary_All'!I49,'Processed Non-zero DMR Data'!$I:$I,0)))*1</f>
        <v>221320</v>
      </c>
      <c r="K49" s="185" t="str">
        <f>INDEX('2017 - 2022 NAICS'!$D:$D, MATCH('Facility Summary_All'!J49,'2017 - 2022 NAICS'!$C:$C,0))</f>
        <v>Sewage Treatment Facilities</v>
      </c>
      <c r="N49" t="str">
        <f>IF(COUNTIF('Facility Summary_Water'!$M$2:$M$98,I49)&gt;0,"Yes","No")</f>
        <v>Yes</v>
      </c>
    </row>
    <row r="50" spans="1:14" ht="14.45" customHeight="1" x14ac:dyDescent="0.25">
      <c r="A50" s="7" t="s">
        <v>227</v>
      </c>
      <c r="B50" s="26"/>
      <c r="C50" s="26" t="s">
        <v>228</v>
      </c>
      <c r="D50" s="7" t="s">
        <v>138</v>
      </c>
      <c r="E50"/>
      <c r="F50">
        <f>IF(H50&lt;&gt;"", INDEX('Processed Non-zero TRI Data'!$G:$G, MATCH(H50, 'Processed Non-zero TRI Data'!$I:$I,0)), INDEX('Processed Non-zero DMR Data'!$F:$F, MATCH(I50,'Processed Non-zero DMR Data'!$I:$I, 0)))</f>
        <v>36.644849999999998</v>
      </c>
      <c r="G50">
        <f>IF(H50&lt;&gt;"", INDEX('Processed Non-zero TRI Data'!$H:$H, MATCH(H50, 'Processed Non-zero TRI Data'!$I:$I,0)), INDEX('Processed Non-zero DMR Data'!$G:$G, MATCH(I50,'Processed Non-zero DMR Data'!$I:$I, 0)))</f>
        <v>-87.187950000000001</v>
      </c>
      <c r="H50" s="7"/>
      <c r="I50" s="183">
        <v>110009937499</v>
      </c>
      <c r="J50" s="1">
        <f>IF(H50&lt;&gt;"",INDEX('Processed Non-zero TRI Data'!$L:$L,MATCH('Facility Summary_All'!H50,'Processed Non-zero TRI Data'!$I:$I,0)),INDEX('Processed Non-zero DMR Data'!$L:$L,MATCH('Facility Summary_All'!I50,'Processed Non-zero DMR Data'!$I:$I,0)))*1</f>
        <v>221320</v>
      </c>
      <c r="K50" s="185" t="str">
        <f>INDEX('2017 - 2022 NAICS'!$D:$D, MATCH('Facility Summary_All'!J50,'2017 - 2022 NAICS'!$C:$C,0))</f>
        <v>Sewage Treatment Facilities</v>
      </c>
      <c r="L50" t="str">
        <f>IFERROR(VLOOKUP(J50,'NAICS Code to IS CDR Code'!A:C,2,FALSE), "NAICS/SIC Not Provided")</f>
        <v>IS4</v>
      </c>
      <c r="M50" t="str">
        <f>IFERROR(VLOOKUP(J50,'NAICS Code to IS CDR Code'!A:C,3,FALSE), "NAICS/SIC Not Provided")</f>
        <v>Utilities</v>
      </c>
      <c r="N50" t="str">
        <f>IF(COUNTIF('Facility Summary_Water'!$M$2:$M$98,I50)&gt;0,"Yes","No")</f>
        <v>Yes</v>
      </c>
    </row>
    <row r="51" spans="1:14" ht="14.45" customHeight="1" x14ac:dyDescent="0.25">
      <c r="A51" s="7" t="s">
        <v>229</v>
      </c>
      <c r="B51" s="26"/>
      <c r="C51" s="26" t="s">
        <v>230</v>
      </c>
      <c r="D51" s="7" t="s">
        <v>146</v>
      </c>
      <c r="E51"/>
      <c r="F51">
        <f>IF(H51&lt;&gt;"", INDEX('Processed Non-zero TRI Data'!$G:$G, MATCH(H51, 'Processed Non-zero TRI Data'!$I:$I,0)), INDEX('Processed Non-zero DMR Data'!$F:$F, MATCH(I51,'Processed Non-zero DMR Data'!$I:$I, 0)))</f>
        <v>36.963245999999998</v>
      </c>
      <c r="G51">
        <f>IF(H51&lt;&gt;"", INDEX('Processed Non-zero TRI Data'!$H:$H, MATCH(H51, 'Processed Non-zero TRI Data'!$I:$I,0)), INDEX('Processed Non-zero DMR Data'!$G:$G, MATCH(I51,'Processed Non-zero DMR Data'!$I:$I, 0)))</f>
        <v>-122.034009</v>
      </c>
      <c r="H51" s="7"/>
      <c r="I51" s="183">
        <v>110013848453</v>
      </c>
      <c r="J51" s="1">
        <f>IF(H51&lt;&gt;"",INDEX('Processed Non-zero TRI Data'!$L:$L,MATCH('Facility Summary_All'!H51,'Processed Non-zero TRI Data'!$I:$I,0)),INDEX('Processed Non-zero DMR Data'!$L:$L,MATCH('Facility Summary_All'!I51,'Processed Non-zero DMR Data'!$I:$I,0)))*1</f>
        <v>221320</v>
      </c>
      <c r="K51" s="185" t="str">
        <f>INDEX('2017 - 2022 NAICS'!$D:$D, MATCH('Facility Summary_All'!J51,'2017 - 2022 NAICS'!$C:$C,0))</f>
        <v>Sewage Treatment Facilities</v>
      </c>
      <c r="N51" t="str">
        <f>IF(COUNTIF('Facility Summary_Water'!$M$2:$M$98,I51)&gt;0,"Yes","No")</f>
        <v>Yes</v>
      </c>
    </row>
    <row r="52" spans="1:14" ht="28.7" customHeight="1" x14ac:dyDescent="0.25">
      <c r="A52" s="7" t="s">
        <v>231</v>
      </c>
      <c r="B52" s="26"/>
      <c r="C52" s="26" t="s">
        <v>232</v>
      </c>
      <c r="D52" s="7" t="s">
        <v>141</v>
      </c>
      <c r="E52"/>
      <c r="F52">
        <f>IF(H52&lt;&gt;"", INDEX('Processed Non-zero TRI Data'!$G:$G, MATCH(H52, 'Processed Non-zero TRI Data'!$I:$I,0)), INDEX('Processed Non-zero DMR Data'!$F:$F, MATCH(I52,'Processed Non-zero DMR Data'!$I:$I, 0)))</f>
        <v>38.2774</v>
      </c>
      <c r="G52">
        <f>IF(H52&lt;&gt;"", INDEX('Processed Non-zero TRI Data'!$H:$H, MATCH(H52, 'Processed Non-zero TRI Data'!$I:$I,0)), INDEX('Processed Non-zero DMR Data'!$G:$G, MATCH(I52,'Processed Non-zero DMR Data'!$I:$I, 0)))</f>
        <v>-89.666899999999998</v>
      </c>
      <c r="H52" s="7"/>
      <c r="I52" s="183">
        <v>110044852068</v>
      </c>
      <c r="J52" s="1">
        <f>IF(H52&lt;&gt;"",INDEX('Processed Non-zero TRI Data'!$L:$L,MATCH('Facility Summary_All'!H52,'Processed Non-zero TRI Data'!$I:$I,0)),INDEX('Processed Non-zero DMR Data'!$L:$L,MATCH('Facility Summary_All'!I52,'Processed Non-zero DMR Data'!$I:$I,0)))*1</f>
        <v>221111</v>
      </c>
      <c r="K52" s="185" t="str">
        <f>INDEX('2017 - 2022 NAICS'!$D:$D, MATCH('Facility Summary_All'!J52,'2017 - 2022 NAICS'!$C:$C,0))</f>
        <v>Hydroelectric Power Generation</v>
      </c>
      <c r="L52" t="str">
        <f>IFERROR(VLOOKUP(J52,'NAICS Code to IS CDR Code'!A:C,2,FALSE), "NAICS/SIC Not Provided")</f>
        <v>NAICS/SIC Not Provided</v>
      </c>
      <c r="M52" t="str">
        <f>IFERROR(VLOOKUP(J52,'NAICS Code to IS CDR Code'!A:C,3,FALSE), "NAICS/SIC Not Provided")</f>
        <v>NAICS/SIC Not Provided</v>
      </c>
      <c r="N52" t="str">
        <f>IF(COUNTIF('Facility Summary_Water'!$M$2:$M$98,I52)&gt;0,"Yes","No")</f>
        <v>Yes</v>
      </c>
    </row>
    <row r="53" spans="1:14" x14ac:dyDescent="0.25">
      <c r="A53" s="7" t="s">
        <v>233</v>
      </c>
      <c r="B53" s="26"/>
      <c r="C53" s="26" t="s">
        <v>157</v>
      </c>
      <c r="D53" s="7" t="s">
        <v>158</v>
      </c>
      <c r="F53">
        <f>IF(H53&lt;&gt;"", INDEX('Processed Non-zero TRI Data'!$G:$G, MATCH(H53, 'Processed Non-zero TRI Data'!$I:$I,0)), INDEX('Processed Non-zero DMR Data'!$F:$F, MATCH(I53,'Processed Non-zero DMR Data'!$I:$I, 0)))</f>
        <v>36.075400000000002</v>
      </c>
      <c r="G53">
        <f>IF(H53&lt;&gt;"", INDEX('Processed Non-zero TRI Data'!$H:$H, MATCH(H53, 'Processed Non-zero TRI Data'!$I:$I,0)), INDEX('Processed Non-zero DMR Data'!$G:$G, MATCH(I53,'Processed Non-zero DMR Data'!$I:$I, 0)))</f>
        <v>-115.1669</v>
      </c>
      <c r="H53" s="7"/>
      <c r="I53" s="183">
        <v>110064134459</v>
      </c>
      <c r="J53" s="1">
        <f>IF(H53&lt;&gt;"",INDEX('Processed Non-zero TRI Data'!$L:$L,MATCH('Facility Summary_All'!H53,'Processed Non-zero TRI Data'!$I:$I,0)),INDEX('Processed Non-zero DMR Data'!$L:$L,MATCH('Facility Summary_All'!I53,'Processed Non-zero DMR Data'!$I:$I,0)))*1</f>
        <v>488111</v>
      </c>
      <c r="K53" s="185" t="str">
        <f>INDEX('2017 - 2022 NAICS'!$D:$D, MATCH('Facility Summary_All'!J53,'2017 - 2022 NAICS'!$C:$C,0))</f>
        <v>Air Traffic Control</v>
      </c>
      <c r="L53" t="str">
        <f>IFERROR(VLOOKUP(J53,'NAICS Code to IS CDR Code'!A:C,2,FALSE), "NAICS/SIC Not Provided")</f>
        <v>IS46</v>
      </c>
      <c r="M53" t="str">
        <f>IFERROR(VLOOKUP(J53,'NAICS Code to IS CDR Code'!A:C,3,FALSE), "NAICS/SIC Not Provided")</f>
        <v>Wholesale and Retail Trade</v>
      </c>
      <c r="N53" t="str">
        <f>IF(COUNTIF('Facility Summary_Water'!$M$2:$M$98,I53)&gt;0,"Yes","No")</f>
        <v>Yes</v>
      </c>
    </row>
    <row r="54" spans="1:14" x14ac:dyDescent="0.25">
      <c r="A54" s="7" t="s">
        <v>234</v>
      </c>
      <c r="B54" s="26"/>
      <c r="C54" s="26" t="s">
        <v>235</v>
      </c>
      <c r="D54" s="7" t="s">
        <v>138</v>
      </c>
      <c r="F54">
        <f>IF(H54&lt;&gt;"", INDEX('Processed Non-zero TRI Data'!$G:$G, MATCH(H54, 'Processed Non-zero TRI Data'!$I:$I,0)), INDEX('Processed Non-zero DMR Data'!$F:$F, MATCH(I54,'Processed Non-zero DMR Data'!$I:$I, 0)))</f>
        <v>38.195278000000002</v>
      </c>
      <c r="G54">
        <f>IF(H54&lt;&gt;"", INDEX('Processed Non-zero TRI Data'!$H:$H, MATCH(H54, 'Processed Non-zero TRI Data'!$I:$I,0)), INDEX('Processed Non-zero DMR Data'!$G:$G, MATCH(I54,'Processed Non-zero DMR Data'!$I:$I, 0)))</f>
        <v>-85.872221999999994</v>
      </c>
      <c r="H54" s="7"/>
      <c r="I54" s="183">
        <v>110000378467</v>
      </c>
      <c r="J54" s="1">
        <f>IF(H54&lt;&gt;"",INDEX('Processed Non-zero TRI Data'!$L:$L,MATCH('Facility Summary_All'!H54,'Processed Non-zero TRI Data'!$I:$I,0)),INDEX('Processed Non-zero DMR Data'!$L:$L,MATCH('Facility Summary_All'!I54,'Processed Non-zero DMR Data'!$I:$I,0)))*1</f>
        <v>325110</v>
      </c>
      <c r="K54" s="185" t="str">
        <f>INDEX('2017 - 2022 NAICS'!$D:$D, MATCH('Facility Summary_All'!J54,'2017 - 2022 NAICS'!$C:$C,0))</f>
        <v>Petrochemical Manufacturing</v>
      </c>
      <c r="L54" t="str">
        <f>IFERROR(VLOOKUP(J54,'NAICS Code to IS CDR Code'!A:C,2,FALSE), "NAICS/SIC Not Provided")</f>
        <v>IS15</v>
      </c>
      <c r="M54" t="str">
        <f>IFERROR(VLOOKUP(J54,'NAICS Code to IS CDR Code'!A:C,3,FALSE), "NAICS/SIC Not Provided")</f>
        <v>Petrochemical Manufacturing</v>
      </c>
      <c r="N54" t="str">
        <f>IF(COUNTIF('Facility Summary_Water'!$M$2:$M$98,I54)&gt;0,"Yes","No")</f>
        <v>Yes</v>
      </c>
    </row>
    <row r="55" spans="1:14" x14ac:dyDescent="0.25">
      <c r="A55" s="7" t="s">
        <v>236</v>
      </c>
      <c r="B55" s="26"/>
      <c r="C55" s="26" t="s">
        <v>237</v>
      </c>
      <c r="D55" s="7" t="s">
        <v>138</v>
      </c>
      <c r="F55">
        <f>IF(H55&lt;&gt;"", INDEX('Processed Non-zero TRI Data'!$G:$G, MATCH(H55, 'Processed Non-zero TRI Data'!$I:$I,0)), INDEX('Processed Non-zero DMR Data'!$F:$F, MATCH(I55,'Processed Non-zero DMR Data'!$I:$I, 0)))</f>
        <v>36.983809999999998</v>
      </c>
      <c r="G55">
        <f>IF(H55&lt;&gt;"", INDEX('Processed Non-zero TRI Data'!$H:$H, MATCH(H55, 'Processed Non-zero TRI Data'!$I:$I,0)), INDEX('Processed Non-zero DMR Data'!$G:$G, MATCH(I55,'Processed Non-zero DMR Data'!$I:$I, 0)))</f>
        <v>-85.957089999999994</v>
      </c>
      <c r="H55" s="7"/>
      <c r="I55" s="183">
        <v>110001123276</v>
      </c>
      <c r="J55" s="1">
        <f>IF(H55&lt;&gt;"",INDEX('Processed Non-zero TRI Data'!$L:$L,MATCH('Facility Summary_All'!H55,'Processed Non-zero TRI Data'!$I:$I,0)),INDEX('Processed Non-zero DMR Data'!$L:$L,MATCH('Facility Summary_All'!I55,'Processed Non-zero DMR Data'!$I:$I,0)))*1</f>
        <v>221320</v>
      </c>
      <c r="K55" s="185" t="str">
        <f>INDEX('2017 - 2022 NAICS'!$D:$D, MATCH('Facility Summary_All'!J55,'2017 - 2022 NAICS'!$C:$C,0))</f>
        <v>Sewage Treatment Facilities</v>
      </c>
      <c r="L55" t="str">
        <f>IFERROR(VLOOKUP(J55,'NAICS Code to IS CDR Code'!A:C,2,FALSE), "NAICS/SIC Not Provided")</f>
        <v>IS4</v>
      </c>
      <c r="M55" t="str">
        <f>IFERROR(VLOOKUP(J55,'NAICS Code to IS CDR Code'!A:C,3,FALSE), "NAICS/SIC Not Provided")</f>
        <v>Utilities</v>
      </c>
      <c r="N55" t="str">
        <f>IF(COUNTIF('Facility Summary_Water'!$M$2:$M$98,I55)&gt;0,"Yes","No")</f>
        <v>Yes</v>
      </c>
    </row>
    <row r="56" spans="1:14" x14ac:dyDescent="0.25">
      <c r="A56" s="7" t="s">
        <v>238</v>
      </c>
      <c r="B56" s="26"/>
      <c r="C56" s="26" t="s">
        <v>239</v>
      </c>
      <c r="D56" s="7" t="s">
        <v>146</v>
      </c>
      <c r="F56">
        <f>IF(H56&lt;&gt;"", INDEX('Processed Non-zero TRI Data'!$G:$G, MATCH(H56, 'Processed Non-zero TRI Data'!$I:$I,0)), INDEX('Processed Non-zero DMR Data'!$F:$F, MATCH(I56,'Processed Non-zero DMR Data'!$I:$I, 0)))</f>
        <v>33.227348999999997</v>
      </c>
      <c r="G56">
        <f>IF(H56&lt;&gt;"", INDEX('Processed Non-zero TRI Data'!$H:$H, MATCH(H56, 'Processed Non-zero TRI Data'!$I:$I,0)), INDEX('Processed Non-zero DMR Data'!$G:$G, MATCH(I56,'Processed Non-zero DMR Data'!$I:$I, 0)))</f>
        <v>-115.528569</v>
      </c>
      <c r="H56" s="7"/>
      <c r="I56" s="183">
        <v>110001177958</v>
      </c>
      <c r="J56" s="1">
        <f>IF(H56&lt;&gt;"",INDEX('Processed Non-zero TRI Data'!$L:$L,MATCH('Facility Summary_All'!H56,'Processed Non-zero TRI Data'!$I:$I,0)),INDEX('Processed Non-zero DMR Data'!$L:$L,MATCH('Facility Summary_All'!I56,'Processed Non-zero DMR Data'!$I:$I,0)))*1</f>
        <v>221320</v>
      </c>
      <c r="K56" s="185" t="str">
        <f>INDEX('2017 - 2022 NAICS'!$D:$D, MATCH('Facility Summary_All'!J56,'2017 - 2022 NAICS'!$C:$C,0))</f>
        <v>Sewage Treatment Facilities</v>
      </c>
      <c r="L56" t="str">
        <f>IFERROR(VLOOKUP(J56,'NAICS Code to IS CDR Code'!A:C,2,FALSE), "NAICS/SIC Not Provided")</f>
        <v>IS4</v>
      </c>
      <c r="M56" t="str">
        <f>IFERROR(VLOOKUP(J56,'NAICS Code to IS CDR Code'!A:C,3,FALSE), "NAICS/SIC Not Provided")</f>
        <v>Utilities</v>
      </c>
      <c r="N56" t="str">
        <f>IF(COUNTIF('Facility Summary_Water'!$M$2:$M$98,I56)&gt;0,"Yes","No")</f>
        <v>Yes</v>
      </c>
    </row>
    <row r="57" spans="1:14" x14ac:dyDescent="0.25">
      <c r="A57" s="7" t="s">
        <v>240</v>
      </c>
      <c r="B57" s="26"/>
      <c r="C57" s="26" t="s">
        <v>241</v>
      </c>
      <c r="D57" s="7" t="s">
        <v>114</v>
      </c>
      <c r="F57">
        <f>IF(H57&lt;&gt;"", INDEX('Processed Non-zero TRI Data'!$G:$G, MATCH(H57, 'Processed Non-zero TRI Data'!$I:$I,0)), INDEX('Processed Non-zero DMR Data'!$F:$F, MATCH(I57,'Processed Non-zero DMR Data'!$I:$I, 0)))</f>
        <v>29.378699999999998</v>
      </c>
      <c r="G57">
        <f>IF(H57&lt;&gt;"", INDEX('Processed Non-zero TRI Data'!$H:$H, MATCH(H57, 'Processed Non-zero TRI Data'!$I:$I,0)), INDEX('Processed Non-zero DMR Data'!$G:$G, MATCH(I57,'Processed Non-zero DMR Data'!$I:$I, 0)))</f>
        <v>-98.551670000000001</v>
      </c>
      <c r="H57" s="7"/>
      <c r="I57" s="183">
        <v>110042004915</v>
      </c>
      <c r="J57" s="1">
        <f>IF(H57&lt;&gt;"",INDEX('Processed Non-zero TRI Data'!$L:$L,MATCH('Facility Summary_All'!H57,'Processed Non-zero TRI Data'!$I:$I,0)),INDEX('Processed Non-zero DMR Data'!$L:$L,MATCH('Facility Summary_All'!I57,'Processed Non-zero DMR Data'!$I:$I,0)))*1</f>
        <v>928110</v>
      </c>
      <c r="K57" s="185" t="str">
        <f>INDEX('2017 - 2022 NAICS'!$D:$D, MATCH('Facility Summary_All'!J57,'2017 - 2022 NAICS'!$C:$C,0))</f>
        <v>National Security</v>
      </c>
      <c r="L57" t="str">
        <f>IFERROR(VLOOKUP(J57,'NAICS Code to IS CDR Code'!A:C,2,FALSE), "NAICS/SIC Not Provided")</f>
        <v>IS47</v>
      </c>
      <c r="M57" t="str">
        <f>IFERROR(VLOOKUP(J57,'NAICS Code to IS CDR Code'!A:C,3,FALSE), "NAICS/SIC Not Provided")</f>
        <v>Services</v>
      </c>
      <c r="N57" t="str">
        <f>IF(COUNTIF('Facility Summary_Water'!$M$2:$M$98,I57)&gt;0,"Yes","No")</f>
        <v>Yes</v>
      </c>
    </row>
    <row r="58" spans="1:14" x14ac:dyDescent="0.25">
      <c r="A58" s="7" t="s">
        <v>242</v>
      </c>
      <c r="B58" s="26"/>
      <c r="C58" s="26" t="s">
        <v>243</v>
      </c>
      <c r="D58" s="7" t="s">
        <v>138</v>
      </c>
      <c r="F58">
        <f>IF(H58&lt;&gt;"", INDEX('Processed Non-zero TRI Data'!$G:$G, MATCH(H58, 'Processed Non-zero TRI Data'!$I:$I,0)), INDEX('Processed Non-zero DMR Data'!$F:$F, MATCH(I58,'Processed Non-zero DMR Data'!$I:$I, 0)))</f>
        <v>36.856732000000001</v>
      </c>
      <c r="G58">
        <f>IF(H58&lt;&gt;"", INDEX('Processed Non-zero TRI Data'!$H:$H, MATCH(H58, 'Processed Non-zero TRI Data'!$I:$I,0)), INDEX('Processed Non-zero DMR Data'!$G:$G, MATCH(I58,'Processed Non-zero DMR Data'!$I:$I, 0)))</f>
        <v>-86.889048000000003</v>
      </c>
      <c r="H58" s="7"/>
      <c r="I58" s="183">
        <v>110000736730</v>
      </c>
      <c r="J58" s="1">
        <f>IF(H58&lt;&gt;"",INDEX('Processed Non-zero TRI Data'!$L:$L,MATCH('Facility Summary_All'!H58,'Processed Non-zero TRI Data'!$I:$I,0)),INDEX('Processed Non-zero DMR Data'!$L:$L,MATCH('Facility Summary_All'!I58,'Processed Non-zero DMR Data'!$I:$I,0)))*1</f>
        <v>221320</v>
      </c>
      <c r="K58" s="185" t="str">
        <f>INDEX('2017 - 2022 NAICS'!$D:$D, MATCH('Facility Summary_All'!J58,'2017 - 2022 NAICS'!$C:$C,0))</f>
        <v>Sewage Treatment Facilities</v>
      </c>
      <c r="L58" t="str">
        <f>IFERROR(VLOOKUP(J58,'NAICS Code to IS CDR Code'!A:C,2,FALSE), "NAICS/SIC Not Provided")</f>
        <v>IS4</v>
      </c>
      <c r="M58" t="str">
        <f>IFERROR(VLOOKUP(J58,'NAICS Code to IS CDR Code'!A:C,3,FALSE), "NAICS/SIC Not Provided")</f>
        <v>Utilities</v>
      </c>
      <c r="N58" t="str">
        <f>IF(COUNTIF('Facility Summary_Water'!$M$2:$M$98,I58)&gt;0,"Yes","No")</f>
        <v>Yes</v>
      </c>
    </row>
    <row r="59" spans="1:14" x14ac:dyDescent="0.25">
      <c r="A59" s="7" t="s">
        <v>244</v>
      </c>
      <c r="B59" s="26"/>
      <c r="C59" s="26" t="s">
        <v>245</v>
      </c>
      <c r="D59" s="7" t="s">
        <v>138</v>
      </c>
      <c r="F59">
        <f>IF(H59&lt;&gt;"", INDEX('Processed Non-zero TRI Data'!$G:$G, MATCH(H59, 'Processed Non-zero TRI Data'!$I:$I,0)), INDEX('Processed Non-zero DMR Data'!$F:$F, MATCH(I59,'Processed Non-zero DMR Data'!$I:$I, 0)))</f>
        <v>37.304611999999999</v>
      </c>
      <c r="G59">
        <f>IF(H59&lt;&gt;"", INDEX('Processed Non-zero TRI Data'!$H:$H, MATCH(H59, 'Processed Non-zero TRI Data'!$I:$I,0)), INDEX('Processed Non-zero DMR Data'!$G:$G, MATCH(I59,'Processed Non-zero DMR Data'!$I:$I, 0)))</f>
        <v>-87.145292999999995</v>
      </c>
      <c r="H59" s="7"/>
      <c r="I59" s="183">
        <v>110064265496</v>
      </c>
      <c r="J59" s="1">
        <f>IF(H59&lt;&gt;"",INDEX('Processed Non-zero TRI Data'!$L:$L,MATCH('Facility Summary_All'!H59,'Processed Non-zero TRI Data'!$I:$I,0)),INDEX('Processed Non-zero DMR Data'!$L:$L,MATCH('Facility Summary_All'!I59,'Processed Non-zero DMR Data'!$I:$I,0)))*1</f>
        <v>221320</v>
      </c>
      <c r="K59" s="185" t="str">
        <f>INDEX('2017 - 2022 NAICS'!$D:$D, MATCH('Facility Summary_All'!J59,'2017 - 2022 NAICS'!$C:$C,0))</f>
        <v>Sewage Treatment Facilities</v>
      </c>
      <c r="L59" t="str">
        <f>IFERROR(VLOOKUP(J59,'NAICS Code to IS CDR Code'!A:C,2,FALSE), "NAICS/SIC Not Provided")</f>
        <v>IS4</v>
      </c>
      <c r="M59" t="str">
        <f>IFERROR(VLOOKUP(J59,'NAICS Code to IS CDR Code'!A:C,3,FALSE), "NAICS/SIC Not Provided")</f>
        <v>Utilities</v>
      </c>
      <c r="N59" t="str">
        <f>IF(COUNTIF('Facility Summary_Water'!$M$2:$M$98,I59)&gt;0,"Yes","No")</f>
        <v>Yes</v>
      </c>
    </row>
    <row r="60" spans="1:14" x14ac:dyDescent="0.25">
      <c r="A60" s="7" t="s">
        <v>246</v>
      </c>
      <c r="B60" s="26"/>
      <c r="C60" s="26" t="s">
        <v>194</v>
      </c>
      <c r="D60" s="7" t="s">
        <v>106</v>
      </c>
      <c r="F60">
        <f>IF(H60&lt;&gt;"", INDEX('Processed Non-zero TRI Data'!$G:$G, MATCH(H60, 'Processed Non-zero TRI Data'!$I:$I,0)), INDEX('Processed Non-zero DMR Data'!$F:$F, MATCH(I60,'Processed Non-zero DMR Data'!$I:$I, 0)))</f>
        <v>30.241299999999999</v>
      </c>
      <c r="G60">
        <f>IF(H60&lt;&gt;"", INDEX('Processed Non-zero TRI Data'!$H:$H, MATCH(H60, 'Processed Non-zero TRI Data'!$I:$I,0)), INDEX('Processed Non-zero DMR Data'!$G:$G, MATCH(I60,'Processed Non-zero DMR Data'!$I:$I, 0)))</f>
        <v>-91.100899999999996</v>
      </c>
      <c r="H60" s="7"/>
      <c r="I60" s="183">
        <v>110000597426</v>
      </c>
      <c r="J60" s="1">
        <f>IF(H60&lt;&gt;"",INDEX('Processed Non-zero TRI Data'!$L:$L,MATCH('Facility Summary_All'!H60,'Processed Non-zero TRI Data'!$I:$I,0)),INDEX('Processed Non-zero DMR Data'!$L:$L,MATCH('Facility Summary_All'!I60,'Processed Non-zero DMR Data'!$I:$I,0)))*1</f>
        <v>211130</v>
      </c>
      <c r="K60" s="185" t="str">
        <f>INDEX('2017 - 2022 NAICS'!$D:$D, MATCH('Facility Summary_All'!J60,'2017 - 2022 NAICS'!$C:$C,0))</f>
        <v>Natural Gas Extraction</v>
      </c>
      <c r="L60" t="str">
        <f>IFERROR(VLOOKUP(J60,'NAICS Code to IS CDR Code'!A:C,2,FALSE), "NAICS/SIC Not Provided")</f>
        <v>IS2</v>
      </c>
      <c r="M60" t="str">
        <f>IFERROR(VLOOKUP(J60,'NAICS Code to IS CDR Code'!A:C,3,FALSE), "NAICS/SIC Not Provided")</f>
        <v>Oil and Gas Drilling, Extraction, and Support Activities</v>
      </c>
      <c r="N60" t="str">
        <f>IF(COUNTIF('Facility Summary_Water'!$M$2:$M$98,I60)&gt;0,"Yes","No")</f>
        <v>Yes</v>
      </c>
    </row>
    <row r="61" spans="1:14" x14ac:dyDescent="0.25">
      <c r="A61" s="7" t="s">
        <v>247</v>
      </c>
      <c r="B61" s="26"/>
      <c r="C61" s="26" t="s">
        <v>235</v>
      </c>
      <c r="D61" s="7" t="s">
        <v>138</v>
      </c>
      <c r="F61">
        <f>IF(H61&lt;&gt;"", INDEX('Processed Non-zero TRI Data'!$G:$G, MATCH(H61, 'Processed Non-zero TRI Data'!$I:$I,0)), INDEX('Processed Non-zero DMR Data'!$F:$F, MATCH(I61,'Processed Non-zero DMR Data'!$I:$I, 0)))</f>
        <v>38.122354000000001</v>
      </c>
      <c r="G61">
        <f>IF(H61&lt;&gt;"", INDEX('Processed Non-zero TRI Data'!$H:$H, MATCH(H61, 'Processed Non-zero TRI Data'!$I:$I,0)), INDEX('Processed Non-zero DMR Data'!$G:$G, MATCH(I61,'Processed Non-zero DMR Data'!$I:$I, 0)))</f>
        <v>-85.587648000000002</v>
      </c>
      <c r="H61" s="7"/>
      <c r="I61" s="183">
        <v>110043485421</v>
      </c>
      <c r="J61" s="1">
        <f>IF(H61&lt;&gt;"",INDEX('Processed Non-zero TRI Data'!$L:$L,MATCH('Facility Summary_All'!H61,'Processed Non-zero TRI Data'!$I:$I,0)),INDEX('Processed Non-zero DMR Data'!$L:$L,MATCH('Facility Summary_All'!I61,'Processed Non-zero DMR Data'!$I:$I,0)))*1</f>
        <v>221320</v>
      </c>
      <c r="K61" s="185" t="str">
        <f>INDEX('2017 - 2022 NAICS'!$D:$D, MATCH('Facility Summary_All'!J61,'2017 - 2022 NAICS'!$C:$C,0))</f>
        <v>Sewage Treatment Facilities</v>
      </c>
      <c r="L61" t="str">
        <f>IFERROR(VLOOKUP(J61,'NAICS Code to IS CDR Code'!A:C,2,FALSE), "NAICS/SIC Not Provided")</f>
        <v>IS4</v>
      </c>
      <c r="M61" t="str">
        <f>IFERROR(VLOOKUP(J61,'NAICS Code to IS CDR Code'!A:C,3,FALSE), "NAICS/SIC Not Provided")</f>
        <v>Utilities</v>
      </c>
      <c r="N61" t="str">
        <f>IF(COUNTIF('Facility Summary_Water'!$M$2:$M$98,I61)&gt;0,"Yes","No")</f>
        <v>Yes</v>
      </c>
    </row>
    <row r="62" spans="1:14" x14ac:dyDescent="0.25">
      <c r="A62" s="7" t="s">
        <v>248</v>
      </c>
      <c r="B62" s="26"/>
      <c r="C62" s="26" t="s">
        <v>249</v>
      </c>
      <c r="D62" s="7" t="s">
        <v>250</v>
      </c>
      <c r="F62">
        <f>IF(H62&lt;&gt;"", INDEX('Processed Non-zero TRI Data'!$G:$G, MATCH(H62, 'Processed Non-zero TRI Data'!$I:$I,0)), INDEX('Processed Non-zero DMR Data'!$F:$F, MATCH(I62,'Processed Non-zero DMR Data'!$I:$I, 0)))</f>
        <v>43.197788000000003</v>
      </c>
      <c r="G62">
        <f>IF(H62&lt;&gt;"", INDEX('Processed Non-zero TRI Data'!$H:$H, MATCH(H62, 'Processed Non-zero TRI Data'!$I:$I,0)), INDEX('Processed Non-zero DMR Data'!$G:$G, MATCH(I62,'Processed Non-zero DMR Data'!$I:$I, 0)))</f>
        <v>-77.629835999999997</v>
      </c>
      <c r="H62" s="7"/>
      <c r="I62" s="183">
        <v>110000492173</v>
      </c>
      <c r="J62" s="1">
        <f>IF(H62&lt;&gt;"",INDEX('Processed Non-zero TRI Data'!$L:$L,MATCH('Facility Summary_All'!H62,'Processed Non-zero TRI Data'!$I:$I,0)),INDEX('Processed Non-zero DMR Data'!$L:$L,MATCH('Facility Summary_All'!I62,'Processed Non-zero DMR Data'!$I:$I,0)))*1</f>
        <v>325992</v>
      </c>
      <c r="K62" s="185" t="str">
        <f>INDEX('2017 - 2022 NAICS'!$D:$D, MATCH('Facility Summary_All'!J62,'2017 - 2022 NAICS'!$C:$C,0))</f>
        <v>Photographic Film, Paper, Plate, Chemical, and Copy Toner Manufacturing</v>
      </c>
      <c r="L62" t="str">
        <f>IFERROR(VLOOKUP(J62,'NAICS Code to IS CDR Code'!A:C,2,FALSE), "NAICS/SIC Not Provided")</f>
        <v>IS33</v>
      </c>
      <c r="M62" t="str">
        <f>IFERROR(VLOOKUP(J62,'NAICS Code to IS CDR Code'!A:C,3,FALSE), "NAICS/SIC Not Provided")</f>
        <v>Photographic Film Paper, Plate, and Chemical Manufacturing</v>
      </c>
      <c r="N62" t="str">
        <f>IF(COUNTIF('Facility Summary_Water'!$M$2:$M$98,I62)&gt;0,"Yes","No")</f>
        <v>Yes</v>
      </c>
    </row>
    <row r="63" spans="1:14" x14ac:dyDescent="0.25">
      <c r="A63" s="7" t="s">
        <v>251</v>
      </c>
      <c r="B63" s="26"/>
      <c r="C63" s="26" t="s">
        <v>252</v>
      </c>
      <c r="D63" s="7" t="s">
        <v>138</v>
      </c>
      <c r="F63">
        <f>IF(H63&lt;&gt;"", INDEX('Processed Non-zero TRI Data'!$G:$G, MATCH(H63, 'Processed Non-zero TRI Data'!$I:$I,0)), INDEX('Processed Non-zero DMR Data'!$F:$F, MATCH(I63,'Processed Non-zero DMR Data'!$I:$I, 0)))</f>
        <v>36.946111000000002</v>
      </c>
      <c r="G63">
        <f>IF(H63&lt;&gt;"", INDEX('Processed Non-zero TRI Data'!$H:$H, MATCH(H63, 'Processed Non-zero TRI Data'!$I:$I,0)), INDEX('Processed Non-zero DMR Data'!$G:$G, MATCH(I63,'Processed Non-zero DMR Data'!$I:$I, 0)))</f>
        <v>-85.020832999999996</v>
      </c>
      <c r="H63" s="7"/>
      <c r="I63" s="183">
        <v>110000719045</v>
      </c>
      <c r="J63" s="1">
        <f>IF(H63&lt;&gt;"",INDEX('Processed Non-zero TRI Data'!$L:$L,MATCH('Facility Summary_All'!H63,'Processed Non-zero TRI Data'!$I:$I,0)),INDEX('Processed Non-zero DMR Data'!$L:$L,MATCH('Facility Summary_All'!I63,'Processed Non-zero DMR Data'!$I:$I,0)))*1</f>
        <v>221320</v>
      </c>
      <c r="K63" s="185" t="str">
        <f>INDEX('2017 - 2022 NAICS'!$D:$D, MATCH('Facility Summary_All'!J63,'2017 - 2022 NAICS'!$C:$C,0))</f>
        <v>Sewage Treatment Facilities</v>
      </c>
      <c r="L63" t="str">
        <f>IFERROR(VLOOKUP(J63,'NAICS Code to IS CDR Code'!A:C,2,FALSE), "NAICS/SIC Not Provided")</f>
        <v>IS4</v>
      </c>
      <c r="M63" t="str">
        <f>IFERROR(VLOOKUP(J63,'NAICS Code to IS CDR Code'!A:C,3,FALSE), "NAICS/SIC Not Provided")</f>
        <v>Utilities</v>
      </c>
      <c r="N63" t="str">
        <f>IF(COUNTIF('Facility Summary_Water'!$M$2:$M$98,I63)&gt;0,"Yes","No")</f>
        <v>Yes</v>
      </c>
    </row>
    <row r="64" spans="1:14" x14ac:dyDescent="0.25">
      <c r="A64" s="7" t="s">
        <v>253</v>
      </c>
      <c r="B64" s="26"/>
      <c r="C64" s="26" t="s">
        <v>254</v>
      </c>
      <c r="D64" s="7" t="s">
        <v>138</v>
      </c>
      <c r="F64">
        <f>IF(H64&lt;&gt;"", INDEX('Processed Non-zero TRI Data'!$G:$G, MATCH(H64, 'Processed Non-zero TRI Data'!$I:$I,0)), INDEX('Processed Non-zero DMR Data'!$F:$F, MATCH(I64,'Processed Non-zero DMR Data'!$I:$I, 0)))</f>
        <v>36.864350000000002</v>
      </c>
      <c r="G64">
        <f>IF(H64&lt;&gt;"", INDEX('Processed Non-zero TRI Data'!$H:$H, MATCH(H64, 'Processed Non-zero TRI Data'!$I:$I,0)), INDEX('Processed Non-zero DMR Data'!$G:$G, MATCH(I64,'Processed Non-zero DMR Data'!$I:$I, 0)))</f>
        <v>-86.705910000000003</v>
      </c>
      <c r="H64" s="7"/>
      <c r="I64" s="183">
        <v>110003250277</v>
      </c>
      <c r="J64" s="1">
        <f>IF(H64&lt;&gt;"",INDEX('Processed Non-zero TRI Data'!$L:$L,MATCH('Facility Summary_All'!H64,'Processed Non-zero TRI Data'!$I:$I,0)),INDEX('Processed Non-zero DMR Data'!$L:$L,MATCH('Facility Summary_All'!I64,'Processed Non-zero DMR Data'!$I:$I,0)))*1</f>
        <v>221320</v>
      </c>
      <c r="K64" s="185" t="str">
        <f>INDEX('2017 - 2022 NAICS'!$D:$D, MATCH('Facility Summary_All'!J64,'2017 - 2022 NAICS'!$C:$C,0))</f>
        <v>Sewage Treatment Facilities</v>
      </c>
      <c r="L64" t="str">
        <f>IFERROR(VLOOKUP(J64,'NAICS Code to IS CDR Code'!A:C,2,FALSE), "NAICS/SIC Not Provided")</f>
        <v>IS4</v>
      </c>
      <c r="M64" t="str">
        <f>IFERROR(VLOOKUP(J64,'NAICS Code to IS CDR Code'!A:C,3,FALSE), "NAICS/SIC Not Provided")</f>
        <v>Utilities</v>
      </c>
      <c r="N64" t="str">
        <f>IF(COUNTIF('Facility Summary_Water'!$M$2:$M$98,I64)&gt;0,"Yes","No")</f>
        <v>Yes</v>
      </c>
    </row>
    <row r="65" spans="1:14" x14ac:dyDescent="0.25">
      <c r="A65" s="7" t="s">
        <v>255</v>
      </c>
      <c r="B65" s="26"/>
      <c r="C65" s="26" t="s">
        <v>256</v>
      </c>
      <c r="D65" s="7" t="s">
        <v>141</v>
      </c>
      <c r="F65">
        <f>IF(H65&lt;&gt;"", INDEX('Processed Non-zero TRI Data'!$G:$G, MATCH(H65, 'Processed Non-zero TRI Data'!$I:$I,0)), INDEX('Processed Non-zero DMR Data'!$F:$F, MATCH(I65,'Processed Non-zero DMR Data'!$I:$I, 0)))</f>
        <v>39.795811999999998</v>
      </c>
      <c r="G65">
        <f>IF(H65&lt;&gt;"", INDEX('Processed Non-zero TRI Data'!$H:$H, MATCH(H65, 'Processed Non-zero TRI Data'!$I:$I,0)), INDEX('Processed Non-zero DMR Data'!$G:$G, MATCH(I65,'Processed Non-zero DMR Data'!$I:$I, 0)))</f>
        <v>-88.347945999999993</v>
      </c>
      <c r="H65" s="7"/>
      <c r="I65" s="183">
        <v>110000746211</v>
      </c>
      <c r="J65" s="1">
        <f>IF(H65&lt;&gt;"",INDEX('Processed Non-zero TRI Data'!$L:$L,MATCH('Facility Summary_All'!H65,'Processed Non-zero TRI Data'!$I:$I,0)),INDEX('Processed Non-zero DMR Data'!$L:$L,MATCH('Facility Summary_All'!I65,'Processed Non-zero DMR Data'!$I:$I,0)))*1</f>
        <v>325110</v>
      </c>
      <c r="K65" s="185" t="str">
        <f>INDEX('2017 - 2022 NAICS'!$D:$D, MATCH('Facility Summary_All'!J65,'2017 - 2022 NAICS'!$C:$C,0))</f>
        <v>Petrochemical Manufacturing</v>
      </c>
      <c r="L65" t="str">
        <f>IFERROR(VLOOKUP(J65,'NAICS Code to IS CDR Code'!A:C,2,FALSE), "NAICS/SIC Not Provided")</f>
        <v>IS15</v>
      </c>
      <c r="M65" t="str">
        <f>IFERROR(VLOOKUP(J65,'NAICS Code to IS CDR Code'!A:C,3,FALSE), "NAICS/SIC Not Provided")</f>
        <v>Petrochemical Manufacturing</v>
      </c>
      <c r="N65" t="str">
        <f>IF(COUNTIF('Facility Summary_Water'!$M$2:$M$98,I65)&gt;0,"Yes","No")</f>
        <v>Yes</v>
      </c>
    </row>
    <row r="66" spans="1:14" x14ac:dyDescent="0.25">
      <c r="A66" s="7" t="s">
        <v>257</v>
      </c>
      <c r="B66" s="26"/>
      <c r="C66" s="26" t="s">
        <v>258</v>
      </c>
      <c r="D66" s="7" t="s">
        <v>170</v>
      </c>
      <c r="F66">
        <f>IF(H66&lt;&gt;"", INDEX('Processed Non-zero TRI Data'!$G:$G, MATCH(H66, 'Processed Non-zero TRI Data'!$I:$I,0)), INDEX('Processed Non-zero DMR Data'!$F:$F, MATCH(I66,'Processed Non-zero DMR Data'!$I:$I, 0)))</f>
        <v>39.683477000000003</v>
      </c>
      <c r="G66">
        <f>IF(H66&lt;&gt;"", INDEX('Processed Non-zero TRI Data'!$H:$H, MATCH(H66, 'Processed Non-zero TRI Data'!$I:$I,0)), INDEX('Processed Non-zero DMR Data'!$G:$G, MATCH(I66,'Processed Non-zero DMR Data'!$I:$I, 0)))</f>
        <v>-91.334682999999998</v>
      </c>
      <c r="H66" s="7"/>
      <c r="I66" s="183">
        <v>110000595981</v>
      </c>
      <c r="J66" s="1">
        <f>IF(H66&lt;&gt;"",INDEX('Processed Non-zero TRI Data'!$L:$L,MATCH('Facility Summary_All'!H66,'Processed Non-zero TRI Data'!$I:$I,0)),INDEX('Processed Non-zero DMR Data'!$L:$L,MATCH('Facility Summary_All'!I66,'Processed Non-zero DMR Data'!$I:$I,0)))*1</f>
        <v>327310</v>
      </c>
      <c r="K66" s="185" t="str">
        <f>INDEX('2017 - 2022 NAICS'!$D:$D, MATCH('Facility Summary_All'!J66,'2017 - 2022 NAICS'!$C:$C,0))</f>
        <v>Cement Manufacturing</v>
      </c>
      <c r="L66" t="str">
        <f>IFERROR(VLOOKUP(J66,'NAICS Code to IS CDR Code'!A:C,2,FALSE), "NAICS/SIC Not Provided")</f>
        <v>IS37</v>
      </c>
      <c r="M66" t="str">
        <f>IFERROR(VLOOKUP(J66,'NAICS Code to IS CDR Code'!A:C,3,FALSE), "NAICS/SIC Not Provided")</f>
        <v>Nonmetallic Mineral Product Manufacturing (includes clay, glass, cement, concrete,
lime, gypsum, and other nonmetallic mineral product manufacturing)</v>
      </c>
      <c r="N66" t="str">
        <f>IF(COUNTIF('Facility Summary_Water'!$M$2:$M$98,I66)&gt;0,"Yes","No")</f>
        <v>Yes</v>
      </c>
    </row>
    <row r="67" spans="1:14" x14ac:dyDescent="0.25">
      <c r="A67" s="7" t="s">
        <v>259</v>
      </c>
      <c r="B67" s="26"/>
      <c r="C67" s="26" t="s">
        <v>260</v>
      </c>
      <c r="D67" s="7" t="s">
        <v>138</v>
      </c>
      <c r="F67">
        <f>IF(H67&lt;&gt;"", INDEX('Processed Non-zero TRI Data'!$G:$G, MATCH(H67, 'Processed Non-zero TRI Data'!$I:$I,0)), INDEX('Processed Non-zero DMR Data'!$F:$F, MATCH(I67,'Processed Non-zero DMR Data'!$I:$I, 0)))</f>
        <v>36.803610999999997</v>
      </c>
      <c r="G67">
        <f>IF(H67&lt;&gt;"", INDEX('Processed Non-zero TRI Data'!$H:$H, MATCH(H67, 'Processed Non-zero TRI Data'!$I:$I,0)), INDEX('Processed Non-zero DMR Data'!$G:$G, MATCH(I67,'Processed Non-zero DMR Data'!$I:$I, 0)))</f>
        <v>-87.516389000000004</v>
      </c>
      <c r="H67" s="7"/>
      <c r="I67" s="183">
        <v>110039994897</v>
      </c>
      <c r="J67" s="1">
        <f>IF(H67&lt;&gt;"",INDEX('Processed Non-zero TRI Data'!$L:$L,MATCH('Facility Summary_All'!H67,'Processed Non-zero TRI Data'!$I:$I,0)),INDEX('Processed Non-zero DMR Data'!$L:$L,MATCH('Facility Summary_All'!I67,'Processed Non-zero DMR Data'!$I:$I,0)))*1</f>
        <v>221320</v>
      </c>
      <c r="K67" s="185" t="str">
        <f>INDEX('2017 - 2022 NAICS'!$D:$D, MATCH('Facility Summary_All'!J67,'2017 - 2022 NAICS'!$C:$C,0))</f>
        <v>Sewage Treatment Facilities</v>
      </c>
      <c r="L67" t="str">
        <f>IFERROR(VLOOKUP(J67,'NAICS Code to IS CDR Code'!A:C,2,FALSE), "NAICS/SIC Not Provided")</f>
        <v>IS4</v>
      </c>
      <c r="M67" t="str">
        <f>IFERROR(VLOOKUP(J67,'NAICS Code to IS CDR Code'!A:C,3,FALSE), "NAICS/SIC Not Provided")</f>
        <v>Utilities</v>
      </c>
      <c r="N67" t="str">
        <f>IF(COUNTIF('Facility Summary_Water'!$M$2:$M$98,I67)&gt;0,"Yes","No")</f>
        <v>Yes</v>
      </c>
    </row>
    <row r="68" spans="1:14" x14ac:dyDescent="0.25">
      <c r="A68" s="7" t="s">
        <v>261</v>
      </c>
      <c r="B68" s="26"/>
      <c r="C68" s="26" t="s">
        <v>262</v>
      </c>
      <c r="D68" s="7" t="s">
        <v>138</v>
      </c>
      <c r="F68">
        <f>IF(H68&lt;&gt;"", INDEX('Processed Non-zero TRI Data'!$G:$G, MATCH(H68, 'Processed Non-zero TRI Data'!$I:$I,0)), INDEX('Processed Non-zero DMR Data'!$F:$F, MATCH(I68,'Processed Non-zero DMR Data'!$I:$I, 0)))</f>
        <v>38.686529999999998</v>
      </c>
      <c r="G68">
        <f>IF(H68&lt;&gt;"", INDEX('Processed Non-zero TRI Data'!$H:$H, MATCH(H68, 'Processed Non-zero TRI Data'!$I:$I,0)), INDEX('Processed Non-zero DMR Data'!$G:$G, MATCH(I68,'Processed Non-zero DMR Data'!$I:$I, 0)))</f>
        <v>-83.788679999999999</v>
      </c>
      <c r="H68" s="7"/>
      <c r="I68" s="183">
        <v>110000761104</v>
      </c>
      <c r="J68" s="1">
        <f>IF(H68&lt;&gt;"",INDEX('Processed Non-zero TRI Data'!$L:$L,MATCH('Facility Summary_All'!H68,'Processed Non-zero TRI Data'!$I:$I,0)),INDEX('Processed Non-zero DMR Data'!$L:$L,MATCH('Facility Summary_All'!I68,'Processed Non-zero DMR Data'!$I:$I,0)))*1</f>
        <v>221320</v>
      </c>
      <c r="K68" s="185" t="str">
        <f>INDEX('2017 - 2022 NAICS'!$D:$D, MATCH('Facility Summary_All'!J68,'2017 - 2022 NAICS'!$C:$C,0))</f>
        <v>Sewage Treatment Facilities</v>
      </c>
      <c r="L68" t="str">
        <f>IFERROR(VLOOKUP(J68,'NAICS Code to IS CDR Code'!A:C,2,FALSE), "NAICS/SIC Not Provided")</f>
        <v>IS4</v>
      </c>
      <c r="M68" t="str">
        <f>IFERROR(VLOOKUP(J68,'NAICS Code to IS CDR Code'!A:C,3,FALSE), "NAICS/SIC Not Provided")</f>
        <v>Utilities</v>
      </c>
      <c r="N68" t="str">
        <f>IF(COUNTIF('Facility Summary_Water'!$M$2:$M$98,I68)&gt;0,"Yes","No")</f>
        <v>Yes</v>
      </c>
    </row>
    <row r="69" spans="1:14" x14ac:dyDescent="0.25">
      <c r="A69" s="7" t="s">
        <v>263</v>
      </c>
      <c r="B69" s="26"/>
      <c r="C69" s="26" t="s">
        <v>264</v>
      </c>
      <c r="D69" s="7" t="s">
        <v>118</v>
      </c>
      <c r="F69">
        <f>IF(H69&lt;&gt;"", INDEX('Processed Non-zero TRI Data'!$G:$G, MATCH(H69, 'Processed Non-zero TRI Data'!$I:$I,0)), INDEX('Processed Non-zero DMR Data'!$F:$F, MATCH(I69,'Processed Non-zero DMR Data'!$I:$I, 0)))</f>
        <v>41.775967999999999</v>
      </c>
      <c r="G69">
        <f>IF(H69&lt;&gt;"", INDEX('Processed Non-zero TRI Data'!$H:$H, MATCH(H69, 'Processed Non-zero TRI Data'!$I:$I,0)), INDEX('Processed Non-zero DMR Data'!$G:$G, MATCH(I69,'Processed Non-zero DMR Data'!$I:$I, 0)))</f>
        <v>-86.654864000000003</v>
      </c>
      <c r="H69" s="7"/>
      <c r="I69" s="183">
        <v>110001847761</v>
      </c>
      <c r="J69" s="1">
        <f>IF(H69&lt;&gt;"",INDEX('Processed Non-zero TRI Data'!$L:$L,MATCH('Facility Summary_All'!H69,'Processed Non-zero TRI Data'!$I:$I,0)),INDEX('Processed Non-zero DMR Data'!$L:$L,MATCH('Facility Summary_All'!I69,'Processed Non-zero DMR Data'!$I:$I,0)))*1</f>
        <v>562211</v>
      </c>
      <c r="K69" s="185" t="str">
        <f>INDEX('2017 - 2022 NAICS'!$D:$D, MATCH('Facility Summary_All'!J69,'2017 - 2022 NAICS'!$C:$C,0))</f>
        <v>Hazardous Waste Treatment and Disposal</v>
      </c>
      <c r="L69" t="str">
        <f>IFERROR(VLOOKUP(J69,'NAICS Code to IS CDR Code'!A:C,2,FALSE), "NAICS/SIC Not Provided")</f>
        <v>IS47</v>
      </c>
      <c r="M69" t="str">
        <f>IFERROR(VLOOKUP(J69,'NAICS Code to IS CDR Code'!A:C,3,FALSE), "NAICS/SIC Not Provided")</f>
        <v>Services</v>
      </c>
      <c r="N69" t="str">
        <f>IF(COUNTIF('Facility Summary_Water'!$M$2:$M$98,I69)&gt;0,"Yes","No")</f>
        <v>Yes</v>
      </c>
    </row>
    <row r="70" spans="1:14" x14ac:dyDescent="0.25">
      <c r="A70" s="7" t="s">
        <v>265</v>
      </c>
      <c r="B70" s="26"/>
      <c r="C70" s="26" t="s">
        <v>175</v>
      </c>
      <c r="D70" s="7" t="s">
        <v>106</v>
      </c>
      <c r="F70">
        <f>IF(H70&lt;&gt;"", INDEX('Processed Non-zero TRI Data'!$G:$G, MATCH(H70, 'Processed Non-zero TRI Data'!$I:$I,0)), INDEX('Processed Non-zero DMR Data'!$F:$F, MATCH(I70,'Processed Non-zero DMR Data'!$I:$I, 0)))</f>
        <v>30.23771</v>
      </c>
      <c r="G70">
        <f>IF(H70&lt;&gt;"", INDEX('Processed Non-zero TRI Data'!$H:$H, MATCH(H70, 'Processed Non-zero TRI Data'!$I:$I,0)), INDEX('Processed Non-zero DMR Data'!$G:$G, MATCH(I70,'Processed Non-zero DMR Data'!$I:$I, 0)))</f>
        <v>-93.258650000000003</v>
      </c>
      <c r="H70" s="7"/>
      <c r="I70" s="183">
        <v>110064611969</v>
      </c>
      <c r="J70" s="1">
        <f>IF(H70&lt;&gt;"",INDEX('Processed Non-zero TRI Data'!$L:$L,MATCH('Facility Summary_All'!H70,'Processed Non-zero TRI Data'!$I:$I,0)),INDEX('Processed Non-zero DMR Data'!$L:$L,MATCH('Facility Summary_All'!I70,'Processed Non-zero DMR Data'!$I:$I,0)))*1</f>
        <v>211130</v>
      </c>
      <c r="K70" s="185" t="str">
        <f>INDEX('2017 - 2022 NAICS'!$D:$D, MATCH('Facility Summary_All'!J70,'2017 - 2022 NAICS'!$C:$C,0))</f>
        <v>Natural Gas Extraction</v>
      </c>
      <c r="L70" t="str">
        <f>IFERROR(VLOOKUP(J70,'NAICS Code to IS CDR Code'!A:C,2,FALSE), "NAICS/SIC Not Provided")</f>
        <v>IS2</v>
      </c>
      <c r="M70" t="str">
        <f>IFERROR(VLOOKUP(J70,'NAICS Code to IS CDR Code'!A:C,3,FALSE), "NAICS/SIC Not Provided")</f>
        <v>Oil and Gas Drilling, Extraction, and Support Activities</v>
      </c>
      <c r="N70" t="str">
        <f>IF(COUNTIF('Facility Summary_Water'!$M$2:$M$98,I70)&gt;0,"Yes","No")</f>
        <v>Yes</v>
      </c>
    </row>
    <row r="71" spans="1:14" x14ac:dyDescent="0.25">
      <c r="A71" s="7" t="s">
        <v>266</v>
      </c>
      <c r="B71" s="26"/>
      <c r="C71" s="26" t="s">
        <v>267</v>
      </c>
      <c r="D71" s="7" t="s">
        <v>268</v>
      </c>
      <c r="F71">
        <f>IF(H71&lt;&gt;"", INDEX('Processed Non-zero TRI Data'!$G:$G, MATCH(H71, 'Processed Non-zero TRI Data'!$I:$I,0)), INDEX('Processed Non-zero DMR Data'!$F:$F, MATCH(I71,'Processed Non-zero DMR Data'!$I:$I, 0)))</f>
        <v>41.452778000000002</v>
      </c>
      <c r="G71">
        <f>IF(H71&lt;&gt;"", INDEX('Processed Non-zero TRI Data'!$H:$H, MATCH(H71, 'Processed Non-zero TRI Data'!$I:$I,0)), INDEX('Processed Non-zero DMR Data'!$G:$G, MATCH(I71,'Processed Non-zero DMR Data'!$I:$I, 0)))</f>
        <v>-79.690278000000006</v>
      </c>
      <c r="H71" s="7"/>
      <c r="I71" s="183">
        <v>110008476327</v>
      </c>
      <c r="J71" s="1">
        <f>IF(H71&lt;&gt;"",INDEX('Processed Non-zero TRI Data'!$L:$L,MATCH('Facility Summary_All'!H71,'Processed Non-zero TRI Data'!$I:$I,0)),INDEX('Processed Non-zero DMR Data'!$L:$L,MATCH('Facility Summary_All'!I71,'Processed Non-zero DMR Data'!$I:$I,0)))*1</f>
        <v>325110</v>
      </c>
      <c r="K71" s="185" t="str">
        <f>INDEX('2017 - 2022 NAICS'!$D:$D, MATCH('Facility Summary_All'!J71,'2017 - 2022 NAICS'!$C:$C,0))</f>
        <v>Petrochemical Manufacturing</v>
      </c>
      <c r="L71" t="str">
        <f>IFERROR(VLOOKUP(J71,'NAICS Code to IS CDR Code'!A:C,2,FALSE), "NAICS/SIC Not Provided")</f>
        <v>IS15</v>
      </c>
      <c r="M71" t="str">
        <f>IFERROR(VLOOKUP(J71,'NAICS Code to IS CDR Code'!A:C,3,FALSE), "NAICS/SIC Not Provided")</f>
        <v>Petrochemical Manufacturing</v>
      </c>
      <c r="N71" t="str">
        <f>IF(COUNTIF('Facility Summary_Water'!$M$2:$M$98,I71)&gt;0,"Yes","No")</f>
        <v>Yes</v>
      </c>
    </row>
    <row r="72" spans="1:14" x14ac:dyDescent="0.25">
      <c r="A72" s="7" t="s">
        <v>269</v>
      </c>
      <c r="B72" s="26"/>
      <c r="C72" s="26" t="s">
        <v>270</v>
      </c>
      <c r="D72" s="7" t="s">
        <v>146</v>
      </c>
      <c r="F72">
        <f>IF(H72&lt;&gt;"", INDEX('Processed Non-zero TRI Data'!$G:$G, MATCH(H72, 'Processed Non-zero TRI Data'!$I:$I,0)), INDEX('Processed Non-zero DMR Data'!$F:$F, MATCH(I72,'Processed Non-zero DMR Data'!$I:$I, 0)))</f>
        <v>34.616678999999998</v>
      </c>
      <c r="G72">
        <f>IF(H72&lt;&gt;"", INDEX('Processed Non-zero TRI Data'!$H:$H, MATCH(H72, 'Processed Non-zero TRI Data'!$I:$I,0)), INDEX('Processed Non-zero DMR Data'!$G:$G, MATCH(I72,'Processed Non-zero DMR Data'!$I:$I, 0)))</f>
        <v>-117.355046</v>
      </c>
      <c r="H72" s="7"/>
      <c r="I72" s="183">
        <v>110000517637</v>
      </c>
      <c r="J72" s="1">
        <f>IF(H72&lt;&gt;"",INDEX('Processed Non-zero TRI Data'!$L:$L,MATCH('Facility Summary_All'!H72,'Processed Non-zero TRI Data'!$I:$I,0)),INDEX('Processed Non-zero DMR Data'!$L:$L,MATCH('Facility Summary_All'!I72,'Processed Non-zero DMR Data'!$I:$I,0)))*1</f>
        <v>221320</v>
      </c>
      <c r="K72" s="185" t="str">
        <f>INDEX('2017 - 2022 NAICS'!$D:$D, MATCH('Facility Summary_All'!J72,'2017 - 2022 NAICS'!$C:$C,0))</f>
        <v>Sewage Treatment Facilities</v>
      </c>
      <c r="L72" t="str">
        <f>IFERROR(VLOOKUP(J72,'NAICS Code to IS CDR Code'!A:C,2,FALSE), "NAICS/SIC Not Provided")</f>
        <v>IS4</v>
      </c>
      <c r="M72" t="str">
        <f>IFERROR(VLOOKUP(J72,'NAICS Code to IS CDR Code'!A:C,3,FALSE), "NAICS/SIC Not Provided")</f>
        <v>Utilities</v>
      </c>
      <c r="N72" t="str">
        <f>IF(COUNTIF('Facility Summary_Water'!$M$2:$M$98,I72)&gt;0,"Yes","No")</f>
        <v>Yes</v>
      </c>
    </row>
    <row r="73" spans="1:14" x14ac:dyDescent="0.25">
      <c r="A73" s="7" t="s">
        <v>271</v>
      </c>
      <c r="B73" s="26"/>
      <c r="C73" s="26" t="s">
        <v>272</v>
      </c>
      <c r="D73" s="7" t="s">
        <v>138</v>
      </c>
      <c r="F73">
        <f>IF(H73&lt;&gt;"", INDEX('Processed Non-zero TRI Data'!$G:$G, MATCH(H73, 'Processed Non-zero TRI Data'!$I:$I,0)), INDEX('Processed Non-zero DMR Data'!$F:$F, MATCH(I73,'Processed Non-zero DMR Data'!$I:$I, 0)))</f>
        <v>38.474601999999997</v>
      </c>
      <c r="G73">
        <f>IF(H73&lt;&gt;"", INDEX('Processed Non-zero TRI Data'!$H:$H, MATCH(H73, 'Processed Non-zero TRI Data'!$I:$I,0)), INDEX('Processed Non-zero DMR Data'!$G:$G, MATCH(I73,'Processed Non-zero DMR Data'!$I:$I, 0)))</f>
        <v>-82.623778999999999</v>
      </c>
      <c r="H73" s="7"/>
      <c r="I73" s="183">
        <v>110000732244</v>
      </c>
      <c r="J73" s="1">
        <f>IF(H73&lt;&gt;"",INDEX('Processed Non-zero TRI Data'!$L:$L,MATCH('Facility Summary_All'!H73,'Processed Non-zero TRI Data'!$I:$I,0)),INDEX('Processed Non-zero DMR Data'!$L:$L,MATCH('Facility Summary_All'!I73,'Processed Non-zero DMR Data'!$I:$I,0)))*1</f>
        <v>221320</v>
      </c>
      <c r="K73" s="185" t="str">
        <f>INDEX('2017 - 2022 NAICS'!$D:$D, MATCH('Facility Summary_All'!J73,'2017 - 2022 NAICS'!$C:$C,0))</f>
        <v>Sewage Treatment Facilities</v>
      </c>
      <c r="L73" t="str">
        <f>IFERROR(VLOOKUP(J73,'NAICS Code to IS CDR Code'!A:C,2,FALSE), "NAICS/SIC Not Provided")</f>
        <v>IS4</v>
      </c>
      <c r="M73" t="str">
        <f>IFERROR(VLOOKUP(J73,'NAICS Code to IS CDR Code'!A:C,3,FALSE), "NAICS/SIC Not Provided")</f>
        <v>Utilities</v>
      </c>
      <c r="N73" t="str">
        <f>IF(COUNTIF('Facility Summary_Water'!$M$2:$M$98,I73)&gt;0,"Yes","No")</f>
        <v>Yes</v>
      </c>
    </row>
    <row r="74" spans="1:14" x14ac:dyDescent="0.25">
      <c r="A74" s="7" t="s">
        <v>273</v>
      </c>
      <c r="B74" s="26"/>
      <c r="C74" s="26" t="s">
        <v>274</v>
      </c>
      <c r="D74" s="7" t="s">
        <v>268</v>
      </c>
      <c r="F74">
        <f>IF(H74&lt;&gt;"", INDEX('Processed Non-zero TRI Data'!$G:$G, MATCH(H74, 'Processed Non-zero TRI Data'!$I:$I,0)), INDEX('Processed Non-zero DMR Data'!$F:$F, MATCH(I74,'Processed Non-zero DMR Data'!$I:$I, 0)))</f>
        <v>40.094276999999998</v>
      </c>
      <c r="G74">
        <f>IF(H74&lt;&gt;"", INDEX('Processed Non-zero TRI Data'!$H:$H, MATCH(H74, 'Processed Non-zero TRI Data'!$I:$I,0)), INDEX('Processed Non-zero DMR Data'!$G:$G, MATCH(I74,'Processed Non-zero DMR Data'!$I:$I, 0)))</f>
        <v>-74.865442000000002</v>
      </c>
      <c r="H74" s="7"/>
      <c r="I74" s="183">
        <v>110064634686</v>
      </c>
      <c r="J74" s="1">
        <f>IF(H74&lt;&gt;"",INDEX('Processed Non-zero TRI Data'!$L:$L,MATCH('Facility Summary_All'!H74,'Processed Non-zero TRI Data'!$I:$I,0)),INDEX('Processed Non-zero DMR Data'!$L:$L,MATCH('Facility Summary_All'!I74,'Processed Non-zero DMR Data'!$I:$I,0)))*1</f>
        <v>325211</v>
      </c>
      <c r="K74" s="185" t="str">
        <f>INDEX('2017 - 2022 NAICS'!$D:$D, MATCH('Facility Summary_All'!J74,'2017 - 2022 NAICS'!$C:$C,0))</f>
        <v>Plastics Material and Resin Manufacturing</v>
      </c>
      <c r="L74" t="str">
        <f>IFERROR(VLOOKUP(J74,'NAICS Code to IS CDR Code'!A:C,2,FALSE), "NAICS/SIC Not Provided")</f>
        <v>IS22</v>
      </c>
      <c r="M74" t="str">
        <f>IFERROR(VLOOKUP(J74,'NAICS Code to IS CDR Code'!A:C,3,FALSE), "NAICS/SIC Not Provided")</f>
        <v>Plastic Material and Resin Manufacturing</v>
      </c>
      <c r="N74" t="str">
        <f>IF(COUNTIF('Facility Summary_Water'!$M$2:$M$98,I74)&gt;0,"Yes","No")</f>
        <v>Yes</v>
      </c>
    </row>
    <row r="75" spans="1:14" x14ac:dyDescent="0.25">
      <c r="A75" s="7" t="s">
        <v>275</v>
      </c>
      <c r="B75" s="26"/>
      <c r="C75" s="26" t="s">
        <v>276</v>
      </c>
      <c r="D75" s="7" t="s">
        <v>138</v>
      </c>
      <c r="F75">
        <f>IF(H75&lt;&gt;"", INDEX('Processed Non-zero TRI Data'!$G:$G, MATCH(H75, 'Processed Non-zero TRI Data'!$I:$I,0)), INDEX('Processed Non-zero DMR Data'!$F:$F, MATCH(I75,'Processed Non-zero DMR Data'!$I:$I, 0)))</f>
        <v>37.047736999999998</v>
      </c>
      <c r="G75">
        <f>IF(H75&lt;&gt;"", INDEX('Processed Non-zero TRI Data'!$H:$H, MATCH(H75, 'Processed Non-zero TRI Data'!$I:$I,0)), INDEX('Processed Non-zero DMR Data'!$G:$G, MATCH(I75,'Processed Non-zero DMR Data'!$I:$I, 0)))</f>
        <v>-88.35866</v>
      </c>
      <c r="H75" s="7"/>
      <c r="I75" s="183">
        <v>110000741608</v>
      </c>
      <c r="J75" s="1">
        <f>IF(H75&lt;&gt;"",INDEX('Processed Non-zero TRI Data'!$L:$L,MATCH('Facility Summary_All'!H75,'Processed Non-zero TRI Data'!$I:$I,0)),INDEX('Processed Non-zero DMR Data'!$L:$L,MATCH('Facility Summary_All'!I75,'Processed Non-zero DMR Data'!$I:$I,0)))*1</f>
        <v>325110</v>
      </c>
      <c r="K75" s="185" t="str">
        <f>INDEX('2017 - 2022 NAICS'!$D:$D, MATCH('Facility Summary_All'!J75,'2017 - 2022 NAICS'!$C:$C,0))</f>
        <v>Petrochemical Manufacturing</v>
      </c>
      <c r="L75" t="str">
        <f>IFERROR(VLOOKUP(J75,'NAICS Code to IS CDR Code'!A:C,2,FALSE), "NAICS/SIC Not Provided")</f>
        <v>IS15</v>
      </c>
      <c r="M75" t="str">
        <f>IFERROR(VLOOKUP(J75,'NAICS Code to IS CDR Code'!A:C,3,FALSE), "NAICS/SIC Not Provided")</f>
        <v>Petrochemical Manufacturing</v>
      </c>
      <c r="N75" t="str">
        <f>IF(COUNTIF('Facility Summary_Water'!$M$2:$M$98,I75)&gt;0,"Yes","No")</f>
        <v>Yes</v>
      </c>
    </row>
    <row r="76" spans="1:14" x14ac:dyDescent="0.25">
      <c r="A76" s="7" t="s">
        <v>277</v>
      </c>
      <c r="B76" s="26"/>
      <c r="C76" s="26" t="s">
        <v>235</v>
      </c>
      <c r="D76" s="7" t="s">
        <v>138</v>
      </c>
      <c r="F76">
        <f>IF(H76&lt;&gt;"", INDEX('Processed Non-zero TRI Data'!$G:$G, MATCH(H76, 'Processed Non-zero TRI Data'!$I:$I,0)), INDEX('Processed Non-zero DMR Data'!$F:$F, MATCH(I76,'Processed Non-zero DMR Data'!$I:$I, 0)))</f>
        <v>38.236699999999999</v>
      </c>
      <c r="G76">
        <f>IF(H76&lt;&gt;"", INDEX('Processed Non-zero TRI Data'!$H:$H, MATCH(H76, 'Processed Non-zero TRI Data'!$I:$I,0)), INDEX('Processed Non-zero DMR Data'!$G:$G, MATCH(I76,'Processed Non-zero DMR Data'!$I:$I, 0)))</f>
        <v>-85.466710000000006</v>
      </c>
      <c r="H76" s="7"/>
      <c r="I76" s="183">
        <v>110043486457</v>
      </c>
      <c r="J76" s="1">
        <f>IF(H76&lt;&gt;"",INDEX('Processed Non-zero TRI Data'!$L:$L,MATCH('Facility Summary_All'!H76,'Processed Non-zero TRI Data'!$I:$I,0)),INDEX('Processed Non-zero DMR Data'!$L:$L,MATCH('Facility Summary_All'!I76,'Processed Non-zero DMR Data'!$I:$I,0)))*1</f>
        <v>221320</v>
      </c>
      <c r="K76" s="185" t="str">
        <f>INDEX('2017 - 2022 NAICS'!$D:$D, MATCH('Facility Summary_All'!J76,'2017 - 2022 NAICS'!$C:$C,0))</f>
        <v>Sewage Treatment Facilities</v>
      </c>
      <c r="L76" t="str">
        <f>IFERROR(VLOOKUP(J76,'NAICS Code to IS CDR Code'!A:C,2,FALSE), "NAICS/SIC Not Provided")</f>
        <v>IS4</v>
      </c>
      <c r="M76" t="str">
        <f>IFERROR(VLOOKUP(J76,'NAICS Code to IS CDR Code'!A:C,3,FALSE), "NAICS/SIC Not Provided")</f>
        <v>Utilities</v>
      </c>
      <c r="N76" t="str">
        <f>IF(COUNTIF('Facility Summary_Water'!$M$2:$M$98,I76)&gt;0,"Yes","No")</f>
        <v>Yes</v>
      </c>
    </row>
    <row r="77" spans="1:14" x14ac:dyDescent="0.25">
      <c r="A77" s="7" t="s">
        <v>278</v>
      </c>
      <c r="B77" s="26"/>
      <c r="C77" s="26" t="s">
        <v>279</v>
      </c>
      <c r="D77" s="7" t="s">
        <v>138</v>
      </c>
      <c r="F77">
        <f>IF(H77&lt;&gt;"", INDEX('Processed Non-zero TRI Data'!$G:$G, MATCH(H77, 'Processed Non-zero TRI Data'!$I:$I,0)), INDEX('Processed Non-zero DMR Data'!$F:$F, MATCH(I77,'Processed Non-zero DMR Data'!$I:$I, 0)))</f>
        <v>38.002597000000002</v>
      </c>
      <c r="G77">
        <f>IF(H77&lt;&gt;"", INDEX('Processed Non-zero TRI Data'!$H:$H, MATCH(H77, 'Processed Non-zero TRI Data'!$I:$I,0)), INDEX('Processed Non-zero DMR Data'!$G:$G, MATCH(I77,'Processed Non-zero DMR Data'!$I:$I, 0)))</f>
        <v>-86.117904999999993</v>
      </c>
      <c r="H77" s="7"/>
      <c r="I77" s="183">
        <v>110000377976</v>
      </c>
      <c r="J77" s="1">
        <f>IF(H77&lt;&gt;"",INDEX('Processed Non-zero TRI Data'!$L:$L,MATCH('Facility Summary_All'!H77,'Processed Non-zero TRI Data'!$I:$I,0)),INDEX('Processed Non-zero DMR Data'!$L:$L,MATCH('Facility Summary_All'!I77,'Processed Non-zero DMR Data'!$I:$I,0)))*1</f>
        <v>325110</v>
      </c>
      <c r="K77" s="185" t="str">
        <f>INDEX('2017 - 2022 NAICS'!$D:$D, MATCH('Facility Summary_All'!J77,'2017 - 2022 NAICS'!$C:$C,0))</f>
        <v>Petrochemical Manufacturing</v>
      </c>
      <c r="L77" t="str">
        <f>IFERROR(VLOOKUP(J77,'NAICS Code to IS CDR Code'!A:C,2,FALSE), "NAICS/SIC Not Provided")</f>
        <v>IS15</v>
      </c>
      <c r="M77" t="str">
        <f>IFERROR(VLOOKUP(J77,'NAICS Code to IS CDR Code'!A:C,3,FALSE), "NAICS/SIC Not Provided")</f>
        <v>Petrochemical Manufacturing</v>
      </c>
      <c r="N77" t="str">
        <f>IF(COUNTIF('Facility Summary_Water'!$M$2:$M$98,I77)&gt;0,"Yes","No")</f>
        <v>Yes</v>
      </c>
    </row>
    <row r="78" spans="1:14" x14ac:dyDescent="0.25">
      <c r="A78" s="7" t="s">
        <v>280</v>
      </c>
      <c r="B78" s="26"/>
      <c r="C78" s="26" t="s">
        <v>281</v>
      </c>
      <c r="D78" s="7" t="s">
        <v>186</v>
      </c>
      <c r="F78">
        <f>IF(H78&lt;&gt;"", INDEX('Processed Non-zero TRI Data'!$G:$G, MATCH(H78, 'Processed Non-zero TRI Data'!$I:$I,0)), INDEX('Processed Non-zero DMR Data'!$F:$F, MATCH(I78,'Processed Non-zero DMR Data'!$I:$I, 0)))</f>
        <v>21.329699999999999</v>
      </c>
      <c r="G78">
        <f>IF(H78&lt;&gt;"", INDEX('Processed Non-zero TRI Data'!$H:$H, MATCH(H78, 'Processed Non-zero TRI Data'!$I:$I,0)), INDEX('Processed Non-zero DMR Data'!$G:$G, MATCH(I78,'Processed Non-zero DMR Data'!$I:$I, 0)))</f>
        <v>-158.03559999999999</v>
      </c>
      <c r="H78" s="7"/>
      <c r="I78" s="183">
        <v>110020728943</v>
      </c>
      <c r="J78" s="1">
        <f>IF(H78&lt;&gt;"",INDEX('Processed Non-zero TRI Data'!$L:$L,MATCH('Facility Summary_All'!H78,'Processed Non-zero TRI Data'!$I:$I,0)),INDEX('Processed Non-zero DMR Data'!$L:$L,MATCH('Facility Summary_All'!I78,'Processed Non-zero DMR Data'!$I:$I,0)))*1</f>
        <v>221320</v>
      </c>
      <c r="K78" s="185" t="str">
        <f>INDEX('2017 - 2022 NAICS'!$D:$D, MATCH('Facility Summary_All'!J78,'2017 - 2022 NAICS'!$C:$C,0))</f>
        <v>Sewage Treatment Facilities</v>
      </c>
      <c r="L78" t="str">
        <f>IFERROR(VLOOKUP(J78,'NAICS Code to IS CDR Code'!A:C,2,FALSE), "NAICS/SIC Not Provided")</f>
        <v>IS4</v>
      </c>
      <c r="M78" t="str">
        <f>IFERROR(VLOOKUP(J78,'NAICS Code to IS CDR Code'!A:C,3,FALSE), "NAICS/SIC Not Provided")</f>
        <v>Utilities</v>
      </c>
      <c r="N78" t="str">
        <f>IF(COUNTIF('Facility Summary_Water'!$M$2:$M$98,I78)&gt;0,"Yes","No")</f>
        <v>Yes</v>
      </c>
    </row>
    <row r="79" spans="1:14" x14ac:dyDescent="0.25">
      <c r="A79" s="7" t="s">
        <v>282</v>
      </c>
      <c r="B79" s="26"/>
      <c r="C79" s="26" t="s">
        <v>283</v>
      </c>
      <c r="D79" s="7" t="s">
        <v>153</v>
      </c>
      <c r="F79">
        <f>IF(H79&lt;&gt;"", INDEX('Processed Non-zero TRI Data'!$G:$G, MATCH(H79, 'Processed Non-zero TRI Data'!$I:$I,0)), INDEX('Processed Non-zero DMR Data'!$F:$F, MATCH(I79,'Processed Non-zero DMR Data'!$I:$I, 0)))</f>
        <v>40.331944</v>
      </c>
      <c r="G79">
        <f>IF(H79&lt;&gt;"", INDEX('Processed Non-zero TRI Data'!$H:$H, MATCH(H79, 'Processed Non-zero TRI Data'!$I:$I,0)), INDEX('Processed Non-zero DMR Data'!$G:$G, MATCH(I79,'Processed Non-zero DMR Data'!$I:$I, 0)))</f>
        <v>-74.619721999999996</v>
      </c>
      <c r="H79" s="7"/>
      <c r="I79" s="183">
        <v>110000321651</v>
      </c>
      <c r="J79" s="1">
        <f>IF(H79&lt;&gt;"",INDEX('Processed Non-zero TRI Data'!$L:$L,MATCH('Facility Summary_All'!H79,'Processed Non-zero TRI Data'!$I:$I,0)),INDEX('Processed Non-zero DMR Data'!$L:$L,MATCH('Facility Summary_All'!I79,'Processed Non-zero DMR Data'!$I:$I,0)))*1</f>
        <v>325110</v>
      </c>
      <c r="K79" s="185" t="str">
        <f>INDEX('2017 - 2022 NAICS'!$D:$D, MATCH('Facility Summary_All'!J79,'2017 - 2022 NAICS'!$C:$C,0))</f>
        <v>Petrochemical Manufacturing</v>
      </c>
      <c r="L79" t="str">
        <f>IFERROR(VLOOKUP(J79,'NAICS Code to IS CDR Code'!A:C,2,FALSE), "NAICS/SIC Not Provided")</f>
        <v>IS15</v>
      </c>
      <c r="M79" t="str">
        <f>IFERROR(VLOOKUP(J79,'NAICS Code to IS CDR Code'!A:C,3,FALSE), "NAICS/SIC Not Provided")</f>
        <v>Petrochemical Manufacturing</v>
      </c>
      <c r="N79" t="str">
        <f>IF(COUNTIF('Facility Summary_Water'!$M$2:$M$98,I79)&gt;0,"Yes","No")</f>
        <v>Yes</v>
      </c>
    </row>
    <row r="80" spans="1:14" ht="30" x14ac:dyDescent="0.25">
      <c r="A80" s="7" t="s">
        <v>284</v>
      </c>
      <c r="B80" s="26"/>
      <c r="C80" s="26" t="s">
        <v>285</v>
      </c>
      <c r="D80" s="7" t="s">
        <v>146</v>
      </c>
      <c r="F80">
        <f>IF(H80&lt;&gt;"", INDEX('Processed Non-zero TRI Data'!$G:$G, MATCH(H80, 'Processed Non-zero TRI Data'!$I:$I,0)), INDEX('Processed Non-zero DMR Data'!$F:$F, MATCH(I80,'Processed Non-zero DMR Data'!$I:$I, 0)))</f>
        <v>37.636249999999997</v>
      </c>
      <c r="G80">
        <f>IF(H80&lt;&gt;"", INDEX('Processed Non-zero TRI Data'!$H:$H, MATCH(H80, 'Processed Non-zero TRI Data'!$I:$I,0)), INDEX('Processed Non-zero DMR Data'!$G:$G, MATCH(I80,'Processed Non-zero DMR Data'!$I:$I, 0)))</f>
        <v>-122.38583</v>
      </c>
      <c r="H80" s="7"/>
      <c r="I80" s="183">
        <v>110064622519</v>
      </c>
      <c r="J80" s="1">
        <f>IF(H80&lt;&gt;"",INDEX('Processed Non-zero TRI Data'!$L:$L,MATCH('Facility Summary_All'!H80,'Processed Non-zero TRI Data'!$I:$I,0)),INDEX('Processed Non-zero DMR Data'!$L:$L,MATCH('Facility Summary_All'!I80,'Processed Non-zero DMR Data'!$I:$I,0)))*1</f>
        <v>221320</v>
      </c>
      <c r="K80" s="185" t="str">
        <f>INDEX('2017 - 2022 NAICS'!$D:$D, MATCH('Facility Summary_All'!J80,'2017 - 2022 NAICS'!$C:$C,0))</f>
        <v>Sewage Treatment Facilities</v>
      </c>
      <c r="L80" t="str">
        <f>IFERROR(VLOOKUP(J80,'NAICS Code to IS CDR Code'!A:C,2,FALSE), "NAICS/SIC Not Provided")</f>
        <v>IS4</v>
      </c>
      <c r="M80" t="str">
        <f>IFERROR(VLOOKUP(J80,'NAICS Code to IS CDR Code'!A:C,3,FALSE), "NAICS/SIC Not Provided")</f>
        <v>Utilities</v>
      </c>
      <c r="N80" t="str">
        <f>IF(COUNTIF('Facility Summary_Water'!$M$2:$M$98,I80)&gt;0,"Yes","No")</f>
        <v>Yes</v>
      </c>
    </row>
    <row r="81" spans="1:14" x14ac:dyDescent="0.25">
      <c r="A81" s="7" t="s">
        <v>286</v>
      </c>
      <c r="B81" s="26"/>
      <c r="C81" s="26" t="s">
        <v>150</v>
      </c>
      <c r="D81" s="7" t="s">
        <v>138</v>
      </c>
      <c r="F81">
        <f>IF(H81&lt;&gt;"", INDEX('Processed Non-zero TRI Data'!$G:$G, MATCH(H81, 'Processed Non-zero TRI Data'!$I:$I,0)), INDEX('Processed Non-zero DMR Data'!$F:$F, MATCH(I81,'Processed Non-zero DMR Data'!$I:$I, 0)))</f>
        <v>37.770769999999999</v>
      </c>
      <c r="G81">
        <f>IF(H81&lt;&gt;"", INDEX('Processed Non-zero TRI Data'!$H:$H, MATCH(H81, 'Processed Non-zero TRI Data'!$I:$I,0)), INDEX('Processed Non-zero DMR Data'!$G:$G, MATCH(I81,'Processed Non-zero DMR Data'!$I:$I, 0)))</f>
        <v>-87.065669999999997</v>
      </c>
      <c r="H81" s="7"/>
      <c r="I81" s="183">
        <v>110043734983</v>
      </c>
      <c r="J81" s="1">
        <f>IF(H81&lt;&gt;"",INDEX('Processed Non-zero TRI Data'!$L:$L,MATCH('Facility Summary_All'!H81,'Processed Non-zero TRI Data'!$I:$I,0)),INDEX('Processed Non-zero DMR Data'!$L:$L,MATCH('Facility Summary_All'!I81,'Processed Non-zero DMR Data'!$I:$I,0)))*1</f>
        <v>221320</v>
      </c>
      <c r="K81" s="185" t="str">
        <f>INDEX('2017 - 2022 NAICS'!$D:$D, MATCH('Facility Summary_All'!J81,'2017 - 2022 NAICS'!$C:$C,0))</f>
        <v>Sewage Treatment Facilities</v>
      </c>
      <c r="L81" t="str">
        <f>IFERROR(VLOOKUP(J81,'NAICS Code to IS CDR Code'!A:C,2,FALSE), "NAICS/SIC Not Provided")</f>
        <v>IS4</v>
      </c>
      <c r="M81" t="str">
        <f>IFERROR(VLOOKUP(J81,'NAICS Code to IS CDR Code'!A:C,3,FALSE), "NAICS/SIC Not Provided")</f>
        <v>Utilities</v>
      </c>
      <c r="N81" t="str">
        <f>IF(COUNTIF('Facility Summary_Water'!$M$2:$M$98,I81)&gt;0,"Yes","No")</f>
        <v>Yes</v>
      </c>
    </row>
    <row r="82" spans="1:14" x14ac:dyDescent="0.25">
      <c r="A82" s="7" t="s">
        <v>287</v>
      </c>
      <c r="B82" s="26"/>
      <c r="C82" s="26" t="s">
        <v>288</v>
      </c>
      <c r="D82" s="7" t="s">
        <v>289</v>
      </c>
      <c r="F82">
        <f>IF(H82&lt;&gt;"", INDEX('Processed Non-zero TRI Data'!$G:$G, MATCH(H82, 'Processed Non-zero TRI Data'!$I:$I,0)), INDEX('Processed Non-zero DMR Data'!$F:$F, MATCH(I82,'Processed Non-zero DMR Data'!$I:$I, 0)))</f>
        <v>34.632592000000002</v>
      </c>
      <c r="G82">
        <f>IF(H82&lt;&gt;"", INDEX('Processed Non-zero TRI Data'!$H:$H, MATCH(H82, 'Processed Non-zero TRI Data'!$I:$I,0)), INDEX('Processed Non-zero DMR Data'!$G:$G, MATCH(I82,'Processed Non-zero DMR Data'!$I:$I, 0)))</f>
        <v>-84.927667999999997</v>
      </c>
      <c r="H82" s="7"/>
      <c r="I82" s="183">
        <v>110000611703</v>
      </c>
      <c r="J82" s="1">
        <f>IF(H82&lt;&gt;"",INDEX('Processed Non-zero TRI Data'!$L:$L,MATCH('Facility Summary_All'!H82,'Processed Non-zero TRI Data'!$I:$I,0)),INDEX('Processed Non-zero DMR Data'!$L:$L,MATCH('Facility Summary_All'!I82,'Processed Non-zero DMR Data'!$I:$I,0)))*1</f>
        <v>325211</v>
      </c>
      <c r="K82" s="185" t="str">
        <f>INDEX('2017 - 2022 NAICS'!$D:$D, MATCH('Facility Summary_All'!J82,'2017 - 2022 NAICS'!$C:$C,0))</f>
        <v>Plastics Material and Resin Manufacturing</v>
      </c>
      <c r="L82" t="str">
        <f>IFERROR(VLOOKUP(J82,'NAICS Code to IS CDR Code'!A:C,2,FALSE), "NAICS/SIC Not Provided")</f>
        <v>IS22</v>
      </c>
      <c r="M82" t="str">
        <f>IFERROR(VLOOKUP(J82,'NAICS Code to IS CDR Code'!A:C,3,FALSE), "NAICS/SIC Not Provided")</f>
        <v>Plastic Material and Resin Manufacturing</v>
      </c>
      <c r="N82" t="str">
        <f>IF(COUNTIF('Facility Summary_Water'!$M$2:$M$98,I82)&gt;0,"Yes","No")</f>
        <v>Yes</v>
      </c>
    </row>
    <row r="83" spans="1:14" x14ac:dyDescent="0.25">
      <c r="A83" s="7" t="s">
        <v>290</v>
      </c>
      <c r="B83" s="26"/>
      <c r="C83" s="26" t="s">
        <v>291</v>
      </c>
      <c r="D83" s="7" t="s">
        <v>292</v>
      </c>
      <c r="F83">
        <f>IF(H83&lt;&gt;"", INDEX('Processed Non-zero TRI Data'!$G:$G, MATCH(H83, 'Processed Non-zero TRI Data'!$I:$I,0)), INDEX('Processed Non-zero DMR Data'!$F:$F, MATCH(I83,'Processed Non-zero DMR Data'!$I:$I, 0)))</f>
        <v>37.907200000000003</v>
      </c>
      <c r="G83">
        <f>IF(H83&lt;&gt;"", INDEX('Processed Non-zero TRI Data'!$H:$H, MATCH(H83, 'Processed Non-zero TRI Data'!$I:$I,0)), INDEX('Processed Non-zero DMR Data'!$G:$G, MATCH(I83,'Processed Non-zero DMR Data'!$I:$I, 0)))</f>
        <v>-87.927099999999996</v>
      </c>
      <c r="H83" s="7"/>
      <c r="I83" s="183">
        <v>110000403670</v>
      </c>
      <c r="J83" s="1">
        <f>IF(H83&lt;&gt;"",INDEX('Processed Non-zero TRI Data'!$L:$L,MATCH('Facility Summary_All'!H83,'Processed Non-zero TRI Data'!$I:$I,0)),INDEX('Processed Non-zero DMR Data'!$L:$L,MATCH('Facility Summary_All'!I83,'Processed Non-zero DMR Data'!$I:$I,0)))*1</f>
        <v>325211</v>
      </c>
      <c r="K83" s="185" t="str">
        <f>INDEX('2017 - 2022 NAICS'!$D:$D, MATCH('Facility Summary_All'!J83,'2017 - 2022 NAICS'!$C:$C,0))</f>
        <v>Plastics Material and Resin Manufacturing</v>
      </c>
      <c r="L83" t="str">
        <f>IFERROR(VLOOKUP(J83,'NAICS Code to IS CDR Code'!A:C,2,FALSE), "NAICS/SIC Not Provided")</f>
        <v>IS22</v>
      </c>
      <c r="M83" t="str">
        <f>IFERROR(VLOOKUP(J83,'NAICS Code to IS CDR Code'!A:C,3,FALSE), "NAICS/SIC Not Provided")</f>
        <v>Plastic Material and Resin Manufacturing</v>
      </c>
      <c r="N83" t="str">
        <f>IF(COUNTIF('Facility Summary_Water'!$M$2:$M$98,I83)&gt;0,"Yes","No")</f>
        <v>Yes</v>
      </c>
    </row>
    <row r="84" spans="1:14" x14ac:dyDescent="0.25">
      <c r="A84" s="7" t="s">
        <v>293</v>
      </c>
      <c r="B84" s="26"/>
      <c r="C84" s="26" t="s">
        <v>294</v>
      </c>
      <c r="D84" s="7" t="s">
        <v>138</v>
      </c>
      <c r="F84">
        <f>IF(H84&lt;&gt;"", INDEX('Processed Non-zero TRI Data'!$G:$G, MATCH(H84, 'Processed Non-zero TRI Data'!$I:$I,0)), INDEX('Processed Non-zero DMR Data'!$F:$F, MATCH(I84,'Processed Non-zero DMR Data'!$I:$I, 0)))</f>
        <v>38.151904999999999</v>
      </c>
      <c r="G84">
        <f>IF(H84&lt;&gt;"", INDEX('Processed Non-zero TRI Data'!$H:$H, MATCH(H84, 'Processed Non-zero TRI Data'!$I:$I,0)), INDEX('Processed Non-zero DMR Data'!$G:$G, MATCH(I84,'Processed Non-zero DMR Data'!$I:$I, 0)))</f>
        <v>-83.513848999999993</v>
      </c>
      <c r="H84" s="7"/>
      <c r="I84" s="183">
        <v>110045085457</v>
      </c>
      <c r="J84" s="1">
        <f>IF(H84&lt;&gt;"",INDEX('Processed Non-zero TRI Data'!$L:$L,MATCH('Facility Summary_All'!H84,'Processed Non-zero TRI Data'!$I:$I,0)),INDEX('Processed Non-zero DMR Data'!$L:$L,MATCH('Facility Summary_All'!I84,'Processed Non-zero DMR Data'!$I:$I,0)))*1</f>
        <v>221320</v>
      </c>
      <c r="K84" s="185" t="str">
        <f>INDEX('2017 - 2022 NAICS'!$D:$D, MATCH('Facility Summary_All'!J84,'2017 - 2022 NAICS'!$C:$C,0))</f>
        <v>Sewage Treatment Facilities</v>
      </c>
      <c r="L84" t="str">
        <f>IFERROR(VLOOKUP(J84,'NAICS Code to IS CDR Code'!A:C,2,FALSE), "NAICS/SIC Not Provided")</f>
        <v>IS4</v>
      </c>
      <c r="M84" t="str">
        <f>IFERROR(VLOOKUP(J84,'NAICS Code to IS CDR Code'!A:C,3,FALSE), "NAICS/SIC Not Provided")</f>
        <v>Utilities</v>
      </c>
      <c r="N84" t="str">
        <f>IF(COUNTIF('Facility Summary_Water'!$M$2:$M$98,I84)&gt;0,"Yes","No")</f>
        <v>Yes</v>
      </c>
    </row>
    <row r="85" spans="1:14" x14ac:dyDescent="0.25">
      <c r="A85" s="7" t="s">
        <v>295</v>
      </c>
      <c r="B85" s="26"/>
      <c r="C85" s="26" t="s">
        <v>235</v>
      </c>
      <c r="D85" s="7" t="s">
        <v>138</v>
      </c>
      <c r="F85">
        <f>IF(H85&lt;&gt;"", INDEX('Processed Non-zero TRI Data'!$G:$G, MATCH(H85, 'Processed Non-zero TRI Data'!$I:$I,0)), INDEX('Processed Non-zero DMR Data'!$F:$F, MATCH(I85,'Processed Non-zero DMR Data'!$I:$I, 0)))</f>
        <v>38.08614</v>
      </c>
      <c r="G85">
        <f>IF(H85&lt;&gt;"", INDEX('Processed Non-zero TRI Data'!$H:$H, MATCH(H85, 'Processed Non-zero TRI Data'!$I:$I,0)), INDEX('Processed Non-zero DMR Data'!$G:$G, MATCH(I85,'Processed Non-zero DMR Data'!$I:$I, 0)))</f>
        <v>-85.898780000000002</v>
      </c>
      <c r="H85" s="7"/>
      <c r="I85" s="183">
        <v>110000732379</v>
      </c>
      <c r="J85" s="1">
        <f>IF(H85&lt;&gt;"",INDEX('Processed Non-zero TRI Data'!$L:$L,MATCH('Facility Summary_All'!H85,'Processed Non-zero TRI Data'!$I:$I,0)),INDEX('Processed Non-zero DMR Data'!$L:$L,MATCH('Facility Summary_All'!I85,'Processed Non-zero DMR Data'!$I:$I,0)))*1</f>
        <v>221320</v>
      </c>
      <c r="K85" s="185" t="str">
        <f>INDEX('2017 - 2022 NAICS'!$D:$D, MATCH('Facility Summary_All'!J85,'2017 - 2022 NAICS'!$C:$C,0))</f>
        <v>Sewage Treatment Facilities</v>
      </c>
      <c r="L85" t="str">
        <f>IFERROR(VLOOKUP(J85,'NAICS Code to IS CDR Code'!A:C,2,FALSE), "NAICS/SIC Not Provided")</f>
        <v>IS4</v>
      </c>
      <c r="M85" t="str">
        <f>IFERROR(VLOOKUP(J85,'NAICS Code to IS CDR Code'!A:C,3,FALSE), "NAICS/SIC Not Provided")</f>
        <v>Utilities</v>
      </c>
      <c r="N85" t="str">
        <f>IF(COUNTIF('Facility Summary_Water'!$M$2:$M$98,I85)&gt;0,"Yes","No")</f>
        <v>Yes</v>
      </c>
    </row>
    <row r="86" spans="1:14" x14ac:dyDescent="0.25">
      <c r="A86" s="7" t="s">
        <v>296</v>
      </c>
      <c r="B86" s="26"/>
      <c r="C86" s="26" t="s">
        <v>224</v>
      </c>
      <c r="D86" s="7" t="s">
        <v>141</v>
      </c>
      <c r="F86">
        <f>IF(H86&lt;&gt;"", INDEX('Processed Non-zero TRI Data'!$G:$G, MATCH(H86, 'Processed Non-zero TRI Data'!$I:$I,0)), INDEX('Processed Non-zero DMR Data'!$F:$F, MATCH(I86,'Processed Non-zero DMR Data'!$I:$I, 0)))</f>
        <v>41.305320000000002</v>
      </c>
      <c r="G86">
        <f>IF(H86&lt;&gt;"", INDEX('Processed Non-zero TRI Data'!$H:$H, MATCH(H86, 'Processed Non-zero TRI Data'!$I:$I,0)), INDEX('Processed Non-zero DMR Data'!$G:$G, MATCH(I86,'Processed Non-zero DMR Data'!$I:$I, 0)))</f>
        <v>-88.561769999999996</v>
      </c>
      <c r="H86" s="7"/>
      <c r="I86" s="183">
        <v>110000433022</v>
      </c>
      <c r="J86" s="1">
        <f>IF(H86&lt;&gt;"",INDEX('Processed Non-zero TRI Data'!$L:$L,MATCH('Facility Summary_All'!H86,'Processed Non-zero TRI Data'!$I:$I,0)),INDEX('Processed Non-zero DMR Data'!$L:$L,MATCH('Facility Summary_All'!I86,'Processed Non-zero DMR Data'!$I:$I,0)))*1</f>
        <v>325211</v>
      </c>
      <c r="K86" s="185" t="str">
        <f>INDEX('2017 - 2022 NAICS'!$D:$D, MATCH('Facility Summary_All'!J86,'2017 - 2022 NAICS'!$C:$C,0))</f>
        <v>Plastics Material and Resin Manufacturing</v>
      </c>
      <c r="L86" t="str">
        <f>IFERROR(VLOOKUP(J86,'NAICS Code to IS CDR Code'!A:C,2,FALSE), "NAICS/SIC Not Provided")</f>
        <v>IS22</v>
      </c>
      <c r="M86" t="str">
        <f>IFERROR(VLOOKUP(J86,'NAICS Code to IS CDR Code'!A:C,3,FALSE), "NAICS/SIC Not Provided")</f>
        <v>Plastic Material and Resin Manufacturing</v>
      </c>
      <c r="N86" t="str">
        <f>IF(COUNTIF('Facility Summary_Water'!$M$2:$M$98,I86)&gt;0,"Yes","No")</f>
        <v>Yes</v>
      </c>
    </row>
    <row r="87" spans="1:14" x14ac:dyDescent="0.25">
      <c r="A87" s="7" t="s">
        <v>297</v>
      </c>
      <c r="B87" s="26"/>
      <c r="C87" s="26" t="s">
        <v>298</v>
      </c>
      <c r="D87" s="7" t="s">
        <v>138</v>
      </c>
      <c r="F87">
        <f>IF(H87&lt;&gt;"", INDEX('Processed Non-zero TRI Data'!$G:$G, MATCH(H87, 'Processed Non-zero TRI Data'!$I:$I,0)), INDEX('Processed Non-zero DMR Data'!$F:$F, MATCH(I87,'Processed Non-zero DMR Data'!$I:$I, 0)))</f>
        <v>37.640973000000002</v>
      </c>
      <c r="G87">
        <f>IF(H87&lt;&gt;"", INDEX('Processed Non-zero TRI Data'!$H:$H, MATCH(H87, 'Processed Non-zero TRI Data'!$I:$I,0)), INDEX('Processed Non-zero DMR Data'!$G:$G, MATCH(I87,'Processed Non-zero DMR Data'!$I:$I, 0)))</f>
        <v>-84.312661000000006</v>
      </c>
      <c r="H87" s="7"/>
      <c r="I87" s="183">
        <v>110009933484</v>
      </c>
      <c r="J87" s="1">
        <f>IF(H87&lt;&gt;"",INDEX('Processed Non-zero TRI Data'!$L:$L,MATCH('Facility Summary_All'!H87,'Processed Non-zero TRI Data'!$I:$I,0)),INDEX('Processed Non-zero DMR Data'!$L:$L,MATCH('Facility Summary_All'!I87,'Processed Non-zero DMR Data'!$I:$I,0)))*1</f>
        <v>221320</v>
      </c>
      <c r="K87" s="185" t="str">
        <f>INDEX('2017 - 2022 NAICS'!$D:$D, MATCH('Facility Summary_All'!J87,'2017 - 2022 NAICS'!$C:$C,0))</f>
        <v>Sewage Treatment Facilities</v>
      </c>
      <c r="L87" t="str">
        <f>IFERROR(VLOOKUP(J87,'NAICS Code to IS CDR Code'!A:C,2,FALSE), "NAICS/SIC Not Provided")</f>
        <v>IS4</v>
      </c>
      <c r="M87" t="str">
        <f>IFERROR(VLOOKUP(J87,'NAICS Code to IS CDR Code'!A:C,3,FALSE), "NAICS/SIC Not Provided")</f>
        <v>Utilities</v>
      </c>
      <c r="N87" t="str">
        <f>IF(COUNTIF('Facility Summary_Water'!$M$2:$M$98,I87)&gt;0,"Yes","No")</f>
        <v>Yes</v>
      </c>
    </row>
    <row r="88" spans="1:14" x14ac:dyDescent="0.25">
      <c r="A88" s="7" t="s">
        <v>299</v>
      </c>
      <c r="B88" s="26"/>
      <c r="C88" s="26" t="s">
        <v>300</v>
      </c>
      <c r="D88" s="7" t="s">
        <v>268</v>
      </c>
      <c r="F88">
        <f>IF(H88&lt;&gt;"", INDEX('Processed Non-zero TRI Data'!$G:$G, MATCH(H88, 'Processed Non-zero TRI Data'!$I:$I,0)), INDEX('Processed Non-zero DMR Data'!$F:$F, MATCH(I88,'Processed Non-zero DMR Data'!$I:$I, 0)))</f>
        <v>40.700989999999997</v>
      </c>
      <c r="G88">
        <f>IF(H88&lt;&gt;"", INDEX('Processed Non-zero TRI Data'!$H:$H, MATCH(H88, 'Processed Non-zero TRI Data'!$I:$I,0)), INDEX('Processed Non-zero DMR Data'!$G:$G, MATCH(I88,'Processed Non-zero DMR Data'!$I:$I, 0)))</f>
        <v>-75.214780000000005</v>
      </c>
      <c r="H88" s="7"/>
      <c r="I88" s="183">
        <v>110001075345</v>
      </c>
      <c r="J88" s="1">
        <f>IF(H88&lt;&gt;"",INDEX('Processed Non-zero TRI Data'!$L:$L,MATCH('Facility Summary_All'!H88,'Processed Non-zero TRI Data'!$I:$I,0)),INDEX('Processed Non-zero DMR Data'!$L:$L,MATCH('Facility Summary_All'!I88,'Processed Non-zero DMR Data'!$I:$I,0)))*1</f>
        <v>562211</v>
      </c>
      <c r="K88" s="185" t="str">
        <f>INDEX('2017 - 2022 NAICS'!$D:$D, MATCH('Facility Summary_All'!J88,'2017 - 2022 NAICS'!$C:$C,0))</f>
        <v>Hazardous Waste Treatment and Disposal</v>
      </c>
      <c r="L88" t="str">
        <f>IFERROR(VLOOKUP(J88,'NAICS Code to IS CDR Code'!A:C,2,FALSE), "NAICS/SIC Not Provided")</f>
        <v>IS47</v>
      </c>
      <c r="M88" t="str">
        <f>IFERROR(VLOOKUP(J88,'NAICS Code to IS CDR Code'!A:C,3,FALSE), "NAICS/SIC Not Provided")</f>
        <v>Services</v>
      </c>
      <c r="N88" t="str">
        <f>IF(COUNTIF('Facility Summary_Water'!$M$2:$M$98,I88)&gt;0,"Yes","No")</f>
        <v>Yes</v>
      </c>
    </row>
    <row r="89" spans="1:14" x14ac:dyDescent="0.25">
      <c r="A89" s="7" t="s">
        <v>301</v>
      </c>
      <c r="B89" s="26"/>
      <c r="C89" s="26" t="s">
        <v>157</v>
      </c>
      <c r="D89" s="7" t="s">
        <v>158</v>
      </c>
      <c r="F89">
        <f>IF(H89&lt;&gt;"", INDEX('Processed Non-zero TRI Data'!$G:$G, MATCH(H89, 'Processed Non-zero TRI Data'!$I:$I,0)), INDEX('Processed Non-zero DMR Data'!$F:$F, MATCH(I89,'Processed Non-zero DMR Data'!$I:$I, 0)))</f>
        <v>36.176639999999999</v>
      </c>
      <c r="G89">
        <f>IF(H89&lt;&gt;"", INDEX('Processed Non-zero TRI Data'!$H:$H, MATCH(H89, 'Processed Non-zero TRI Data'!$I:$I,0)), INDEX('Processed Non-zero DMR Data'!$G:$G, MATCH(I89,'Processed Non-zero DMR Data'!$I:$I, 0)))</f>
        <v>-115.12891999999999</v>
      </c>
      <c r="H89" s="7"/>
      <c r="I89" s="183">
        <v>110008995490</v>
      </c>
      <c r="J89" s="1">
        <f>IF(H89&lt;&gt;"",INDEX('Processed Non-zero TRI Data'!$L:$L,MATCH('Facility Summary_All'!H89,'Processed Non-zero TRI Data'!$I:$I,0)),INDEX('Processed Non-zero DMR Data'!$L:$L,MATCH('Facility Summary_All'!I89,'Processed Non-zero DMR Data'!$I:$I,0)))*1</f>
        <v>531110</v>
      </c>
      <c r="K89" s="185" t="str">
        <f>INDEX('2017 - 2022 NAICS'!$D:$D, MATCH('Facility Summary_All'!J89,'2017 - 2022 NAICS'!$C:$C,0))</f>
        <v>Lessors of Residential Buildings and Dwellings</v>
      </c>
      <c r="L89" t="str">
        <f>IFERROR(VLOOKUP(J89,'NAICS Code to IS CDR Code'!A:C,2,FALSE), "NAICS/SIC Not Provided")</f>
        <v>IS47</v>
      </c>
      <c r="M89" t="str">
        <f>IFERROR(VLOOKUP(J89,'NAICS Code to IS CDR Code'!A:C,3,FALSE), "NAICS/SIC Not Provided")</f>
        <v>Services</v>
      </c>
      <c r="N89" t="str">
        <f>IF(COUNTIF('Facility Summary_Water'!$M$2:$M$98,I89)&gt;0,"Yes","No")</f>
        <v>Yes</v>
      </c>
    </row>
    <row r="90" spans="1:14" x14ac:dyDescent="0.25">
      <c r="A90" s="7" t="s">
        <v>302</v>
      </c>
      <c r="B90" s="26"/>
      <c r="C90" s="26" t="s">
        <v>303</v>
      </c>
      <c r="D90" s="7" t="s">
        <v>114</v>
      </c>
      <c r="F90">
        <f>IF(H90&lt;&gt;"", INDEX('Processed Non-zero TRI Data'!$G:$G, MATCH(H90, 'Processed Non-zero TRI Data'!$I:$I,0)), INDEX('Processed Non-zero DMR Data'!$F:$F, MATCH(I90,'Processed Non-zero DMR Data'!$I:$I, 0)))</f>
        <v>29.741954</v>
      </c>
      <c r="G90">
        <f>IF(H90&lt;&gt;"", INDEX('Processed Non-zero TRI Data'!$H:$H, MATCH(H90, 'Processed Non-zero TRI Data'!$I:$I,0)), INDEX('Processed Non-zero DMR Data'!$G:$G, MATCH(I90,'Processed Non-zero DMR Data'!$I:$I, 0)))</f>
        <v>-95.165228999999997</v>
      </c>
      <c r="H90" s="7"/>
      <c r="I90" s="183">
        <v>110060340162</v>
      </c>
      <c r="J90" s="1">
        <f>IF(H90&lt;&gt;"",INDEX('Processed Non-zero TRI Data'!$L:$L,MATCH('Facility Summary_All'!H90,'Processed Non-zero TRI Data'!$I:$I,0)),INDEX('Processed Non-zero DMR Data'!$L:$L,MATCH('Facility Summary_All'!I90,'Processed Non-zero DMR Data'!$I:$I,0)))*1</f>
        <v>325110</v>
      </c>
      <c r="K90" s="185" t="str">
        <f>INDEX('2017 - 2022 NAICS'!$D:$D, MATCH('Facility Summary_All'!J90,'2017 - 2022 NAICS'!$C:$C,0))</f>
        <v>Petrochemical Manufacturing</v>
      </c>
      <c r="L90" t="str">
        <f>IFERROR(VLOOKUP(J90,'NAICS Code to IS CDR Code'!A:C,2,FALSE), "NAICS/SIC Not Provided")</f>
        <v>IS15</v>
      </c>
      <c r="M90" t="str">
        <f>IFERROR(VLOOKUP(J90,'NAICS Code to IS CDR Code'!A:C,3,FALSE), "NAICS/SIC Not Provided")</f>
        <v>Petrochemical Manufacturing</v>
      </c>
      <c r="N90" t="str">
        <f>IF(COUNTIF('Facility Summary_Water'!$M$2:$M$98,I90)&gt;0,"Yes","No")</f>
        <v>Yes</v>
      </c>
    </row>
    <row r="91" spans="1:14" x14ac:dyDescent="0.25">
      <c r="A91" s="7" t="s">
        <v>304</v>
      </c>
      <c r="B91" s="26"/>
      <c r="C91" s="26" t="s">
        <v>305</v>
      </c>
      <c r="D91" s="7" t="s">
        <v>138</v>
      </c>
      <c r="F91">
        <f>IF(H91&lt;&gt;"", INDEX('Processed Non-zero TRI Data'!$G:$G, MATCH(H91, 'Processed Non-zero TRI Data'!$I:$I,0)), INDEX('Processed Non-zero DMR Data'!$F:$F, MATCH(I91,'Processed Non-zero DMR Data'!$I:$I, 0)))</f>
        <v>37.075277999999997</v>
      </c>
      <c r="G91">
        <f>IF(H91&lt;&gt;"", INDEX('Processed Non-zero TRI Data'!$H:$H, MATCH(H91, 'Processed Non-zero TRI Data'!$I:$I,0)), INDEX('Processed Non-zero DMR Data'!$G:$G, MATCH(I91,'Processed Non-zero DMR Data'!$I:$I, 0)))</f>
        <v>-88.09</v>
      </c>
      <c r="H91" s="7"/>
      <c r="I91" s="183">
        <v>110009938719</v>
      </c>
      <c r="J91" s="1">
        <f>IF(H91&lt;&gt;"",INDEX('Processed Non-zero TRI Data'!$L:$L,MATCH('Facility Summary_All'!H91,'Processed Non-zero TRI Data'!$I:$I,0)),INDEX('Processed Non-zero DMR Data'!$L:$L,MATCH('Facility Summary_All'!I91,'Processed Non-zero DMR Data'!$I:$I,0)))*1</f>
        <v>221320</v>
      </c>
      <c r="K91" s="185" t="str">
        <f>INDEX('2017 - 2022 NAICS'!$D:$D, MATCH('Facility Summary_All'!J91,'2017 - 2022 NAICS'!$C:$C,0))</f>
        <v>Sewage Treatment Facilities</v>
      </c>
      <c r="L91" t="str">
        <f>IFERROR(VLOOKUP(J91,'NAICS Code to IS CDR Code'!A:C,2,FALSE), "NAICS/SIC Not Provided")</f>
        <v>IS4</v>
      </c>
      <c r="M91" t="str">
        <f>IFERROR(VLOOKUP(J91,'NAICS Code to IS CDR Code'!A:C,3,FALSE), "NAICS/SIC Not Provided")</f>
        <v>Utilities</v>
      </c>
      <c r="N91" t="str">
        <f>IF(COUNTIF('Facility Summary_Water'!$M$2:$M$98,I91)&gt;0,"Yes","No")</f>
        <v>Yes</v>
      </c>
    </row>
    <row r="92" spans="1:14" x14ac:dyDescent="0.25">
      <c r="A92" s="7" t="s">
        <v>306</v>
      </c>
      <c r="B92" s="26"/>
      <c r="C92" s="26" t="s">
        <v>183</v>
      </c>
      <c r="D92" s="7" t="s">
        <v>146</v>
      </c>
      <c r="F92">
        <f>IF(H92&lt;&gt;"", INDEX('Processed Non-zero TRI Data'!$G:$G, MATCH(H92, 'Processed Non-zero TRI Data'!$I:$I,0)), INDEX('Processed Non-zero DMR Data'!$F:$F, MATCH(I92,'Processed Non-zero DMR Data'!$I:$I, 0)))</f>
        <v>37.977150000000002</v>
      </c>
      <c r="G92">
        <f>IF(H92&lt;&gt;"", INDEX('Processed Non-zero TRI Data'!$H:$H, MATCH(H92, 'Processed Non-zero TRI Data'!$I:$I,0)), INDEX('Processed Non-zero DMR Data'!$G:$G, MATCH(I92,'Processed Non-zero DMR Data'!$I:$I, 0)))</f>
        <v>-122.33269</v>
      </c>
      <c r="H92" s="7"/>
      <c r="I92" s="183">
        <v>110064252419</v>
      </c>
      <c r="J92" s="1">
        <f>IF(H92&lt;&gt;"",INDEX('Processed Non-zero TRI Data'!$L:$L,MATCH('Facility Summary_All'!H92,'Processed Non-zero TRI Data'!$I:$I,0)),INDEX('Processed Non-zero DMR Data'!$L:$L,MATCH('Facility Summary_All'!I92,'Processed Non-zero DMR Data'!$I:$I,0)))*1</f>
        <v>221320</v>
      </c>
      <c r="K92" s="185" t="str">
        <f>INDEX('2017 - 2022 NAICS'!$D:$D, MATCH('Facility Summary_All'!J92,'2017 - 2022 NAICS'!$C:$C,0))</f>
        <v>Sewage Treatment Facilities</v>
      </c>
      <c r="L92" t="str">
        <f>IFERROR(VLOOKUP(J92,'NAICS Code to IS CDR Code'!A:C,2,FALSE), "NAICS/SIC Not Provided")</f>
        <v>IS4</v>
      </c>
      <c r="M92" t="str">
        <f>IFERROR(VLOOKUP(J92,'NAICS Code to IS CDR Code'!A:C,3,FALSE), "NAICS/SIC Not Provided")</f>
        <v>Utilities</v>
      </c>
      <c r="N92" t="str">
        <f>IF(COUNTIF('Facility Summary_Water'!$M$2:$M$98,I92)&gt;0,"Yes","No")</f>
        <v>Yes</v>
      </c>
    </row>
    <row r="93" spans="1:14" x14ac:dyDescent="0.25">
      <c r="A93" s="7" t="s">
        <v>307</v>
      </c>
      <c r="B93" s="26"/>
      <c r="C93" s="26" t="s">
        <v>308</v>
      </c>
      <c r="D93" s="7" t="s">
        <v>309</v>
      </c>
      <c r="F93">
        <f>IF(H93&lt;&gt;"", INDEX('Processed Non-zero TRI Data'!$G:$G, MATCH(H93, 'Processed Non-zero TRI Data'!$I:$I,0)), INDEX('Processed Non-zero DMR Data'!$F:$F, MATCH(I93,'Processed Non-zero DMR Data'!$I:$I, 0)))</f>
        <v>36.527054999999997</v>
      </c>
      <c r="G93">
        <f>IF(H93&lt;&gt;"", INDEX('Processed Non-zero TRI Data'!$H:$H, MATCH(H93, 'Processed Non-zero TRI Data'!$I:$I,0)), INDEX('Processed Non-zero DMR Data'!$G:$G, MATCH(I93,'Processed Non-zero DMR Data'!$I:$I, 0)))</f>
        <v>-82.538579999999996</v>
      </c>
      <c r="H93" s="7"/>
      <c r="I93" s="183">
        <v>110000574423</v>
      </c>
      <c r="J93" s="1">
        <f>IF(H93&lt;&gt;"",INDEX('Processed Non-zero TRI Data'!$L:$L,MATCH('Facility Summary_All'!H93,'Processed Non-zero TRI Data'!$I:$I,0)),INDEX('Processed Non-zero DMR Data'!$L:$L,MATCH('Facility Summary_All'!I93,'Processed Non-zero DMR Data'!$I:$I,0)))*1</f>
        <v>325110</v>
      </c>
      <c r="K93" s="185" t="str">
        <f>INDEX('2017 - 2022 NAICS'!$D:$D, MATCH('Facility Summary_All'!J93,'2017 - 2022 NAICS'!$C:$C,0))</f>
        <v>Petrochemical Manufacturing</v>
      </c>
      <c r="L93" t="str">
        <f>IFERROR(VLOOKUP(J93,'NAICS Code to IS CDR Code'!A:C,2,FALSE), "NAICS/SIC Not Provided")</f>
        <v>IS15</v>
      </c>
      <c r="M93" t="str">
        <f>IFERROR(VLOOKUP(J93,'NAICS Code to IS CDR Code'!A:C,3,FALSE), "NAICS/SIC Not Provided")</f>
        <v>Petrochemical Manufacturing</v>
      </c>
      <c r="N93" t="str">
        <f>IF(COUNTIF('Facility Summary_Water'!$M$2:$M$98,I93)&gt;0,"Yes","No")</f>
        <v>Yes</v>
      </c>
    </row>
    <row r="94" spans="1:14" x14ac:dyDescent="0.25">
      <c r="A94" s="7" t="s">
        <v>310</v>
      </c>
      <c r="B94" s="26"/>
      <c r="C94" s="26" t="s">
        <v>311</v>
      </c>
      <c r="D94" s="7" t="s">
        <v>153</v>
      </c>
      <c r="F94">
        <f>IF(H94&lt;&gt;"", INDEX('Processed Non-zero TRI Data'!$G:$G, MATCH(H94, 'Processed Non-zero TRI Data'!$I:$I,0)), INDEX('Processed Non-zero DMR Data'!$F:$F, MATCH(I94,'Processed Non-zero DMR Data'!$I:$I, 0)))</f>
        <v>40.640135000000001</v>
      </c>
      <c r="G94">
        <f>IF(H94&lt;&gt;"", INDEX('Processed Non-zero TRI Data'!$H:$H, MATCH(H94, 'Processed Non-zero TRI Data'!$I:$I,0)), INDEX('Processed Non-zero DMR Data'!$G:$G, MATCH(I94,'Processed Non-zero DMR Data'!$I:$I, 0)))</f>
        <v>-74.218879999999999</v>
      </c>
      <c r="H94" s="7"/>
      <c r="I94" s="183">
        <v>110041133163</v>
      </c>
      <c r="J94" s="1">
        <f>IF(H94&lt;&gt;"",INDEX('Processed Non-zero TRI Data'!$L:$L,MATCH('Facility Summary_All'!H94,'Processed Non-zero TRI Data'!$I:$I,0)),INDEX('Processed Non-zero DMR Data'!$L:$L,MATCH('Facility Summary_All'!I94,'Processed Non-zero DMR Data'!$I:$I,0)))*1</f>
        <v>324110</v>
      </c>
      <c r="K94" s="185" t="str">
        <f>INDEX('2017 - 2022 NAICS'!$D:$D, MATCH('Facility Summary_All'!J94,'2017 - 2022 NAICS'!$C:$C,0))</f>
        <v>Petroleum Refineries</v>
      </c>
      <c r="L94" t="str">
        <f>IFERROR(VLOOKUP(J94,'NAICS Code to IS CDR Code'!A:C,2,FALSE), "NAICS/SIC Not Provided")</f>
        <v>IS11</v>
      </c>
      <c r="M94" t="str">
        <f>IFERROR(VLOOKUP(J94,'NAICS Code to IS CDR Code'!A:C,3,FALSE), "NAICS/SIC Not Provided")</f>
        <v>Petroleum Refineries</v>
      </c>
      <c r="N94" t="str">
        <f>IF(COUNTIF('Facility Summary_Water'!$M$2:$M$98,I94)&gt;0,"Yes","No")</f>
        <v>Yes</v>
      </c>
    </row>
    <row r="95" spans="1:14" x14ac:dyDescent="0.25">
      <c r="A95" s="7" t="s">
        <v>312</v>
      </c>
      <c r="B95" s="26"/>
      <c r="C95" s="26" t="s">
        <v>313</v>
      </c>
      <c r="D95" s="7" t="s">
        <v>114</v>
      </c>
      <c r="F95">
        <f>IF(H95&lt;&gt;"", INDEX('Processed Non-zero TRI Data'!$G:$G, MATCH(H95, 'Processed Non-zero TRI Data'!$I:$I,0)), INDEX('Processed Non-zero DMR Data'!$F:$F, MATCH(I95,'Processed Non-zero DMR Data'!$I:$I, 0)))</f>
        <v>29.718139000000001</v>
      </c>
      <c r="G95">
        <f>IF(H95&lt;&gt;"", INDEX('Processed Non-zero TRI Data'!$H:$H, MATCH(H95, 'Processed Non-zero TRI Data'!$I:$I,0)), INDEX('Processed Non-zero DMR Data'!$G:$G, MATCH(I95,'Processed Non-zero DMR Data'!$I:$I, 0)))</f>
        <v>-95.268749999999997</v>
      </c>
      <c r="H95" s="7"/>
      <c r="I95" s="183">
        <v>110000460901</v>
      </c>
      <c r="J95" s="1">
        <f>IF(H95&lt;&gt;"",INDEX('Processed Non-zero TRI Data'!$L:$L,MATCH('Facility Summary_All'!H95,'Processed Non-zero TRI Data'!$I:$I,0)),INDEX('Processed Non-zero DMR Data'!$L:$L,MATCH('Facility Summary_All'!I95,'Processed Non-zero DMR Data'!$I:$I,0)))*1</f>
        <v>211130</v>
      </c>
      <c r="K95" s="185" t="str">
        <f>INDEX('2017 - 2022 NAICS'!$D:$D, MATCH('Facility Summary_All'!J95,'2017 - 2022 NAICS'!$C:$C,0))</f>
        <v>Natural Gas Extraction</v>
      </c>
      <c r="L95" t="str">
        <f>IFERROR(VLOOKUP(J95,'NAICS Code to IS CDR Code'!A:C,2,FALSE), "NAICS/SIC Not Provided")</f>
        <v>IS2</v>
      </c>
      <c r="M95" t="str">
        <f>IFERROR(VLOOKUP(J95,'NAICS Code to IS CDR Code'!A:C,3,FALSE), "NAICS/SIC Not Provided")</f>
        <v>Oil and Gas Drilling, Extraction, and Support Activities</v>
      </c>
      <c r="N95" t="str">
        <f>IF(COUNTIF('Facility Summary_Water'!$M$2:$M$98,I95)&gt;0,"Yes","No")</f>
        <v>Yes</v>
      </c>
    </row>
    <row r="96" spans="1:14" x14ac:dyDescent="0.25">
      <c r="A96" s="7" t="s">
        <v>314</v>
      </c>
      <c r="B96" s="26"/>
      <c r="C96" s="26" t="s">
        <v>315</v>
      </c>
      <c r="D96" s="7" t="s">
        <v>138</v>
      </c>
      <c r="F96">
        <f>IF(H96&lt;&gt;"", INDEX('Processed Non-zero TRI Data'!$G:$G, MATCH(H96, 'Processed Non-zero TRI Data'!$I:$I,0)), INDEX('Processed Non-zero DMR Data'!$F:$F, MATCH(I96,'Processed Non-zero DMR Data'!$I:$I, 0)))</f>
        <v>37.915556000000002</v>
      </c>
      <c r="G96">
        <f>IF(H96&lt;&gt;"", INDEX('Processed Non-zero TRI Data'!$H:$H, MATCH(H96, 'Processed Non-zero TRI Data'!$I:$I,0)), INDEX('Processed Non-zero DMR Data'!$G:$G, MATCH(I96,'Processed Non-zero DMR Data'!$I:$I, 0)))</f>
        <v>-84.268332999999998</v>
      </c>
      <c r="H96" s="7"/>
      <c r="I96" s="183">
        <v>110064596361</v>
      </c>
      <c r="J96" s="1">
        <f>IF(H96&lt;&gt;"",INDEX('Processed Non-zero TRI Data'!$L:$L,MATCH('Facility Summary_All'!H96,'Processed Non-zero TRI Data'!$I:$I,0)),INDEX('Processed Non-zero DMR Data'!$L:$L,MATCH('Facility Summary_All'!I96,'Processed Non-zero DMR Data'!$I:$I,0)))*1</f>
        <v>221320</v>
      </c>
      <c r="K96" s="185" t="str">
        <f>INDEX('2017 - 2022 NAICS'!$D:$D, MATCH('Facility Summary_All'!J96,'2017 - 2022 NAICS'!$C:$C,0))</f>
        <v>Sewage Treatment Facilities</v>
      </c>
      <c r="L96" t="str">
        <f>IFERROR(VLOOKUP(J96,'NAICS Code to IS CDR Code'!A:C,2,FALSE), "NAICS/SIC Not Provided")</f>
        <v>IS4</v>
      </c>
      <c r="M96" t="str">
        <f>IFERROR(VLOOKUP(J96,'NAICS Code to IS CDR Code'!A:C,3,FALSE), "NAICS/SIC Not Provided")</f>
        <v>Utilities</v>
      </c>
      <c r="N96" t="str">
        <f>IF(COUNTIF('Facility Summary_Water'!$M$2:$M$98,I96)&gt;0,"Yes","No")</f>
        <v>Yes</v>
      </c>
    </row>
    <row r="97" spans="1:14" x14ac:dyDescent="0.25">
      <c r="A97" s="7" t="s">
        <v>316</v>
      </c>
      <c r="B97" s="26"/>
      <c r="C97" s="26" t="s">
        <v>150</v>
      </c>
      <c r="D97" s="7" t="s">
        <v>138</v>
      </c>
      <c r="F97">
        <f>IF(H97&lt;&gt;"", INDEX('Processed Non-zero TRI Data'!$G:$G, MATCH(H97, 'Processed Non-zero TRI Data'!$I:$I,0)), INDEX('Processed Non-zero DMR Data'!$F:$F, MATCH(I97,'Processed Non-zero DMR Data'!$I:$I, 0)))</f>
        <v>37.790278000000001</v>
      </c>
      <c r="G97">
        <f>IF(H97&lt;&gt;"", INDEX('Processed Non-zero TRI Data'!$H:$H, MATCH(H97, 'Processed Non-zero TRI Data'!$I:$I,0)), INDEX('Processed Non-zero DMR Data'!$G:$G, MATCH(I97,'Processed Non-zero DMR Data'!$I:$I, 0)))</f>
        <v>-87.140277999999995</v>
      </c>
      <c r="H97" s="7"/>
      <c r="I97" s="183">
        <v>110039998214</v>
      </c>
      <c r="J97" s="1">
        <f>IF(H97&lt;&gt;"",INDEX('Processed Non-zero TRI Data'!$L:$L,MATCH('Facility Summary_All'!H97,'Processed Non-zero TRI Data'!$I:$I,0)),INDEX('Processed Non-zero DMR Data'!$L:$L,MATCH('Facility Summary_All'!I97,'Processed Non-zero DMR Data'!$I:$I,0)))*1</f>
        <v>221320</v>
      </c>
      <c r="K97" s="185" t="str">
        <f>INDEX('2017 - 2022 NAICS'!$D:$D, MATCH('Facility Summary_All'!J97,'2017 - 2022 NAICS'!$C:$C,0))</f>
        <v>Sewage Treatment Facilities</v>
      </c>
      <c r="L97" t="str">
        <f>IFERROR(VLOOKUP(J97,'NAICS Code to IS CDR Code'!A:C,2,FALSE), "NAICS/SIC Not Provided")</f>
        <v>IS4</v>
      </c>
      <c r="M97" t="str">
        <f>IFERROR(VLOOKUP(J97,'NAICS Code to IS CDR Code'!A:C,3,FALSE), "NAICS/SIC Not Provided")</f>
        <v>Utilities</v>
      </c>
      <c r="N97" t="str">
        <f>IF(COUNTIF('Facility Summary_Water'!$M$2:$M$98,I97)&gt;0,"Yes","No")</f>
        <v>Yes</v>
      </c>
    </row>
    <row r="98" spans="1:14" x14ac:dyDescent="0.25">
      <c r="A98" s="7" t="s">
        <v>317</v>
      </c>
      <c r="B98" s="26"/>
      <c r="C98" s="26" t="s">
        <v>318</v>
      </c>
      <c r="D98" s="7" t="s">
        <v>138</v>
      </c>
      <c r="F98">
        <f>IF(H98&lt;&gt;"", INDEX('Processed Non-zero TRI Data'!$G:$G, MATCH(H98, 'Processed Non-zero TRI Data'!$I:$I,0)), INDEX('Processed Non-zero DMR Data'!$F:$F, MATCH(I98,'Processed Non-zero DMR Data'!$I:$I, 0)))</f>
        <v>36.747222000000001</v>
      </c>
      <c r="G98">
        <f>IF(H98&lt;&gt;"", INDEX('Processed Non-zero TRI Data'!$H:$H, MATCH(H98, 'Processed Non-zero TRI Data'!$I:$I,0)), INDEX('Processed Non-zero DMR Data'!$G:$G, MATCH(I98,'Processed Non-zero DMR Data'!$I:$I, 0)))</f>
        <v>-84.171943999999996</v>
      </c>
      <c r="H98" s="7"/>
      <c r="I98" s="183">
        <v>110006751737</v>
      </c>
      <c r="J98" s="1">
        <f>IF(H98&lt;&gt;"",INDEX('Processed Non-zero TRI Data'!$L:$L,MATCH('Facility Summary_All'!H98,'Processed Non-zero TRI Data'!$I:$I,0)),INDEX('Processed Non-zero DMR Data'!$L:$L,MATCH('Facility Summary_All'!I98,'Processed Non-zero DMR Data'!$I:$I,0)))*1</f>
        <v>221320</v>
      </c>
      <c r="K98" s="185" t="str">
        <f>INDEX('2017 - 2022 NAICS'!$D:$D, MATCH('Facility Summary_All'!J98,'2017 - 2022 NAICS'!$C:$C,0))</f>
        <v>Sewage Treatment Facilities</v>
      </c>
      <c r="L98" t="str">
        <f>IFERROR(VLOOKUP(J98,'NAICS Code to IS CDR Code'!A:C,2,FALSE), "NAICS/SIC Not Provided")</f>
        <v>IS4</v>
      </c>
      <c r="M98" t="str">
        <f>IFERROR(VLOOKUP(J98,'NAICS Code to IS CDR Code'!A:C,3,FALSE), "NAICS/SIC Not Provided")</f>
        <v>Utilities</v>
      </c>
      <c r="N98" t="str">
        <f>IF(COUNTIF('Facility Summary_Water'!$M$2:$M$98,I98)&gt;0,"Yes","No")</f>
        <v>Yes</v>
      </c>
    </row>
    <row r="99" spans="1:14" x14ac:dyDescent="0.25">
      <c r="A99" s="7" t="s">
        <v>319</v>
      </c>
      <c r="B99" s="26"/>
      <c r="C99" s="26" t="s">
        <v>320</v>
      </c>
      <c r="D99" s="7" t="s">
        <v>146</v>
      </c>
      <c r="F99">
        <f>IF(H99&lt;&gt;"", INDEX('Processed Non-zero TRI Data'!$G:$G, MATCH(H99, 'Processed Non-zero TRI Data'!$I:$I,0)), INDEX('Processed Non-zero DMR Data'!$F:$F, MATCH(I99,'Processed Non-zero DMR Data'!$I:$I, 0)))</f>
        <v>39.805480000000003</v>
      </c>
      <c r="G99">
        <f>IF(H99&lt;&gt;"", INDEX('Processed Non-zero TRI Data'!$H:$H, MATCH(H99, 'Processed Non-zero TRI Data'!$I:$I,0)), INDEX('Processed Non-zero DMR Data'!$G:$G, MATCH(I99,'Processed Non-zero DMR Data'!$I:$I, 0)))</f>
        <v>-120.47149</v>
      </c>
      <c r="H99" s="7"/>
      <c r="I99" s="183">
        <v>110010058757</v>
      </c>
      <c r="J99" s="1">
        <f>IF(H99&lt;&gt;"",INDEX('Processed Non-zero TRI Data'!$L:$L,MATCH('Facility Summary_All'!H99,'Processed Non-zero TRI Data'!$I:$I,0)),INDEX('Processed Non-zero DMR Data'!$L:$L,MATCH('Facility Summary_All'!I99,'Processed Non-zero DMR Data'!$I:$I,0)))*1</f>
        <v>221320</v>
      </c>
      <c r="K99" s="185" t="str">
        <f>INDEX('2017 - 2022 NAICS'!$D:$D, MATCH('Facility Summary_All'!J99,'2017 - 2022 NAICS'!$C:$C,0))</f>
        <v>Sewage Treatment Facilities</v>
      </c>
      <c r="L99" t="str">
        <f>IFERROR(VLOOKUP(J99,'NAICS Code to IS CDR Code'!A:C,2,FALSE), "NAICS/SIC Not Provided")</f>
        <v>IS4</v>
      </c>
      <c r="M99" t="str">
        <f>IFERROR(VLOOKUP(J99,'NAICS Code to IS CDR Code'!A:C,3,FALSE), "NAICS/SIC Not Provided")</f>
        <v>Utilities</v>
      </c>
      <c r="N99" t="str">
        <f>IF(COUNTIF('Facility Summary_Water'!$M$2:$M$98,I99)&gt;0,"Yes","No")</f>
        <v>No</v>
      </c>
    </row>
    <row r="100" spans="1:14" x14ac:dyDescent="0.25">
      <c r="A100" s="7" t="s">
        <v>321</v>
      </c>
      <c r="B100" s="26"/>
      <c r="C100" s="26" t="s">
        <v>322</v>
      </c>
      <c r="D100" s="7" t="s">
        <v>138</v>
      </c>
      <c r="F100">
        <f>IF(H100&lt;&gt;"", INDEX('Processed Non-zero TRI Data'!$G:$G, MATCH(H100, 'Processed Non-zero TRI Data'!$I:$I,0)), INDEX('Processed Non-zero DMR Data'!$F:$F, MATCH(I100,'Processed Non-zero DMR Data'!$I:$I, 0)))</f>
        <v>38.542222000000002</v>
      </c>
      <c r="G100">
        <f>IF(H100&lt;&gt;"", INDEX('Processed Non-zero TRI Data'!$H:$H, MATCH(H100, 'Processed Non-zero TRI Data'!$I:$I,0)), INDEX('Processed Non-zero DMR Data'!$G:$G, MATCH(I100,'Processed Non-zero DMR Data'!$I:$I, 0)))</f>
        <v>-84.831943999999993</v>
      </c>
      <c r="H100" s="7"/>
      <c r="I100" s="183">
        <v>110009938737</v>
      </c>
      <c r="J100" s="1">
        <f>IF(H100&lt;&gt;"",INDEX('Processed Non-zero TRI Data'!$L:$L,MATCH('Facility Summary_All'!H100,'Processed Non-zero TRI Data'!$I:$I,0)),INDEX('Processed Non-zero DMR Data'!$L:$L,MATCH('Facility Summary_All'!I100,'Processed Non-zero DMR Data'!$I:$I,0)))*1</f>
        <v>221320</v>
      </c>
      <c r="K100" s="185" t="str">
        <f>INDEX('2017 - 2022 NAICS'!$D:$D, MATCH('Facility Summary_All'!J100,'2017 - 2022 NAICS'!$C:$C,0))</f>
        <v>Sewage Treatment Facilities</v>
      </c>
      <c r="L100" t="str">
        <f>IFERROR(VLOOKUP(J100,'NAICS Code to IS CDR Code'!A:C,2,FALSE), "NAICS/SIC Not Provided")</f>
        <v>IS4</v>
      </c>
      <c r="M100" t="str">
        <f>IFERROR(VLOOKUP(J100,'NAICS Code to IS CDR Code'!A:C,3,FALSE), "NAICS/SIC Not Provided")</f>
        <v>Utilities</v>
      </c>
      <c r="N100" t="str">
        <f>IF(COUNTIF('Facility Summary_Water'!$M$2:$M$98,I100)&gt;0,"Yes","No")</f>
        <v>No</v>
      </c>
    </row>
    <row r="101" spans="1:14" x14ac:dyDescent="0.25">
      <c r="A101" s="7" t="s">
        <v>323</v>
      </c>
      <c r="B101" s="26"/>
      <c r="C101" s="26" t="s">
        <v>324</v>
      </c>
      <c r="D101" s="7" t="s">
        <v>138</v>
      </c>
      <c r="F101">
        <f>IF(H101&lt;&gt;"", INDEX('Processed Non-zero TRI Data'!$G:$G, MATCH(H101, 'Processed Non-zero TRI Data'!$I:$I,0)), INDEX('Processed Non-zero DMR Data'!$F:$F, MATCH(I101,'Processed Non-zero DMR Data'!$I:$I, 0)))</f>
        <v>37.108094000000001</v>
      </c>
      <c r="G101">
        <f>IF(H101&lt;&gt;"", INDEX('Processed Non-zero TRI Data'!$H:$H, MATCH(H101, 'Processed Non-zero TRI Data'!$I:$I,0)), INDEX('Processed Non-zero DMR Data'!$G:$G, MATCH(I101,'Processed Non-zero DMR Data'!$I:$I, 0)))</f>
        <v>-85.303033999999997</v>
      </c>
      <c r="H101" s="7"/>
      <c r="I101" s="183">
        <v>110009696356</v>
      </c>
      <c r="J101" s="1">
        <f>IF(H101&lt;&gt;"",INDEX('Processed Non-zero TRI Data'!$L:$L,MATCH('Facility Summary_All'!H101,'Processed Non-zero TRI Data'!$I:$I,0)),INDEX('Processed Non-zero DMR Data'!$L:$L,MATCH('Facility Summary_All'!I101,'Processed Non-zero DMR Data'!$I:$I,0)))*1</f>
        <v>221320</v>
      </c>
      <c r="K101" s="185" t="str">
        <f>INDEX('2017 - 2022 NAICS'!$D:$D, MATCH('Facility Summary_All'!J101,'2017 - 2022 NAICS'!$C:$C,0))</f>
        <v>Sewage Treatment Facilities</v>
      </c>
      <c r="L101" t="str">
        <f>IFERROR(VLOOKUP(J101,'NAICS Code to IS CDR Code'!A:C,2,FALSE), "NAICS/SIC Not Provided")</f>
        <v>IS4</v>
      </c>
      <c r="M101" t="str">
        <f>IFERROR(VLOOKUP(J101,'NAICS Code to IS CDR Code'!A:C,3,FALSE), "NAICS/SIC Not Provided")</f>
        <v>Utilities</v>
      </c>
      <c r="N101" t="str">
        <f>IF(COUNTIF('Facility Summary_Water'!$M$2:$M$98,I101)&gt;0,"Yes","No")</f>
        <v>No</v>
      </c>
    </row>
    <row r="102" spans="1:14" x14ac:dyDescent="0.25">
      <c r="A102" s="7" t="s">
        <v>325</v>
      </c>
      <c r="B102" s="26"/>
      <c r="C102" s="26" t="s">
        <v>326</v>
      </c>
      <c r="D102" s="7" t="s">
        <v>146</v>
      </c>
      <c r="F102">
        <f>IF(H102&lt;&gt;"", INDEX('Processed Non-zero TRI Data'!$G:$G, MATCH(H102, 'Processed Non-zero TRI Data'!$I:$I,0)), INDEX('Processed Non-zero DMR Data'!$F:$F, MATCH(I102,'Processed Non-zero DMR Data'!$I:$I, 0)))</f>
        <v>37.591898999999998</v>
      </c>
      <c r="G102">
        <f>IF(H102&lt;&gt;"", INDEX('Processed Non-zero TRI Data'!$H:$H, MATCH(H102, 'Processed Non-zero TRI Data'!$I:$I,0)), INDEX('Processed Non-zero DMR Data'!$G:$G, MATCH(I102,'Processed Non-zero DMR Data'!$I:$I, 0)))</f>
        <v>-122.358101</v>
      </c>
      <c r="H102" s="7"/>
      <c r="I102" s="183">
        <v>110055988016</v>
      </c>
      <c r="J102" s="1">
        <f>IF(H102&lt;&gt;"",INDEX('Processed Non-zero TRI Data'!$L:$L,MATCH('Facility Summary_All'!H102,'Processed Non-zero TRI Data'!$I:$I,0)),INDEX('Processed Non-zero DMR Data'!$L:$L,MATCH('Facility Summary_All'!I102,'Processed Non-zero DMR Data'!$I:$I,0)))*1</f>
        <v>221320</v>
      </c>
      <c r="K102" s="185" t="str">
        <f>INDEX('2017 - 2022 NAICS'!$D:$D, MATCH('Facility Summary_All'!J102,'2017 - 2022 NAICS'!$C:$C,0))</f>
        <v>Sewage Treatment Facilities</v>
      </c>
      <c r="L102" t="str">
        <f>IFERROR(VLOOKUP(J102,'NAICS Code to IS CDR Code'!A:C,2,FALSE), "NAICS/SIC Not Provided")</f>
        <v>IS4</v>
      </c>
      <c r="M102" t="str">
        <f>IFERROR(VLOOKUP(J102,'NAICS Code to IS CDR Code'!A:C,3,FALSE), "NAICS/SIC Not Provided")</f>
        <v>Utilities</v>
      </c>
      <c r="N102" t="str">
        <f>IF(COUNTIF('Facility Summary_Water'!$M$2:$M$98,I102)&gt;0,"Yes","No")</f>
        <v>No</v>
      </c>
    </row>
    <row r="103" spans="1:14" x14ac:dyDescent="0.25">
      <c r="A103" s="7" t="s">
        <v>327</v>
      </c>
      <c r="B103" s="26"/>
      <c r="C103" s="26" t="s">
        <v>235</v>
      </c>
      <c r="D103" s="7" t="s">
        <v>138</v>
      </c>
      <c r="F103">
        <f>IF(H103&lt;&gt;"", INDEX('Processed Non-zero TRI Data'!$G:$G, MATCH(H103, 'Processed Non-zero TRI Data'!$I:$I,0)), INDEX('Processed Non-zero DMR Data'!$F:$F, MATCH(I103,'Processed Non-zero DMR Data'!$I:$I, 0)))</f>
        <v>38.322221999999996</v>
      </c>
      <c r="G103">
        <f>IF(H103&lt;&gt;"", INDEX('Processed Non-zero TRI Data'!$H:$H, MATCH(H103, 'Processed Non-zero TRI Data'!$I:$I,0)), INDEX('Processed Non-zero DMR Data'!$G:$G, MATCH(I103,'Processed Non-zero DMR Data'!$I:$I, 0)))</f>
        <v>-85.555000000000007</v>
      </c>
      <c r="H103" s="7"/>
      <c r="I103" s="183">
        <v>110000732271</v>
      </c>
      <c r="J103" s="1">
        <f>IF(H103&lt;&gt;"",INDEX('Processed Non-zero TRI Data'!$L:$L,MATCH('Facility Summary_All'!H103,'Processed Non-zero TRI Data'!$I:$I,0)),INDEX('Processed Non-zero DMR Data'!$L:$L,MATCH('Facility Summary_All'!I103,'Processed Non-zero DMR Data'!$I:$I,0)))*1</f>
        <v>221320</v>
      </c>
      <c r="K103" s="185" t="str">
        <f>INDEX('2017 - 2022 NAICS'!$D:$D, MATCH('Facility Summary_All'!J103,'2017 - 2022 NAICS'!$C:$C,0))</f>
        <v>Sewage Treatment Facilities</v>
      </c>
      <c r="L103" t="str">
        <f>IFERROR(VLOOKUP(J103,'NAICS Code to IS CDR Code'!A:C,2,FALSE), "NAICS/SIC Not Provided")</f>
        <v>IS4</v>
      </c>
      <c r="M103" t="str">
        <f>IFERROR(VLOOKUP(J103,'NAICS Code to IS CDR Code'!A:C,3,FALSE), "NAICS/SIC Not Provided")</f>
        <v>Utilities</v>
      </c>
      <c r="N103" t="str">
        <f>IF(COUNTIF('Facility Summary_Water'!$M$2:$M$98,I103)&gt;0,"Yes","No")</f>
        <v>No</v>
      </c>
    </row>
    <row r="104" spans="1:14" x14ac:dyDescent="0.25">
      <c r="A104" s="7" t="s">
        <v>328</v>
      </c>
      <c r="B104" s="26"/>
      <c r="C104" s="26" t="s">
        <v>308</v>
      </c>
      <c r="D104" s="7" t="s">
        <v>309</v>
      </c>
      <c r="F104">
        <f>IF(H104&lt;&gt;"", INDEX('Processed Non-zero TRI Data'!$G:$G, MATCH(H104, 'Processed Non-zero TRI Data'!$I:$I,0)), INDEX('Processed Non-zero DMR Data'!$F:$F, MATCH(I104,'Processed Non-zero DMR Data'!$I:$I, 0)))</f>
        <v>36.550454999999999</v>
      </c>
      <c r="G104">
        <f>IF(H104&lt;&gt;"", INDEX('Processed Non-zero TRI Data'!$H:$H, MATCH(H104, 'Processed Non-zero TRI Data'!$I:$I,0)), INDEX('Processed Non-zero DMR Data'!$G:$G, MATCH(I104,'Processed Non-zero DMR Data'!$I:$I, 0)))</f>
        <v>-82.634793999999999</v>
      </c>
      <c r="H104" s="7"/>
      <c r="I104" s="183">
        <v>110070828339</v>
      </c>
      <c r="J104" s="1">
        <f>IF(H104&lt;&gt;"",INDEX('Processed Non-zero TRI Data'!$L:$L,MATCH('Facility Summary_All'!H104,'Processed Non-zero TRI Data'!$I:$I,0)),INDEX('Processed Non-zero DMR Data'!$L:$L,MATCH('Facility Summary_All'!I104,'Processed Non-zero DMR Data'!$I:$I,0)))*1</f>
        <v>325920</v>
      </c>
      <c r="K104" s="185" t="str">
        <f>INDEX('2017 - 2022 NAICS'!$D:$D, MATCH('Facility Summary_All'!J104,'2017 - 2022 NAICS'!$C:$C,0))</f>
        <v>Explosives Manufacturing</v>
      </c>
      <c r="L104" t="str">
        <f>IFERROR(VLOOKUP(J104,'NAICS Code to IS CDR Code'!A:C,2,FALSE), "NAICS/SIC Not Provided")</f>
        <v>IS31</v>
      </c>
      <c r="M104" t="str">
        <f>IFERROR(VLOOKUP(J104,'NAICS Code to IS CDR Code'!A:C,3,FALSE), "NAICS/SIC Not Provided")</f>
        <v>Explosives Manufacturing</v>
      </c>
      <c r="N104" t="str">
        <f>IF(COUNTIF('Facility Summary_Water'!$M$2:$M$98,I104)&gt;0,"Yes","No")</f>
        <v>No</v>
      </c>
    </row>
    <row r="105" spans="1:14" x14ac:dyDescent="0.25">
      <c r="A105" s="7" t="s">
        <v>329</v>
      </c>
      <c r="B105" s="26"/>
      <c r="C105" s="26" t="s">
        <v>224</v>
      </c>
      <c r="D105" s="7" t="s">
        <v>141</v>
      </c>
      <c r="F105">
        <f>IF(H105&lt;&gt;"", INDEX('Processed Non-zero TRI Data'!$G:$G, MATCH(H105, 'Processed Non-zero TRI Data'!$I:$I,0)), INDEX('Processed Non-zero DMR Data'!$F:$F, MATCH(I105,'Processed Non-zero DMR Data'!$I:$I, 0)))</f>
        <v>41.405655000000003</v>
      </c>
      <c r="G105">
        <f>IF(H105&lt;&gt;"", INDEX('Processed Non-zero TRI Data'!$H:$H, MATCH(H105, 'Processed Non-zero TRI Data'!$I:$I,0)), INDEX('Processed Non-zero DMR Data'!$G:$G, MATCH(I105,'Processed Non-zero DMR Data'!$I:$I, 0)))</f>
        <v>-88.335212999999996</v>
      </c>
      <c r="H105" s="7"/>
      <c r="I105" s="183">
        <v>110000547196</v>
      </c>
      <c r="J105" s="1">
        <f>IF(H105&lt;&gt;"",INDEX('Processed Non-zero TRI Data'!$L:$L,MATCH('Facility Summary_All'!H105,'Processed Non-zero TRI Data'!$I:$I,0)),INDEX('Processed Non-zero DMR Data'!$L:$L,MATCH('Facility Summary_All'!I105,'Processed Non-zero DMR Data'!$I:$I,0)))*1</f>
        <v>325110</v>
      </c>
      <c r="K105" s="185" t="str">
        <f>INDEX('2017 - 2022 NAICS'!$D:$D, MATCH('Facility Summary_All'!J105,'2017 - 2022 NAICS'!$C:$C,0))</f>
        <v>Petrochemical Manufacturing</v>
      </c>
      <c r="L105" t="str">
        <f>IFERROR(VLOOKUP(J105,'NAICS Code to IS CDR Code'!A:C,2,FALSE), "NAICS/SIC Not Provided")</f>
        <v>IS15</v>
      </c>
      <c r="M105" t="str">
        <f>IFERROR(VLOOKUP(J105,'NAICS Code to IS CDR Code'!A:C,3,FALSE), "NAICS/SIC Not Provided")</f>
        <v>Petrochemical Manufacturing</v>
      </c>
      <c r="N105" t="str">
        <f>IF(COUNTIF('Facility Summary_Water'!$M$2:$M$98,I105)&gt;0,"Yes","No")</f>
        <v>No</v>
      </c>
    </row>
    <row r="106" spans="1:14" ht="30" x14ac:dyDescent="0.25">
      <c r="A106" s="7" t="s">
        <v>330</v>
      </c>
      <c r="B106" s="26"/>
      <c r="C106" s="26" t="s">
        <v>331</v>
      </c>
      <c r="D106" s="7" t="s">
        <v>250</v>
      </c>
      <c r="F106">
        <f>IF(H106&lt;&gt;"", INDEX('Processed Non-zero TRI Data'!$G:$G, MATCH(H106, 'Processed Non-zero TRI Data'!$I:$I,0)), INDEX('Processed Non-zero DMR Data'!$F:$F, MATCH(I106,'Processed Non-zero DMR Data'!$I:$I, 0)))</f>
        <v>44.700833000000003</v>
      </c>
      <c r="G106">
        <f>IF(H106&lt;&gt;"", INDEX('Processed Non-zero TRI Data'!$H:$H, MATCH(H106, 'Processed Non-zero TRI Data'!$I:$I,0)), INDEX('Processed Non-zero DMR Data'!$G:$G, MATCH(I106,'Processed Non-zero DMR Data'!$I:$I, 0)))</f>
        <v>-73.591667000000001</v>
      </c>
      <c r="H106" s="7"/>
      <c r="I106" s="183">
        <v>110064786085</v>
      </c>
      <c r="J106" s="1">
        <f>IF(H106&lt;&gt;"",INDEX('Processed Non-zero TRI Data'!$L:$L,MATCH('Facility Summary_All'!H106,'Processed Non-zero TRI Data'!$I:$I,0)),INDEX('Processed Non-zero DMR Data'!$L:$L,MATCH('Facility Summary_All'!I106,'Processed Non-zero DMR Data'!$I:$I,0)))*1</f>
        <v>924110</v>
      </c>
      <c r="K106" s="185" t="str">
        <f>INDEX('2017 - 2022 NAICS'!$D:$D, MATCH('Facility Summary_All'!J106,'2017 - 2022 NAICS'!$C:$C,0))</f>
        <v>Administration of Air and Water Resource and Solid Waste Management Programs</v>
      </c>
      <c r="L106" t="str">
        <f>IFERROR(VLOOKUP(J106,'NAICS Code to IS CDR Code'!A:C,2,FALSE), "NAICS/SIC Not Provided")</f>
        <v>IS47</v>
      </c>
      <c r="M106" t="str">
        <f>IFERROR(VLOOKUP(J106,'NAICS Code to IS CDR Code'!A:C,3,FALSE), "NAICS/SIC Not Provided")</f>
        <v>Services</v>
      </c>
      <c r="N106" t="str">
        <f>IF(COUNTIF('Facility Summary_Water'!$M$2:$M$98,I106)&gt;0,"Yes","No")</f>
        <v>No</v>
      </c>
    </row>
    <row r="107" spans="1:14" x14ac:dyDescent="0.25">
      <c r="A107" s="7" t="s">
        <v>332</v>
      </c>
      <c r="B107" s="26"/>
      <c r="C107" s="26" t="s">
        <v>333</v>
      </c>
      <c r="D107" s="7" t="s">
        <v>268</v>
      </c>
      <c r="F107">
        <f>IF(H107&lt;&gt;"", INDEX('Processed Non-zero TRI Data'!$G:$G, MATCH(H107, 'Processed Non-zero TRI Data'!$I:$I,0)), INDEX('Processed Non-zero DMR Data'!$F:$F, MATCH(I107,'Processed Non-zero DMR Data'!$I:$I, 0)))</f>
        <v>40.655278000000003</v>
      </c>
      <c r="G107">
        <f>IF(H107&lt;&gt;"", INDEX('Processed Non-zero TRI Data'!$H:$H, MATCH(H107, 'Processed Non-zero TRI Data'!$I:$I,0)), INDEX('Processed Non-zero DMR Data'!$G:$G, MATCH(I107,'Processed Non-zero DMR Data'!$I:$I, 0)))</f>
        <v>-80.356388999999993</v>
      </c>
      <c r="H107" s="7"/>
      <c r="I107" s="183">
        <v>110059344473</v>
      </c>
      <c r="J107" s="1">
        <f>IF(H107&lt;&gt;"",INDEX('Processed Non-zero TRI Data'!$L:$L,MATCH('Facility Summary_All'!H107,'Processed Non-zero TRI Data'!$I:$I,0)),INDEX('Processed Non-zero DMR Data'!$L:$L,MATCH('Facility Summary_All'!I107,'Processed Non-zero DMR Data'!$I:$I,0)))*1</f>
        <v>325211</v>
      </c>
      <c r="K107" s="185" t="str">
        <f>INDEX('2017 - 2022 NAICS'!$D:$D, MATCH('Facility Summary_All'!J107,'2017 - 2022 NAICS'!$C:$C,0))</f>
        <v>Plastics Material and Resin Manufacturing</v>
      </c>
      <c r="L107" t="str">
        <f>IFERROR(VLOOKUP(J107,'NAICS Code to IS CDR Code'!A:C,2,FALSE), "NAICS/SIC Not Provided")</f>
        <v>IS22</v>
      </c>
      <c r="M107" t="str">
        <f>IFERROR(VLOOKUP(J107,'NAICS Code to IS CDR Code'!A:C,3,FALSE), "NAICS/SIC Not Provided")</f>
        <v>Plastic Material and Resin Manufacturing</v>
      </c>
      <c r="N107" t="str">
        <f>IF(COUNTIF('Facility Summary_Water'!$M$2:$M$98,I107)&gt;0,"Yes","No")</f>
        <v>No</v>
      </c>
    </row>
    <row r="108" spans="1:14" x14ac:dyDescent="0.25">
      <c r="A108" s="7" t="s">
        <v>334</v>
      </c>
      <c r="B108" s="26"/>
      <c r="C108" s="26" t="s">
        <v>335</v>
      </c>
      <c r="D108" s="7" t="s">
        <v>336</v>
      </c>
      <c r="F108">
        <f>IF(H108&lt;&gt;"", INDEX('Processed Non-zero TRI Data'!$G:$G, MATCH(H108, 'Processed Non-zero TRI Data'!$I:$I,0)), INDEX('Processed Non-zero DMR Data'!$F:$F, MATCH(I108,'Processed Non-zero DMR Data'!$I:$I, 0)))</f>
        <v>41.424084999999998</v>
      </c>
      <c r="G108">
        <f>IF(H108&lt;&gt;"", INDEX('Processed Non-zero TRI Data'!$H:$H, MATCH(H108, 'Processed Non-zero TRI Data'!$I:$I,0)), INDEX('Processed Non-zero DMR Data'!$G:$G, MATCH(I108,'Processed Non-zero DMR Data'!$I:$I, 0)))</f>
        <v>-97.286036999999993</v>
      </c>
      <c r="H108" s="7"/>
      <c r="I108" s="183">
        <v>110070246981</v>
      </c>
      <c r="J108" s="1">
        <f>IF(H108&lt;&gt;"",INDEX('Processed Non-zero TRI Data'!$L:$L,MATCH('Facility Summary_All'!H108,'Processed Non-zero TRI Data'!$I:$I,0)),INDEX('Processed Non-zero DMR Data'!$L:$L,MATCH('Facility Summary_All'!I108,'Processed Non-zero DMR Data'!$I:$I,0)))*1</f>
        <v>311942</v>
      </c>
      <c r="K108" s="185" t="str">
        <f>INDEX('2017 - 2022 NAICS'!$D:$D, MATCH('Facility Summary_All'!J108,'2017 - 2022 NAICS'!$C:$C,0))</f>
        <v>Spice and Extract Manufacturing</v>
      </c>
      <c r="L108" t="str">
        <f>IFERROR(VLOOKUP(J108,'NAICS Code to IS CDR Code'!A:C,2,FALSE), "NAICS/SIC Not Provided")</f>
        <v>IS6</v>
      </c>
      <c r="M108" t="str">
        <f>IFERROR(VLOOKUP(J108,'NAICS Code to IS CDR Code'!A:C,3,FALSE), "NAICS/SIC Not Provided")</f>
        <v>Food, beverage, and tobacco product manufacturing</v>
      </c>
      <c r="N108" t="str">
        <f>IF(COUNTIF('Facility Summary_Water'!$M$2:$M$98,I108)&gt;0,"Yes","No")</f>
        <v>No</v>
      </c>
    </row>
    <row r="109" spans="1:14" x14ac:dyDescent="0.25">
      <c r="A109" s="7" t="s">
        <v>337</v>
      </c>
      <c r="B109" s="26"/>
      <c r="C109" s="26" t="s">
        <v>338</v>
      </c>
      <c r="D109" s="7" t="s">
        <v>146</v>
      </c>
      <c r="F109">
        <f>IF(H109&lt;&gt;"", INDEX('Processed Non-zero TRI Data'!$G:$G, MATCH(H109, 'Processed Non-zero TRI Data'!$I:$I,0)), INDEX('Processed Non-zero DMR Data'!$F:$F, MATCH(I109,'Processed Non-zero DMR Data'!$I:$I, 0)))</f>
        <v>38.273180000000004</v>
      </c>
      <c r="G109">
        <f>IF(H109&lt;&gt;"", INDEX('Processed Non-zero TRI Data'!$H:$H, MATCH(H109, 'Processed Non-zero TRI Data'!$I:$I,0)), INDEX('Processed Non-zero DMR Data'!$G:$G, MATCH(I109,'Processed Non-zero DMR Data'!$I:$I, 0)))</f>
        <v>-120.91082</v>
      </c>
      <c r="H109" s="7"/>
      <c r="I109" s="183">
        <v>110064616296</v>
      </c>
      <c r="J109" s="1">
        <f>IF(H109&lt;&gt;"",INDEX('Processed Non-zero TRI Data'!$L:$L,MATCH('Facility Summary_All'!H109,'Processed Non-zero TRI Data'!$I:$I,0)),INDEX('Processed Non-zero DMR Data'!$L:$L,MATCH('Facility Summary_All'!I109,'Processed Non-zero DMR Data'!$I:$I,0)))*1</f>
        <v>221320</v>
      </c>
      <c r="K109" s="185" t="str">
        <f>INDEX('2017 - 2022 NAICS'!$D:$D, MATCH('Facility Summary_All'!J109,'2017 - 2022 NAICS'!$C:$C,0))</f>
        <v>Sewage Treatment Facilities</v>
      </c>
      <c r="L109" t="str">
        <f>IFERROR(VLOOKUP(J109,'NAICS Code to IS CDR Code'!A:C,2,FALSE), "NAICS/SIC Not Provided")</f>
        <v>IS4</v>
      </c>
      <c r="M109" t="str">
        <f>IFERROR(VLOOKUP(J109,'NAICS Code to IS CDR Code'!A:C,3,FALSE), "NAICS/SIC Not Provided")</f>
        <v>Utilities</v>
      </c>
      <c r="N109" t="str">
        <f>IF(COUNTIF('Facility Summary_Water'!$M$2:$M$98,I109)&gt;0,"Yes","No")</f>
        <v>No</v>
      </c>
    </row>
    <row r="110" spans="1:14" x14ac:dyDescent="0.25">
      <c r="A110" s="7" t="s">
        <v>339</v>
      </c>
      <c r="B110" s="26"/>
      <c r="C110" s="26" t="s">
        <v>202</v>
      </c>
      <c r="D110" s="7" t="s">
        <v>106</v>
      </c>
      <c r="F110">
        <f>IF(H110&lt;&gt;"", INDEX('Processed Non-zero TRI Data'!$G:$G, MATCH(H110, 'Processed Non-zero TRI Data'!$I:$I,0)), INDEX('Processed Non-zero DMR Data'!$F:$F, MATCH(I110,'Processed Non-zero DMR Data'!$I:$I, 0)))</f>
        <v>30.233011999999999</v>
      </c>
      <c r="G110">
        <f>IF(H110&lt;&gt;"", INDEX('Processed Non-zero TRI Data'!$H:$H, MATCH(H110, 'Processed Non-zero TRI Data'!$I:$I,0)), INDEX('Processed Non-zero DMR Data'!$G:$G, MATCH(I110,'Processed Non-zero DMR Data'!$I:$I, 0)))</f>
        <v>-91.022057000000004</v>
      </c>
      <c r="H110" s="7"/>
      <c r="I110" s="183">
        <v>110000911309</v>
      </c>
      <c r="J110" s="1">
        <f>IF(H110&lt;&gt;"",INDEX('Processed Non-zero TRI Data'!$L:$L,MATCH('Facility Summary_All'!H110,'Processed Non-zero TRI Data'!$I:$I,0)),INDEX('Processed Non-zero DMR Data'!$L:$L,MATCH('Facility Summary_All'!I110,'Processed Non-zero DMR Data'!$I:$I,0)))*1</f>
        <v>487110</v>
      </c>
      <c r="K110" s="185" t="str">
        <f>INDEX('2017 - 2022 NAICS'!$D:$D, MATCH('Facility Summary_All'!J110,'2017 - 2022 NAICS'!$C:$C,0))</f>
        <v>Scenic and Sightseeing Transportation, Land</v>
      </c>
      <c r="L110" t="str">
        <f>IFERROR(VLOOKUP(J110,'NAICS Code to IS CDR Code'!A:C,2,FALSE), "NAICS/SIC Not Provided")</f>
        <v>IS46</v>
      </c>
      <c r="M110" t="str">
        <f>IFERROR(VLOOKUP(J110,'NAICS Code to IS CDR Code'!A:C,3,FALSE), "NAICS/SIC Not Provided")</f>
        <v>Wholesale and Retail Trade</v>
      </c>
      <c r="N110" t="str">
        <f>IF(COUNTIF('Facility Summary_Water'!$M$2:$M$98,I110)&gt;0,"Yes","No")</f>
        <v>No</v>
      </c>
    </row>
    <row r="111" spans="1:14" x14ac:dyDescent="0.25">
      <c r="A111" s="7" t="s">
        <v>340</v>
      </c>
      <c r="B111" s="26"/>
      <c r="C111" s="26" t="s">
        <v>341</v>
      </c>
      <c r="D111" s="7" t="s">
        <v>170</v>
      </c>
      <c r="F111">
        <f>IF(H111&lt;&gt;"", INDEX('Processed Non-zero TRI Data'!$G:$G, MATCH(H111, 'Processed Non-zero TRI Data'!$I:$I,0)), INDEX('Processed Non-zero DMR Data'!$F:$F, MATCH(I111,'Processed Non-zero DMR Data'!$I:$I, 0)))</f>
        <v>39.423425000000002</v>
      </c>
      <c r="G111">
        <f>IF(H111&lt;&gt;"", INDEX('Processed Non-zero TRI Data'!$H:$H, MATCH(H111, 'Processed Non-zero TRI Data'!$I:$I,0)), INDEX('Processed Non-zero DMR Data'!$G:$G, MATCH(I111,'Processed Non-zero DMR Data'!$I:$I, 0)))</f>
        <v>-91.025666000000001</v>
      </c>
      <c r="H111" s="7"/>
      <c r="I111" s="183">
        <v>110054612558</v>
      </c>
      <c r="J111" s="1">
        <f>IF(H111&lt;&gt;"",INDEX('Processed Non-zero TRI Data'!$L:$L,MATCH('Facility Summary_All'!H111,'Processed Non-zero TRI Data'!$I:$I,0)),INDEX('Processed Non-zero DMR Data'!$L:$L,MATCH('Facility Summary_All'!I111,'Processed Non-zero DMR Data'!$I:$I,0)))*1</f>
        <v>325110</v>
      </c>
      <c r="K111" s="185" t="str">
        <f>INDEX('2017 - 2022 NAICS'!$D:$D, MATCH('Facility Summary_All'!J111,'2017 - 2022 NAICS'!$C:$C,0))</f>
        <v>Petrochemical Manufacturing</v>
      </c>
      <c r="L111" t="str">
        <f>IFERROR(VLOOKUP(J111,'NAICS Code to IS CDR Code'!A:C,2,FALSE), "NAICS/SIC Not Provided")</f>
        <v>IS15</v>
      </c>
      <c r="M111" t="str">
        <f>IFERROR(VLOOKUP(J111,'NAICS Code to IS CDR Code'!A:C,3,FALSE), "NAICS/SIC Not Provided")</f>
        <v>Petrochemical Manufacturing</v>
      </c>
      <c r="N111" t="str">
        <f>IF(COUNTIF('Facility Summary_Water'!$M$2:$M$98,I111)&gt;0,"Yes","No")</f>
        <v>No</v>
      </c>
    </row>
    <row r="112" spans="1:14" x14ac:dyDescent="0.25">
      <c r="A112" s="7" t="s">
        <v>342</v>
      </c>
      <c r="B112" s="26"/>
      <c r="C112" s="26" t="s">
        <v>343</v>
      </c>
      <c r="D112" s="7" t="s">
        <v>344</v>
      </c>
      <c r="F112">
        <f>IF(H112&lt;&gt;"", INDEX('Processed Non-zero TRI Data'!$G:$G, MATCH(H112, 'Processed Non-zero TRI Data'!$I:$I,0)), INDEX('Processed Non-zero DMR Data'!$F:$F, MATCH(I112,'Processed Non-zero DMR Data'!$I:$I, 0)))</f>
        <v>39.585099999999997</v>
      </c>
      <c r="G112">
        <f>IF(H112&lt;&gt;"", INDEX('Processed Non-zero TRI Data'!$H:$H, MATCH(H112, 'Processed Non-zero TRI Data'!$I:$I,0)), INDEX('Processed Non-zero DMR Data'!$G:$G, MATCH(I112,'Processed Non-zero DMR Data'!$I:$I, 0)))</f>
        <v>-75.649199999999993</v>
      </c>
      <c r="H112" s="7"/>
      <c r="I112" s="183">
        <v>110000338536</v>
      </c>
      <c r="J112" s="1">
        <f>IF(H112&lt;&gt;"",INDEX('Processed Non-zero TRI Data'!$L:$L,MATCH('Facility Summary_All'!H112,'Processed Non-zero TRI Data'!$I:$I,0)),INDEX('Processed Non-zero DMR Data'!$L:$L,MATCH('Facility Summary_All'!I112,'Processed Non-zero DMR Data'!$I:$I,0)))*1</f>
        <v>325211</v>
      </c>
      <c r="K112" s="185" t="str">
        <f>INDEX('2017 - 2022 NAICS'!$D:$D, MATCH('Facility Summary_All'!J112,'2017 - 2022 NAICS'!$C:$C,0))</f>
        <v>Plastics Material and Resin Manufacturing</v>
      </c>
      <c r="L112" t="str">
        <f>IFERROR(VLOOKUP(J112,'NAICS Code to IS CDR Code'!A:C,2,FALSE), "NAICS/SIC Not Provided")</f>
        <v>IS22</v>
      </c>
      <c r="M112" t="str">
        <f>IFERROR(VLOOKUP(J112,'NAICS Code to IS CDR Code'!A:C,3,FALSE), "NAICS/SIC Not Provided")</f>
        <v>Plastic Material and Resin Manufacturing</v>
      </c>
      <c r="N112" t="str">
        <f>IF(COUNTIF('Facility Summary_Water'!$M$2:$M$98,I112)&gt;0,"Yes","No")</f>
        <v>No</v>
      </c>
    </row>
    <row r="113" spans="1:14" x14ac:dyDescent="0.25">
      <c r="A113" s="7" t="s">
        <v>345</v>
      </c>
      <c r="B113" s="26"/>
      <c r="C113" s="26" t="s">
        <v>346</v>
      </c>
      <c r="D113" s="7" t="s">
        <v>138</v>
      </c>
      <c r="F113">
        <f>IF(H113&lt;&gt;"", INDEX('Processed Non-zero TRI Data'!$G:$G, MATCH(H113, 'Processed Non-zero TRI Data'!$I:$I,0)), INDEX('Processed Non-zero DMR Data'!$F:$F, MATCH(I113,'Processed Non-zero DMR Data'!$I:$I, 0)))</f>
        <v>38.223610999999998</v>
      </c>
      <c r="G113">
        <f>IF(H113&lt;&gt;"", INDEX('Processed Non-zero TRI Data'!$H:$H, MATCH(H113, 'Processed Non-zero TRI Data'!$I:$I,0)), INDEX('Processed Non-zero DMR Data'!$G:$G, MATCH(I113,'Processed Non-zero DMR Data'!$I:$I, 0)))</f>
        <v>-84.252778000000006</v>
      </c>
      <c r="H113" s="7"/>
      <c r="I113" s="183">
        <v>110000551082</v>
      </c>
      <c r="J113" s="1">
        <f>IF(H113&lt;&gt;"",INDEX('Processed Non-zero TRI Data'!$L:$L,MATCH('Facility Summary_All'!H113,'Processed Non-zero TRI Data'!$I:$I,0)),INDEX('Processed Non-zero DMR Data'!$L:$L,MATCH('Facility Summary_All'!I113,'Processed Non-zero DMR Data'!$I:$I,0)))*1</f>
        <v>221320</v>
      </c>
      <c r="K113" s="185" t="str">
        <f>INDEX('2017 - 2022 NAICS'!$D:$D, MATCH('Facility Summary_All'!J113,'2017 - 2022 NAICS'!$C:$C,0))</f>
        <v>Sewage Treatment Facilities</v>
      </c>
      <c r="L113" t="str">
        <f>IFERROR(VLOOKUP(J113,'NAICS Code to IS CDR Code'!A:C,2,FALSE), "NAICS/SIC Not Provided")</f>
        <v>IS4</v>
      </c>
      <c r="M113" t="str">
        <f>IFERROR(VLOOKUP(J113,'NAICS Code to IS CDR Code'!A:C,3,FALSE), "NAICS/SIC Not Provided")</f>
        <v>Utilities</v>
      </c>
      <c r="N113" t="str">
        <f>IF(COUNTIF('Facility Summary_Water'!$M$2:$M$98,I113)&gt;0,"Yes","No")</f>
        <v>No</v>
      </c>
    </row>
    <row r="114" spans="1:14" x14ac:dyDescent="0.25">
      <c r="A114" s="7" t="s">
        <v>347</v>
      </c>
      <c r="B114" s="26"/>
      <c r="C114" s="26" t="s">
        <v>348</v>
      </c>
      <c r="D114" s="7" t="s">
        <v>146</v>
      </c>
      <c r="F114">
        <f>IF(H114&lt;&gt;"", INDEX('Processed Non-zero TRI Data'!$G:$G, MATCH(H114, 'Processed Non-zero TRI Data'!$I:$I,0)), INDEX('Processed Non-zero DMR Data'!$F:$F, MATCH(I114,'Processed Non-zero DMR Data'!$I:$I, 0)))</f>
        <v>39.191054000000001</v>
      </c>
      <c r="G114">
        <f>IF(H114&lt;&gt;"", INDEX('Processed Non-zero TRI Data'!$H:$H, MATCH(H114, 'Processed Non-zero TRI Data'!$I:$I,0)), INDEX('Processed Non-zero DMR Data'!$G:$G, MATCH(I114,'Processed Non-zero DMR Data'!$I:$I, 0)))</f>
        <v>-122.023129</v>
      </c>
      <c r="H114" s="7"/>
      <c r="I114" s="183">
        <v>110055984957</v>
      </c>
      <c r="J114" s="1">
        <f>IF(H114&lt;&gt;"",INDEX('Processed Non-zero TRI Data'!$L:$L,MATCH('Facility Summary_All'!H114,'Processed Non-zero TRI Data'!$I:$I,0)),INDEX('Processed Non-zero DMR Data'!$L:$L,MATCH('Facility Summary_All'!I114,'Processed Non-zero DMR Data'!$I:$I,0)))*1</f>
        <v>221320</v>
      </c>
      <c r="K114" s="185" t="str">
        <f>INDEX('2017 - 2022 NAICS'!$D:$D, MATCH('Facility Summary_All'!J114,'2017 - 2022 NAICS'!$C:$C,0))</f>
        <v>Sewage Treatment Facilities</v>
      </c>
      <c r="L114" t="str">
        <f>IFERROR(VLOOKUP(J114,'NAICS Code to IS CDR Code'!A:C,2,FALSE), "NAICS/SIC Not Provided")</f>
        <v>IS4</v>
      </c>
      <c r="M114" t="str">
        <f>IFERROR(VLOOKUP(J114,'NAICS Code to IS CDR Code'!A:C,3,FALSE), "NAICS/SIC Not Provided")</f>
        <v>Utilities</v>
      </c>
      <c r="N114" t="str">
        <f>IF(COUNTIF('Facility Summary_Water'!$M$2:$M$98,I114)&gt;0,"Yes","No")</f>
        <v>No</v>
      </c>
    </row>
    <row r="115" spans="1:14" x14ac:dyDescent="0.25">
      <c r="A115" s="7" t="s">
        <v>349</v>
      </c>
      <c r="B115" s="26"/>
      <c r="C115" s="26" t="s">
        <v>350</v>
      </c>
      <c r="D115" s="7" t="s">
        <v>138</v>
      </c>
      <c r="F115">
        <f>IF(H115&lt;&gt;"", INDEX('Processed Non-zero TRI Data'!$G:$G, MATCH(H115, 'Processed Non-zero TRI Data'!$I:$I,0)), INDEX('Processed Non-zero DMR Data'!$F:$F, MATCH(I115,'Processed Non-zero DMR Data'!$I:$I, 0)))</f>
        <v>37.491857000000003</v>
      </c>
      <c r="G115">
        <f>IF(H115&lt;&gt;"", INDEX('Processed Non-zero TRI Data'!$H:$H, MATCH(H115, 'Processed Non-zero TRI Data'!$I:$I,0)), INDEX('Processed Non-zero DMR Data'!$G:$G, MATCH(I115,'Processed Non-zero DMR Data'!$I:$I, 0)))</f>
        <v>-82.539703000000003</v>
      </c>
      <c r="H115" s="7"/>
      <c r="I115" s="183">
        <v>110006644872</v>
      </c>
      <c r="J115" s="1">
        <f>IF(H115&lt;&gt;"",INDEX('Processed Non-zero TRI Data'!$L:$L,MATCH('Facility Summary_All'!H115,'Processed Non-zero TRI Data'!$I:$I,0)),INDEX('Processed Non-zero DMR Data'!$L:$L,MATCH('Facility Summary_All'!I115,'Processed Non-zero DMR Data'!$I:$I,0)))*1</f>
        <v>221320</v>
      </c>
      <c r="K115" s="185" t="str">
        <f>INDEX('2017 - 2022 NAICS'!$D:$D, MATCH('Facility Summary_All'!J115,'2017 - 2022 NAICS'!$C:$C,0))</f>
        <v>Sewage Treatment Facilities</v>
      </c>
      <c r="L115" t="str">
        <f>IFERROR(VLOOKUP(J115,'NAICS Code to IS CDR Code'!A:C,2,FALSE), "NAICS/SIC Not Provided")</f>
        <v>IS4</v>
      </c>
      <c r="M115" t="str">
        <f>IFERROR(VLOOKUP(J115,'NAICS Code to IS CDR Code'!A:C,3,FALSE), "NAICS/SIC Not Provided")</f>
        <v>Utilities</v>
      </c>
      <c r="N115" t="str">
        <f>IF(COUNTIF('Facility Summary_Water'!$M$2:$M$98,I115)&gt;0,"Yes","No")</f>
        <v>No</v>
      </c>
    </row>
    <row r="116" spans="1:14" x14ac:dyDescent="0.25">
      <c r="A116" s="7" t="s">
        <v>351</v>
      </c>
      <c r="B116" s="26"/>
      <c r="C116" s="26" t="s">
        <v>352</v>
      </c>
      <c r="D116" s="7" t="s">
        <v>106</v>
      </c>
      <c r="F116">
        <f>IF(H116&lt;&gt;"", INDEX('Processed Non-zero TRI Data'!$G:$G, MATCH(H116, 'Processed Non-zero TRI Data'!$I:$I,0)), INDEX('Processed Non-zero DMR Data'!$F:$F, MATCH(I116,'Processed Non-zero DMR Data'!$I:$I, 0)))</f>
        <v>30.048590999999998</v>
      </c>
      <c r="G116">
        <f>IF(H116&lt;&gt;"", INDEX('Processed Non-zero TRI Data'!$H:$H, MATCH(H116, 'Processed Non-zero TRI Data'!$I:$I,0)), INDEX('Processed Non-zero DMR Data'!$G:$G, MATCH(I116,'Processed Non-zero DMR Data'!$I:$I, 0)))</f>
        <v>-90.630941000000007</v>
      </c>
      <c r="H116" s="7"/>
      <c r="I116" s="183">
        <v>110007015871</v>
      </c>
      <c r="J116" s="1">
        <f>IF(H116&lt;&gt;"",INDEX('Processed Non-zero TRI Data'!$L:$L,MATCH('Facility Summary_All'!H116,'Processed Non-zero TRI Data'!$I:$I,0)),INDEX('Processed Non-zero DMR Data'!$L:$L,MATCH('Facility Summary_All'!I116,'Processed Non-zero DMR Data'!$I:$I,0)))*1</f>
        <v>325110</v>
      </c>
      <c r="K116" s="185" t="str">
        <f>INDEX('2017 - 2022 NAICS'!$D:$D, MATCH('Facility Summary_All'!J116,'2017 - 2022 NAICS'!$C:$C,0))</f>
        <v>Petrochemical Manufacturing</v>
      </c>
      <c r="L116" t="str">
        <f>IFERROR(VLOOKUP(J116,'NAICS Code to IS CDR Code'!A:C,2,FALSE), "NAICS/SIC Not Provided")</f>
        <v>IS15</v>
      </c>
      <c r="M116" t="str">
        <f>IFERROR(VLOOKUP(J116,'NAICS Code to IS CDR Code'!A:C,3,FALSE), "NAICS/SIC Not Provided")</f>
        <v>Petrochemical Manufacturing</v>
      </c>
      <c r="N116" t="str">
        <f>IF(COUNTIF('Facility Summary_Water'!$M$2:$M$98,I116)&gt;0,"Yes","No")</f>
        <v>No</v>
      </c>
    </row>
    <row r="117" spans="1:14" x14ac:dyDescent="0.25">
      <c r="A117" s="7" t="s">
        <v>353</v>
      </c>
      <c r="B117" s="26"/>
      <c r="C117" s="26" t="s">
        <v>354</v>
      </c>
      <c r="D117" s="7" t="s">
        <v>146</v>
      </c>
      <c r="F117">
        <f>IF(H117&lt;&gt;"", INDEX('Processed Non-zero TRI Data'!$G:$G, MATCH(H117, 'Processed Non-zero TRI Data'!$I:$I,0)), INDEX('Processed Non-zero DMR Data'!$F:$F, MATCH(I117,'Processed Non-zero DMR Data'!$I:$I, 0)))</f>
        <v>33.017359999999996</v>
      </c>
      <c r="G117">
        <f>IF(H117&lt;&gt;"", INDEX('Processed Non-zero TRI Data'!$H:$H, MATCH(H117, 'Processed Non-zero TRI Data'!$I:$I,0)), INDEX('Processed Non-zero DMR Data'!$G:$G, MATCH(I117,'Processed Non-zero DMR Data'!$I:$I, 0)))</f>
        <v>-115.50923</v>
      </c>
      <c r="H117" s="7"/>
      <c r="I117" s="183">
        <v>110030476465</v>
      </c>
      <c r="J117" s="1">
        <f>IF(H117&lt;&gt;"",INDEX('Processed Non-zero TRI Data'!$L:$L,MATCH('Facility Summary_All'!H117,'Processed Non-zero TRI Data'!$I:$I,0)),INDEX('Processed Non-zero DMR Data'!$L:$L,MATCH('Facility Summary_All'!I117,'Processed Non-zero DMR Data'!$I:$I,0)))*1</f>
        <v>221320</v>
      </c>
      <c r="K117" s="185" t="str">
        <f>INDEX('2017 - 2022 NAICS'!$D:$D, MATCH('Facility Summary_All'!J117,'2017 - 2022 NAICS'!$C:$C,0))</f>
        <v>Sewage Treatment Facilities</v>
      </c>
      <c r="L117" t="str">
        <f>IFERROR(VLOOKUP(J117,'NAICS Code to IS CDR Code'!A:C,2,FALSE), "NAICS/SIC Not Provided")</f>
        <v>IS4</v>
      </c>
      <c r="M117" t="str">
        <f>IFERROR(VLOOKUP(J117,'NAICS Code to IS CDR Code'!A:C,3,FALSE), "NAICS/SIC Not Provided")</f>
        <v>Utilities</v>
      </c>
      <c r="N117" t="str">
        <f>IF(COUNTIF('Facility Summary_Water'!$M$2:$M$98,I117)&gt;0,"Yes","No")</f>
        <v>No</v>
      </c>
    </row>
    <row r="118" spans="1:14" x14ac:dyDescent="0.25">
      <c r="A118" s="7" t="s">
        <v>355</v>
      </c>
      <c r="B118" s="26"/>
      <c r="C118" s="26" t="s">
        <v>356</v>
      </c>
      <c r="D118" s="7" t="s">
        <v>153</v>
      </c>
      <c r="F118">
        <f>IF(H118&lt;&gt;"", INDEX('Processed Non-zero TRI Data'!$G:$G, MATCH(H118, 'Processed Non-zero TRI Data'!$I:$I,0)), INDEX('Processed Non-zero DMR Data'!$F:$F, MATCH(I118,'Processed Non-zero DMR Data'!$I:$I, 0)))</f>
        <v>39.698279999999997</v>
      </c>
      <c r="G118">
        <f>IF(H118&lt;&gt;"", INDEX('Processed Non-zero TRI Data'!$H:$H, MATCH(H118, 'Processed Non-zero TRI Data'!$I:$I,0)), INDEX('Processed Non-zero DMR Data'!$G:$G, MATCH(I118,'Processed Non-zero DMR Data'!$I:$I, 0)))</f>
        <v>-75.503974999999997</v>
      </c>
      <c r="H118" s="7"/>
      <c r="I118" s="183">
        <v>110007970142</v>
      </c>
      <c r="J118" s="1">
        <f>IF(H118&lt;&gt;"",INDEX('Processed Non-zero TRI Data'!$L:$L,MATCH('Facility Summary_All'!H118,'Processed Non-zero TRI Data'!$I:$I,0)),INDEX('Processed Non-zero DMR Data'!$L:$L,MATCH('Facility Summary_All'!I118,'Processed Non-zero DMR Data'!$I:$I,0)))*1</f>
        <v>325110</v>
      </c>
      <c r="K118" s="185" t="str">
        <f>INDEX('2017 - 2022 NAICS'!$D:$D, MATCH('Facility Summary_All'!J118,'2017 - 2022 NAICS'!$C:$C,0))</f>
        <v>Petrochemical Manufacturing</v>
      </c>
      <c r="L118" t="str">
        <f>IFERROR(VLOOKUP(J118,'NAICS Code to IS CDR Code'!A:C,2,FALSE), "NAICS/SIC Not Provided")</f>
        <v>IS15</v>
      </c>
      <c r="M118" t="str">
        <f>IFERROR(VLOOKUP(J118,'NAICS Code to IS CDR Code'!A:C,3,FALSE), "NAICS/SIC Not Provided")</f>
        <v>Petrochemical Manufacturing</v>
      </c>
      <c r="N118" t="str">
        <f>IF(COUNTIF('Facility Summary_Water'!$M$2:$M$98,I118)&gt;0,"Yes","No")</f>
        <v>No</v>
      </c>
    </row>
    <row r="119" spans="1:14" x14ac:dyDescent="0.25">
      <c r="A119" s="7" t="s">
        <v>357</v>
      </c>
      <c r="B119" s="26"/>
      <c r="C119" s="26" t="s">
        <v>185</v>
      </c>
      <c r="D119" s="7" t="s">
        <v>186</v>
      </c>
      <c r="F119">
        <f>IF(H119&lt;&gt;"", INDEX('Processed Non-zero TRI Data'!$G:$G, MATCH(H119, 'Processed Non-zero TRI Data'!$I:$I,0)), INDEX('Processed Non-zero DMR Data'!$F:$F, MATCH(I119,'Processed Non-zero DMR Data'!$I:$I, 0)))</f>
        <v>21.304500000000001</v>
      </c>
      <c r="G119">
        <f>IF(H119&lt;&gt;"", INDEX('Processed Non-zero TRI Data'!$H:$H, MATCH(H119, 'Processed Non-zero TRI Data'!$I:$I,0)), INDEX('Processed Non-zero DMR Data'!$G:$G, MATCH(I119,'Processed Non-zero DMR Data'!$I:$I, 0)))</f>
        <v>-157.88205600000001</v>
      </c>
      <c r="H119" s="7"/>
      <c r="I119" s="183">
        <v>110005726802</v>
      </c>
      <c r="J119" s="1">
        <f>IF(H119&lt;&gt;"",INDEX('Processed Non-zero TRI Data'!$L:$L,MATCH('Facility Summary_All'!H119,'Processed Non-zero TRI Data'!$I:$I,0)),INDEX('Processed Non-zero DMR Data'!$L:$L,MATCH('Facility Summary_All'!I119,'Processed Non-zero DMR Data'!$I:$I,0)))*1</f>
        <v>221320</v>
      </c>
      <c r="K119" s="185" t="str">
        <f>INDEX('2017 - 2022 NAICS'!$D:$D, MATCH('Facility Summary_All'!J119,'2017 - 2022 NAICS'!$C:$C,0))</f>
        <v>Sewage Treatment Facilities</v>
      </c>
      <c r="L119" t="str">
        <f>IFERROR(VLOOKUP(J119,'NAICS Code to IS CDR Code'!A:C,2,FALSE), "NAICS/SIC Not Provided")</f>
        <v>IS4</v>
      </c>
      <c r="M119" t="str">
        <f>IFERROR(VLOOKUP(J119,'NAICS Code to IS CDR Code'!A:C,3,FALSE), "NAICS/SIC Not Provided")</f>
        <v>Utilities</v>
      </c>
      <c r="N119" t="str">
        <f>IF(COUNTIF('Facility Summary_Water'!$M$2:$M$98,I119)&gt;0,"Yes","No")</f>
        <v>No</v>
      </c>
    </row>
    <row r="120" spans="1:14" x14ac:dyDescent="0.25">
      <c r="A120" s="7" t="s">
        <v>358</v>
      </c>
      <c r="B120" s="26"/>
      <c r="C120" s="26" t="s">
        <v>359</v>
      </c>
      <c r="D120" s="7" t="s">
        <v>138</v>
      </c>
      <c r="F120">
        <f>IF(H120&lt;&gt;"", INDEX('Processed Non-zero TRI Data'!$G:$G, MATCH(H120, 'Processed Non-zero TRI Data'!$I:$I,0)), INDEX('Processed Non-zero DMR Data'!$F:$F, MATCH(I120,'Processed Non-zero DMR Data'!$I:$I, 0)))</f>
        <v>37.177222</v>
      </c>
      <c r="G120">
        <f>IF(H120&lt;&gt;"", INDEX('Processed Non-zero TRI Data'!$H:$H, MATCH(H120, 'Processed Non-zero TRI Data'!$I:$I,0)), INDEX('Processed Non-zero DMR Data'!$G:$G, MATCH(I120,'Processed Non-zero DMR Data'!$I:$I, 0)))</f>
        <v>-83.761388999999994</v>
      </c>
      <c r="H120" s="7"/>
      <c r="I120" s="183">
        <v>110009938808</v>
      </c>
      <c r="J120" s="1">
        <f>IF(H120&lt;&gt;"",INDEX('Processed Non-zero TRI Data'!$L:$L,MATCH('Facility Summary_All'!H120,'Processed Non-zero TRI Data'!$I:$I,0)),INDEX('Processed Non-zero DMR Data'!$L:$L,MATCH('Facility Summary_All'!I120,'Processed Non-zero DMR Data'!$I:$I,0)))*1</f>
        <v>221320</v>
      </c>
      <c r="K120" s="185" t="str">
        <f>INDEX('2017 - 2022 NAICS'!$D:$D, MATCH('Facility Summary_All'!J120,'2017 - 2022 NAICS'!$C:$C,0))</f>
        <v>Sewage Treatment Facilities</v>
      </c>
      <c r="L120" t="str">
        <f>IFERROR(VLOOKUP(J120,'NAICS Code to IS CDR Code'!A:C,2,FALSE), "NAICS/SIC Not Provided")</f>
        <v>IS4</v>
      </c>
      <c r="M120" t="str">
        <f>IFERROR(VLOOKUP(J120,'NAICS Code to IS CDR Code'!A:C,3,FALSE), "NAICS/SIC Not Provided")</f>
        <v>Utilities</v>
      </c>
      <c r="N120" t="str">
        <f>IF(COUNTIF('Facility Summary_Water'!$M$2:$M$98,I120)&gt;0,"Yes","No")</f>
        <v>No</v>
      </c>
    </row>
    <row r="121" spans="1:14" x14ac:dyDescent="0.25">
      <c r="A121" s="7" t="s">
        <v>360</v>
      </c>
      <c r="B121" s="26"/>
      <c r="C121" s="26" t="s">
        <v>361</v>
      </c>
      <c r="D121" s="7" t="s">
        <v>146</v>
      </c>
      <c r="F121">
        <f>IF(H121&lt;&gt;"", INDEX('Processed Non-zero TRI Data'!$G:$G, MATCH(H121, 'Processed Non-zero TRI Data'!$I:$I,0)), INDEX('Processed Non-zero DMR Data'!$F:$F, MATCH(I121,'Processed Non-zero DMR Data'!$I:$I, 0)))</f>
        <v>33.791108999999999</v>
      </c>
      <c r="G121">
        <f>IF(H121&lt;&gt;"", INDEX('Processed Non-zero TRI Data'!$H:$H, MATCH(H121, 'Processed Non-zero TRI Data'!$I:$I,0)), INDEX('Processed Non-zero DMR Data'!$G:$G, MATCH(I121,'Processed Non-zero DMR Data'!$I:$I, 0)))</f>
        <v>-118.244609</v>
      </c>
      <c r="H121" s="7"/>
      <c r="I121" s="183">
        <v>110028243791</v>
      </c>
      <c r="J121" s="1">
        <f>IF(H121&lt;&gt;"",INDEX('Processed Non-zero TRI Data'!$L:$L,MATCH('Facility Summary_All'!H121,'Processed Non-zero TRI Data'!$I:$I,0)),INDEX('Processed Non-zero DMR Data'!$L:$L,MATCH('Facility Summary_All'!I121,'Processed Non-zero DMR Data'!$I:$I,0)))*1</f>
        <v>424710</v>
      </c>
      <c r="K121" s="185" t="str">
        <f>INDEX('2017 - 2022 NAICS'!$D:$D, MATCH('Facility Summary_All'!J121,'2017 - 2022 NAICS'!$C:$C,0))</f>
        <v>Petroleum Bulk Stations and Terminals</v>
      </c>
      <c r="L121" t="str">
        <f>IFERROR(VLOOKUP(J121,'NAICS Code to IS CDR Code'!A:C,2,FALSE), "NAICS/SIC Not Provided")</f>
        <v>IS46</v>
      </c>
      <c r="M121" t="str">
        <f>IFERROR(VLOOKUP(J121,'NAICS Code to IS CDR Code'!A:C,3,FALSE), "NAICS/SIC Not Provided")</f>
        <v>Wholesale and Retail Trade</v>
      </c>
      <c r="N121" t="str">
        <f>IF(COUNTIF('Facility Summary_Water'!$M$2:$M$98,I121)&gt;0,"Yes","No")</f>
        <v>No</v>
      </c>
    </row>
    <row r="122" spans="1:14" x14ac:dyDescent="0.25">
      <c r="A122" s="7" t="s">
        <v>362</v>
      </c>
      <c r="B122" s="26"/>
      <c r="C122" s="26" t="s">
        <v>363</v>
      </c>
      <c r="D122" s="7" t="s">
        <v>364</v>
      </c>
      <c r="F122">
        <f>IF(H122&lt;&gt;"", INDEX('Processed Non-zero TRI Data'!$G:$G, MATCH(H122, 'Processed Non-zero TRI Data'!$I:$I,0)), INDEX('Processed Non-zero DMR Data'!$F:$F, MATCH(I122,'Processed Non-zero DMR Data'!$I:$I, 0)))</f>
        <v>38.987340000000003</v>
      </c>
      <c r="G122">
        <f>IF(H122&lt;&gt;"", INDEX('Processed Non-zero TRI Data'!$H:$H, MATCH(H122, 'Processed Non-zero TRI Data'!$I:$I,0)), INDEX('Processed Non-zero DMR Data'!$G:$G, MATCH(I122,'Processed Non-zero DMR Data'!$I:$I, 0)))</f>
        <v>-77.026660000000007</v>
      </c>
      <c r="H122" s="7"/>
      <c r="I122" s="183">
        <v>110037096674</v>
      </c>
      <c r="J122" s="1">
        <f>IF(H122&lt;&gt;"",INDEX('Processed Non-zero TRI Data'!$L:$L,MATCH('Facility Summary_All'!H122,'Processed Non-zero TRI Data'!$I:$I,0)),INDEX('Processed Non-zero DMR Data'!$L:$L,MATCH('Facility Summary_All'!I122,'Processed Non-zero DMR Data'!$I:$I,0)))*1</f>
        <v>236116</v>
      </c>
      <c r="K122" s="185" t="str">
        <f>INDEX('2017 - 2022 NAICS'!$D:$D, MATCH('Facility Summary_All'!J122,'2017 - 2022 NAICS'!$C:$C,0))</f>
        <v>New Multifamily Housing Construction (except For-Sale Builders)</v>
      </c>
      <c r="L122" t="str">
        <f>IFERROR(VLOOKUP(J122,'NAICS Code to IS CDR Code'!A:C,2,FALSE), "NAICS/SIC Not Provided")</f>
        <v>IS5</v>
      </c>
      <c r="M122" t="str">
        <f>IFERROR(VLOOKUP(J122,'NAICS Code to IS CDR Code'!A:C,3,FALSE), "NAICS/SIC Not Provided")</f>
        <v>Construction</v>
      </c>
      <c r="N122" t="str">
        <f>IF(COUNTIF('Facility Summary_Water'!$M$2:$M$98,I122)&gt;0,"Yes","No")</f>
        <v>No</v>
      </c>
    </row>
    <row r="123" spans="1:14" x14ac:dyDescent="0.25">
      <c r="A123" s="7" t="s">
        <v>365</v>
      </c>
      <c r="B123" s="26"/>
      <c r="C123" s="26" t="s">
        <v>366</v>
      </c>
      <c r="D123" s="7" t="s">
        <v>367</v>
      </c>
      <c r="F123">
        <f>IF(H123&lt;&gt;"", INDEX('Processed Non-zero TRI Data'!$G:$G, MATCH(H123, 'Processed Non-zero TRI Data'!$I:$I,0)), INDEX('Processed Non-zero DMR Data'!$F:$F, MATCH(I123,'Processed Non-zero DMR Data'!$I:$I, 0)))</f>
        <v>32.802</v>
      </c>
      <c r="G123">
        <f>IF(H123&lt;&gt;"", INDEX('Processed Non-zero TRI Data'!$H:$H, MATCH(H123, 'Processed Non-zero TRI Data'!$I:$I,0)), INDEX('Processed Non-zero DMR Data'!$G:$G, MATCH(I123,'Processed Non-zero DMR Data'!$I:$I, 0)))</f>
        <v>-109.711</v>
      </c>
      <c r="H123" s="7"/>
      <c r="I123" s="183">
        <v>110012330520</v>
      </c>
      <c r="J123" s="1" t="e">
        <f>IF(H123&lt;&gt;"",INDEX('Processed Non-zero TRI Data'!$L:$L,MATCH('Facility Summary_All'!H123,'Processed Non-zero TRI Data'!$I:$I,0)),INDEX('Processed Non-zero DMR Data'!$L:$L,MATCH('Facility Summary_All'!I123,'Processed Non-zero DMR Data'!$I:$I,0)))*1</f>
        <v>#N/A</v>
      </c>
      <c r="K123" s="185" t="e">
        <f>INDEX('2017 - 2022 NAICS'!$D:$D, MATCH('Facility Summary_All'!J123,'2017 - 2022 NAICS'!$C:$C,0))</f>
        <v>#N/A</v>
      </c>
      <c r="L123" t="str">
        <f>IFERROR(VLOOKUP(J123,'NAICS Code to IS CDR Code'!A:C,2,FALSE), "NAICS/SIC Not Provided")</f>
        <v>NAICS/SIC Not Provided</v>
      </c>
      <c r="M123" t="str">
        <f>IFERROR(VLOOKUP(J123,'NAICS Code to IS CDR Code'!A:C,3,FALSE), "NAICS/SIC Not Provided")</f>
        <v>NAICS/SIC Not Provided</v>
      </c>
      <c r="N123" t="str">
        <f>IF(COUNTIF('Facility Summary_Water'!$M$2:$M$98,I123)&gt;0,"Yes","No")</f>
        <v>No</v>
      </c>
    </row>
    <row r="124" spans="1:14" x14ac:dyDescent="0.25">
      <c r="A124" s="7" t="s">
        <v>368</v>
      </c>
      <c r="B124" s="26"/>
      <c r="C124" s="26" t="s">
        <v>369</v>
      </c>
      <c r="D124" s="7" t="s">
        <v>114</v>
      </c>
      <c r="F124">
        <f>IF(H124&lt;&gt;"", INDEX('Processed Non-zero TRI Data'!$G:$G, MATCH(H124, 'Processed Non-zero TRI Data'!$I:$I,0)), INDEX('Processed Non-zero DMR Data'!$F:$F, MATCH(I124,'Processed Non-zero DMR Data'!$I:$I, 0)))</f>
        <v>30.311361000000002</v>
      </c>
      <c r="G124">
        <f>IF(H124&lt;&gt;"", INDEX('Processed Non-zero TRI Data'!$H:$H, MATCH(H124, 'Processed Non-zero TRI Data'!$I:$I,0)), INDEX('Processed Non-zero DMR Data'!$G:$G, MATCH(I124,'Processed Non-zero DMR Data'!$I:$I, 0)))</f>
        <v>-95.387083000000004</v>
      </c>
      <c r="H124" s="7"/>
      <c r="I124" s="183">
        <v>110000748095</v>
      </c>
      <c r="J124" s="1">
        <f>IF(H124&lt;&gt;"",INDEX('Processed Non-zero TRI Data'!$L:$L,MATCH('Facility Summary_All'!H124,'Processed Non-zero TRI Data'!$I:$I,0)),INDEX('Processed Non-zero DMR Data'!$L:$L,MATCH('Facility Summary_All'!I124,'Processed Non-zero DMR Data'!$I:$I,0)))*1</f>
        <v>325110</v>
      </c>
      <c r="K124" s="185" t="str">
        <f>INDEX('2017 - 2022 NAICS'!$D:$D, MATCH('Facility Summary_All'!J124,'2017 - 2022 NAICS'!$C:$C,0))</f>
        <v>Petrochemical Manufacturing</v>
      </c>
      <c r="L124" t="str">
        <f>IFERROR(VLOOKUP(J124,'NAICS Code to IS CDR Code'!A:C,2,FALSE), "NAICS/SIC Not Provided")</f>
        <v>IS15</v>
      </c>
      <c r="M124" t="str">
        <f>IFERROR(VLOOKUP(J124,'NAICS Code to IS CDR Code'!A:C,3,FALSE), "NAICS/SIC Not Provided")</f>
        <v>Petrochemical Manufacturing</v>
      </c>
      <c r="N124" t="str">
        <f>IF(COUNTIF('Facility Summary_Water'!$M$2:$M$98,I124)&gt;0,"Yes","No")</f>
        <v>No</v>
      </c>
    </row>
    <row r="125" spans="1:14" x14ac:dyDescent="0.25">
      <c r="A125" s="7" t="s">
        <v>370</v>
      </c>
      <c r="B125" s="26"/>
      <c r="C125" s="26" t="s">
        <v>175</v>
      </c>
      <c r="D125" s="7" t="s">
        <v>106</v>
      </c>
      <c r="F125">
        <f>IF(H125&lt;&gt;"", INDEX('Processed Non-zero TRI Data'!$G:$G, MATCH(H125, 'Processed Non-zero TRI Data'!$I:$I,0)), INDEX('Processed Non-zero DMR Data'!$F:$F, MATCH(I125,'Processed Non-zero DMR Data'!$I:$I, 0)))</f>
        <v>30.321895000000001</v>
      </c>
      <c r="G125">
        <f>IF(H125&lt;&gt;"", INDEX('Processed Non-zero TRI Data'!$H:$H, MATCH(H125, 'Processed Non-zero TRI Data'!$I:$I,0)), INDEX('Processed Non-zero DMR Data'!$G:$G, MATCH(I125,'Processed Non-zero DMR Data'!$I:$I, 0)))</f>
        <v>-93.300735000000003</v>
      </c>
      <c r="H125" s="7"/>
      <c r="I125" s="183">
        <v>110000613685</v>
      </c>
      <c r="J125" s="1">
        <f>IF(H125&lt;&gt;"",INDEX('Processed Non-zero TRI Data'!$L:$L,MATCH('Facility Summary_All'!H125,'Processed Non-zero TRI Data'!$I:$I,0)),INDEX('Processed Non-zero DMR Data'!$L:$L,MATCH('Facility Summary_All'!I125,'Processed Non-zero DMR Data'!$I:$I,0)))*1</f>
        <v>562211</v>
      </c>
      <c r="K125" s="185" t="str">
        <f>INDEX('2017 - 2022 NAICS'!$D:$D, MATCH('Facility Summary_All'!J125,'2017 - 2022 NAICS'!$C:$C,0))</f>
        <v>Hazardous Waste Treatment and Disposal</v>
      </c>
      <c r="L125" t="str">
        <f>IFERROR(VLOOKUP(J125,'NAICS Code to IS CDR Code'!A:C,2,FALSE), "NAICS/SIC Not Provided")</f>
        <v>IS47</v>
      </c>
      <c r="M125" t="str">
        <f>IFERROR(VLOOKUP(J125,'NAICS Code to IS CDR Code'!A:C,3,FALSE), "NAICS/SIC Not Provided")</f>
        <v>Services</v>
      </c>
      <c r="N125" t="str">
        <f>IF(COUNTIF('Facility Summary_Water'!$M$2:$M$98,I125)&gt;0,"Yes","No")</f>
        <v>No</v>
      </c>
    </row>
    <row r="126" spans="1:14" x14ac:dyDescent="0.25">
      <c r="A126" s="7" t="s">
        <v>371</v>
      </c>
      <c r="B126" s="26"/>
      <c r="C126" s="26" t="s">
        <v>372</v>
      </c>
      <c r="D126" s="7" t="s">
        <v>114</v>
      </c>
      <c r="F126">
        <f>IF(H126&lt;&gt;"", INDEX('Processed Non-zero TRI Data'!$G:$G, MATCH(H126, 'Processed Non-zero TRI Data'!$I:$I,0)), INDEX('Processed Non-zero DMR Data'!$F:$F, MATCH(I126,'Processed Non-zero DMR Data'!$I:$I, 0)))</f>
        <v>29.726493000000001</v>
      </c>
      <c r="G126">
        <f>IF(H126&lt;&gt;"", INDEX('Processed Non-zero TRI Data'!$H:$H, MATCH(H126, 'Processed Non-zero TRI Data'!$I:$I,0)), INDEX('Processed Non-zero DMR Data'!$G:$G, MATCH(I126,'Processed Non-zero DMR Data'!$I:$I, 0)))</f>
        <v>-95.089771999999996</v>
      </c>
      <c r="H126" s="7"/>
      <c r="I126" s="183">
        <v>110045651344</v>
      </c>
      <c r="J126" s="1">
        <f>IF(H126&lt;&gt;"",INDEX('Processed Non-zero TRI Data'!$L:$L,MATCH('Facility Summary_All'!H126,'Processed Non-zero TRI Data'!$I:$I,0)),INDEX('Processed Non-zero DMR Data'!$L:$L,MATCH('Facility Summary_All'!I126,'Processed Non-zero DMR Data'!$I:$I,0)))*1</f>
        <v>325211</v>
      </c>
      <c r="K126" s="185" t="str">
        <f>INDEX('2017 - 2022 NAICS'!$D:$D, MATCH('Facility Summary_All'!J126,'2017 - 2022 NAICS'!$C:$C,0))</f>
        <v>Plastics Material and Resin Manufacturing</v>
      </c>
      <c r="L126" t="str">
        <f>IFERROR(VLOOKUP(J126,'NAICS Code to IS CDR Code'!A:C,2,FALSE), "NAICS/SIC Not Provided")</f>
        <v>IS22</v>
      </c>
      <c r="M126" t="str">
        <f>IFERROR(VLOOKUP(J126,'NAICS Code to IS CDR Code'!A:C,3,FALSE), "NAICS/SIC Not Provided")</f>
        <v>Plastic Material and Resin Manufacturing</v>
      </c>
      <c r="N126" t="str">
        <f>IF(COUNTIF('Facility Summary_Water'!$M$2:$M$98,I126)&gt;0,"Yes","No")</f>
        <v>No</v>
      </c>
    </row>
    <row r="127" spans="1:14" x14ac:dyDescent="0.25">
      <c r="A127" s="7" t="s">
        <v>373</v>
      </c>
      <c r="B127" s="26"/>
      <c r="C127" s="26" t="s">
        <v>374</v>
      </c>
      <c r="D127" s="7" t="s">
        <v>138</v>
      </c>
      <c r="F127">
        <f>IF(H127&lt;&gt;"", INDEX('Processed Non-zero TRI Data'!$G:$G, MATCH(H127, 'Processed Non-zero TRI Data'!$I:$I,0)), INDEX('Processed Non-zero DMR Data'!$F:$F, MATCH(I127,'Processed Non-zero DMR Data'!$I:$I, 0)))</f>
        <v>37.700833000000003</v>
      </c>
      <c r="G127">
        <f>IF(H127&lt;&gt;"", INDEX('Processed Non-zero TRI Data'!$H:$H, MATCH(H127, 'Processed Non-zero TRI Data'!$I:$I,0)), INDEX('Processed Non-zero DMR Data'!$G:$G, MATCH(I127,'Processed Non-zero DMR Data'!$I:$I, 0)))</f>
        <v>-83.984443999999996</v>
      </c>
      <c r="H127" s="7"/>
      <c r="I127" s="183">
        <v>110006749162</v>
      </c>
      <c r="J127" s="1">
        <f>IF(H127&lt;&gt;"",INDEX('Processed Non-zero TRI Data'!$L:$L,MATCH('Facility Summary_All'!H127,'Processed Non-zero TRI Data'!$I:$I,0)),INDEX('Processed Non-zero DMR Data'!$L:$L,MATCH('Facility Summary_All'!I127,'Processed Non-zero DMR Data'!$I:$I,0)))*1</f>
        <v>541330</v>
      </c>
      <c r="K127" s="185" t="str">
        <f>INDEX('2017 - 2022 NAICS'!$D:$D, MATCH('Facility Summary_All'!J127,'2017 - 2022 NAICS'!$C:$C,0))</f>
        <v>Engineering Services</v>
      </c>
      <c r="L127" t="str">
        <f>IFERROR(VLOOKUP(J127,'NAICS Code to IS CDR Code'!A:C,2,FALSE), "NAICS/SIC Not Provided")</f>
        <v>IS47</v>
      </c>
      <c r="M127" t="str">
        <f>IFERROR(VLOOKUP(J127,'NAICS Code to IS CDR Code'!A:C,3,FALSE), "NAICS/SIC Not Provided")</f>
        <v>Services</v>
      </c>
      <c r="N127" t="str">
        <f>IF(COUNTIF('Facility Summary_Water'!$M$2:$M$98,I127)&gt;0,"Yes","No")</f>
        <v>No</v>
      </c>
    </row>
    <row r="128" spans="1:14" x14ac:dyDescent="0.25">
      <c r="A128" s="7" t="s">
        <v>375</v>
      </c>
      <c r="B128" s="26"/>
      <c r="C128" s="26" t="s">
        <v>376</v>
      </c>
      <c r="D128" s="7" t="s">
        <v>138</v>
      </c>
      <c r="F128">
        <f>IF(H128&lt;&gt;"", INDEX('Processed Non-zero TRI Data'!$G:$G, MATCH(H128, 'Processed Non-zero TRI Data'!$I:$I,0)), INDEX('Processed Non-zero DMR Data'!$F:$F, MATCH(I128,'Processed Non-zero DMR Data'!$I:$I, 0)))</f>
        <v>37.349167000000001</v>
      </c>
      <c r="G128">
        <f>IF(H128&lt;&gt;"", INDEX('Processed Non-zero TRI Data'!$H:$H, MATCH(H128, 'Processed Non-zero TRI Data'!$I:$I,0)), INDEX('Processed Non-zero DMR Data'!$G:$G, MATCH(I128,'Processed Non-zero DMR Data'!$I:$I, 0)))</f>
        <v>-85.379444000000007</v>
      </c>
      <c r="H128" s="7"/>
      <c r="I128" s="183">
        <v>110000736776</v>
      </c>
      <c r="J128" s="1">
        <f>IF(H128&lt;&gt;"",INDEX('Processed Non-zero TRI Data'!$L:$L,MATCH('Facility Summary_All'!H128,'Processed Non-zero TRI Data'!$I:$I,0)),INDEX('Processed Non-zero DMR Data'!$L:$L,MATCH('Facility Summary_All'!I128,'Processed Non-zero DMR Data'!$I:$I,0)))*1</f>
        <v>221320</v>
      </c>
      <c r="K128" s="185" t="str">
        <f>INDEX('2017 - 2022 NAICS'!$D:$D, MATCH('Facility Summary_All'!J128,'2017 - 2022 NAICS'!$C:$C,0))</f>
        <v>Sewage Treatment Facilities</v>
      </c>
      <c r="L128" t="str">
        <f>IFERROR(VLOOKUP(J128,'NAICS Code to IS CDR Code'!A:C,2,FALSE), "NAICS/SIC Not Provided")</f>
        <v>IS4</v>
      </c>
      <c r="M128" t="str">
        <f>IFERROR(VLOOKUP(J128,'NAICS Code to IS CDR Code'!A:C,3,FALSE), "NAICS/SIC Not Provided")</f>
        <v>Utilities</v>
      </c>
      <c r="N128" t="str">
        <f>IF(COUNTIF('Facility Summary_Water'!$M$2:$M$98,I128)&gt;0,"Yes","No")</f>
        <v>No</v>
      </c>
    </row>
    <row r="129" spans="1:14" x14ac:dyDescent="0.25">
      <c r="A129" s="7" t="s">
        <v>377</v>
      </c>
      <c r="B129" s="26"/>
      <c r="C129" s="26" t="s">
        <v>378</v>
      </c>
      <c r="D129" s="7" t="s">
        <v>114</v>
      </c>
      <c r="F129">
        <f>IF(H129&lt;&gt;"", INDEX('Processed Non-zero TRI Data'!$G:$G, MATCH(H129, 'Processed Non-zero TRI Data'!$I:$I,0)), INDEX('Processed Non-zero DMR Data'!$F:$F, MATCH(I129,'Processed Non-zero DMR Data'!$I:$I, 0)))</f>
        <v>29.458400000000001</v>
      </c>
      <c r="G129">
        <f>IF(H129&lt;&gt;"", INDEX('Processed Non-zero TRI Data'!$H:$H, MATCH(H129, 'Processed Non-zero TRI Data'!$I:$I,0)), INDEX('Processed Non-zero DMR Data'!$G:$G, MATCH(I129,'Processed Non-zero DMR Data'!$I:$I, 0)))</f>
        <v>-95.330399999999997</v>
      </c>
      <c r="H129" s="7"/>
      <c r="I129" s="183">
        <v>110000599479</v>
      </c>
      <c r="J129" s="1">
        <f>IF(H129&lt;&gt;"",INDEX('Processed Non-zero TRI Data'!$L:$L,MATCH('Facility Summary_All'!H129,'Processed Non-zero TRI Data'!$I:$I,0)),INDEX('Processed Non-zero DMR Data'!$L:$L,MATCH('Facility Summary_All'!I129,'Processed Non-zero DMR Data'!$I:$I,0)))*1</f>
        <v>325110</v>
      </c>
      <c r="K129" s="185" t="str">
        <f>INDEX('2017 - 2022 NAICS'!$D:$D, MATCH('Facility Summary_All'!J129,'2017 - 2022 NAICS'!$C:$C,0))</f>
        <v>Petrochemical Manufacturing</v>
      </c>
      <c r="L129" t="str">
        <f>IFERROR(VLOOKUP(J129,'NAICS Code to IS CDR Code'!A:C,2,FALSE), "NAICS/SIC Not Provided")</f>
        <v>IS15</v>
      </c>
      <c r="M129" t="str">
        <f>IFERROR(VLOOKUP(J129,'NAICS Code to IS CDR Code'!A:C,3,FALSE), "NAICS/SIC Not Provided")</f>
        <v>Petrochemical Manufacturing</v>
      </c>
      <c r="N129" t="str">
        <f>IF(COUNTIF('Facility Summary_Water'!$M$2:$M$98,I129)&gt;0,"Yes","No")</f>
        <v>No</v>
      </c>
    </row>
    <row r="130" spans="1:14" x14ac:dyDescent="0.25">
      <c r="A130" s="7" t="s">
        <v>379</v>
      </c>
      <c r="B130" s="26"/>
      <c r="C130" s="26" t="s">
        <v>380</v>
      </c>
      <c r="D130" s="7" t="s">
        <v>367</v>
      </c>
      <c r="F130">
        <f>IF(H130&lt;&gt;"", INDEX('Processed Non-zero TRI Data'!$G:$G, MATCH(H130, 'Processed Non-zero TRI Data'!$I:$I,0)), INDEX('Processed Non-zero DMR Data'!$F:$F, MATCH(I130,'Processed Non-zero DMR Data'!$I:$I, 0)))</f>
        <v>35.639485000000001</v>
      </c>
      <c r="G130">
        <f>IF(H130&lt;&gt;"", INDEX('Processed Non-zero TRI Data'!$H:$H, MATCH(H130, 'Processed Non-zero TRI Data'!$I:$I,0)), INDEX('Processed Non-zero DMR Data'!$G:$G, MATCH(I130,'Processed Non-zero DMR Data'!$I:$I, 0)))</f>
        <v>-109.080939</v>
      </c>
      <c r="H130" s="7"/>
      <c r="I130" s="183">
        <v>110024409433</v>
      </c>
      <c r="J130" s="1">
        <f>IF(H130&lt;&gt;"",INDEX('Processed Non-zero TRI Data'!$L:$L,MATCH('Facility Summary_All'!H130,'Processed Non-zero TRI Data'!$I:$I,0)),INDEX('Processed Non-zero DMR Data'!$L:$L,MATCH('Facility Summary_All'!I130,'Processed Non-zero DMR Data'!$I:$I,0)))*1</f>
        <v>221320</v>
      </c>
      <c r="K130" s="185" t="str">
        <f>INDEX('2017 - 2022 NAICS'!$D:$D, MATCH('Facility Summary_All'!J130,'2017 - 2022 NAICS'!$C:$C,0))</f>
        <v>Sewage Treatment Facilities</v>
      </c>
      <c r="L130" t="str">
        <f>IFERROR(VLOOKUP(J130,'NAICS Code to IS CDR Code'!A:C,2,FALSE), "NAICS/SIC Not Provided")</f>
        <v>IS4</v>
      </c>
      <c r="M130" t="str">
        <f>IFERROR(VLOOKUP(J130,'NAICS Code to IS CDR Code'!A:C,3,FALSE), "NAICS/SIC Not Provided")</f>
        <v>Utilities</v>
      </c>
      <c r="N130" t="str">
        <f>IF(COUNTIF('Facility Summary_Water'!$M$2:$M$98,I130)&gt;0,"Yes","No")</f>
        <v>No</v>
      </c>
    </row>
    <row r="131" spans="1:14" x14ac:dyDescent="0.25">
      <c r="A131" s="7" t="s">
        <v>381</v>
      </c>
      <c r="B131" s="26"/>
      <c r="C131" s="26" t="s">
        <v>382</v>
      </c>
      <c r="D131" s="7" t="s">
        <v>138</v>
      </c>
      <c r="F131">
        <f>IF(H131&lt;&gt;"", INDEX('Processed Non-zero TRI Data'!$G:$G, MATCH(H131, 'Processed Non-zero TRI Data'!$I:$I,0)), INDEX('Processed Non-zero DMR Data'!$F:$F, MATCH(I131,'Processed Non-zero DMR Data'!$I:$I, 0)))</f>
        <v>38.391995999999999</v>
      </c>
      <c r="G131">
        <f>IF(H131&lt;&gt;"", INDEX('Processed Non-zero TRI Data'!$H:$H, MATCH(H131, 'Processed Non-zero TRI Data'!$I:$I,0)), INDEX('Processed Non-zero DMR Data'!$G:$G, MATCH(I131,'Processed Non-zero DMR Data'!$I:$I, 0)))</f>
        <v>-85.416021999999998</v>
      </c>
      <c r="H131" s="7"/>
      <c r="I131" s="183">
        <v>110002108059</v>
      </c>
      <c r="J131" s="1">
        <f>IF(H131&lt;&gt;"",INDEX('Processed Non-zero TRI Data'!$L:$L,MATCH('Facility Summary_All'!H131,'Processed Non-zero TRI Data'!$I:$I,0)),INDEX('Processed Non-zero DMR Data'!$L:$L,MATCH('Facility Summary_All'!I131,'Processed Non-zero DMR Data'!$I:$I,0)))*1</f>
        <v>922140</v>
      </c>
      <c r="K131" s="185" t="str">
        <f>INDEX('2017 - 2022 NAICS'!$D:$D, MATCH('Facility Summary_All'!J131,'2017 - 2022 NAICS'!$C:$C,0))</f>
        <v>Correctional Institutions</v>
      </c>
      <c r="L131" t="str">
        <f>IFERROR(VLOOKUP(J131,'NAICS Code to IS CDR Code'!A:C,2,FALSE), "NAICS/SIC Not Provided")</f>
        <v>IS47</v>
      </c>
      <c r="M131" t="str">
        <f>IFERROR(VLOOKUP(J131,'NAICS Code to IS CDR Code'!A:C,3,FALSE), "NAICS/SIC Not Provided")</f>
        <v>Services</v>
      </c>
      <c r="N131" t="str">
        <f>IF(COUNTIF('Facility Summary_Water'!$M$2:$M$98,I131)&gt;0,"Yes","No")</f>
        <v>No</v>
      </c>
    </row>
    <row r="132" spans="1:14" x14ac:dyDescent="0.25">
      <c r="A132" s="7" t="s">
        <v>383</v>
      </c>
      <c r="B132" s="26"/>
      <c r="C132" s="26" t="s">
        <v>384</v>
      </c>
      <c r="D132" s="7" t="s">
        <v>138</v>
      </c>
      <c r="F132">
        <f>IF(H132&lt;&gt;"", INDEX('Processed Non-zero TRI Data'!$G:$G, MATCH(H132, 'Processed Non-zero TRI Data'!$I:$I,0)), INDEX('Processed Non-zero DMR Data'!$F:$F, MATCH(I132,'Processed Non-zero DMR Data'!$I:$I, 0)))</f>
        <v>39.058610999999999</v>
      </c>
      <c r="G132">
        <f>IF(H132&lt;&gt;"", INDEX('Processed Non-zero TRI Data'!$H:$H, MATCH(H132, 'Processed Non-zero TRI Data'!$I:$I,0)), INDEX('Processed Non-zero DMR Data'!$G:$G, MATCH(I132,'Processed Non-zero DMR Data'!$I:$I, 0)))</f>
        <v>-84.618055999999996</v>
      </c>
      <c r="H132" s="7"/>
      <c r="I132" s="183">
        <v>110039639736</v>
      </c>
      <c r="J132" s="1">
        <f>IF(H132&lt;&gt;"",INDEX('Processed Non-zero TRI Data'!$L:$L,MATCH('Facility Summary_All'!H132,'Processed Non-zero TRI Data'!$I:$I,0)),INDEX('Processed Non-zero DMR Data'!$L:$L,MATCH('Facility Summary_All'!I132,'Processed Non-zero DMR Data'!$I:$I,0)))*1</f>
        <v>221320</v>
      </c>
      <c r="K132" s="185" t="str">
        <f>INDEX('2017 - 2022 NAICS'!$D:$D, MATCH('Facility Summary_All'!J132,'2017 - 2022 NAICS'!$C:$C,0))</f>
        <v>Sewage Treatment Facilities</v>
      </c>
      <c r="L132" t="str">
        <f>IFERROR(VLOOKUP(J132,'NAICS Code to IS CDR Code'!A:C,2,FALSE), "NAICS/SIC Not Provided")</f>
        <v>IS4</v>
      </c>
      <c r="M132" t="str">
        <f>IFERROR(VLOOKUP(J132,'NAICS Code to IS CDR Code'!A:C,3,FALSE), "NAICS/SIC Not Provided")</f>
        <v>Utilities</v>
      </c>
      <c r="N132" t="str">
        <f>IF(COUNTIF('Facility Summary_Water'!$M$2:$M$98,I132)&gt;0,"Yes","No")</f>
        <v>No</v>
      </c>
    </row>
    <row r="133" spans="1:14" x14ac:dyDescent="0.25">
      <c r="A133" s="7" t="s">
        <v>385</v>
      </c>
      <c r="B133" s="26"/>
      <c r="C133" s="26" t="s">
        <v>386</v>
      </c>
      <c r="D133" s="7" t="s">
        <v>146</v>
      </c>
      <c r="F133">
        <f>IF(H133&lt;&gt;"", INDEX('Processed Non-zero TRI Data'!$G:$G, MATCH(H133, 'Processed Non-zero TRI Data'!$I:$I,0)), INDEX('Processed Non-zero DMR Data'!$F:$F, MATCH(I133,'Processed Non-zero DMR Data'!$I:$I, 0)))</f>
        <v>39.259749999999997</v>
      </c>
      <c r="G133">
        <f>IF(H133&lt;&gt;"", INDEX('Processed Non-zero TRI Data'!$H:$H, MATCH(H133, 'Processed Non-zero TRI Data'!$I:$I,0)), INDEX('Processed Non-zero DMR Data'!$G:$G, MATCH(I133,'Processed Non-zero DMR Data'!$I:$I, 0)))</f>
        <v>-121.03075</v>
      </c>
      <c r="H133" s="7"/>
      <c r="I133" s="183">
        <v>110000519920</v>
      </c>
      <c r="J133" s="1">
        <f>IF(H133&lt;&gt;"",INDEX('Processed Non-zero TRI Data'!$L:$L,MATCH('Facility Summary_All'!H133,'Processed Non-zero TRI Data'!$I:$I,0)),INDEX('Processed Non-zero DMR Data'!$L:$L,MATCH('Facility Summary_All'!I133,'Processed Non-zero DMR Data'!$I:$I,0)))*1</f>
        <v>221320</v>
      </c>
      <c r="K133" s="185" t="str">
        <f>INDEX('2017 - 2022 NAICS'!$D:$D, MATCH('Facility Summary_All'!J133,'2017 - 2022 NAICS'!$C:$C,0))</f>
        <v>Sewage Treatment Facilities</v>
      </c>
      <c r="L133" t="str">
        <f>IFERROR(VLOOKUP(J133,'NAICS Code to IS CDR Code'!A:C,2,FALSE), "NAICS/SIC Not Provided")</f>
        <v>IS4</v>
      </c>
      <c r="M133" t="str">
        <f>IFERROR(VLOOKUP(J133,'NAICS Code to IS CDR Code'!A:C,3,FALSE), "NAICS/SIC Not Provided")</f>
        <v>Utilities</v>
      </c>
      <c r="N133" t="str">
        <f>IF(COUNTIF('Facility Summary_Water'!$M$2:$M$98,I133)&gt;0,"Yes","No")</f>
        <v>No</v>
      </c>
    </row>
    <row r="134" spans="1:14" x14ac:dyDescent="0.25">
      <c r="A134" s="7" t="s">
        <v>387</v>
      </c>
      <c r="B134" s="26"/>
      <c r="C134" s="26" t="s">
        <v>388</v>
      </c>
      <c r="D134" s="7" t="s">
        <v>138</v>
      </c>
      <c r="F134">
        <f>IF(H134&lt;&gt;"", INDEX('Processed Non-zero TRI Data'!$G:$G, MATCH(H134, 'Processed Non-zero TRI Data'!$I:$I,0)), INDEX('Processed Non-zero DMR Data'!$F:$F, MATCH(I134,'Processed Non-zero DMR Data'!$I:$I, 0)))</f>
        <v>37.021974</v>
      </c>
      <c r="G134">
        <f>IF(H134&lt;&gt;"", INDEX('Processed Non-zero TRI Data'!$H:$H, MATCH(H134, 'Processed Non-zero TRI Data'!$I:$I,0)), INDEX('Processed Non-zero DMR Data'!$G:$G, MATCH(I134,'Processed Non-zero DMR Data'!$I:$I, 0)))</f>
        <v>-88.512833000000001</v>
      </c>
      <c r="H134" s="7"/>
      <c r="I134" s="183">
        <v>110006367136</v>
      </c>
      <c r="J134" s="1">
        <f>IF(H134&lt;&gt;"",INDEX('Processed Non-zero TRI Data'!$L:$L,MATCH('Facility Summary_All'!H134,'Processed Non-zero TRI Data'!$I:$I,0)),INDEX('Processed Non-zero DMR Data'!$L:$L,MATCH('Facility Summary_All'!I134,'Processed Non-zero DMR Data'!$I:$I,0)))*1</f>
        <v>221320</v>
      </c>
      <c r="K134" s="185" t="str">
        <f>INDEX('2017 - 2022 NAICS'!$D:$D, MATCH('Facility Summary_All'!J134,'2017 - 2022 NAICS'!$C:$C,0))</f>
        <v>Sewage Treatment Facilities</v>
      </c>
      <c r="L134" t="str">
        <f>IFERROR(VLOOKUP(J134,'NAICS Code to IS CDR Code'!A:C,2,FALSE), "NAICS/SIC Not Provided")</f>
        <v>IS4</v>
      </c>
      <c r="M134" t="str">
        <f>IFERROR(VLOOKUP(J134,'NAICS Code to IS CDR Code'!A:C,3,FALSE), "NAICS/SIC Not Provided")</f>
        <v>Utilities</v>
      </c>
      <c r="N134" t="str">
        <f>IF(COUNTIF('Facility Summary_Water'!$M$2:$M$98,I134)&gt;0,"Yes","No")</f>
        <v>No</v>
      </c>
    </row>
    <row r="135" spans="1:14" x14ac:dyDescent="0.25">
      <c r="A135" s="7" t="s">
        <v>389</v>
      </c>
      <c r="B135" s="26"/>
      <c r="C135" s="26" t="s">
        <v>390</v>
      </c>
      <c r="D135" s="7" t="s">
        <v>138</v>
      </c>
      <c r="F135">
        <f>IF(H135&lt;&gt;"", INDEX('Processed Non-zero TRI Data'!$G:$G, MATCH(H135, 'Processed Non-zero TRI Data'!$I:$I,0)), INDEX('Processed Non-zero DMR Data'!$F:$F, MATCH(I135,'Processed Non-zero DMR Data'!$I:$I, 0)))</f>
        <v>38.127222000000003</v>
      </c>
      <c r="G135">
        <f>IF(H135&lt;&gt;"", INDEX('Processed Non-zero TRI Data'!$H:$H, MATCH(H135, 'Processed Non-zero TRI Data'!$I:$I,0)), INDEX('Processed Non-zero DMR Data'!$G:$G, MATCH(I135,'Processed Non-zero DMR Data'!$I:$I, 0)))</f>
        <v>-83.769443999999993</v>
      </c>
      <c r="H135" s="7"/>
      <c r="I135" s="183">
        <v>110030443544</v>
      </c>
      <c r="J135" s="1">
        <f>IF(H135&lt;&gt;"",INDEX('Processed Non-zero TRI Data'!$L:$L,MATCH('Facility Summary_All'!H135,'Processed Non-zero TRI Data'!$I:$I,0)),INDEX('Processed Non-zero DMR Data'!$L:$L,MATCH('Facility Summary_All'!I135,'Processed Non-zero DMR Data'!$I:$I,0)))*1</f>
        <v>221320</v>
      </c>
      <c r="K135" s="185" t="str">
        <f>INDEX('2017 - 2022 NAICS'!$D:$D, MATCH('Facility Summary_All'!J135,'2017 - 2022 NAICS'!$C:$C,0))</f>
        <v>Sewage Treatment Facilities</v>
      </c>
      <c r="L135" t="str">
        <f>IFERROR(VLOOKUP(J135,'NAICS Code to IS CDR Code'!A:C,2,FALSE), "NAICS/SIC Not Provided")</f>
        <v>IS4</v>
      </c>
      <c r="M135" t="str">
        <f>IFERROR(VLOOKUP(J135,'NAICS Code to IS CDR Code'!A:C,3,FALSE), "NAICS/SIC Not Provided")</f>
        <v>Utilities</v>
      </c>
      <c r="N135" t="str">
        <f>IF(COUNTIF('Facility Summary_Water'!$M$2:$M$98,I135)&gt;0,"Yes","No")</f>
        <v>No</v>
      </c>
    </row>
    <row r="136" spans="1:14" x14ac:dyDescent="0.25">
      <c r="A136" s="7" t="s">
        <v>391</v>
      </c>
      <c r="B136" s="26"/>
      <c r="C136" s="26" t="s">
        <v>392</v>
      </c>
      <c r="D136" s="7" t="s">
        <v>138</v>
      </c>
      <c r="F136">
        <f>IF(H136&lt;&gt;"", INDEX('Processed Non-zero TRI Data'!$G:$G, MATCH(H136, 'Processed Non-zero TRI Data'!$I:$I,0)), INDEX('Processed Non-zero DMR Data'!$F:$F, MATCH(I136,'Processed Non-zero DMR Data'!$I:$I, 0)))</f>
        <v>38.057777999999999</v>
      </c>
      <c r="G136">
        <f>IF(H136&lt;&gt;"", INDEX('Processed Non-zero TRI Data'!$H:$H, MATCH(H136, 'Processed Non-zero TRI Data'!$I:$I,0)), INDEX('Processed Non-zero DMR Data'!$G:$G, MATCH(I136,'Processed Non-zero DMR Data'!$I:$I, 0)))</f>
        <v>-84.743888999999996</v>
      </c>
      <c r="H136" s="7"/>
      <c r="I136" s="183">
        <v>110000732226</v>
      </c>
      <c r="J136" s="1">
        <f>IF(H136&lt;&gt;"",INDEX('Processed Non-zero TRI Data'!$L:$L,MATCH('Facility Summary_All'!H136,'Processed Non-zero TRI Data'!$I:$I,0)),INDEX('Processed Non-zero DMR Data'!$L:$L,MATCH('Facility Summary_All'!I136,'Processed Non-zero DMR Data'!$I:$I,0)))*1</f>
        <v>221320</v>
      </c>
      <c r="K136" s="185" t="str">
        <f>INDEX('2017 - 2022 NAICS'!$D:$D, MATCH('Facility Summary_All'!J136,'2017 - 2022 NAICS'!$C:$C,0))</f>
        <v>Sewage Treatment Facilities</v>
      </c>
      <c r="L136" t="str">
        <f>IFERROR(VLOOKUP(J136,'NAICS Code to IS CDR Code'!A:C,2,FALSE), "NAICS/SIC Not Provided")</f>
        <v>IS4</v>
      </c>
      <c r="M136" t="str">
        <f>IFERROR(VLOOKUP(J136,'NAICS Code to IS CDR Code'!A:C,3,FALSE), "NAICS/SIC Not Provided")</f>
        <v>Utilities</v>
      </c>
      <c r="N136" t="str">
        <f>IF(COUNTIF('Facility Summary_Water'!$M$2:$M$98,I136)&gt;0,"Yes","No")</f>
        <v>No</v>
      </c>
    </row>
    <row r="137" spans="1:14" x14ac:dyDescent="0.25">
      <c r="A137" s="7" t="s">
        <v>393</v>
      </c>
      <c r="B137" s="26"/>
      <c r="C137" s="26" t="s">
        <v>394</v>
      </c>
      <c r="D137" s="7" t="s">
        <v>146</v>
      </c>
      <c r="F137">
        <f>IF(H137&lt;&gt;"", INDEX('Processed Non-zero TRI Data'!$G:$G, MATCH(H137, 'Processed Non-zero TRI Data'!$I:$I,0)), INDEX('Processed Non-zero DMR Data'!$F:$F, MATCH(I137,'Processed Non-zero DMR Data'!$I:$I, 0)))</f>
        <v>38.627777999999999</v>
      </c>
      <c r="G137">
        <f>IF(H137&lt;&gt;"", INDEX('Processed Non-zero TRI Data'!$H:$H, MATCH(H137, 'Processed Non-zero TRI Data'!$I:$I,0)), INDEX('Processed Non-zero DMR Data'!$G:$G, MATCH(I137,'Processed Non-zero DMR Data'!$I:$I, 0)))</f>
        <v>-120.984167</v>
      </c>
      <c r="H137" s="7"/>
      <c r="I137" s="183">
        <v>110070619860</v>
      </c>
      <c r="J137" s="1">
        <f>IF(H137&lt;&gt;"",INDEX('Processed Non-zero TRI Data'!$L:$L,MATCH('Facility Summary_All'!H137,'Processed Non-zero TRI Data'!$I:$I,0)),INDEX('Processed Non-zero DMR Data'!$L:$L,MATCH('Facility Summary_All'!I137,'Processed Non-zero DMR Data'!$I:$I,0)))*1</f>
        <v>221320</v>
      </c>
      <c r="K137" s="185" t="str">
        <f>INDEX('2017 - 2022 NAICS'!$D:$D, MATCH('Facility Summary_All'!J137,'2017 - 2022 NAICS'!$C:$C,0))</f>
        <v>Sewage Treatment Facilities</v>
      </c>
      <c r="L137" t="str">
        <f>IFERROR(VLOOKUP(J137,'NAICS Code to IS CDR Code'!A:C,2,FALSE), "NAICS/SIC Not Provided")</f>
        <v>IS4</v>
      </c>
      <c r="M137" t="str">
        <f>IFERROR(VLOOKUP(J137,'NAICS Code to IS CDR Code'!A:C,3,FALSE), "NAICS/SIC Not Provided")</f>
        <v>Utilities</v>
      </c>
      <c r="N137" t="str">
        <f>IF(COUNTIF('Facility Summary_Water'!$M$2:$M$98,I137)&gt;0,"Yes","No")</f>
        <v>No</v>
      </c>
    </row>
    <row r="138" spans="1:14" ht="30" x14ac:dyDescent="0.25">
      <c r="A138" s="7" t="s">
        <v>395</v>
      </c>
      <c r="B138" s="26"/>
      <c r="C138" s="26" t="s">
        <v>396</v>
      </c>
      <c r="D138" s="7" t="s">
        <v>186</v>
      </c>
      <c r="F138">
        <f>IF(H138&lt;&gt;"", INDEX('Processed Non-zero TRI Data'!$G:$G, MATCH(H138, 'Processed Non-zero TRI Data'!$I:$I,0)), INDEX('Processed Non-zero DMR Data'!$F:$F, MATCH(I138,'Processed Non-zero DMR Data'!$I:$I, 0)))</f>
        <v>21.438638999999998</v>
      </c>
      <c r="G138">
        <f>IF(H138&lt;&gt;"", INDEX('Processed Non-zero TRI Data'!$H:$H, MATCH(H138, 'Processed Non-zero TRI Data'!$I:$I,0)), INDEX('Processed Non-zero DMR Data'!$G:$G, MATCH(I138,'Processed Non-zero DMR Data'!$I:$I, 0)))</f>
        <v>-157.75847200000001</v>
      </c>
      <c r="H138" s="7"/>
      <c r="I138" s="183">
        <v>110041973460</v>
      </c>
      <c r="J138" s="1">
        <f>IF(H138&lt;&gt;"",INDEX('Processed Non-zero TRI Data'!$L:$L,MATCH('Facility Summary_All'!H138,'Processed Non-zero TRI Data'!$I:$I,0)),INDEX('Processed Non-zero DMR Data'!$L:$L,MATCH('Facility Summary_All'!I138,'Processed Non-zero DMR Data'!$I:$I,0)))*1</f>
        <v>221320</v>
      </c>
      <c r="K138" s="185" t="str">
        <f>INDEX('2017 - 2022 NAICS'!$D:$D, MATCH('Facility Summary_All'!J138,'2017 - 2022 NAICS'!$C:$C,0))</f>
        <v>Sewage Treatment Facilities</v>
      </c>
      <c r="L138" t="str">
        <f>IFERROR(VLOOKUP(J138,'NAICS Code to IS CDR Code'!A:C,2,FALSE), "NAICS/SIC Not Provided")</f>
        <v>IS4</v>
      </c>
      <c r="M138" t="str">
        <f>IFERROR(VLOOKUP(J138,'NAICS Code to IS CDR Code'!A:C,3,FALSE), "NAICS/SIC Not Provided")</f>
        <v>Utilities</v>
      </c>
      <c r="N138" t="str">
        <f>IF(COUNTIF('Facility Summary_Water'!$M$2:$M$98,I138)&gt;0,"Yes","No")</f>
        <v>No</v>
      </c>
    </row>
    <row r="139" spans="1:14" x14ac:dyDescent="0.25">
      <c r="A139" s="7" t="s">
        <v>397</v>
      </c>
      <c r="B139" s="26"/>
      <c r="C139" s="26" t="s">
        <v>398</v>
      </c>
      <c r="D139" s="7" t="s">
        <v>138</v>
      </c>
      <c r="F139">
        <f>IF(H139&lt;&gt;"", INDEX('Processed Non-zero TRI Data'!$G:$G, MATCH(H139, 'Processed Non-zero TRI Data'!$I:$I,0)), INDEX('Processed Non-zero DMR Data'!$F:$F, MATCH(I139,'Processed Non-zero DMR Data'!$I:$I, 0)))</f>
        <v>36.866140000000001</v>
      </c>
      <c r="G139">
        <f>IF(H139&lt;&gt;"", INDEX('Processed Non-zero TRI Data'!$H:$H, MATCH(H139, 'Processed Non-zero TRI Data'!$I:$I,0)), INDEX('Processed Non-zero DMR Data'!$G:$G, MATCH(I139,'Processed Non-zero DMR Data'!$I:$I, 0)))</f>
        <v>-88.342470000000006</v>
      </c>
      <c r="H139" s="7"/>
      <c r="I139" s="183">
        <v>110001855635</v>
      </c>
      <c r="J139" s="1">
        <f>IF(H139&lt;&gt;"",INDEX('Processed Non-zero TRI Data'!$L:$L,MATCH('Facility Summary_All'!H139,'Processed Non-zero TRI Data'!$I:$I,0)),INDEX('Processed Non-zero DMR Data'!$L:$L,MATCH('Facility Summary_All'!I139,'Processed Non-zero DMR Data'!$I:$I,0)))*1</f>
        <v>221320</v>
      </c>
      <c r="K139" s="185" t="str">
        <f>INDEX('2017 - 2022 NAICS'!$D:$D, MATCH('Facility Summary_All'!J139,'2017 - 2022 NAICS'!$C:$C,0))</f>
        <v>Sewage Treatment Facilities</v>
      </c>
      <c r="L139" t="str">
        <f>IFERROR(VLOOKUP(J139,'NAICS Code to IS CDR Code'!A:C,2,FALSE), "NAICS/SIC Not Provided")</f>
        <v>IS4</v>
      </c>
      <c r="M139" t="str">
        <f>IFERROR(VLOOKUP(J139,'NAICS Code to IS CDR Code'!A:C,3,FALSE), "NAICS/SIC Not Provided")</f>
        <v>Utilities</v>
      </c>
      <c r="N139" t="str">
        <f>IF(COUNTIF('Facility Summary_Water'!$M$2:$M$98,I139)&gt;0,"Yes","No")</f>
        <v>No</v>
      </c>
    </row>
    <row r="140" spans="1:14" x14ac:dyDescent="0.25">
      <c r="A140" s="7" t="s">
        <v>399</v>
      </c>
      <c r="B140" s="26"/>
      <c r="C140" s="26" t="s">
        <v>400</v>
      </c>
      <c r="D140" s="7" t="s">
        <v>138</v>
      </c>
      <c r="F140">
        <f>IF(H140&lt;&gt;"", INDEX('Processed Non-zero TRI Data'!$G:$G, MATCH(H140, 'Processed Non-zero TRI Data'!$I:$I,0)), INDEX('Processed Non-zero DMR Data'!$F:$F, MATCH(I140,'Processed Non-zero DMR Data'!$I:$I, 0)))</f>
        <v>37.671391</v>
      </c>
      <c r="G140">
        <f>IF(H140&lt;&gt;"", INDEX('Processed Non-zero TRI Data'!$H:$H, MATCH(H140, 'Processed Non-zero TRI Data'!$I:$I,0)), INDEX('Processed Non-zero DMR Data'!$G:$G, MATCH(I140,'Processed Non-zero DMR Data'!$I:$I, 0)))</f>
        <v>-87.828888000000006</v>
      </c>
      <c r="H140" s="7"/>
      <c r="I140" s="183">
        <v>110064612557</v>
      </c>
      <c r="J140" s="1">
        <f>IF(H140&lt;&gt;"",INDEX('Processed Non-zero TRI Data'!$L:$L,MATCH('Facility Summary_All'!H140,'Processed Non-zero TRI Data'!$I:$I,0)),INDEX('Processed Non-zero DMR Data'!$L:$L,MATCH('Facility Summary_All'!I140,'Processed Non-zero DMR Data'!$I:$I,0)))*1</f>
        <v>221320</v>
      </c>
      <c r="K140" s="185" t="str">
        <f>INDEX('2017 - 2022 NAICS'!$D:$D, MATCH('Facility Summary_All'!J140,'2017 - 2022 NAICS'!$C:$C,0))</f>
        <v>Sewage Treatment Facilities</v>
      </c>
      <c r="L140" t="str">
        <f>IFERROR(VLOOKUP(J140,'NAICS Code to IS CDR Code'!A:C,2,FALSE), "NAICS/SIC Not Provided")</f>
        <v>IS4</v>
      </c>
      <c r="M140" t="str">
        <f>IFERROR(VLOOKUP(J140,'NAICS Code to IS CDR Code'!A:C,3,FALSE), "NAICS/SIC Not Provided")</f>
        <v>Utilities</v>
      </c>
      <c r="N140" t="str">
        <f>IF(COUNTIF('Facility Summary_Water'!$M$2:$M$98,I140)&gt;0,"Yes","No")</f>
        <v>No</v>
      </c>
    </row>
    <row r="141" spans="1:14" x14ac:dyDescent="0.25">
      <c r="A141" s="7" t="s">
        <v>401</v>
      </c>
      <c r="B141" s="26"/>
      <c r="C141" s="26" t="s">
        <v>402</v>
      </c>
      <c r="D141" s="7" t="s">
        <v>106</v>
      </c>
      <c r="F141">
        <f>IF(H141&lt;&gt;"", INDEX('Processed Non-zero TRI Data'!$G:$G, MATCH(H141, 'Processed Non-zero TRI Data'!$I:$I,0)), INDEX('Processed Non-zero DMR Data'!$F:$F, MATCH(I141,'Processed Non-zero DMR Data'!$I:$I, 0)))</f>
        <v>30.27083</v>
      </c>
      <c r="G141">
        <f>IF(H141&lt;&gt;"", INDEX('Processed Non-zero TRI Data'!$H:$H, MATCH(H141, 'Processed Non-zero TRI Data'!$I:$I,0)), INDEX('Processed Non-zero DMR Data'!$G:$G, MATCH(I141,'Processed Non-zero DMR Data'!$I:$I, 0)))</f>
        <v>-92.037279999999996</v>
      </c>
      <c r="H141" s="7"/>
      <c r="I141" s="183">
        <v>110000846602</v>
      </c>
      <c r="J141" s="1">
        <f>IF(H141&lt;&gt;"",INDEX('Processed Non-zero TRI Data'!$L:$L,MATCH('Facility Summary_All'!H141,'Processed Non-zero TRI Data'!$I:$I,0)),INDEX('Processed Non-zero DMR Data'!$L:$L,MATCH('Facility Summary_All'!I141,'Processed Non-zero DMR Data'!$I:$I,0)))*1</f>
        <v>325211</v>
      </c>
      <c r="K141" s="185" t="str">
        <f>INDEX('2017 - 2022 NAICS'!$D:$D, MATCH('Facility Summary_All'!J141,'2017 - 2022 NAICS'!$C:$C,0))</f>
        <v>Plastics Material and Resin Manufacturing</v>
      </c>
      <c r="L141" t="str">
        <f>IFERROR(VLOOKUP(J141,'NAICS Code to IS CDR Code'!A:C,2,FALSE), "NAICS/SIC Not Provided")</f>
        <v>IS22</v>
      </c>
      <c r="M141" t="str">
        <f>IFERROR(VLOOKUP(J141,'NAICS Code to IS CDR Code'!A:C,3,FALSE), "NAICS/SIC Not Provided")</f>
        <v>Plastic Material and Resin Manufacturing</v>
      </c>
      <c r="N141" t="str">
        <f>IF(COUNTIF('Facility Summary_Water'!$M$2:$M$98,I141)&gt;0,"Yes","No")</f>
        <v>No</v>
      </c>
    </row>
    <row r="142" spans="1:14" x14ac:dyDescent="0.25">
      <c r="A142" s="7" t="s">
        <v>403</v>
      </c>
      <c r="B142" s="26"/>
      <c r="C142" s="26" t="s">
        <v>404</v>
      </c>
      <c r="D142" s="7" t="s">
        <v>106</v>
      </c>
      <c r="F142">
        <f>IF(H142&lt;&gt;"", INDEX('Processed Non-zero TRI Data'!$G:$G, MATCH(H142, 'Processed Non-zero TRI Data'!$I:$I,0)), INDEX('Processed Non-zero DMR Data'!$F:$F, MATCH(I142,'Processed Non-zero DMR Data'!$I:$I, 0)))</f>
        <v>29.808250000000001</v>
      </c>
      <c r="G142">
        <f>IF(H142&lt;&gt;"", INDEX('Processed Non-zero TRI Data'!$H:$H, MATCH(H142, 'Processed Non-zero TRI Data'!$I:$I,0)), INDEX('Processed Non-zero DMR Data'!$G:$G, MATCH(I142,'Processed Non-zero DMR Data'!$I:$I, 0)))</f>
        <v>-90.01</v>
      </c>
      <c r="H142" s="7"/>
      <c r="I142" s="183">
        <v>110000575244</v>
      </c>
      <c r="J142" s="1">
        <f>IF(H142&lt;&gt;"",INDEX('Processed Non-zero TRI Data'!$L:$L,MATCH('Facility Summary_All'!H142,'Processed Non-zero TRI Data'!$I:$I,0)),INDEX('Processed Non-zero DMR Data'!$L:$L,MATCH('Facility Summary_All'!I142,'Processed Non-zero DMR Data'!$I:$I,0)))*1</f>
        <v>325110</v>
      </c>
      <c r="K142" s="185" t="str">
        <f>INDEX('2017 - 2022 NAICS'!$D:$D, MATCH('Facility Summary_All'!J142,'2017 - 2022 NAICS'!$C:$C,0))</f>
        <v>Petrochemical Manufacturing</v>
      </c>
      <c r="L142" t="str">
        <f>IFERROR(VLOOKUP(J142,'NAICS Code to IS CDR Code'!A:C,2,FALSE), "NAICS/SIC Not Provided")</f>
        <v>IS15</v>
      </c>
      <c r="M142" t="str">
        <f>IFERROR(VLOOKUP(J142,'NAICS Code to IS CDR Code'!A:C,3,FALSE), "NAICS/SIC Not Provided")</f>
        <v>Petrochemical Manufacturing</v>
      </c>
      <c r="N142" t="str">
        <f>IF(COUNTIF('Facility Summary_Water'!$M$2:$M$98,I142)&gt;0,"Yes","No")</f>
        <v>No</v>
      </c>
    </row>
    <row r="143" spans="1:14" x14ac:dyDescent="0.25">
      <c r="A143" s="7" t="s">
        <v>405</v>
      </c>
      <c r="B143" s="26"/>
      <c r="C143" s="26" t="s">
        <v>406</v>
      </c>
      <c r="D143" s="7" t="s">
        <v>153</v>
      </c>
      <c r="F143">
        <f>IF(H143&lt;&gt;"", INDEX('Processed Non-zero TRI Data'!$G:$G, MATCH(H143, 'Processed Non-zero TRI Data'!$I:$I,0)), INDEX('Processed Non-zero DMR Data'!$F:$F, MATCH(I143,'Processed Non-zero DMR Data'!$I:$I, 0)))</f>
        <v>39.845474000000003</v>
      </c>
      <c r="G143">
        <f>IF(H143&lt;&gt;"", INDEX('Processed Non-zero TRI Data'!$H:$H, MATCH(H143, 'Processed Non-zero TRI Data'!$I:$I,0)), INDEX('Processed Non-zero DMR Data'!$G:$G, MATCH(I143,'Processed Non-zero DMR Data'!$I:$I, 0)))</f>
        <v>-75.209485999999998</v>
      </c>
      <c r="H143" s="7"/>
      <c r="I143" s="183">
        <v>110013317614</v>
      </c>
      <c r="J143" s="1">
        <f>IF(H143&lt;&gt;"",INDEX('Processed Non-zero TRI Data'!$L:$L,MATCH('Facility Summary_All'!H143,'Processed Non-zero TRI Data'!$I:$I,0)),INDEX('Processed Non-zero DMR Data'!$L:$L,MATCH('Facility Summary_All'!I143,'Processed Non-zero DMR Data'!$I:$I,0)))*1</f>
        <v>325211</v>
      </c>
      <c r="K143" s="185" t="str">
        <f>INDEX('2017 - 2022 NAICS'!$D:$D, MATCH('Facility Summary_All'!J143,'2017 - 2022 NAICS'!$C:$C,0))</f>
        <v>Plastics Material and Resin Manufacturing</v>
      </c>
      <c r="L143" t="str">
        <f>IFERROR(VLOOKUP(J143,'NAICS Code to IS CDR Code'!A:C,2,FALSE), "NAICS/SIC Not Provided")</f>
        <v>IS22</v>
      </c>
      <c r="M143" t="str">
        <f>IFERROR(VLOOKUP(J143,'NAICS Code to IS CDR Code'!A:C,3,FALSE), "NAICS/SIC Not Provided")</f>
        <v>Plastic Material and Resin Manufacturing</v>
      </c>
      <c r="N143" t="str">
        <f>IF(COUNTIF('Facility Summary_Water'!$M$2:$M$98,I143)&gt;0,"Yes","No")</f>
        <v>No</v>
      </c>
    </row>
    <row r="144" spans="1:14" x14ac:dyDescent="0.25">
      <c r="A144" s="7" t="s">
        <v>407</v>
      </c>
      <c r="B144" s="26"/>
      <c r="C144" s="26" t="s">
        <v>298</v>
      </c>
      <c r="D144" s="7" t="s">
        <v>138</v>
      </c>
      <c r="F144">
        <f>IF(H144&lt;&gt;"", INDEX('Processed Non-zero TRI Data'!$G:$G, MATCH(H144, 'Processed Non-zero TRI Data'!$I:$I,0)), INDEX('Processed Non-zero DMR Data'!$F:$F, MATCH(I144,'Processed Non-zero DMR Data'!$I:$I, 0)))</f>
        <v>37.608496000000002</v>
      </c>
      <c r="G144">
        <f>IF(H144&lt;&gt;"", INDEX('Processed Non-zero TRI Data'!$H:$H, MATCH(H144, 'Processed Non-zero TRI Data'!$I:$I,0)), INDEX('Processed Non-zero DMR Data'!$G:$G, MATCH(I144,'Processed Non-zero DMR Data'!$I:$I, 0)))</f>
        <v>-84.287074000000004</v>
      </c>
      <c r="H144" s="7"/>
      <c r="I144" s="183">
        <v>110040000398</v>
      </c>
      <c r="J144" s="1">
        <f>IF(H144&lt;&gt;"",INDEX('Processed Non-zero TRI Data'!$L:$L,MATCH('Facility Summary_All'!H144,'Processed Non-zero TRI Data'!$I:$I,0)),INDEX('Processed Non-zero DMR Data'!$L:$L,MATCH('Facility Summary_All'!I144,'Processed Non-zero DMR Data'!$I:$I,0)))*1</f>
        <v>221320</v>
      </c>
      <c r="K144" s="185" t="str">
        <f>INDEX('2017 - 2022 NAICS'!$D:$D, MATCH('Facility Summary_All'!J144,'2017 - 2022 NAICS'!$C:$C,0))</f>
        <v>Sewage Treatment Facilities</v>
      </c>
      <c r="L144" t="str">
        <f>IFERROR(VLOOKUP(J144,'NAICS Code to IS CDR Code'!A:C,2,FALSE), "NAICS/SIC Not Provided")</f>
        <v>IS4</v>
      </c>
      <c r="M144" t="str">
        <f>IFERROR(VLOOKUP(J144,'NAICS Code to IS CDR Code'!A:C,3,FALSE), "NAICS/SIC Not Provided")</f>
        <v>Utilities</v>
      </c>
      <c r="N144" t="str">
        <f>IF(COUNTIF('Facility Summary_Water'!$M$2:$M$98,I144)&gt;0,"Yes","No")</f>
        <v>No</v>
      </c>
    </row>
    <row r="145" spans="1:14" x14ac:dyDescent="0.25">
      <c r="A145" s="7" t="s">
        <v>408</v>
      </c>
      <c r="B145" s="26"/>
      <c r="C145" s="26" t="s">
        <v>409</v>
      </c>
      <c r="D145" s="7" t="s">
        <v>138</v>
      </c>
      <c r="F145">
        <f>IF(H145&lt;&gt;"", INDEX('Processed Non-zero TRI Data'!$G:$G, MATCH(H145, 'Processed Non-zero TRI Data'!$I:$I,0)), INDEX('Processed Non-zero DMR Data'!$F:$F, MATCH(I145,'Processed Non-zero DMR Data'!$I:$I, 0)))</f>
        <v>38.417499999999997</v>
      </c>
      <c r="G145">
        <f>IF(H145&lt;&gt;"", INDEX('Processed Non-zero TRI Data'!$H:$H, MATCH(H145, 'Processed Non-zero TRI Data'!$I:$I,0)), INDEX('Processed Non-zero DMR Data'!$G:$G, MATCH(I145,'Processed Non-zero DMR Data'!$I:$I, 0)))</f>
        <v>-85.611109999999996</v>
      </c>
      <c r="H145" s="7"/>
      <c r="I145" s="183">
        <v>110022905588</v>
      </c>
      <c r="J145" s="1">
        <f>IF(H145&lt;&gt;"",INDEX('Processed Non-zero TRI Data'!$L:$L,MATCH('Facility Summary_All'!H145,'Processed Non-zero TRI Data'!$I:$I,0)),INDEX('Processed Non-zero DMR Data'!$L:$L,MATCH('Facility Summary_All'!I145,'Processed Non-zero DMR Data'!$I:$I,0)))*1</f>
        <v>221320</v>
      </c>
      <c r="K145" s="185" t="str">
        <f>INDEX('2017 - 2022 NAICS'!$D:$D, MATCH('Facility Summary_All'!J145,'2017 - 2022 NAICS'!$C:$C,0))</f>
        <v>Sewage Treatment Facilities</v>
      </c>
      <c r="L145" t="str">
        <f>IFERROR(VLOOKUP(J145,'NAICS Code to IS CDR Code'!A:C,2,FALSE), "NAICS/SIC Not Provided")</f>
        <v>IS4</v>
      </c>
      <c r="M145" t="str">
        <f>IFERROR(VLOOKUP(J145,'NAICS Code to IS CDR Code'!A:C,3,FALSE), "NAICS/SIC Not Provided")</f>
        <v>Utilities</v>
      </c>
      <c r="N145" t="str">
        <f>IF(COUNTIF('Facility Summary_Water'!$M$2:$M$98,I145)&gt;0,"Yes","No")</f>
        <v>No</v>
      </c>
    </row>
    <row r="146" spans="1:14" x14ac:dyDescent="0.25">
      <c r="A146" s="7" t="s">
        <v>410</v>
      </c>
      <c r="B146" s="26"/>
      <c r="C146" s="26" t="s">
        <v>372</v>
      </c>
      <c r="D146" s="7" t="s">
        <v>114</v>
      </c>
      <c r="F146">
        <f>IF(H146&lt;&gt;"", INDEX('Processed Non-zero TRI Data'!$G:$G, MATCH(H146, 'Processed Non-zero TRI Data'!$I:$I,0)), INDEX('Processed Non-zero DMR Data'!$F:$F, MATCH(I146,'Processed Non-zero DMR Data'!$I:$I, 0)))</f>
        <v>29.704027</v>
      </c>
      <c r="G146">
        <f>IF(H146&lt;&gt;"", INDEX('Processed Non-zero TRI Data'!$H:$H, MATCH(H146, 'Processed Non-zero TRI Data'!$I:$I,0)), INDEX('Processed Non-zero DMR Data'!$G:$G, MATCH(I146,'Processed Non-zero DMR Data'!$I:$I, 0)))</f>
        <v>-95.079931999999999</v>
      </c>
      <c r="H146" s="7"/>
      <c r="I146" s="183">
        <v>110000463631</v>
      </c>
      <c r="J146" s="1">
        <f>IF(H146&lt;&gt;"",INDEX('Processed Non-zero TRI Data'!$L:$L,MATCH('Facility Summary_All'!H146,'Processed Non-zero TRI Data'!$I:$I,0)),INDEX('Processed Non-zero DMR Data'!$L:$L,MATCH('Facility Summary_All'!I146,'Processed Non-zero DMR Data'!$I:$I,0)))*1</f>
        <v>325211</v>
      </c>
      <c r="K146" s="185" t="str">
        <f>INDEX('2017 - 2022 NAICS'!$D:$D, MATCH('Facility Summary_All'!J146,'2017 - 2022 NAICS'!$C:$C,0))</f>
        <v>Plastics Material and Resin Manufacturing</v>
      </c>
      <c r="L146" t="str">
        <f>IFERROR(VLOOKUP(J146,'NAICS Code to IS CDR Code'!A:C,2,FALSE), "NAICS/SIC Not Provided")</f>
        <v>IS22</v>
      </c>
      <c r="M146" t="str">
        <f>IFERROR(VLOOKUP(J146,'NAICS Code to IS CDR Code'!A:C,3,FALSE), "NAICS/SIC Not Provided")</f>
        <v>Plastic Material and Resin Manufacturing</v>
      </c>
      <c r="N146" t="str">
        <f>IF(COUNTIF('Facility Summary_Water'!$M$2:$M$98,I146)&gt;0,"Yes","No")</f>
        <v>No</v>
      </c>
    </row>
    <row r="147" spans="1:14" x14ac:dyDescent="0.25">
      <c r="A147" s="7" t="s">
        <v>411</v>
      </c>
      <c r="B147" s="26"/>
      <c r="C147" s="26" t="s">
        <v>412</v>
      </c>
      <c r="D147" s="7" t="s">
        <v>186</v>
      </c>
      <c r="F147">
        <f>IF(H147&lt;&gt;"", INDEX('Processed Non-zero TRI Data'!$G:$G, MATCH(H147, 'Processed Non-zero TRI Data'!$I:$I,0)), INDEX('Processed Non-zero DMR Data'!$F:$F, MATCH(I147,'Processed Non-zero DMR Data'!$I:$I, 0)))</f>
        <v>21.348493999999999</v>
      </c>
      <c r="G147">
        <f>IF(H147&lt;&gt;"", INDEX('Processed Non-zero TRI Data'!$H:$H, MATCH(H147, 'Processed Non-zero TRI Data'!$I:$I,0)), INDEX('Processed Non-zero DMR Data'!$G:$G, MATCH(I147,'Processed Non-zero DMR Data'!$I:$I, 0)))</f>
        <v>-157.94398899999999</v>
      </c>
      <c r="H147" s="7"/>
      <c r="I147" s="183">
        <v>110022302417</v>
      </c>
      <c r="J147" s="1">
        <f>IF(H147&lt;&gt;"",INDEX('Processed Non-zero TRI Data'!$L:$L,MATCH('Facility Summary_All'!H147,'Processed Non-zero TRI Data'!$I:$I,0)),INDEX('Processed Non-zero DMR Data'!$L:$L,MATCH('Facility Summary_All'!I147,'Processed Non-zero DMR Data'!$I:$I,0)))*1</f>
        <v>221320</v>
      </c>
      <c r="K147" s="185" t="str">
        <f>INDEX('2017 - 2022 NAICS'!$D:$D, MATCH('Facility Summary_All'!J147,'2017 - 2022 NAICS'!$C:$C,0))</f>
        <v>Sewage Treatment Facilities</v>
      </c>
      <c r="L147" t="str">
        <f>IFERROR(VLOOKUP(J147,'NAICS Code to IS CDR Code'!A:C,2,FALSE), "NAICS/SIC Not Provided")</f>
        <v>IS4</v>
      </c>
      <c r="M147" t="str">
        <f>IFERROR(VLOOKUP(J147,'NAICS Code to IS CDR Code'!A:C,3,FALSE), "NAICS/SIC Not Provided")</f>
        <v>Utilities</v>
      </c>
      <c r="N147" t="str">
        <f>IF(COUNTIF('Facility Summary_Water'!$M$2:$M$98,I147)&gt;0,"Yes","No")</f>
        <v>No</v>
      </c>
    </row>
    <row r="148" spans="1:14" x14ac:dyDescent="0.25">
      <c r="A148" s="7" t="s">
        <v>413</v>
      </c>
      <c r="B148" s="26"/>
      <c r="C148" s="26" t="s">
        <v>414</v>
      </c>
      <c r="D148" s="7" t="s">
        <v>138</v>
      </c>
      <c r="F148">
        <f>IF(H148&lt;&gt;"", INDEX('Processed Non-zero TRI Data'!$G:$G, MATCH(H148, 'Processed Non-zero TRI Data'!$I:$I,0)), INDEX('Processed Non-zero DMR Data'!$F:$F, MATCH(I148,'Processed Non-zero DMR Data'!$I:$I, 0)))</f>
        <v>39.00703</v>
      </c>
      <c r="G148">
        <f>IF(H148&lt;&gt;"", INDEX('Processed Non-zero TRI Data'!$H:$H, MATCH(H148, 'Processed Non-zero TRI Data'!$I:$I,0)), INDEX('Processed Non-zero DMR Data'!$G:$G, MATCH(I148,'Processed Non-zero DMR Data'!$I:$I, 0)))</f>
        <v>-84.841210000000004</v>
      </c>
      <c r="H148" s="7"/>
      <c r="I148" s="183">
        <v>110055043705</v>
      </c>
      <c r="J148" s="1">
        <f>IF(H148&lt;&gt;"",INDEX('Processed Non-zero TRI Data'!$L:$L,MATCH('Facility Summary_All'!H148,'Processed Non-zero TRI Data'!$I:$I,0)),INDEX('Processed Non-zero DMR Data'!$L:$L,MATCH('Facility Summary_All'!I148,'Processed Non-zero DMR Data'!$I:$I,0)))*1</f>
        <v>221320</v>
      </c>
      <c r="K148" s="185" t="str">
        <f>INDEX('2017 - 2022 NAICS'!$D:$D, MATCH('Facility Summary_All'!J148,'2017 - 2022 NAICS'!$C:$C,0))</f>
        <v>Sewage Treatment Facilities</v>
      </c>
      <c r="L148" t="str">
        <f>IFERROR(VLOOKUP(J148,'NAICS Code to IS CDR Code'!A:C,2,FALSE), "NAICS/SIC Not Provided")</f>
        <v>IS4</v>
      </c>
      <c r="M148" t="str">
        <f>IFERROR(VLOOKUP(J148,'NAICS Code to IS CDR Code'!A:C,3,FALSE), "NAICS/SIC Not Provided")</f>
        <v>Utilities</v>
      </c>
      <c r="N148" t="str">
        <f>IF(COUNTIF('Facility Summary_Water'!$M$2:$M$98,I148)&gt;0,"Yes","No")</f>
        <v>No</v>
      </c>
    </row>
    <row r="149" spans="1:14" ht="30" x14ac:dyDescent="0.25">
      <c r="A149" s="7" t="s">
        <v>415</v>
      </c>
      <c r="B149" s="26"/>
      <c r="C149" s="26" t="s">
        <v>157</v>
      </c>
      <c r="D149" s="7" t="s">
        <v>158</v>
      </c>
      <c r="F149">
        <f>IF(H149&lt;&gt;"", INDEX('Processed Non-zero TRI Data'!$G:$G, MATCH(H149, 'Processed Non-zero TRI Data'!$I:$I,0)), INDEX('Processed Non-zero DMR Data'!$F:$F, MATCH(I149,'Processed Non-zero DMR Data'!$I:$I, 0)))</f>
        <v>36.131489999999999</v>
      </c>
      <c r="G149">
        <f>IF(H149&lt;&gt;"", INDEX('Processed Non-zero TRI Data'!$H:$H, MATCH(H149, 'Processed Non-zero TRI Data'!$I:$I,0)), INDEX('Processed Non-zero DMR Data'!$G:$G, MATCH(I149,'Processed Non-zero DMR Data'!$I:$I, 0)))</f>
        <v>-115.15483</v>
      </c>
      <c r="H149" s="7"/>
      <c r="I149" s="183">
        <v>110059844156</v>
      </c>
      <c r="J149" s="1">
        <f>IF(H149&lt;&gt;"",INDEX('Processed Non-zero TRI Data'!$L:$L,MATCH('Facility Summary_All'!H149,'Processed Non-zero TRI Data'!$I:$I,0)),INDEX('Processed Non-zero DMR Data'!$L:$L,MATCH('Facility Summary_All'!I149,'Processed Non-zero DMR Data'!$I:$I,0)))*1</f>
        <v>236220</v>
      </c>
      <c r="K149" s="185" t="str">
        <f>INDEX('2017 - 2022 NAICS'!$D:$D, MATCH('Facility Summary_All'!J149,'2017 - 2022 NAICS'!$C:$C,0))</f>
        <v>Commercial and Institutional Building Construction</v>
      </c>
      <c r="L149" t="str">
        <f>IFERROR(VLOOKUP(J149,'NAICS Code to IS CDR Code'!A:C,2,FALSE), "NAICS/SIC Not Provided")</f>
        <v>IS5</v>
      </c>
      <c r="M149" t="str">
        <f>IFERROR(VLOOKUP(J149,'NAICS Code to IS CDR Code'!A:C,3,FALSE), "NAICS/SIC Not Provided")</f>
        <v>Construction</v>
      </c>
      <c r="N149" t="str">
        <f>IF(COUNTIF('Facility Summary_Water'!$M$2:$M$98,I149)&gt;0,"Yes","No")</f>
        <v>No</v>
      </c>
    </row>
    <row r="150" spans="1:14" x14ac:dyDescent="0.25">
      <c r="A150" s="7" t="s">
        <v>416</v>
      </c>
      <c r="B150" s="26"/>
      <c r="C150" s="26" t="s">
        <v>417</v>
      </c>
      <c r="D150" s="7" t="s">
        <v>146</v>
      </c>
      <c r="F150">
        <f>IF(H150&lt;&gt;"", INDEX('Processed Non-zero TRI Data'!$G:$G, MATCH(H150, 'Processed Non-zero TRI Data'!$I:$I,0)), INDEX('Processed Non-zero DMR Data'!$F:$F, MATCH(I150,'Processed Non-zero DMR Data'!$I:$I, 0)))</f>
        <v>33.926245999999999</v>
      </c>
      <c r="G150">
        <f>IF(H150&lt;&gt;"", INDEX('Processed Non-zero TRI Data'!$H:$H, MATCH(H150, 'Processed Non-zero TRI Data'!$I:$I,0)), INDEX('Processed Non-zero DMR Data'!$G:$G, MATCH(I150,'Processed Non-zero DMR Data'!$I:$I, 0)))</f>
        <v>-116.992552</v>
      </c>
      <c r="H150" s="7"/>
      <c r="I150" s="183">
        <v>110055992993</v>
      </c>
      <c r="J150" s="1">
        <f>IF(H150&lt;&gt;"",INDEX('Processed Non-zero TRI Data'!$L:$L,MATCH('Facility Summary_All'!H150,'Processed Non-zero TRI Data'!$I:$I,0)),INDEX('Processed Non-zero DMR Data'!$L:$L,MATCH('Facility Summary_All'!I150,'Processed Non-zero DMR Data'!$I:$I,0)))*1</f>
        <v>221320</v>
      </c>
      <c r="K150" s="185" t="str">
        <f>INDEX('2017 - 2022 NAICS'!$D:$D, MATCH('Facility Summary_All'!J150,'2017 - 2022 NAICS'!$C:$C,0))</f>
        <v>Sewage Treatment Facilities</v>
      </c>
      <c r="L150" t="str">
        <f>IFERROR(VLOOKUP(J150,'NAICS Code to IS CDR Code'!A:C,2,FALSE), "NAICS/SIC Not Provided")</f>
        <v>IS4</v>
      </c>
      <c r="M150" t="str">
        <f>IFERROR(VLOOKUP(J150,'NAICS Code to IS CDR Code'!A:C,3,FALSE), "NAICS/SIC Not Provided")</f>
        <v>Utilities</v>
      </c>
      <c r="N150" t="str">
        <f>IF(COUNTIF('Facility Summary_Water'!$M$2:$M$98,I150)&gt;0,"Yes","No")</f>
        <v>No</v>
      </c>
    </row>
    <row r="151" spans="1:14" x14ac:dyDescent="0.25">
      <c r="A151" s="7" t="s">
        <v>418</v>
      </c>
      <c r="B151" s="26"/>
      <c r="C151" s="26" t="s">
        <v>313</v>
      </c>
      <c r="D151" s="7" t="s">
        <v>114</v>
      </c>
      <c r="F151">
        <f>IF(H151&lt;&gt;"", INDEX('Processed Non-zero TRI Data'!$G:$G, MATCH(H151, 'Processed Non-zero TRI Data'!$I:$I,0)), INDEX('Processed Non-zero DMR Data'!$F:$F, MATCH(I151,'Processed Non-zero DMR Data'!$I:$I, 0)))</f>
        <v>29.75487</v>
      </c>
      <c r="G151">
        <f>IF(H151&lt;&gt;"", INDEX('Processed Non-zero TRI Data'!$H:$H, MATCH(H151, 'Processed Non-zero TRI Data'!$I:$I,0)), INDEX('Processed Non-zero DMR Data'!$G:$G, MATCH(I151,'Processed Non-zero DMR Data'!$I:$I, 0)))</f>
        <v>-95.103269999999995</v>
      </c>
      <c r="H151" s="7"/>
      <c r="I151" s="183">
        <v>110000460983</v>
      </c>
      <c r="J151" s="1">
        <f>IF(H151&lt;&gt;"",INDEX('Processed Non-zero TRI Data'!$L:$L,MATCH('Facility Summary_All'!H151,'Processed Non-zero TRI Data'!$I:$I,0)),INDEX('Processed Non-zero DMR Data'!$L:$L,MATCH('Facility Summary_All'!I151,'Processed Non-zero DMR Data'!$I:$I,0)))*1</f>
        <v>325110</v>
      </c>
      <c r="K151" s="185" t="str">
        <f>INDEX('2017 - 2022 NAICS'!$D:$D, MATCH('Facility Summary_All'!J151,'2017 - 2022 NAICS'!$C:$C,0))</f>
        <v>Petrochemical Manufacturing</v>
      </c>
      <c r="L151" t="str">
        <f>IFERROR(VLOOKUP(J151,'NAICS Code to IS CDR Code'!A:C,2,FALSE), "NAICS/SIC Not Provided")</f>
        <v>IS15</v>
      </c>
      <c r="M151" t="str">
        <f>IFERROR(VLOOKUP(J151,'NAICS Code to IS CDR Code'!A:C,3,FALSE), "NAICS/SIC Not Provided")</f>
        <v>Petrochemical Manufacturing</v>
      </c>
      <c r="N151" t="str">
        <f>IF(COUNTIF('Facility Summary_Water'!$M$2:$M$98,I151)&gt;0,"Yes","No")</f>
        <v>No</v>
      </c>
    </row>
    <row r="152" spans="1:14" x14ac:dyDescent="0.25">
      <c r="A152" s="7" t="s">
        <v>419</v>
      </c>
      <c r="B152" s="26"/>
      <c r="C152" s="26" t="s">
        <v>420</v>
      </c>
      <c r="D152" s="7" t="s">
        <v>153</v>
      </c>
      <c r="F152">
        <f>IF(H152&lt;&gt;"", INDEX('Processed Non-zero TRI Data'!$G:$G, MATCH(H152, 'Processed Non-zero TRI Data'!$I:$I,0)), INDEX('Processed Non-zero DMR Data'!$F:$F, MATCH(I152,'Processed Non-zero DMR Data'!$I:$I, 0)))</f>
        <v>40.515906999999999</v>
      </c>
      <c r="G152">
        <f>IF(H152&lt;&gt;"", INDEX('Processed Non-zero TRI Data'!$H:$H, MATCH(H152, 'Processed Non-zero TRI Data'!$I:$I,0)), INDEX('Processed Non-zero DMR Data'!$G:$G, MATCH(I152,'Processed Non-zero DMR Data'!$I:$I, 0)))</f>
        <v>-74.325175999999999</v>
      </c>
      <c r="H152" s="7"/>
      <c r="I152" s="183">
        <v>110070215141</v>
      </c>
      <c r="J152" s="1" t="e">
        <f>IF(H152&lt;&gt;"",INDEX('Processed Non-zero TRI Data'!$L:$L,MATCH('Facility Summary_All'!H152,'Processed Non-zero TRI Data'!$I:$I,0)),INDEX('Processed Non-zero DMR Data'!$L:$L,MATCH('Facility Summary_All'!I152,'Processed Non-zero DMR Data'!$I:$I,0)))*1</f>
        <v>#N/A</v>
      </c>
      <c r="K152" s="185" t="e">
        <f>INDEX('2017 - 2022 NAICS'!$D:$D, MATCH('Facility Summary_All'!J152,'2017 - 2022 NAICS'!$C:$C,0))</f>
        <v>#N/A</v>
      </c>
      <c r="L152" t="str">
        <f>IFERROR(VLOOKUP(J152,'NAICS Code to IS CDR Code'!A:C,2,FALSE), "NAICS/SIC Not Provided")</f>
        <v>NAICS/SIC Not Provided</v>
      </c>
      <c r="M152" t="str">
        <f>IFERROR(VLOOKUP(J152,'NAICS Code to IS CDR Code'!A:C,3,FALSE), "NAICS/SIC Not Provided")</f>
        <v>NAICS/SIC Not Provided</v>
      </c>
      <c r="N152" t="str">
        <f>IF(COUNTIF('Facility Summary_Water'!$M$2:$M$98,I152)&gt;0,"Yes","No")</f>
        <v>No</v>
      </c>
    </row>
    <row r="153" spans="1:14" x14ac:dyDescent="0.25">
      <c r="A153" s="7" t="s">
        <v>421</v>
      </c>
      <c r="B153" s="26"/>
      <c r="C153" s="26" t="s">
        <v>422</v>
      </c>
      <c r="D153" s="7" t="s">
        <v>138</v>
      </c>
      <c r="F153">
        <f>IF(H153&lt;&gt;"", INDEX('Processed Non-zero TRI Data'!$G:$G, MATCH(H153, 'Processed Non-zero TRI Data'!$I:$I,0)), INDEX('Processed Non-zero DMR Data'!$F:$F, MATCH(I153,'Processed Non-zero DMR Data'!$I:$I, 0)))</f>
        <v>37.106380000000001</v>
      </c>
      <c r="G153">
        <f>IF(H153&lt;&gt;"", INDEX('Processed Non-zero TRI Data'!$H:$H, MATCH(H153, 'Processed Non-zero TRI Data'!$I:$I,0)), INDEX('Processed Non-zero DMR Data'!$G:$G, MATCH(I153,'Processed Non-zero DMR Data'!$I:$I, 0)))</f>
        <v>-84.066829999999996</v>
      </c>
      <c r="H153" s="7"/>
      <c r="I153" s="183">
        <v>110000557013</v>
      </c>
      <c r="J153" s="1">
        <f>IF(H153&lt;&gt;"",INDEX('Processed Non-zero TRI Data'!$L:$L,MATCH('Facility Summary_All'!H153,'Processed Non-zero TRI Data'!$I:$I,0)),INDEX('Processed Non-zero DMR Data'!$L:$L,MATCH('Facility Summary_All'!I153,'Processed Non-zero DMR Data'!$I:$I,0)))*1</f>
        <v>221320</v>
      </c>
      <c r="K153" s="185" t="str">
        <f>INDEX('2017 - 2022 NAICS'!$D:$D, MATCH('Facility Summary_All'!J153,'2017 - 2022 NAICS'!$C:$C,0))</f>
        <v>Sewage Treatment Facilities</v>
      </c>
      <c r="L153" t="str">
        <f>IFERROR(VLOOKUP(J153,'NAICS Code to IS CDR Code'!A:C,2,FALSE), "NAICS/SIC Not Provided")</f>
        <v>IS4</v>
      </c>
      <c r="M153" t="str">
        <f>IFERROR(VLOOKUP(J153,'NAICS Code to IS CDR Code'!A:C,3,FALSE), "NAICS/SIC Not Provided")</f>
        <v>Utilities</v>
      </c>
      <c r="N153" t="str">
        <f>IF(COUNTIF('Facility Summary_Water'!$M$2:$M$98,I153)&gt;0,"Yes","No")</f>
        <v>No</v>
      </c>
    </row>
    <row r="154" spans="1:14" x14ac:dyDescent="0.25">
      <c r="A154" s="7" t="s">
        <v>423</v>
      </c>
      <c r="B154" s="26"/>
      <c r="C154" s="26" t="s">
        <v>424</v>
      </c>
      <c r="D154" s="7" t="s">
        <v>186</v>
      </c>
      <c r="F154">
        <f>IF(H154&lt;&gt;"", INDEX('Processed Non-zero TRI Data'!$G:$G, MATCH(H154, 'Processed Non-zero TRI Data'!$I:$I,0)), INDEX('Processed Non-zero DMR Data'!$F:$F, MATCH(I154,'Processed Non-zero DMR Data'!$I:$I, 0)))</f>
        <v>22.079093</v>
      </c>
      <c r="G154">
        <f>IF(H154&lt;&gt;"", INDEX('Processed Non-zero TRI Data'!$H:$H, MATCH(H154, 'Processed Non-zero TRI Data'!$I:$I,0)), INDEX('Processed Non-zero DMR Data'!$G:$G, MATCH(I154,'Processed Non-zero DMR Data'!$I:$I, 0)))</f>
        <v>-159.35138900000001</v>
      </c>
      <c r="H154" s="7"/>
      <c r="I154" s="183">
        <v>110010731262</v>
      </c>
      <c r="J154" s="1">
        <f>IF(H154&lt;&gt;"",INDEX('Processed Non-zero TRI Data'!$L:$L,MATCH('Facility Summary_All'!H154,'Processed Non-zero TRI Data'!$I:$I,0)),INDEX('Processed Non-zero DMR Data'!$L:$L,MATCH('Facility Summary_All'!I154,'Processed Non-zero DMR Data'!$I:$I,0)))*1</f>
        <v>221320</v>
      </c>
      <c r="K154" s="185" t="str">
        <f>INDEX('2017 - 2022 NAICS'!$D:$D, MATCH('Facility Summary_All'!J154,'2017 - 2022 NAICS'!$C:$C,0))</f>
        <v>Sewage Treatment Facilities</v>
      </c>
      <c r="L154" t="str">
        <f>IFERROR(VLOOKUP(J154,'NAICS Code to IS CDR Code'!A:C,2,FALSE), "NAICS/SIC Not Provided")</f>
        <v>IS4</v>
      </c>
      <c r="M154" t="str">
        <f>IFERROR(VLOOKUP(J154,'NAICS Code to IS CDR Code'!A:C,3,FALSE), "NAICS/SIC Not Provided")</f>
        <v>Utilities</v>
      </c>
      <c r="N154" t="str">
        <f>IF(COUNTIF('Facility Summary_Water'!$M$2:$M$98,I154)&gt;0,"Yes","No")</f>
        <v>No</v>
      </c>
    </row>
    <row r="155" spans="1:14" x14ac:dyDescent="0.25">
      <c r="A155" s="7" t="s">
        <v>425</v>
      </c>
      <c r="B155" s="26"/>
      <c r="C155" s="26" t="s">
        <v>426</v>
      </c>
      <c r="D155" s="7" t="s">
        <v>170</v>
      </c>
      <c r="F155">
        <f>IF(H155&lt;&gt;"", INDEX('Processed Non-zero TRI Data'!$G:$G, MATCH(H155, 'Processed Non-zero TRI Data'!$I:$I,0)), INDEX('Processed Non-zero DMR Data'!$F:$F, MATCH(I155,'Processed Non-zero DMR Data'!$I:$I, 0)))</f>
        <v>39.121471999999997</v>
      </c>
      <c r="G155">
        <f>IF(H155&lt;&gt;"", INDEX('Processed Non-zero TRI Data'!$H:$H, MATCH(H155, 'Processed Non-zero TRI Data'!$I:$I,0)), INDEX('Processed Non-zero DMR Data'!$G:$G, MATCH(I155,'Processed Non-zero DMR Data'!$I:$I, 0)))</f>
        <v>-94.473416999999998</v>
      </c>
      <c r="H155" s="7"/>
      <c r="I155" s="183">
        <v>110000443226</v>
      </c>
      <c r="J155" s="1">
        <f>IF(H155&lt;&gt;"",INDEX('Processed Non-zero TRI Data'!$L:$L,MATCH('Facility Summary_All'!H155,'Processed Non-zero TRI Data'!$I:$I,0)),INDEX('Processed Non-zero DMR Data'!$L:$L,MATCH('Facility Summary_All'!I155,'Processed Non-zero DMR Data'!$I:$I,0)))*1</f>
        <v>325320</v>
      </c>
      <c r="K155" s="185" t="str">
        <f>INDEX('2017 - 2022 NAICS'!$D:$D, MATCH('Facility Summary_All'!J155,'2017 - 2022 NAICS'!$C:$C,0))</f>
        <v>Pesticide and Other Agricultural Chemical Manufacturing</v>
      </c>
      <c r="L155" t="str">
        <f>IFERROR(VLOOKUP(J155,'NAICS Code to IS CDR Code'!A:C,2,FALSE), "NAICS/SIC Not Provided")</f>
        <v>IS25</v>
      </c>
      <c r="M155" t="str">
        <f>IFERROR(VLOOKUP(J155,'NAICS Code to IS CDR Code'!A:C,3,FALSE), "NAICS/SIC Not Provided")</f>
        <v>Pesticide, Fertilizer, and Other Agricultural Chemical Manufacturing</v>
      </c>
      <c r="N155" t="str">
        <f>IF(COUNTIF('Facility Summary_Water'!$M$2:$M$98,I155)&gt;0,"Yes","No")</f>
        <v>No</v>
      </c>
    </row>
    <row r="156" spans="1:14" x14ac:dyDescent="0.25">
      <c r="A156" s="7" t="s">
        <v>427</v>
      </c>
      <c r="B156" s="26"/>
      <c r="C156" s="26" t="s">
        <v>428</v>
      </c>
      <c r="D156" s="7" t="s">
        <v>138</v>
      </c>
      <c r="F156">
        <f>IF(H156&lt;&gt;"", INDEX('Processed Non-zero TRI Data'!$G:$G, MATCH(H156, 'Processed Non-zero TRI Data'!$I:$I,0)), INDEX('Processed Non-zero DMR Data'!$F:$F, MATCH(I156,'Processed Non-zero DMR Data'!$I:$I, 0)))</f>
        <v>38.631208000000001</v>
      </c>
      <c r="G156">
        <f>IF(H156&lt;&gt;"", INDEX('Processed Non-zero TRI Data'!$H:$H, MATCH(H156, 'Processed Non-zero TRI Data'!$I:$I,0)), INDEX('Processed Non-zero DMR Data'!$G:$G, MATCH(I156,'Processed Non-zero DMR Data'!$I:$I, 0)))</f>
        <v>-84.618809999999996</v>
      </c>
      <c r="H156" s="7"/>
      <c r="I156" s="183">
        <v>110045091379</v>
      </c>
      <c r="J156" s="1">
        <f>IF(H156&lt;&gt;"",INDEX('Processed Non-zero TRI Data'!$L:$L,MATCH('Facility Summary_All'!H156,'Processed Non-zero TRI Data'!$I:$I,0)),INDEX('Processed Non-zero DMR Data'!$L:$L,MATCH('Facility Summary_All'!I156,'Processed Non-zero DMR Data'!$I:$I,0)))*1</f>
        <v>221320</v>
      </c>
      <c r="K156" s="185" t="str">
        <f>INDEX('2017 - 2022 NAICS'!$D:$D, MATCH('Facility Summary_All'!J156,'2017 - 2022 NAICS'!$C:$C,0))</f>
        <v>Sewage Treatment Facilities</v>
      </c>
      <c r="L156" t="str">
        <f>IFERROR(VLOOKUP(J156,'NAICS Code to IS CDR Code'!A:C,2,FALSE), "NAICS/SIC Not Provided")</f>
        <v>IS4</v>
      </c>
      <c r="M156" t="str">
        <f>IFERROR(VLOOKUP(J156,'NAICS Code to IS CDR Code'!A:C,3,FALSE), "NAICS/SIC Not Provided")</f>
        <v>Utilities</v>
      </c>
      <c r="N156" t="str">
        <f>IF(COUNTIF('Facility Summary_Water'!$M$2:$M$98,I156)&gt;0,"Yes","No")</f>
        <v>No</v>
      </c>
    </row>
    <row r="157" spans="1:14" x14ac:dyDescent="0.25">
      <c r="A157" s="7" t="s">
        <v>429</v>
      </c>
      <c r="B157" s="26"/>
      <c r="C157" s="26" t="s">
        <v>430</v>
      </c>
      <c r="D157" s="7" t="s">
        <v>367</v>
      </c>
      <c r="F157">
        <f>IF(H157&lt;&gt;"", INDEX('Processed Non-zero TRI Data'!$G:$G, MATCH(H157, 'Processed Non-zero TRI Data'!$I:$I,0)), INDEX('Processed Non-zero DMR Data'!$F:$F, MATCH(I157,'Processed Non-zero DMR Data'!$I:$I, 0)))</f>
        <v>36.091380999999998</v>
      </c>
      <c r="G157">
        <f>IF(H157&lt;&gt;"", INDEX('Processed Non-zero TRI Data'!$H:$H, MATCH(H157, 'Processed Non-zero TRI Data'!$I:$I,0)), INDEX('Processed Non-zero DMR Data'!$G:$G, MATCH(I157,'Processed Non-zero DMR Data'!$I:$I, 0)))</f>
        <v>-111.289585</v>
      </c>
      <c r="H157" s="7"/>
      <c r="I157" s="183">
        <v>110024409344</v>
      </c>
      <c r="J157" s="1">
        <f>IF(H157&lt;&gt;"",INDEX('Processed Non-zero TRI Data'!$L:$L,MATCH('Facility Summary_All'!H157,'Processed Non-zero TRI Data'!$I:$I,0)),INDEX('Processed Non-zero DMR Data'!$L:$L,MATCH('Facility Summary_All'!I157,'Processed Non-zero DMR Data'!$I:$I,0)))*1</f>
        <v>221320</v>
      </c>
      <c r="K157" s="185" t="str">
        <f>INDEX('2017 - 2022 NAICS'!$D:$D, MATCH('Facility Summary_All'!J157,'2017 - 2022 NAICS'!$C:$C,0))</f>
        <v>Sewage Treatment Facilities</v>
      </c>
      <c r="L157" t="str">
        <f>IFERROR(VLOOKUP(J157,'NAICS Code to IS CDR Code'!A:C,2,FALSE), "NAICS/SIC Not Provided")</f>
        <v>IS4</v>
      </c>
      <c r="M157" t="str">
        <f>IFERROR(VLOOKUP(J157,'NAICS Code to IS CDR Code'!A:C,3,FALSE), "NAICS/SIC Not Provided")</f>
        <v>Utilities</v>
      </c>
      <c r="N157" t="str">
        <f>IF(COUNTIF('Facility Summary_Water'!$M$2:$M$98,I157)&gt;0,"Yes","No")</f>
        <v>No</v>
      </c>
    </row>
    <row r="158" spans="1:14" x14ac:dyDescent="0.25">
      <c r="A158" s="7" t="s">
        <v>431</v>
      </c>
      <c r="B158" s="26"/>
      <c r="C158" s="26" t="s">
        <v>157</v>
      </c>
      <c r="D158" s="7" t="s">
        <v>158</v>
      </c>
      <c r="F158">
        <f>IF(H158&lt;&gt;"", INDEX('Processed Non-zero TRI Data'!$G:$G, MATCH(H158, 'Processed Non-zero TRI Data'!$I:$I,0)), INDEX('Processed Non-zero DMR Data'!$F:$F, MATCH(I158,'Processed Non-zero DMR Data'!$I:$I, 0)))</f>
        <v>36.19997</v>
      </c>
      <c r="G158">
        <f>IF(H158&lt;&gt;"", INDEX('Processed Non-zero TRI Data'!$H:$H, MATCH(H158, 'Processed Non-zero TRI Data'!$I:$I,0)), INDEX('Processed Non-zero DMR Data'!$G:$G, MATCH(I158,'Processed Non-zero DMR Data'!$I:$I, 0)))</f>
        <v>-115.19658</v>
      </c>
      <c r="H158" s="7"/>
      <c r="I158" s="183">
        <v>110064418553</v>
      </c>
      <c r="J158" s="1">
        <f>IF(H158&lt;&gt;"",INDEX('Processed Non-zero TRI Data'!$L:$L,MATCH('Facility Summary_All'!H158,'Processed Non-zero TRI Data'!$I:$I,0)),INDEX('Processed Non-zero DMR Data'!$L:$L,MATCH('Facility Summary_All'!I158,'Processed Non-zero DMR Data'!$I:$I,0)))*1</f>
        <v>457110</v>
      </c>
      <c r="K158" s="185" t="str">
        <f>INDEX('2017 - 2022 NAICS'!$D:$D, MATCH('Facility Summary_All'!J158,'2017 - 2022 NAICS'!$C:$C,0))</f>
        <v>Gasoline Stations with Convenience Stores</v>
      </c>
      <c r="L158" t="str">
        <f>IFERROR(VLOOKUP(J158,'NAICS Code to IS CDR Code'!A:C,2,FALSE), "NAICS/SIC Not Provided")</f>
        <v>NAICS/SIC Not Provided</v>
      </c>
      <c r="M158" t="str">
        <f>IFERROR(VLOOKUP(J158,'NAICS Code to IS CDR Code'!A:C,3,FALSE), "NAICS/SIC Not Provided")</f>
        <v>NAICS/SIC Not Provided</v>
      </c>
      <c r="N158" t="str">
        <f>IF(COUNTIF('Facility Summary_Water'!$M$2:$M$98,I158)&gt;0,"Yes","No")</f>
        <v>No</v>
      </c>
    </row>
    <row r="159" spans="1:14" x14ac:dyDescent="0.25">
      <c r="A159" s="7" t="s">
        <v>432</v>
      </c>
      <c r="B159" s="26"/>
      <c r="C159" s="26" t="s">
        <v>157</v>
      </c>
      <c r="D159" s="7" t="s">
        <v>158</v>
      </c>
      <c r="F159">
        <f>IF(H159&lt;&gt;"", INDEX('Processed Non-zero TRI Data'!$G:$G, MATCH(H159, 'Processed Non-zero TRI Data'!$I:$I,0)), INDEX('Processed Non-zero DMR Data'!$F:$F, MATCH(I159,'Processed Non-zero DMR Data'!$I:$I, 0)))</f>
        <v>36.16478</v>
      </c>
      <c r="G159">
        <f>IF(H159&lt;&gt;"", INDEX('Processed Non-zero TRI Data'!$H:$H, MATCH(H159, 'Processed Non-zero TRI Data'!$I:$I,0)), INDEX('Processed Non-zero DMR Data'!$G:$G, MATCH(I159,'Processed Non-zero DMR Data'!$I:$I, 0)))</f>
        <v>-115.14067</v>
      </c>
      <c r="H159" s="7"/>
      <c r="I159" s="183">
        <v>110017237373</v>
      </c>
      <c r="J159" s="1">
        <f>IF(H159&lt;&gt;"",INDEX('Processed Non-zero TRI Data'!$L:$L,MATCH('Facility Summary_All'!H159,'Processed Non-zero TRI Data'!$I:$I,0)),INDEX('Processed Non-zero DMR Data'!$L:$L,MATCH('Facility Summary_All'!I159,'Processed Non-zero DMR Data'!$I:$I,0)))*1</f>
        <v>611110</v>
      </c>
      <c r="K159" s="185" t="str">
        <f>INDEX('2017 - 2022 NAICS'!$D:$D, MATCH('Facility Summary_All'!J159,'2017 - 2022 NAICS'!$C:$C,0))</f>
        <v>Elementary and Secondary Schools</v>
      </c>
      <c r="L159" t="str">
        <f>IFERROR(VLOOKUP(J159,'NAICS Code to IS CDR Code'!A:C,2,FALSE), "NAICS/SIC Not Provided")</f>
        <v>IS47</v>
      </c>
      <c r="M159" t="str">
        <f>IFERROR(VLOOKUP(J159,'NAICS Code to IS CDR Code'!A:C,3,FALSE), "NAICS/SIC Not Provided")</f>
        <v>Services</v>
      </c>
      <c r="N159" t="str">
        <f>IF(COUNTIF('Facility Summary_Water'!$M$2:$M$98,I159)&gt;0,"Yes","No")</f>
        <v>No</v>
      </c>
    </row>
    <row r="160" spans="1:14" x14ac:dyDescent="0.25">
      <c r="A160" s="7" t="s">
        <v>433</v>
      </c>
      <c r="B160" s="26"/>
      <c r="C160" s="26" t="s">
        <v>434</v>
      </c>
      <c r="D160" s="7" t="s">
        <v>138</v>
      </c>
      <c r="F160">
        <f>IF(H160&lt;&gt;"", INDEX('Processed Non-zero TRI Data'!$G:$G, MATCH(H160, 'Processed Non-zero TRI Data'!$I:$I,0)), INDEX('Processed Non-zero DMR Data'!$F:$F, MATCH(I160,'Processed Non-zero DMR Data'!$I:$I, 0)))</f>
        <v>37.318492999999997</v>
      </c>
      <c r="G160">
        <f>IF(H160&lt;&gt;"", INDEX('Processed Non-zero TRI Data'!$H:$H, MATCH(H160, 'Processed Non-zero TRI Data'!$I:$I,0)), INDEX('Processed Non-zero DMR Data'!$G:$G, MATCH(I160,'Processed Non-zero DMR Data'!$I:$I, 0)))</f>
        <v>-87.549857000000003</v>
      </c>
      <c r="H160" s="7"/>
      <c r="I160" s="183">
        <v>110002041380</v>
      </c>
      <c r="J160" s="1">
        <f>IF(H160&lt;&gt;"",INDEX('Processed Non-zero TRI Data'!$L:$L,MATCH('Facility Summary_All'!H160,'Processed Non-zero TRI Data'!$I:$I,0)),INDEX('Processed Non-zero DMR Data'!$L:$L,MATCH('Facility Summary_All'!I160,'Processed Non-zero DMR Data'!$I:$I,0)))*1</f>
        <v>221320</v>
      </c>
      <c r="K160" s="185" t="str">
        <f>INDEX('2017 - 2022 NAICS'!$D:$D, MATCH('Facility Summary_All'!J160,'2017 - 2022 NAICS'!$C:$C,0))</f>
        <v>Sewage Treatment Facilities</v>
      </c>
      <c r="L160" t="str">
        <f>IFERROR(VLOOKUP(J160,'NAICS Code to IS CDR Code'!A:C,2,FALSE), "NAICS/SIC Not Provided")</f>
        <v>IS4</v>
      </c>
      <c r="M160" t="str">
        <f>IFERROR(VLOOKUP(J160,'NAICS Code to IS CDR Code'!A:C,3,FALSE), "NAICS/SIC Not Provided")</f>
        <v>Utilities</v>
      </c>
      <c r="N160" t="str">
        <f>IF(COUNTIF('Facility Summary_Water'!$M$2:$M$98,I160)&gt;0,"Yes","No")</f>
        <v>No</v>
      </c>
    </row>
    <row r="161" spans="1:14" x14ac:dyDescent="0.25">
      <c r="A161" s="7" t="s">
        <v>435</v>
      </c>
      <c r="B161" s="26"/>
      <c r="C161" s="26" t="s">
        <v>436</v>
      </c>
      <c r="D161" s="7" t="s">
        <v>138</v>
      </c>
      <c r="F161">
        <f>IF(H161&lt;&gt;"", INDEX('Processed Non-zero TRI Data'!$G:$G, MATCH(H161, 'Processed Non-zero TRI Data'!$I:$I,0)), INDEX('Processed Non-zero DMR Data'!$F:$F, MATCH(I161,'Processed Non-zero DMR Data'!$I:$I, 0)))</f>
        <v>37.780760000000001</v>
      </c>
      <c r="G161">
        <f>IF(H161&lt;&gt;"", INDEX('Processed Non-zero TRI Data'!$H:$H, MATCH(H161, 'Processed Non-zero TRI Data'!$I:$I,0)), INDEX('Processed Non-zero DMR Data'!$G:$G, MATCH(I161,'Processed Non-zero DMR Data'!$I:$I, 0)))</f>
        <v>-85.510740999999996</v>
      </c>
      <c r="H161" s="7"/>
      <c r="I161" s="183">
        <v>110009933402</v>
      </c>
      <c r="J161" s="1">
        <f>IF(H161&lt;&gt;"",INDEX('Processed Non-zero TRI Data'!$L:$L,MATCH('Facility Summary_All'!H161,'Processed Non-zero TRI Data'!$I:$I,0)),INDEX('Processed Non-zero DMR Data'!$L:$L,MATCH('Facility Summary_All'!I161,'Processed Non-zero DMR Data'!$I:$I,0)))*1</f>
        <v>221320</v>
      </c>
      <c r="K161" s="185" t="str">
        <f>INDEX('2017 - 2022 NAICS'!$D:$D, MATCH('Facility Summary_All'!J161,'2017 - 2022 NAICS'!$C:$C,0))</f>
        <v>Sewage Treatment Facilities</v>
      </c>
      <c r="L161" t="str">
        <f>IFERROR(VLOOKUP(J161,'NAICS Code to IS CDR Code'!A:C,2,FALSE), "NAICS/SIC Not Provided")</f>
        <v>IS4</v>
      </c>
      <c r="M161" t="str">
        <f>IFERROR(VLOOKUP(J161,'NAICS Code to IS CDR Code'!A:C,3,FALSE), "NAICS/SIC Not Provided")</f>
        <v>Utilities</v>
      </c>
      <c r="N161" t="str">
        <f>IF(COUNTIF('Facility Summary_Water'!$M$2:$M$98,I161)&gt;0,"Yes","No")</f>
        <v>No</v>
      </c>
    </row>
    <row r="162" spans="1:14" x14ac:dyDescent="0.25">
      <c r="A162" s="7" t="s">
        <v>437</v>
      </c>
      <c r="B162" s="26"/>
      <c r="C162" s="26" t="s">
        <v>438</v>
      </c>
      <c r="D162" s="7" t="s">
        <v>138</v>
      </c>
      <c r="F162">
        <f>IF(H162&lt;&gt;"", INDEX('Processed Non-zero TRI Data'!$G:$G, MATCH(H162, 'Processed Non-zero TRI Data'!$I:$I,0)), INDEX('Processed Non-zero DMR Data'!$F:$F, MATCH(I162,'Processed Non-zero DMR Data'!$I:$I, 0)))</f>
        <v>38.551630000000003</v>
      </c>
      <c r="G162">
        <f>IF(H162&lt;&gt;"", INDEX('Processed Non-zero TRI Data'!$H:$H, MATCH(H162, 'Processed Non-zero TRI Data'!$I:$I,0)), INDEX('Processed Non-zero DMR Data'!$G:$G, MATCH(I162,'Processed Non-zero DMR Data'!$I:$I, 0)))</f>
        <v>-82.778199999999998</v>
      </c>
      <c r="H162" s="7"/>
      <c r="I162" s="183">
        <v>110000759723</v>
      </c>
      <c r="J162" s="1">
        <f>IF(H162&lt;&gt;"",INDEX('Processed Non-zero TRI Data'!$L:$L,MATCH('Facility Summary_All'!H162,'Processed Non-zero TRI Data'!$I:$I,0)),INDEX('Processed Non-zero DMR Data'!$L:$L,MATCH('Facility Summary_All'!I162,'Processed Non-zero DMR Data'!$I:$I,0)))*1</f>
        <v>221320</v>
      </c>
      <c r="K162" s="185" t="str">
        <f>INDEX('2017 - 2022 NAICS'!$D:$D, MATCH('Facility Summary_All'!J162,'2017 - 2022 NAICS'!$C:$C,0))</f>
        <v>Sewage Treatment Facilities</v>
      </c>
      <c r="L162" t="str">
        <f>IFERROR(VLOOKUP(J162,'NAICS Code to IS CDR Code'!A:C,2,FALSE), "NAICS/SIC Not Provided")</f>
        <v>IS4</v>
      </c>
      <c r="M162" t="str">
        <f>IFERROR(VLOOKUP(J162,'NAICS Code to IS CDR Code'!A:C,3,FALSE), "NAICS/SIC Not Provided")</f>
        <v>Utilities</v>
      </c>
      <c r="N162" t="str">
        <f>IF(COUNTIF('Facility Summary_Water'!$M$2:$M$98,I162)&gt;0,"Yes","No")</f>
        <v>No</v>
      </c>
    </row>
    <row r="163" spans="1:14" x14ac:dyDescent="0.25">
      <c r="A163" s="7" t="s">
        <v>439</v>
      </c>
      <c r="B163" s="26"/>
      <c r="C163" s="26" t="s">
        <v>440</v>
      </c>
      <c r="D163" s="7" t="s">
        <v>138</v>
      </c>
      <c r="F163">
        <f>IF(H163&lt;&gt;"", INDEX('Processed Non-zero TRI Data'!$G:$G, MATCH(H163, 'Processed Non-zero TRI Data'!$I:$I,0)), INDEX('Processed Non-zero DMR Data'!$F:$F, MATCH(I163,'Processed Non-zero DMR Data'!$I:$I, 0)))</f>
        <v>37.621431000000001</v>
      </c>
      <c r="G163">
        <f>IF(H163&lt;&gt;"", INDEX('Processed Non-zero TRI Data'!$H:$H, MATCH(H163, 'Processed Non-zero TRI Data'!$I:$I,0)), INDEX('Processed Non-zero DMR Data'!$G:$G, MATCH(I163,'Processed Non-zero DMR Data'!$I:$I, 0)))</f>
        <v>-84.733756</v>
      </c>
      <c r="H163" s="7"/>
      <c r="I163" s="183">
        <v>110000732351</v>
      </c>
      <c r="J163" s="1">
        <f>IF(H163&lt;&gt;"",INDEX('Processed Non-zero TRI Data'!$L:$L,MATCH('Facility Summary_All'!H163,'Processed Non-zero TRI Data'!$I:$I,0)),INDEX('Processed Non-zero DMR Data'!$L:$L,MATCH('Facility Summary_All'!I163,'Processed Non-zero DMR Data'!$I:$I,0)))*1</f>
        <v>221320</v>
      </c>
      <c r="K163" s="185" t="str">
        <f>INDEX('2017 - 2022 NAICS'!$D:$D, MATCH('Facility Summary_All'!J163,'2017 - 2022 NAICS'!$C:$C,0))</f>
        <v>Sewage Treatment Facilities</v>
      </c>
      <c r="L163" t="str">
        <f>IFERROR(VLOOKUP(J163,'NAICS Code to IS CDR Code'!A:C,2,FALSE), "NAICS/SIC Not Provided")</f>
        <v>IS4</v>
      </c>
      <c r="M163" t="str">
        <f>IFERROR(VLOOKUP(J163,'NAICS Code to IS CDR Code'!A:C,3,FALSE), "NAICS/SIC Not Provided")</f>
        <v>Utilities</v>
      </c>
      <c r="N163" t="str">
        <f>IF(COUNTIF('Facility Summary_Water'!$M$2:$M$98,I163)&gt;0,"Yes","No")</f>
        <v>No</v>
      </c>
    </row>
    <row r="164" spans="1:14" x14ac:dyDescent="0.25">
      <c r="A164" s="7" t="s">
        <v>441</v>
      </c>
      <c r="B164" s="26"/>
      <c r="C164" s="26" t="s">
        <v>442</v>
      </c>
      <c r="D164" s="7" t="s">
        <v>138</v>
      </c>
      <c r="F164">
        <f>IF(H164&lt;&gt;"", INDEX('Processed Non-zero TRI Data'!$G:$G, MATCH(H164, 'Processed Non-zero TRI Data'!$I:$I,0)), INDEX('Processed Non-zero DMR Data'!$F:$F, MATCH(I164,'Processed Non-zero DMR Data'!$I:$I, 0)))</f>
        <v>37.861111000000001</v>
      </c>
      <c r="G164">
        <f>IF(H164&lt;&gt;"", INDEX('Processed Non-zero TRI Data'!$H:$H, MATCH(H164, 'Processed Non-zero TRI Data'!$I:$I,0)), INDEX('Processed Non-zero DMR Data'!$G:$G, MATCH(I164,'Processed Non-zero DMR Data'!$I:$I, 0)))</f>
        <v>-83.871667000000002</v>
      </c>
      <c r="H164" s="7"/>
      <c r="I164" s="183">
        <v>110009938470</v>
      </c>
      <c r="J164" s="1">
        <f>IF(H164&lt;&gt;"",INDEX('Processed Non-zero TRI Data'!$L:$L,MATCH('Facility Summary_All'!H164,'Processed Non-zero TRI Data'!$I:$I,0)),INDEX('Processed Non-zero DMR Data'!$L:$L,MATCH('Facility Summary_All'!I164,'Processed Non-zero DMR Data'!$I:$I,0)))*1</f>
        <v>221320</v>
      </c>
      <c r="K164" s="185" t="str">
        <f>INDEX('2017 - 2022 NAICS'!$D:$D, MATCH('Facility Summary_All'!J164,'2017 - 2022 NAICS'!$C:$C,0))</f>
        <v>Sewage Treatment Facilities</v>
      </c>
      <c r="L164" t="str">
        <f>IFERROR(VLOOKUP(J164,'NAICS Code to IS CDR Code'!A:C,2,FALSE), "NAICS/SIC Not Provided")</f>
        <v>IS4</v>
      </c>
      <c r="M164" t="str">
        <f>IFERROR(VLOOKUP(J164,'NAICS Code to IS CDR Code'!A:C,3,FALSE), "NAICS/SIC Not Provided")</f>
        <v>Utilities</v>
      </c>
      <c r="N164" t="str">
        <f>IF(COUNTIF('Facility Summary_Water'!$M$2:$M$98,I164)&gt;0,"Yes","No")</f>
        <v>No</v>
      </c>
    </row>
    <row r="165" spans="1:14" ht="30" x14ac:dyDescent="0.25">
      <c r="A165" s="7" t="s">
        <v>443</v>
      </c>
      <c r="B165" s="26"/>
      <c r="C165" s="26" t="s">
        <v>444</v>
      </c>
      <c r="D165" s="7" t="s">
        <v>138</v>
      </c>
      <c r="F165">
        <f>IF(H165&lt;&gt;"", INDEX('Processed Non-zero TRI Data'!$G:$G, MATCH(H165, 'Processed Non-zero TRI Data'!$I:$I,0)), INDEX('Processed Non-zero DMR Data'!$F:$F, MATCH(I165,'Processed Non-zero DMR Data'!$I:$I, 0)))</f>
        <v>38.32978</v>
      </c>
      <c r="G165">
        <f>IF(H165&lt;&gt;"", INDEX('Processed Non-zero TRI Data'!$H:$H, MATCH(H165, 'Processed Non-zero TRI Data'!$I:$I,0)), INDEX('Processed Non-zero DMR Data'!$G:$G, MATCH(I165,'Processed Non-zero DMR Data'!$I:$I, 0)))</f>
        <v>-85.540719999999993</v>
      </c>
      <c r="H165" s="7"/>
      <c r="I165" s="183">
        <v>110064615590</v>
      </c>
      <c r="J165" s="1">
        <f>IF(H165&lt;&gt;"",INDEX('Processed Non-zero TRI Data'!$L:$L,MATCH('Facility Summary_All'!H165,'Processed Non-zero TRI Data'!$I:$I,0)),INDEX('Processed Non-zero DMR Data'!$L:$L,MATCH('Facility Summary_All'!I165,'Processed Non-zero DMR Data'!$I:$I,0)))*1</f>
        <v>221320</v>
      </c>
      <c r="K165" s="185" t="str">
        <f>INDEX('2017 - 2022 NAICS'!$D:$D, MATCH('Facility Summary_All'!J165,'2017 - 2022 NAICS'!$C:$C,0))</f>
        <v>Sewage Treatment Facilities</v>
      </c>
      <c r="L165" t="str">
        <f>IFERROR(VLOOKUP(J165,'NAICS Code to IS CDR Code'!A:C,2,FALSE), "NAICS/SIC Not Provided")</f>
        <v>IS4</v>
      </c>
      <c r="M165" t="str">
        <f>IFERROR(VLOOKUP(J165,'NAICS Code to IS CDR Code'!A:C,3,FALSE), "NAICS/SIC Not Provided")</f>
        <v>Utilities</v>
      </c>
      <c r="N165" t="str">
        <f>IF(COUNTIF('Facility Summary_Water'!$M$2:$M$98,I165)&gt;0,"Yes","No")</f>
        <v>No</v>
      </c>
    </row>
    <row r="166" spans="1:14" x14ac:dyDescent="0.25">
      <c r="A166" s="7" t="s">
        <v>445</v>
      </c>
      <c r="B166" s="26"/>
      <c r="C166" s="26" t="s">
        <v>446</v>
      </c>
      <c r="D166" s="7" t="s">
        <v>146</v>
      </c>
      <c r="F166">
        <f>IF(H166&lt;&gt;"", INDEX('Processed Non-zero TRI Data'!$G:$G, MATCH(H166, 'Processed Non-zero TRI Data'!$I:$I,0)), INDEX('Processed Non-zero DMR Data'!$F:$F, MATCH(I166,'Processed Non-zero DMR Data'!$I:$I, 0)))</f>
        <v>33.990146000000003</v>
      </c>
      <c r="G166">
        <f>IF(H166&lt;&gt;"", INDEX('Processed Non-zero TRI Data'!$H:$H, MATCH(H166, 'Processed Non-zero TRI Data'!$I:$I,0)), INDEX('Processed Non-zero DMR Data'!$G:$G, MATCH(I166,'Processed Non-zero DMR Data'!$I:$I, 0)))</f>
        <v>-118.36358</v>
      </c>
      <c r="H166" s="7"/>
      <c r="I166" s="183">
        <v>110064624018</v>
      </c>
      <c r="J166" s="1">
        <f>IF(H166&lt;&gt;"",INDEX('Processed Non-zero TRI Data'!$L:$L,MATCH('Facility Summary_All'!H166,'Processed Non-zero TRI Data'!$I:$I,0)),INDEX('Processed Non-zero DMR Data'!$L:$L,MATCH('Facility Summary_All'!I166,'Processed Non-zero DMR Data'!$I:$I,0)))*1</f>
        <v>324110</v>
      </c>
      <c r="K166" s="185" t="str">
        <f>INDEX('2017 - 2022 NAICS'!$D:$D, MATCH('Facility Summary_All'!J166,'2017 - 2022 NAICS'!$C:$C,0))</f>
        <v>Petroleum Refineries</v>
      </c>
      <c r="L166" t="str">
        <f>IFERROR(VLOOKUP(J166,'NAICS Code to IS CDR Code'!A:C,2,FALSE), "NAICS/SIC Not Provided")</f>
        <v>IS11</v>
      </c>
      <c r="M166" t="str">
        <f>IFERROR(VLOOKUP(J166,'NAICS Code to IS CDR Code'!A:C,3,FALSE), "NAICS/SIC Not Provided")</f>
        <v>Petroleum Refineries</v>
      </c>
      <c r="N166" t="str">
        <f>IF(COUNTIF('Facility Summary_Water'!$M$2:$M$98,I166)&gt;0,"Yes","No")</f>
        <v>No</v>
      </c>
    </row>
    <row r="167" spans="1:14" x14ac:dyDescent="0.25">
      <c r="A167" s="7" t="s">
        <v>447</v>
      </c>
      <c r="B167" s="26"/>
      <c r="C167" s="26" t="s">
        <v>448</v>
      </c>
      <c r="D167" s="7" t="s">
        <v>146</v>
      </c>
      <c r="F167">
        <f>IF(H167&lt;&gt;"", INDEX('Processed Non-zero TRI Data'!$G:$G, MATCH(H167, 'Processed Non-zero TRI Data'!$I:$I,0)), INDEX('Processed Non-zero DMR Data'!$F:$F, MATCH(I167,'Processed Non-zero DMR Data'!$I:$I, 0)))</f>
        <v>39.814332999999998</v>
      </c>
      <c r="G167">
        <f>IF(H167&lt;&gt;"", INDEX('Processed Non-zero TRI Data'!$H:$H, MATCH(H167, 'Processed Non-zero TRI Data'!$I:$I,0)), INDEX('Processed Non-zero DMR Data'!$G:$G, MATCH(I167,'Processed Non-zero DMR Data'!$I:$I, 0)))</f>
        <v>-121.58030599999999</v>
      </c>
      <c r="H167" s="7"/>
      <c r="I167" s="183">
        <v>110000520026</v>
      </c>
      <c r="J167" s="1">
        <f>IF(H167&lt;&gt;"",INDEX('Processed Non-zero TRI Data'!$L:$L,MATCH('Facility Summary_All'!H167,'Processed Non-zero TRI Data'!$I:$I,0)),INDEX('Processed Non-zero DMR Data'!$L:$L,MATCH('Facility Summary_All'!I167,'Processed Non-zero DMR Data'!$I:$I,0)))*1</f>
        <v>221310</v>
      </c>
      <c r="K167" s="185" t="str">
        <f>INDEX('2017 - 2022 NAICS'!$D:$D, MATCH('Facility Summary_All'!J167,'2017 - 2022 NAICS'!$C:$C,0))</f>
        <v>Water Supply and Irrigation Systems</v>
      </c>
      <c r="L167" t="str">
        <f>IFERROR(VLOOKUP(J167,'NAICS Code to IS CDR Code'!A:C,2,FALSE), "NAICS/SIC Not Provided")</f>
        <v>IS4</v>
      </c>
      <c r="M167" t="str">
        <f>IFERROR(VLOOKUP(J167,'NAICS Code to IS CDR Code'!A:C,3,FALSE), "NAICS/SIC Not Provided")</f>
        <v>Utilities</v>
      </c>
      <c r="N167" t="str">
        <f>IF(COUNTIF('Facility Summary_Water'!$M$2:$M$98,I167)&gt;0,"Yes","No")</f>
        <v>No</v>
      </c>
    </row>
    <row r="168" spans="1:14" x14ac:dyDescent="0.25">
      <c r="A168" s="7" t="s">
        <v>449</v>
      </c>
      <c r="B168" s="26"/>
      <c r="C168" s="26" t="s">
        <v>450</v>
      </c>
      <c r="D168" s="7" t="s">
        <v>138</v>
      </c>
      <c r="F168">
        <f>IF(H168&lt;&gt;"", INDEX('Processed Non-zero TRI Data'!$G:$G, MATCH(H168, 'Processed Non-zero TRI Data'!$I:$I,0)), INDEX('Processed Non-zero DMR Data'!$F:$F, MATCH(I168,'Processed Non-zero DMR Data'!$I:$I, 0)))</f>
        <v>38.394444</v>
      </c>
      <c r="G168">
        <f>IF(H168&lt;&gt;"", INDEX('Processed Non-zero TRI Data'!$H:$H, MATCH(H168, 'Processed Non-zero TRI Data'!$I:$I,0)), INDEX('Processed Non-zero DMR Data'!$G:$G, MATCH(I168,'Processed Non-zero DMR Data'!$I:$I, 0)))</f>
        <v>-84.284999999999997</v>
      </c>
      <c r="H168" s="7"/>
      <c r="I168" s="183">
        <v>110020737540</v>
      </c>
      <c r="J168" s="1">
        <f>IF(H168&lt;&gt;"",INDEX('Processed Non-zero TRI Data'!$L:$L,MATCH('Facility Summary_All'!H168,'Processed Non-zero TRI Data'!$I:$I,0)),INDEX('Processed Non-zero DMR Data'!$L:$L,MATCH('Facility Summary_All'!I168,'Processed Non-zero DMR Data'!$I:$I,0)))*1</f>
        <v>221320</v>
      </c>
      <c r="K168" s="185" t="str">
        <f>INDEX('2017 - 2022 NAICS'!$D:$D, MATCH('Facility Summary_All'!J168,'2017 - 2022 NAICS'!$C:$C,0))</f>
        <v>Sewage Treatment Facilities</v>
      </c>
      <c r="L168" t="str">
        <f>IFERROR(VLOOKUP(J168,'NAICS Code to IS CDR Code'!A:C,2,FALSE), "NAICS/SIC Not Provided")</f>
        <v>IS4</v>
      </c>
      <c r="M168" t="str">
        <f>IFERROR(VLOOKUP(J168,'NAICS Code to IS CDR Code'!A:C,3,FALSE), "NAICS/SIC Not Provided")</f>
        <v>Utilities</v>
      </c>
      <c r="N168" t="str">
        <f>IF(COUNTIF('Facility Summary_Water'!$M$2:$M$98,I168)&gt;0,"Yes","No")</f>
        <v>No</v>
      </c>
    </row>
    <row r="169" spans="1:14" x14ac:dyDescent="0.25">
      <c r="A169" s="7" t="s">
        <v>451</v>
      </c>
      <c r="B169" s="26"/>
      <c r="C169" s="26" t="s">
        <v>324</v>
      </c>
      <c r="D169" s="7" t="s">
        <v>452</v>
      </c>
      <c r="F169">
        <f>IF(H169&lt;&gt;"", INDEX('Processed Non-zero TRI Data'!$G:$G, MATCH(H169, 'Processed Non-zero TRI Data'!$I:$I,0)), INDEX('Processed Non-zero DMR Data'!$F:$F, MATCH(I169,'Processed Non-zero DMR Data'!$I:$I, 0)))</f>
        <v>34.047217000000003</v>
      </c>
      <c r="G169">
        <f>IF(H169&lt;&gt;"", INDEX('Processed Non-zero TRI Data'!$H:$H, MATCH(H169, 'Processed Non-zero TRI Data'!$I:$I,0)), INDEX('Processed Non-zero DMR Data'!$G:$G, MATCH(I169,'Processed Non-zero DMR Data'!$I:$I, 0)))</f>
        <v>-81.151325999999997</v>
      </c>
      <c r="H169" s="7"/>
      <c r="I169" s="183">
        <v>110000854246</v>
      </c>
      <c r="J169" s="1">
        <f>IF(H169&lt;&gt;"",INDEX('Processed Non-zero TRI Data'!$L:$L,MATCH('Facility Summary_All'!H169,'Processed Non-zero TRI Data'!$I:$I,0)),INDEX('Processed Non-zero DMR Data'!$L:$L,MATCH('Facility Summary_All'!I169,'Processed Non-zero DMR Data'!$I:$I,0)))*1</f>
        <v>325220</v>
      </c>
      <c r="K169" s="185" t="str">
        <f>INDEX('2017 - 2022 NAICS'!$D:$D, MATCH('Facility Summary_All'!J169,'2017 - 2022 NAICS'!$C:$C,0))</f>
        <v>Artificial and Synthetic Fibers and Filaments Manufacturing</v>
      </c>
      <c r="L169" t="str">
        <f>IFERROR(VLOOKUP(J169,'NAICS Code to IS CDR Code'!A:C,2,FALSE), "NAICS/SIC Not Provided")</f>
        <v>IS24</v>
      </c>
      <c r="M169" t="str">
        <f>IFERROR(VLOOKUP(J169,'NAICS Code to IS CDR Code'!A:C,3,FALSE), "NAICS/SIC Not Provided")</f>
        <v>Organic Fiber Manufacturing</v>
      </c>
      <c r="N169" t="str">
        <f>IF(COUNTIF('Facility Summary_Water'!$M$2:$M$98,I169)&gt;0,"Yes","No")</f>
        <v>No</v>
      </c>
    </row>
    <row r="170" spans="1:14" x14ac:dyDescent="0.25">
      <c r="A170" s="7" t="s">
        <v>453</v>
      </c>
      <c r="B170" s="26"/>
      <c r="C170" s="26" t="s">
        <v>454</v>
      </c>
      <c r="D170" s="7" t="s">
        <v>146</v>
      </c>
      <c r="F170">
        <f>IF(H170&lt;&gt;"", INDEX('Processed Non-zero TRI Data'!$G:$G, MATCH(H170, 'Processed Non-zero TRI Data'!$I:$I,0)), INDEX('Processed Non-zero DMR Data'!$F:$F, MATCH(I170,'Processed Non-zero DMR Data'!$I:$I, 0)))</f>
        <v>38.333300000000001</v>
      </c>
      <c r="G170">
        <f>IF(H170&lt;&gt;"", INDEX('Processed Non-zero TRI Data'!$H:$H, MATCH(H170, 'Processed Non-zero TRI Data'!$I:$I,0)), INDEX('Processed Non-zero DMR Data'!$G:$G, MATCH(I170,'Processed Non-zero DMR Data'!$I:$I, 0)))</f>
        <v>-120.7833</v>
      </c>
      <c r="H170" s="7"/>
      <c r="I170" s="183">
        <v>110011373637</v>
      </c>
      <c r="J170" s="1">
        <f>IF(H170&lt;&gt;"",INDEX('Processed Non-zero TRI Data'!$L:$L,MATCH('Facility Summary_All'!H170,'Processed Non-zero TRI Data'!$I:$I,0)),INDEX('Processed Non-zero DMR Data'!$L:$L,MATCH('Facility Summary_All'!I170,'Processed Non-zero DMR Data'!$I:$I,0)))*1</f>
        <v>221320</v>
      </c>
      <c r="K170" s="185" t="str">
        <f>INDEX('2017 - 2022 NAICS'!$D:$D, MATCH('Facility Summary_All'!J170,'2017 - 2022 NAICS'!$C:$C,0))</f>
        <v>Sewage Treatment Facilities</v>
      </c>
      <c r="L170" t="str">
        <f>IFERROR(VLOOKUP(J170,'NAICS Code to IS CDR Code'!A:C,2,FALSE), "NAICS/SIC Not Provided")</f>
        <v>IS4</v>
      </c>
      <c r="M170" t="str">
        <f>IFERROR(VLOOKUP(J170,'NAICS Code to IS CDR Code'!A:C,3,FALSE), "NAICS/SIC Not Provided")</f>
        <v>Utilities</v>
      </c>
      <c r="N170" t="str">
        <f>IF(COUNTIF('Facility Summary_Water'!$M$2:$M$98,I170)&gt;0,"Yes","No")</f>
        <v>No</v>
      </c>
    </row>
    <row r="171" spans="1:14" x14ac:dyDescent="0.25">
      <c r="A171" s="7" t="s">
        <v>455</v>
      </c>
      <c r="B171" s="26"/>
      <c r="C171" s="26" t="s">
        <v>456</v>
      </c>
      <c r="D171" s="7" t="s">
        <v>186</v>
      </c>
      <c r="F171">
        <f>IF(H171&lt;&gt;"", INDEX('Processed Non-zero TRI Data'!$G:$G, MATCH(H171, 'Processed Non-zero TRI Data'!$I:$I,0)), INDEX('Processed Non-zero DMR Data'!$F:$F, MATCH(I171,'Processed Non-zero DMR Data'!$I:$I, 0)))</f>
        <v>19.713750000000001</v>
      </c>
      <c r="G171">
        <f>IF(H171&lt;&gt;"", INDEX('Processed Non-zero TRI Data'!$H:$H, MATCH(H171, 'Processed Non-zero TRI Data'!$I:$I,0)), INDEX('Processed Non-zero DMR Data'!$G:$G, MATCH(I171,'Processed Non-zero DMR Data'!$I:$I, 0)))</f>
        <v>-155.01927800000001</v>
      </c>
      <c r="H171" s="7"/>
      <c r="I171" s="183">
        <v>110013786698</v>
      </c>
      <c r="J171" s="1">
        <f>IF(H171&lt;&gt;"",INDEX('Processed Non-zero TRI Data'!$L:$L,MATCH('Facility Summary_All'!H171,'Processed Non-zero TRI Data'!$I:$I,0)),INDEX('Processed Non-zero DMR Data'!$L:$L,MATCH('Facility Summary_All'!I171,'Processed Non-zero DMR Data'!$I:$I,0)))*1</f>
        <v>221320</v>
      </c>
      <c r="K171" s="185" t="str">
        <f>INDEX('2017 - 2022 NAICS'!$D:$D, MATCH('Facility Summary_All'!J171,'2017 - 2022 NAICS'!$C:$C,0))</f>
        <v>Sewage Treatment Facilities</v>
      </c>
      <c r="L171" t="str">
        <f>IFERROR(VLOOKUP(J171,'NAICS Code to IS CDR Code'!A:C,2,FALSE), "NAICS/SIC Not Provided")</f>
        <v>IS4</v>
      </c>
      <c r="M171" t="str">
        <f>IFERROR(VLOOKUP(J171,'NAICS Code to IS CDR Code'!A:C,3,FALSE), "NAICS/SIC Not Provided")</f>
        <v>Utilities</v>
      </c>
      <c r="N171" t="str">
        <f>IF(COUNTIF('Facility Summary_Water'!$M$2:$M$98,I171)&gt;0,"Yes","No")</f>
        <v>No</v>
      </c>
    </row>
    <row r="172" spans="1:14" x14ac:dyDescent="0.25">
      <c r="A172" s="7" t="s">
        <v>457</v>
      </c>
      <c r="B172" s="26"/>
      <c r="C172" s="26" t="s">
        <v>157</v>
      </c>
      <c r="D172" s="7" t="s">
        <v>158</v>
      </c>
      <c r="F172">
        <f>IF(H172&lt;&gt;"", INDEX('Processed Non-zero TRI Data'!$G:$G, MATCH(H172, 'Processed Non-zero TRI Data'!$I:$I,0)), INDEX('Processed Non-zero DMR Data'!$F:$F, MATCH(I172,'Processed Non-zero DMR Data'!$I:$I, 0)))</f>
        <v>36.090899999999998</v>
      </c>
      <c r="G172">
        <f>IF(H172&lt;&gt;"", INDEX('Processed Non-zero TRI Data'!$H:$H, MATCH(H172, 'Processed Non-zero TRI Data'!$I:$I,0)), INDEX('Processed Non-zero DMR Data'!$G:$G, MATCH(I172,'Processed Non-zero DMR Data'!$I:$I, 0)))</f>
        <v>-115.1833</v>
      </c>
      <c r="H172" s="7"/>
      <c r="I172" s="183">
        <v>110070948151</v>
      </c>
      <c r="J172" s="1">
        <f>IF(H172&lt;&gt;"",INDEX('Processed Non-zero TRI Data'!$L:$L,MATCH('Facility Summary_All'!H172,'Processed Non-zero TRI Data'!$I:$I,0)),INDEX('Processed Non-zero DMR Data'!$L:$L,MATCH('Facility Summary_All'!I172,'Processed Non-zero DMR Data'!$I:$I,0)))*1</f>
        <v>711211</v>
      </c>
      <c r="K172" s="185" t="str">
        <f>INDEX('2017 - 2022 NAICS'!$D:$D, MATCH('Facility Summary_All'!J172,'2017 - 2022 NAICS'!$C:$C,0))</f>
        <v>Sports Teams and Clubs</v>
      </c>
      <c r="L172" t="str">
        <f>IFERROR(VLOOKUP(J172,'NAICS Code to IS CDR Code'!A:C,2,FALSE), "NAICS/SIC Not Provided")</f>
        <v>IS47</v>
      </c>
      <c r="M172" t="str">
        <f>IFERROR(VLOOKUP(J172,'NAICS Code to IS CDR Code'!A:C,3,FALSE), "NAICS/SIC Not Provided")</f>
        <v>Services</v>
      </c>
      <c r="N172" t="str">
        <f>IF(COUNTIF('Facility Summary_Water'!$M$2:$M$98,I172)&gt;0,"Yes","No")</f>
        <v>No</v>
      </c>
    </row>
    <row r="173" spans="1:14" x14ac:dyDescent="0.25">
      <c r="A173" s="7" t="s">
        <v>458</v>
      </c>
      <c r="B173" s="26"/>
      <c r="C173" s="26" t="s">
        <v>459</v>
      </c>
      <c r="D173" s="7" t="s">
        <v>309</v>
      </c>
      <c r="F173">
        <f>IF(H173&lt;&gt;"", INDEX('Processed Non-zero TRI Data'!$G:$G, MATCH(H173, 'Processed Non-zero TRI Data'!$I:$I,0)), INDEX('Processed Non-zero DMR Data'!$F:$F, MATCH(I173,'Processed Non-zero DMR Data'!$I:$I, 0)))</f>
        <v>35.607599999999998</v>
      </c>
      <c r="G173">
        <f>IF(H173&lt;&gt;"", INDEX('Processed Non-zero TRI Data'!$H:$H, MATCH(H173, 'Processed Non-zero TRI Data'!$I:$I,0)), INDEX('Processed Non-zero DMR Data'!$G:$G, MATCH(I173,'Processed Non-zero DMR Data'!$I:$I, 0)))</f>
        <v>-89.237700000000004</v>
      </c>
      <c r="H173" s="7"/>
      <c r="I173" s="183">
        <v>110000373621</v>
      </c>
      <c r="J173" s="1">
        <f>IF(H173&lt;&gt;"",INDEX('Processed Non-zero TRI Data'!$L:$L,MATCH('Facility Summary_All'!H173,'Processed Non-zero TRI Data'!$I:$I,0)),INDEX('Processed Non-zero DMR Data'!$L:$L,MATCH('Facility Summary_All'!I173,'Processed Non-zero DMR Data'!$I:$I,0)))*1</f>
        <v>325991</v>
      </c>
      <c r="K173" s="185" t="str">
        <f>INDEX('2017 - 2022 NAICS'!$D:$D, MATCH('Facility Summary_All'!J173,'2017 - 2022 NAICS'!$C:$C,0))</f>
        <v>Custom Compounding of Purchased Resins</v>
      </c>
      <c r="L173" t="str">
        <f>IFERROR(VLOOKUP(J173,'NAICS Code to IS CDR Code'!A:C,2,FALSE), "NAICS/SIC Not Provided")</f>
        <v>IS32</v>
      </c>
      <c r="M173" t="str">
        <f>IFERROR(VLOOKUP(J173,'NAICS Code to IS CDR Code'!A:C,3,FALSE), "NAICS/SIC Not Provided")</f>
        <v>Custom Compounding of Purchased Resin</v>
      </c>
      <c r="N173" t="str">
        <f>IF(COUNTIF('Facility Summary_Water'!$M$2:$M$98,I173)&gt;0,"Yes","No")</f>
        <v>No</v>
      </c>
    </row>
    <row r="174" spans="1:14" x14ac:dyDescent="0.25">
      <c r="A174" s="7" t="s">
        <v>460</v>
      </c>
      <c r="B174" s="26"/>
      <c r="C174" s="26" t="s">
        <v>461</v>
      </c>
      <c r="D174" s="7" t="s">
        <v>138</v>
      </c>
      <c r="F174">
        <f>IF(H174&lt;&gt;"", INDEX('Processed Non-zero TRI Data'!$G:$G, MATCH(H174, 'Processed Non-zero TRI Data'!$I:$I,0)), INDEX('Processed Non-zero DMR Data'!$F:$F, MATCH(I174,'Processed Non-zero DMR Data'!$I:$I, 0)))</f>
        <v>38.369734999999999</v>
      </c>
      <c r="G174">
        <f>IF(H174&lt;&gt;"", INDEX('Processed Non-zero TRI Data'!$H:$H, MATCH(H174, 'Processed Non-zero TRI Data'!$I:$I,0)), INDEX('Processed Non-zero DMR Data'!$G:$G, MATCH(I174,'Processed Non-zero DMR Data'!$I:$I, 0)))</f>
        <v>-85.180234999999996</v>
      </c>
      <c r="H174" s="7"/>
      <c r="I174" s="183">
        <v>110064268260</v>
      </c>
      <c r="J174" s="1">
        <f>IF(H174&lt;&gt;"",INDEX('Processed Non-zero TRI Data'!$L:$L,MATCH('Facility Summary_All'!H174,'Processed Non-zero TRI Data'!$I:$I,0)),INDEX('Processed Non-zero DMR Data'!$L:$L,MATCH('Facility Summary_All'!I174,'Processed Non-zero DMR Data'!$I:$I,0)))*1</f>
        <v>221320</v>
      </c>
      <c r="K174" s="185" t="str">
        <f>INDEX('2017 - 2022 NAICS'!$D:$D, MATCH('Facility Summary_All'!J174,'2017 - 2022 NAICS'!$C:$C,0))</f>
        <v>Sewage Treatment Facilities</v>
      </c>
      <c r="L174" t="str">
        <f>IFERROR(VLOOKUP(J174,'NAICS Code to IS CDR Code'!A:C,2,FALSE), "NAICS/SIC Not Provided")</f>
        <v>IS4</v>
      </c>
      <c r="M174" t="str">
        <f>IFERROR(VLOOKUP(J174,'NAICS Code to IS CDR Code'!A:C,3,FALSE), "NAICS/SIC Not Provided")</f>
        <v>Utilities</v>
      </c>
      <c r="N174" t="str">
        <f>IF(COUNTIF('Facility Summary_Water'!$M$2:$M$98,I174)&gt;0,"Yes","No")</f>
        <v>No</v>
      </c>
    </row>
    <row r="175" spans="1:14" x14ac:dyDescent="0.25">
      <c r="A175" s="7" t="s">
        <v>462</v>
      </c>
      <c r="B175" s="26"/>
      <c r="C175" s="26" t="s">
        <v>463</v>
      </c>
      <c r="D175" s="7" t="s">
        <v>186</v>
      </c>
      <c r="F175">
        <f>IF(H175&lt;&gt;"", INDEX('Processed Non-zero TRI Data'!$G:$G, MATCH(H175, 'Processed Non-zero TRI Data'!$I:$I,0)), INDEX('Processed Non-zero DMR Data'!$F:$F, MATCH(I175,'Processed Non-zero DMR Data'!$I:$I, 0)))</f>
        <v>21.994944</v>
      </c>
      <c r="G175">
        <f>IF(H175&lt;&gt;"", INDEX('Processed Non-zero TRI Data'!$H:$H, MATCH(H175, 'Processed Non-zero TRI Data'!$I:$I,0)), INDEX('Processed Non-zero DMR Data'!$G:$G, MATCH(I175,'Processed Non-zero DMR Data'!$I:$I, 0)))</f>
        <v>-159.75363899999999</v>
      </c>
      <c r="H175" s="7"/>
      <c r="I175" s="183">
        <v>110006777247</v>
      </c>
      <c r="J175" s="1" t="e">
        <f>IF(H175&lt;&gt;"",INDEX('Processed Non-zero TRI Data'!$L:$L,MATCH('Facility Summary_All'!H175,'Processed Non-zero TRI Data'!$I:$I,0)),INDEX('Processed Non-zero DMR Data'!$L:$L,MATCH('Facility Summary_All'!I175,'Processed Non-zero DMR Data'!$I:$I,0)))*1</f>
        <v>#N/A</v>
      </c>
      <c r="K175" s="185" t="e">
        <f>INDEX('2017 - 2022 NAICS'!$D:$D, MATCH('Facility Summary_All'!J175,'2017 - 2022 NAICS'!$C:$C,0))</f>
        <v>#N/A</v>
      </c>
      <c r="L175" t="str">
        <f>IFERROR(VLOOKUP(J175,'NAICS Code to IS CDR Code'!A:C,2,FALSE), "NAICS/SIC Not Provided")</f>
        <v>NAICS/SIC Not Provided</v>
      </c>
      <c r="M175" t="str">
        <f>IFERROR(VLOOKUP(J175,'NAICS Code to IS CDR Code'!A:C,3,FALSE), "NAICS/SIC Not Provided")</f>
        <v>NAICS/SIC Not Provided</v>
      </c>
      <c r="N175" t="str">
        <f>IF(COUNTIF('Facility Summary_Water'!$M$2:$M$98,I175)&gt;0,"Yes","No")</f>
        <v>No</v>
      </c>
    </row>
    <row r="176" spans="1:14" x14ac:dyDescent="0.25">
      <c r="A176" s="7" t="s">
        <v>464</v>
      </c>
      <c r="B176" s="26"/>
      <c r="C176" s="26" t="s">
        <v>465</v>
      </c>
      <c r="D176" s="7" t="s">
        <v>146</v>
      </c>
      <c r="F176">
        <f>IF(H176&lt;&gt;"", INDEX('Processed Non-zero TRI Data'!$G:$G, MATCH(H176, 'Processed Non-zero TRI Data'!$I:$I,0)), INDEX('Processed Non-zero DMR Data'!$F:$F, MATCH(I176,'Processed Non-zero DMR Data'!$I:$I, 0)))</f>
        <v>38.662149999999997</v>
      </c>
      <c r="G176">
        <f>IF(H176&lt;&gt;"", INDEX('Processed Non-zero TRI Data'!$H:$H, MATCH(H176, 'Processed Non-zero TRI Data'!$I:$I,0)), INDEX('Processed Non-zero DMR Data'!$G:$G, MATCH(I176,'Processed Non-zero DMR Data'!$I:$I, 0)))</f>
        <v>-121.71407000000001</v>
      </c>
      <c r="H176" s="7"/>
      <c r="I176" s="183">
        <v>110039782349</v>
      </c>
      <c r="J176" s="1">
        <f>IF(H176&lt;&gt;"",INDEX('Processed Non-zero TRI Data'!$L:$L,MATCH('Facility Summary_All'!H176,'Processed Non-zero TRI Data'!$I:$I,0)),INDEX('Processed Non-zero DMR Data'!$L:$L,MATCH('Facility Summary_All'!I176,'Processed Non-zero DMR Data'!$I:$I,0)))*1</f>
        <v>221320</v>
      </c>
      <c r="K176" s="185" t="str">
        <f>INDEX('2017 - 2022 NAICS'!$D:$D, MATCH('Facility Summary_All'!J176,'2017 - 2022 NAICS'!$C:$C,0))</f>
        <v>Sewage Treatment Facilities</v>
      </c>
      <c r="L176" t="str">
        <f>IFERROR(VLOOKUP(J176,'NAICS Code to IS CDR Code'!A:C,2,FALSE), "NAICS/SIC Not Provided")</f>
        <v>IS4</v>
      </c>
      <c r="M176" t="str">
        <f>IFERROR(VLOOKUP(J176,'NAICS Code to IS CDR Code'!A:C,3,FALSE), "NAICS/SIC Not Provided")</f>
        <v>Utilities</v>
      </c>
      <c r="N176" t="str">
        <f>IF(COUNTIF('Facility Summary_Water'!$M$2:$M$98,I176)&gt;0,"Yes","No")</f>
        <v>No</v>
      </c>
    </row>
    <row r="177" spans="1:14" x14ac:dyDescent="0.25">
      <c r="A177" s="7" t="s">
        <v>466</v>
      </c>
      <c r="B177" s="26"/>
      <c r="C177" s="26" t="s">
        <v>467</v>
      </c>
      <c r="D177" s="7" t="s">
        <v>138</v>
      </c>
      <c r="F177">
        <f>IF(H177&lt;&gt;"", INDEX('Processed Non-zero TRI Data'!$G:$G, MATCH(H177, 'Processed Non-zero TRI Data'!$I:$I,0)), INDEX('Processed Non-zero DMR Data'!$F:$F, MATCH(I177,'Processed Non-zero DMR Data'!$I:$I, 0)))</f>
        <v>37.616959999999999</v>
      </c>
      <c r="G177">
        <f>IF(H177&lt;&gt;"", INDEX('Processed Non-zero TRI Data'!$H:$H, MATCH(H177, 'Processed Non-zero TRI Data'!$I:$I,0)), INDEX('Processed Non-zero DMR Data'!$G:$G, MATCH(I177,'Processed Non-zero DMR Data'!$I:$I, 0)))</f>
        <v>-84.585099999999997</v>
      </c>
      <c r="H177" s="7"/>
      <c r="I177" s="183">
        <v>110039705049</v>
      </c>
      <c r="J177" s="1">
        <f>IF(H177&lt;&gt;"",INDEX('Processed Non-zero TRI Data'!$L:$L,MATCH('Facility Summary_All'!H177,'Processed Non-zero TRI Data'!$I:$I,0)),INDEX('Processed Non-zero DMR Data'!$L:$L,MATCH('Facility Summary_All'!I177,'Processed Non-zero DMR Data'!$I:$I,0)))*1</f>
        <v>221320</v>
      </c>
      <c r="K177" s="185" t="str">
        <f>INDEX('2017 - 2022 NAICS'!$D:$D, MATCH('Facility Summary_All'!J177,'2017 - 2022 NAICS'!$C:$C,0))</f>
        <v>Sewage Treatment Facilities</v>
      </c>
      <c r="L177" t="str">
        <f>IFERROR(VLOOKUP(J177,'NAICS Code to IS CDR Code'!A:C,2,FALSE), "NAICS/SIC Not Provided")</f>
        <v>IS4</v>
      </c>
      <c r="M177" t="str">
        <f>IFERROR(VLOOKUP(J177,'NAICS Code to IS CDR Code'!A:C,3,FALSE), "NAICS/SIC Not Provided")</f>
        <v>Utilities</v>
      </c>
      <c r="N177" t="str">
        <f>IF(COUNTIF('Facility Summary_Water'!$M$2:$M$98,I177)&gt;0,"Yes","No")</f>
        <v>No</v>
      </c>
    </row>
    <row r="178" spans="1:14" x14ac:dyDescent="0.25">
      <c r="A178" s="7" t="s">
        <v>468</v>
      </c>
      <c r="B178" s="26"/>
      <c r="C178" s="26" t="s">
        <v>469</v>
      </c>
      <c r="D178" s="7" t="s">
        <v>146</v>
      </c>
      <c r="F178">
        <f>IF(H178&lt;&gt;"", INDEX('Processed Non-zero TRI Data'!$G:$G, MATCH(H178, 'Processed Non-zero TRI Data'!$I:$I,0)), INDEX('Processed Non-zero DMR Data'!$F:$F, MATCH(I178,'Processed Non-zero DMR Data'!$I:$I, 0)))</f>
        <v>37.894722000000002</v>
      </c>
      <c r="G178">
        <f>IF(H178&lt;&gt;"", INDEX('Processed Non-zero TRI Data'!$H:$H, MATCH(H178, 'Processed Non-zero TRI Data'!$I:$I,0)), INDEX('Processed Non-zero DMR Data'!$G:$G, MATCH(I178,'Processed Non-zero DMR Data'!$I:$I, 0)))</f>
        <v>-121.587222</v>
      </c>
      <c r="H178" s="7"/>
      <c r="I178" s="183">
        <v>110001103911</v>
      </c>
      <c r="J178" s="1">
        <f>IF(H178&lt;&gt;"",INDEX('Processed Non-zero TRI Data'!$L:$L,MATCH('Facility Summary_All'!H178,'Processed Non-zero TRI Data'!$I:$I,0)),INDEX('Processed Non-zero DMR Data'!$L:$L,MATCH('Facility Summary_All'!I178,'Processed Non-zero DMR Data'!$I:$I,0)))*1</f>
        <v>221320</v>
      </c>
      <c r="K178" s="185" t="str">
        <f>INDEX('2017 - 2022 NAICS'!$D:$D, MATCH('Facility Summary_All'!J178,'2017 - 2022 NAICS'!$C:$C,0))</f>
        <v>Sewage Treatment Facilities</v>
      </c>
      <c r="L178" t="str">
        <f>IFERROR(VLOOKUP(J178,'NAICS Code to IS CDR Code'!A:C,2,FALSE), "NAICS/SIC Not Provided")</f>
        <v>IS4</v>
      </c>
      <c r="M178" t="str">
        <f>IFERROR(VLOOKUP(J178,'NAICS Code to IS CDR Code'!A:C,3,FALSE), "NAICS/SIC Not Provided")</f>
        <v>Utilities</v>
      </c>
      <c r="N178" t="str">
        <f>IF(COUNTIF('Facility Summary_Water'!$M$2:$M$98,I178)&gt;0,"Yes","No")</f>
        <v>No</v>
      </c>
    </row>
    <row r="179" spans="1:14" x14ac:dyDescent="0.25">
      <c r="A179" s="7" t="s">
        <v>470</v>
      </c>
      <c r="B179" s="26"/>
      <c r="C179" s="26" t="s">
        <v>157</v>
      </c>
      <c r="D179" s="7" t="s">
        <v>158</v>
      </c>
      <c r="F179">
        <f>IF(H179&lt;&gt;"", INDEX('Processed Non-zero TRI Data'!$G:$G, MATCH(H179, 'Processed Non-zero TRI Data'!$I:$I,0)), INDEX('Processed Non-zero DMR Data'!$F:$F, MATCH(I179,'Processed Non-zero DMR Data'!$I:$I, 0)))</f>
        <v>36.137529999999998</v>
      </c>
      <c r="G179">
        <f>IF(H179&lt;&gt;"", INDEX('Processed Non-zero TRI Data'!$H:$H, MATCH(H179, 'Processed Non-zero TRI Data'!$I:$I,0)), INDEX('Processed Non-zero DMR Data'!$G:$G, MATCH(I179,'Processed Non-zero DMR Data'!$I:$I, 0)))</f>
        <v>-115.15479000000001</v>
      </c>
      <c r="H179" s="7"/>
      <c r="I179" s="183">
        <v>110020039402</v>
      </c>
      <c r="J179" s="1">
        <f>IF(H179&lt;&gt;"",INDEX('Processed Non-zero TRI Data'!$L:$L,MATCH('Facility Summary_All'!H179,'Processed Non-zero TRI Data'!$I:$I,0)),INDEX('Processed Non-zero DMR Data'!$L:$L,MATCH('Facility Summary_All'!I179,'Processed Non-zero DMR Data'!$I:$I,0)))*1</f>
        <v>721110</v>
      </c>
      <c r="K179" s="185" t="str">
        <f>INDEX('2017 - 2022 NAICS'!$D:$D, MATCH('Facility Summary_All'!J179,'2017 - 2022 NAICS'!$C:$C,0))</f>
        <v>Hotels (except Casino Hotels) and Motels</v>
      </c>
      <c r="L179" t="str">
        <f>IFERROR(VLOOKUP(J179,'NAICS Code to IS CDR Code'!A:C,2,FALSE), "NAICS/SIC Not Provided")</f>
        <v>IS47</v>
      </c>
      <c r="M179" t="str">
        <f>IFERROR(VLOOKUP(J179,'NAICS Code to IS CDR Code'!A:C,3,FALSE), "NAICS/SIC Not Provided")</f>
        <v>Services</v>
      </c>
      <c r="N179" t="str">
        <f>IF(COUNTIF('Facility Summary_Water'!$M$2:$M$98,I179)&gt;0,"Yes","No")</f>
        <v>No</v>
      </c>
    </row>
    <row r="180" spans="1:14" ht="30" x14ac:dyDescent="0.25">
      <c r="A180" s="7" t="s">
        <v>471</v>
      </c>
      <c r="B180" s="26"/>
      <c r="C180" s="26" t="s">
        <v>472</v>
      </c>
      <c r="D180" s="7" t="s">
        <v>106</v>
      </c>
      <c r="F180">
        <f>IF(H180&lt;&gt;"", INDEX('Processed Non-zero TRI Data'!$G:$G, MATCH(H180, 'Processed Non-zero TRI Data'!$I:$I,0)), INDEX('Processed Non-zero DMR Data'!$F:$F, MATCH(I180,'Processed Non-zero DMR Data'!$I:$I, 0)))</f>
        <v>30.584540000000001</v>
      </c>
      <c r="G180">
        <f>IF(H180&lt;&gt;"", INDEX('Processed Non-zero TRI Data'!$H:$H, MATCH(H180, 'Processed Non-zero TRI Data'!$I:$I,0)), INDEX('Processed Non-zero DMR Data'!$G:$G, MATCH(I180,'Processed Non-zero DMR Data'!$I:$I, 0)))</f>
        <v>-91.247479999999996</v>
      </c>
      <c r="H180" s="7"/>
      <c r="I180" s="183">
        <v>110064644782</v>
      </c>
      <c r="J180" s="1">
        <f>IF(H180&lt;&gt;"",INDEX('Processed Non-zero TRI Data'!$L:$L,MATCH('Facility Summary_All'!H180,'Processed Non-zero TRI Data'!$I:$I,0)),INDEX('Processed Non-zero DMR Data'!$L:$L,MATCH('Facility Summary_All'!I180,'Processed Non-zero DMR Data'!$I:$I,0)))*1</f>
        <v>562211</v>
      </c>
      <c r="K180" s="185" t="str">
        <f>INDEX('2017 - 2022 NAICS'!$D:$D, MATCH('Facility Summary_All'!J180,'2017 - 2022 NAICS'!$C:$C,0))</f>
        <v>Hazardous Waste Treatment and Disposal</v>
      </c>
      <c r="L180" t="str">
        <f>IFERROR(VLOOKUP(J180,'NAICS Code to IS CDR Code'!A:C,2,FALSE), "NAICS/SIC Not Provided")</f>
        <v>IS47</v>
      </c>
      <c r="M180" t="str">
        <f>IFERROR(VLOOKUP(J180,'NAICS Code to IS CDR Code'!A:C,3,FALSE), "NAICS/SIC Not Provided")</f>
        <v>Services</v>
      </c>
      <c r="N180" t="str">
        <f>IF(COUNTIF('Facility Summary_Water'!$M$2:$M$98,I180)&gt;0,"Yes","No")</f>
        <v>No</v>
      </c>
    </row>
    <row r="181" spans="1:14" x14ac:dyDescent="0.25">
      <c r="A181" s="7" t="s">
        <v>473</v>
      </c>
      <c r="B181" s="26"/>
      <c r="C181" s="26" t="s">
        <v>474</v>
      </c>
      <c r="D181" s="7" t="s">
        <v>146</v>
      </c>
      <c r="F181">
        <f>IF(H181&lt;&gt;"", INDEX('Processed Non-zero TRI Data'!$G:$G, MATCH(H181, 'Processed Non-zero TRI Data'!$I:$I,0)), INDEX('Processed Non-zero DMR Data'!$F:$F, MATCH(I181,'Processed Non-zero DMR Data'!$I:$I, 0)))</f>
        <v>37.908380000000001</v>
      </c>
      <c r="G181">
        <f>IF(H181&lt;&gt;"", INDEX('Processed Non-zero TRI Data'!$H:$H, MATCH(H181, 'Processed Non-zero TRI Data'!$I:$I,0)), INDEX('Processed Non-zero DMR Data'!$G:$G, MATCH(I181,'Processed Non-zero DMR Data'!$I:$I, 0)))</f>
        <v>-120.61605</v>
      </c>
      <c r="H181" s="7"/>
      <c r="I181" s="183">
        <v>110027858432</v>
      </c>
      <c r="J181" s="1">
        <f>IF(H181&lt;&gt;"",INDEX('Processed Non-zero TRI Data'!$L:$L,MATCH('Facility Summary_All'!H181,'Processed Non-zero TRI Data'!$I:$I,0)),INDEX('Processed Non-zero DMR Data'!$L:$L,MATCH('Facility Summary_All'!I181,'Processed Non-zero DMR Data'!$I:$I,0)))*1</f>
        <v>221320</v>
      </c>
      <c r="K181" s="185" t="str">
        <f>INDEX('2017 - 2022 NAICS'!$D:$D, MATCH('Facility Summary_All'!J181,'2017 - 2022 NAICS'!$C:$C,0))</f>
        <v>Sewage Treatment Facilities</v>
      </c>
      <c r="L181" t="str">
        <f>IFERROR(VLOOKUP(J181,'NAICS Code to IS CDR Code'!A:C,2,FALSE), "NAICS/SIC Not Provided")</f>
        <v>IS4</v>
      </c>
      <c r="M181" t="str">
        <f>IFERROR(VLOOKUP(J181,'NAICS Code to IS CDR Code'!A:C,3,FALSE), "NAICS/SIC Not Provided")</f>
        <v>Utilities</v>
      </c>
      <c r="N181" t="str">
        <f>IF(COUNTIF('Facility Summary_Water'!$M$2:$M$98,I181)&gt;0,"Yes","No")</f>
        <v>No</v>
      </c>
    </row>
    <row r="182" spans="1:14" x14ac:dyDescent="0.25">
      <c r="A182" s="7" t="s">
        <v>475</v>
      </c>
      <c r="B182" s="26"/>
      <c r="C182" s="26" t="s">
        <v>476</v>
      </c>
      <c r="D182" s="7" t="s">
        <v>146</v>
      </c>
      <c r="F182">
        <f>IF(H182&lt;&gt;"", INDEX('Processed Non-zero TRI Data'!$G:$G, MATCH(H182, 'Processed Non-zero TRI Data'!$I:$I,0)), INDEX('Processed Non-zero DMR Data'!$F:$F, MATCH(I182,'Processed Non-zero DMR Data'!$I:$I, 0)))</f>
        <v>38.730832999999997</v>
      </c>
      <c r="G182">
        <f>IF(H182&lt;&gt;"", INDEX('Processed Non-zero TRI Data'!$H:$H, MATCH(H182, 'Processed Non-zero TRI Data'!$I:$I,0)), INDEX('Processed Non-zero DMR Data'!$G:$G, MATCH(I182,'Processed Non-zero DMR Data'!$I:$I, 0)))</f>
        <v>-120.846667</v>
      </c>
      <c r="H182" s="7"/>
      <c r="I182" s="183">
        <v>110039757992</v>
      </c>
      <c r="J182" s="1">
        <f>IF(H182&lt;&gt;"",INDEX('Processed Non-zero TRI Data'!$L:$L,MATCH('Facility Summary_All'!H182,'Processed Non-zero TRI Data'!$I:$I,0)),INDEX('Processed Non-zero DMR Data'!$L:$L,MATCH('Facility Summary_All'!I182,'Processed Non-zero DMR Data'!$I:$I,0)))*1</f>
        <v>221320</v>
      </c>
      <c r="K182" s="185" t="str">
        <f>INDEX('2017 - 2022 NAICS'!$D:$D, MATCH('Facility Summary_All'!J182,'2017 - 2022 NAICS'!$C:$C,0))</f>
        <v>Sewage Treatment Facilities</v>
      </c>
      <c r="L182" t="str">
        <f>IFERROR(VLOOKUP(J182,'NAICS Code to IS CDR Code'!A:C,2,FALSE), "NAICS/SIC Not Provided")</f>
        <v>IS4</v>
      </c>
      <c r="M182" t="str">
        <f>IFERROR(VLOOKUP(J182,'NAICS Code to IS CDR Code'!A:C,3,FALSE), "NAICS/SIC Not Provided")</f>
        <v>Utilities</v>
      </c>
      <c r="N182" t="str">
        <f>IF(COUNTIF('Facility Summary_Water'!$M$2:$M$98,I182)&gt;0,"Yes","No")</f>
        <v>No</v>
      </c>
    </row>
    <row r="183" spans="1:14" x14ac:dyDescent="0.25">
      <c r="A183" s="7" t="s">
        <v>477</v>
      </c>
      <c r="B183" s="26"/>
      <c r="C183" s="26" t="s">
        <v>478</v>
      </c>
      <c r="D183" s="7" t="s">
        <v>146</v>
      </c>
      <c r="F183">
        <f>IF(H183&lt;&gt;"", INDEX('Processed Non-zero TRI Data'!$G:$G, MATCH(H183, 'Processed Non-zero TRI Data'!$I:$I,0)), INDEX('Processed Non-zero DMR Data'!$F:$F, MATCH(I183,'Processed Non-zero DMR Data'!$I:$I, 0)))</f>
        <v>38.060360000000003</v>
      </c>
      <c r="G183">
        <f>IF(H183&lt;&gt;"", INDEX('Processed Non-zero TRI Data'!$H:$H, MATCH(H183, 'Processed Non-zero TRI Data'!$I:$I,0)), INDEX('Processed Non-zero DMR Data'!$G:$G, MATCH(I183,'Processed Non-zero DMR Data'!$I:$I, 0)))</f>
        <v>-120.53995999999999</v>
      </c>
      <c r="H183" s="7"/>
      <c r="I183" s="183">
        <v>110030437524</v>
      </c>
      <c r="J183" s="1">
        <f>IF(H183&lt;&gt;"",INDEX('Processed Non-zero TRI Data'!$L:$L,MATCH('Facility Summary_All'!H183,'Processed Non-zero TRI Data'!$I:$I,0)),INDEX('Processed Non-zero DMR Data'!$L:$L,MATCH('Facility Summary_All'!I183,'Processed Non-zero DMR Data'!$I:$I,0)))*1</f>
        <v>221320</v>
      </c>
      <c r="K183" s="185" t="str">
        <f>INDEX('2017 - 2022 NAICS'!$D:$D, MATCH('Facility Summary_All'!J183,'2017 - 2022 NAICS'!$C:$C,0))</f>
        <v>Sewage Treatment Facilities</v>
      </c>
      <c r="L183" t="str">
        <f>IFERROR(VLOOKUP(J183,'NAICS Code to IS CDR Code'!A:C,2,FALSE), "NAICS/SIC Not Provided")</f>
        <v>IS4</v>
      </c>
      <c r="M183" t="str">
        <f>IFERROR(VLOOKUP(J183,'NAICS Code to IS CDR Code'!A:C,3,FALSE), "NAICS/SIC Not Provided")</f>
        <v>Utilities</v>
      </c>
      <c r="N183" t="str">
        <f>IF(COUNTIF('Facility Summary_Water'!$M$2:$M$98,I183)&gt;0,"Yes","No")</f>
        <v>No</v>
      </c>
    </row>
    <row r="184" spans="1:14" x14ac:dyDescent="0.25">
      <c r="A184" s="7" t="s">
        <v>479</v>
      </c>
      <c r="B184" s="26"/>
      <c r="C184" s="26" t="s">
        <v>480</v>
      </c>
      <c r="D184" s="7" t="s">
        <v>146</v>
      </c>
      <c r="F184">
        <f>IF(H184&lt;&gt;"", INDEX('Processed Non-zero TRI Data'!$G:$G, MATCH(H184, 'Processed Non-zero TRI Data'!$I:$I,0)), INDEX('Processed Non-zero DMR Data'!$F:$F, MATCH(I184,'Processed Non-zero DMR Data'!$I:$I, 0)))</f>
        <v>33.147531999999998</v>
      </c>
      <c r="G184">
        <f>IF(H184&lt;&gt;"", INDEX('Processed Non-zero TRI Data'!$H:$H, MATCH(H184, 'Processed Non-zero TRI Data'!$I:$I,0)), INDEX('Processed Non-zero DMR Data'!$G:$G, MATCH(I184,'Processed Non-zero DMR Data'!$I:$I, 0)))</f>
        <v>-115.54533000000001</v>
      </c>
      <c r="H184" s="7"/>
      <c r="I184" s="183">
        <v>110002043217</v>
      </c>
      <c r="J184" s="1">
        <f>IF(H184&lt;&gt;"",INDEX('Processed Non-zero TRI Data'!$L:$L,MATCH('Facility Summary_All'!H184,'Processed Non-zero TRI Data'!$I:$I,0)),INDEX('Processed Non-zero DMR Data'!$L:$L,MATCH('Facility Summary_All'!I184,'Processed Non-zero DMR Data'!$I:$I,0)))*1</f>
        <v>221320</v>
      </c>
      <c r="K184" s="185" t="str">
        <f>INDEX('2017 - 2022 NAICS'!$D:$D, MATCH('Facility Summary_All'!J184,'2017 - 2022 NAICS'!$C:$C,0))</f>
        <v>Sewage Treatment Facilities</v>
      </c>
      <c r="L184" t="str">
        <f>IFERROR(VLOOKUP(J184,'NAICS Code to IS CDR Code'!A:C,2,FALSE), "NAICS/SIC Not Provided")</f>
        <v>IS4</v>
      </c>
      <c r="M184" t="str">
        <f>IFERROR(VLOOKUP(J184,'NAICS Code to IS CDR Code'!A:C,3,FALSE), "NAICS/SIC Not Provided")</f>
        <v>Utilities</v>
      </c>
      <c r="N184" t="str">
        <f>IF(COUNTIF('Facility Summary_Water'!$M$2:$M$98,I184)&gt;0,"Yes","No")</f>
        <v>No</v>
      </c>
    </row>
    <row r="185" spans="1:14" x14ac:dyDescent="0.25">
      <c r="A185" s="7" t="s">
        <v>481</v>
      </c>
      <c r="B185" s="26"/>
      <c r="C185" s="26" t="s">
        <v>482</v>
      </c>
      <c r="D185" s="7" t="s">
        <v>158</v>
      </c>
      <c r="F185">
        <f>IF(H185&lt;&gt;"", INDEX('Processed Non-zero TRI Data'!$G:$G, MATCH(H185, 'Processed Non-zero TRI Data'!$I:$I,0)), INDEX('Processed Non-zero DMR Data'!$F:$F, MATCH(I185,'Processed Non-zero DMR Data'!$I:$I, 0)))</f>
        <v>39.463894000000003</v>
      </c>
      <c r="G185">
        <f>IF(H185&lt;&gt;"", INDEX('Processed Non-zero TRI Data'!$H:$H, MATCH(H185, 'Processed Non-zero TRI Data'!$I:$I,0)), INDEX('Processed Non-zero DMR Data'!$G:$G, MATCH(I185,'Processed Non-zero DMR Data'!$I:$I, 0)))</f>
        <v>-118.75532800000001</v>
      </c>
      <c r="H185" s="7"/>
      <c r="I185" s="183">
        <v>110000734616</v>
      </c>
      <c r="J185" s="1">
        <f>IF(H185&lt;&gt;"",INDEX('Processed Non-zero TRI Data'!$L:$L,MATCH('Facility Summary_All'!H185,'Processed Non-zero TRI Data'!$I:$I,0)),INDEX('Processed Non-zero DMR Data'!$L:$L,MATCH('Facility Summary_All'!I185,'Processed Non-zero DMR Data'!$I:$I,0)))*1</f>
        <v>221320</v>
      </c>
      <c r="K185" s="185" t="str">
        <f>INDEX('2017 - 2022 NAICS'!$D:$D, MATCH('Facility Summary_All'!J185,'2017 - 2022 NAICS'!$C:$C,0))</f>
        <v>Sewage Treatment Facilities</v>
      </c>
      <c r="L185" t="str">
        <f>IFERROR(VLOOKUP(J185,'NAICS Code to IS CDR Code'!A:C,2,FALSE), "NAICS/SIC Not Provided")</f>
        <v>IS4</v>
      </c>
      <c r="M185" t="str">
        <f>IFERROR(VLOOKUP(J185,'NAICS Code to IS CDR Code'!A:C,3,FALSE), "NAICS/SIC Not Provided")</f>
        <v>Utilities</v>
      </c>
      <c r="N185" t="str">
        <f>IF(COUNTIF('Facility Summary_Water'!$M$2:$M$98,I185)&gt;0,"Yes","No")</f>
        <v>No</v>
      </c>
    </row>
    <row r="186" spans="1:14" x14ac:dyDescent="0.25">
      <c r="A186" s="7" t="s">
        <v>483</v>
      </c>
      <c r="B186" s="26"/>
      <c r="C186" s="26" t="s">
        <v>484</v>
      </c>
      <c r="D186" s="7" t="s">
        <v>485</v>
      </c>
      <c r="F186">
        <f>IF(H186&lt;&gt;"", INDEX('Processed Non-zero TRI Data'!$G:$G, MATCH(H186, 'Processed Non-zero TRI Data'!$I:$I,0)), INDEX('Processed Non-zero DMR Data'!$F:$F, MATCH(I186,'Processed Non-zero DMR Data'!$I:$I, 0)))</f>
        <v>36.716268999999997</v>
      </c>
      <c r="G186">
        <f>IF(H186&lt;&gt;"", INDEX('Processed Non-zero TRI Data'!$H:$H, MATCH(H186, 'Processed Non-zero TRI Data'!$I:$I,0)), INDEX('Processed Non-zero DMR Data'!$G:$G, MATCH(I186,'Processed Non-zero DMR Data'!$I:$I, 0)))</f>
        <v>-108.255737</v>
      </c>
      <c r="H186" s="7"/>
      <c r="I186" s="183">
        <v>110064631457</v>
      </c>
      <c r="J186" s="1">
        <f>IF(H186&lt;&gt;"",INDEX('Processed Non-zero TRI Data'!$L:$L,MATCH('Facility Summary_All'!H186,'Processed Non-zero TRI Data'!$I:$I,0)),INDEX('Processed Non-zero DMR Data'!$L:$L,MATCH('Facility Summary_All'!I186,'Processed Non-zero DMR Data'!$I:$I,0)))*1</f>
        <v>221320</v>
      </c>
      <c r="K186" s="185" t="str">
        <f>INDEX('2017 - 2022 NAICS'!$D:$D, MATCH('Facility Summary_All'!J186,'2017 - 2022 NAICS'!$C:$C,0))</f>
        <v>Sewage Treatment Facilities</v>
      </c>
      <c r="L186" t="str">
        <f>IFERROR(VLOOKUP(J186,'NAICS Code to IS CDR Code'!A:C,2,FALSE), "NAICS/SIC Not Provided")</f>
        <v>IS4</v>
      </c>
      <c r="M186" t="str">
        <f>IFERROR(VLOOKUP(J186,'NAICS Code to IS CDR Code'!A:C,3,FALSE), "NAICS/SIC Not Provided")</f>
        <v>Utilities</v>
      </c>
      <c r="N186" t="str">
        <f>IF(COUNTIF('Facility Summary_Water'!$M$2:$M$98,I186)&gt;0,"Yes","No")</f>
        <v>No</v>
      </c>
    </row>
    <row r="187" spans="1:14" x14ac:dyDescent="0.25">
      <c r="A187" s="7" t="s">
        <v>486</v>
      </c>
      <c r="B187" s="26"/>
      <c r="C187" s="26" t="s">
        <v>185</v>
      </c>
      <c r="D187" s="7" t="s">
        <v>186</v>
      </c>
      <c r="F187">
        <f>IF(H187&lt;&gt;"", INDEX('Processed Non-zero TRI Data'!$G:$G, MATCH(H187, 'Processed Non-zero TRI Data'!$I:$I,0)), INDEX('Processed Non-zero DMR Data'!$F:$F, MATCH(I187,'Processed Non-zero DMR Data'!$I:$I, 0)))</f>
        <v>21.27167</v>
      </c>
      <c r="G187">
        <f>IF(H187&lt;&gt;"", INDEX('Processed Non-zero TRI Data'!$H:$H, MATCH(H187, 'Processed Non-zero TRI Data'!$I:$I,0)), INDEX('Processed Non-zero DMR Data'!$G:$G, MATCH(I187,'Processed Non-zero DMR Data'!$I:$I, 0)))</f>
        <v>-157.77395999999999</v>
      </c>
      <c r="H187" s="7"/>
      <c r="I187" s="183">
        <v>110006777210</v>
      </c>
      <c r="J187" s="1" t="e">
        <f>IF(H187&lt;&gt;"",INDEX('Processed Non-zero TRI Data'!$L:$L,MATCH('Facility Summary_All'!H187,'Processed Non-zero TRI Data'!$I:$I,0)),INDEX('Processed Non-zero DMR Data'!$L:$L,MATCH('Facility Summary_All'!I187,'Processed Non-zero DMR Data'!$I:$I,0)))*1</f>
        <v>#N/A</v>
      </c>
      <c r="K187" s="185" t="e">
        <f>INDEX('2017 - 2022 NAICS'!$D:$D, MATCH('Facility Summary_All'!J187,'2017 - 2022 NAICS'!$C:$C,0))</f>
        <v>#N/A</v>
      </c>
      <c r="L187" t="str">
        <f>IFERROR(VLOOKUP(J187,'NAICS Code to IS CDR Code'!A:C,2,FALSE), "NAICS/SIC Not Provided")</f>
        <v>NAICS/SIC Not Provided</v>
      </c>
      <c r="M187" t="str">
        <f>IFERROR(VLOOKUP(J187,'NAICS Code to IS CDR Code'!A:C,3,FALSE), "NAICS/SIC Not Provided")</f>
        <v>NAICS/SIC Not Provided</v>
      </c>
      <c r="N187" t="str">
        <f>IF(COUNTIF('Facility Summary_Water'!$M$2:$M$98,I187)&gt;0,"Yes","No")</f>
        <v>No</v>
      </c>
    </row>
    <row r="188" spans="1:14" x14ac:dyDescent="0.25">
      <c r="A188" s="7" t="s">
        <v>487</v>
      </c>
      <c r="B188" s="26"/>
      <c r="C188" s="26" t="s">
        <v>488</v>
      </c>
      <c r="D188" s="7" t="s">
        <v>138</v>
      </c>
      <c r="F188">
        <f>IF(H188&lt;&gt;"", INDEX('Processed Non-zero TRI Data'!$G:$G, MATCH(H188, 'Processed Non-zero TRI Data'!$I:$I,0)), INDEX('Processed Non-zero DMR Data'!$F:$F, MATCH(I188,'Processed Non-zero DMR Data'!$I:$I, 0)))</f>
        <v>38.267437999999999</v>
      </c>
      <c r="G188">
        <f>IF(H188&lt;&gt;"", INDEX('Processed Non-zero TRI Data'!$H:$H, MATCH(H188, 'Processed Non-zero TRI Data'!$I:$I,0)), INDEX('Processed Non-zero DMR Data'!$G:$G, MATCH(I188,'Processed Non-zero DMR Data'!$I:$I, 0)))</f>
        <v>-84.527996000000002</v>
      </c>
      <c r="H188" s="7"/>
      <c r="I188" s="183">
        <v>110000759741</v>
      </c>
      <c r="J188" s="1">
        <f>IF(H188&lt;&gt;"",INDEX('Processed Non-zero TRI Data'!$L:$L,MATCH('Facility Summary_All'!H188,'Processed Non-zero TRI Data'!$I:$I,0)),INDEX('Processed Non-zero DMR Data'!$L:$L,MATCH('Facility Summary_All'!I188,'Processed Non-zero DMR Data'!$I:$I,0)))*1</f>
        <v>221320</v>
      </c>
      <c r="K188" s="185" t="str">
        <f>INDEX('2017 - 2022 NAICS'!$D:$D, MATCH('Facility Summary_All'!J188,'2017 - 2022 NAICS'!$C:$C,0))</f>
        <v>Sewage Treatment Facilities</v>
      </c>
      <c r="L188" t="str">
        <f>IFERROR(VLOOKUP(J188,'NAICS Code to IS CDR Code'!A:C,2,FALSE), "NAICS/SIC Not Provided")</f>
        <v>IS4</v>
      </c>
      <c r="M188" t="str">
        <f>IFERROR(VLOOKUP(J188,'NAICS Code to IS CDR Code'!A:C,3,FALSE), "NAICS/SIC Not Provided")</f>
        <v>Utilities</v>
      </c>
      <c r="N188" t="str">
        <f>IF(COUNTIF('Facility Summary_Water'!$M$2:$M$98,I188)&gt;0,"Yes","No")</f>
        <v>No</v>
      </c>
    </row>
    <row r="189" spans="1:14" x14ac:dyDescent="0.25">
      <c r="A189" s="7" t="s">
        <v>489</v>
      </c>
      <c r="B189" s="26"/>
      <c r="C189" s="26" t="s">
        <v>484</v>
      </c>
      <c r="D189" s="7" t="s">
        <v>485</v>
      </c>
      <c r="F189">
        <f>IF(H189&lt;&gt;"", INDEX('Processed Non-zero TRI Data'!$G:$G, MATCH(H189, 'Processed Non-zero TRI Data'!$I:$I,0)), INDEX('Processed Non-zero DMR Data'!$F:$F, MATCH(I189,'Processed Non-zero DMR Data'!$I:$I, 0)))</f>
        <v>36.688809999999997</v>
      </c>
      <c r="G189">
        <f>IF(H189&lt;&gt;"", INDEX('Processed Non-zero TRI Data'!$H:$H, MATCH(H189, 'Processed Non-zero TRI Data'!$I:$I,0)), INDEX('Processed Non-zero DMR Data'!$G:$G, MATCH(I189,'Processed Non-zero DMR Data'!$I:$I, 0)))</f>
        <v>-108.48036</v>
      </c>
      <c r="H189" s="7"/>
      <c r="I189" s="183">
        <v>110042068473</v>
      </c>
      <c r="J189" s="1">
        <f>IF(H189&lt;&gt;"",INDEX('Processed Non-zero TRI Data'!$L:$L,MATCH('Facility Summary_All'!H189,'Processed Non-zero TRI Data'!$I:$I,0)),INDEX('Processed Non-zero DMR Data'!$L:$L,MATCH('Facility Summary_All'!I189,'Processed Non-zero DMR Data'!$I:$I,0)))*1</f>
        <v>221111</v>
      </c>
      <c r="K189" s="185" t="str">
        <f>INDEX('2017 - 2022 NAICS'!$D:$D, MATCH('Facility Summary_All'!J189,'2017 - 2022 NAICS'!$C:$C,0))</f>
        <v>Hydroelectric Power Generation</v>
      </c>
      <c r="L189" t="str">
        <f>IFERROR(VLOOKUP(J189,'NAICS Code to IS CDR Code'!A:C,2,FALSE), "NAICS/SIC Not Provided")</f>
        <v>NAICS/SIC Not Provided</v>
      </c>
      <c r="M189" t="str">
        <f>IFERROR(VLOOKUP(J189,'NAICS Code to IS CDR Code'!A:C,3,FALSE), "NAICS/SIC Not Provided")</f>
        <v>NAICS/SIC Not Provided</v>
      </c>
      <c r="N189" t="str">
        <f>IF(COUNTIF('Facility Summary_Water'!$M$2:$M$98,I189)&gt;0,"Yes","No")</f>
        <v>No</v>
      </c>
    </row>
    <row r="190" spans="1:14" x14ac:dyDescent="0.25">
      <c r="A190" s="7" t="s">
        <v>490</v>
      </c>
      <c r="B190" s="26"/>
      <c r="C190" s="26" t="s">
        <v>488</v>
      </c>
      <c r="D190" s="7" t="s">
        <v>138</v>
      </c>
      <c r="F190">
        <f>IF(H190&lt;&gt;"", INDEX('Processed Non-zero TRI Data'!$G:$G, MATCH(H190, 'Processed Non-zero TRI Data'!$I:$I,0)), INDEX('Processed Non-zero DMR Data'!$F:$F, MATCH(I190,'Processed Non-zero DMR Data'!$I:$I, 0)))</f>
        <v>38.217222</v>
      </c>
      <c r="G190">
        <f>IF(H190&lt;&gt;"", INDEX('Processed Non-zero TRI Data'!$H:$H, MATCH(H190, 'Processed Non-zero TRI Data'!$I:$I,0)), INDEX('Processed Non-zero DMR Data'!$G:$G, MATCH(I190,'Processed Non-zero DMR Data'!$I:$I, 0)))</f>
        <v>-84.564166999999998</v>
      </c>
      <c r="H190" s="7"/>
      <c r="I190" s="183">
        <v>110000732208</v>
      </c>
      <c r="J190" s="1">
        <f>IF(H190&lt;&gt;"",INDEX('Processed Non-zero TRI Data'!$L:$L,MATCH('Facility Summary_All'!H190,'Processed Non-zero TRI Data'!$I:$I,0)),INDEX('Processed Non-zero DMR Data'!$L:$L,MATCH('Facility Summary_All'!I190,'Processed Non-zero DMR Data'!$I:$I,0)))*1</f>
        <v>221320</v>
      </c>
      <c r="K190" s="185" t="str">
        <f>INDEX('2017 - 2022 NAICS'!$D:$D, MATCH('Facility Summary_All'!J190,'2017 - 2022 NAICS'!$C:$C,0))</f>
        <v>Sewage Treatment Facilities</v>
      </c>
      <c r="L190" t="str">
        <f>IFERROR(VLOOKUP(J190,'NAICS Code to IS CDR Code'!A:C,2,FALSE), "NAICS/SIC Not Provided")</f>
        <v>IS4</v>
      </c>
      <c r="M190" t="str">
        <f>IFERROR(VLOOKUP(J190,'NAICS Code to IS CDR Code'!A:C,3,FALSE), "NAICS/SIC Not Provided")</f>
        <v>Utilities</v>
      </c>
      <c r="N190" t="str">
        <f>IF(COUNTIF('Facility Summary_Water'!$M$2:$M$98,I190)&gt;0,"Yes","No")</f>
        <v>No</v>
      </c>
    </row>
    <row r="191" spans="1:14" x14ac:dyDescent="0.25">
      <c r="A191" s="7" t="s">
        <v>491</v>
      </c>
      <c r="B191" s="26"/>
      <c r="C191" s="26" t="s">
        <v>492</v>
      </c>
      <c r="D191" s="7" t="s">
        <v>268</v>
      </c>
      <c r="F191">
        <f>IF(H191&lt;&gt;"", INDEX('Processed Non-zero TRI Data'!$G:$G, MATCH(H191, 'Processed Non-zero TRI Data'!$I:$I,0)), INDEX('Processed Non-zero DMR Data'!$F:$F, MATCH(I191,'Processed Non-zero DMR Data'!$I:$I, 0)))</f>
        <v>39.904949999999999</v>
      </c>
      <c r="G191">
        <f>IF(H191&lt;&gt;"", INDEX('Processed Non-zero TRI Data'!$H:$H, MATCH(H191, 'Processed Non-zero TRI Data'!$I:$I,0)), INDEX('Processed Non-zero DMR Data'!$G:$G, MATCH(I191,'Processed Non-zero DMR Data'!$I:$I, 0)))</f>
        <v>-80.150440000000003</v>
      </c>
      <c r="H191" s="7"/>
      <c r="I191" s="183">
        <v>110039840740</v>
      </c>
      <c r="J191" s="1">
        <f>IF(H191&lt;&gt;"",INDEX('Processed Non-zero TRI Data'!$L:$L,MATCH('Facility Summary_All'!H191,'Processed Non-zero TRI Data'!$I:$I,0)),INDEX('Processed Non-zero DMR Data'!$L:$L,MATCH('Facility Summary_All'!I191,'Processed Non-zero DMR Data'!$I:$I,0)))*1</f>
        <v>221320</v>
      </c>
      <c r="K191" s="185" t="str">
        <f>INDEX('2017 - 2022 NAICS'!$D:$D, MATCH('Facility Summary_All'!J191,'2017 - 2022 NAICS'!$C:$C,0))</f>
        <v>Sewage Treatment Facilities</v>
      </c>
      <c r="L191" t="str">
        <f>IFERROR(VLOOKUP(J191,'NAICS Code to IS CDR Code'!A:C,2,FALSE), "NAICS/SIC Not Provided")</f>
        <v>IS4</v>
      </c>
      <c r="M191" t="str">
        <f>IFERROR(VLOOKUP(J191,'NAICS Code to IS CDR Code'!A:C,3,FALSE), "NAICS/SIC Not Provided")</f>
        <v>Utilities</v>
      </c>
      <c r="N191" t="str">
        <f>IF(COUNTIF('Facility Summary_Water'!$M$2:$M$98,I191)&gt;0,"Yes","No")</f>
        <v>No</v>
      </c>
    </row>
    <row r="192" spans="1:14" x14ac:dyDescent="0.25">
      <c r="A192" s="7" t="s">
        <v>493</v>
      </c>
      <c r="B192" s="26"/>
      <c r="C192" s="26" t="s">
        <v>494</v>
      </c>
      <c r="D192" s="7" t="s">
        <v>146</v>
      </c>
      <c r="F192">
        <f>IF(H192&lt;&gt;"", INDEX('Processed Non-zero TRI Data'!$G:$G, MATCH(H192, 'Processed Non-zero TRI Data'!$I:$I,0)), INDEX('Processed Non-zero DMR Data'!$F:$F, MATCH(I192,'Processed Non-zero DMR Data'!$I:$I, 0)))</f>
        <v>37.318058999999998</v>
      </c>
      <c r="G192">
        <f>IF(H192&lt;&gt;"", INDEX('Processed Non-zero TRI Data'!$H:$H, MATCH(H192, 'Processed Non-zero TRI Data'!$I:$I,0)), INDEX('Processed Non-zero DMR Data'!$G:$G, MATCH(I192,'Processed Non-zero DMR Data'!$I:$I, 0)))</f>
        <v>-122.09263199999999</v>
      </c>
      <c r="H192" s="7"/>
      <c r="I192" s="183">
        <v>110000484039</v>
      </c>
      <c r="J192" s="1">
        <f>IF(H192&lt;&gt;"",INDEX('Processed Non-zero TRI Data'!$L:$L,MATCH('Facility Summary_All'!H192,'Processed Non-zero TRI Data'!$I:$I,0)),INDEX('Processed Non-zero DMR Data'!$L:$L,MATCH('Facility Summary_All'!I192,'Processed Non-zero DMR Data'!$I:$I,0)))*1</f>
        <v>327310</v>
      </c>
      <c r="K192" s="185" t="str">
        <f>INDEX('2017 - 2022 NAICS'!$D:$D, MATCH('Facility Summary_All'!J192,'2017 - 2022 NAICS'!$C:$C,0))</f>
        <v>Cement Manufacturing</v>
      </c>
      <c r="L192" t="str">
        <f>IFERROR(VLOOKUP(J192,'NAICS Code to IS CDR Code'!A:C,2,FALSE), "NAICS/SIC Not Provided")</f>
        <v>IS37</v>
      </c>
      <c r="M192" t="str">
        <f>IFERROR(VLOOKUP(J192,'NAICS Code to IS CDR Code'!A:C,3,FALSE), "NAICS/SIC Not Provided")</f>
        <v>Nonmetallic Mineral Product Manufacturing (includes clay, glass, cement, concrete,
lime, gypsum, and other nonmetallic mineral product manufacturing)</v>
      </c>
      <c r="N192" t="str">
        <f>IF(COUNTIF('Facility Summary_Water'!$M$2:$M$98,I192)&gt;0,"Yes","No")</f>
        <v>No</v>
      </c>
    </row>
    <row r="193" spans="1:14" x14ac:dyDescent="0.25">
      <c r="A193" s="7" t="s">
        <v>495</v>
      </c>
      <c r="B193" s="26"/>
      <c r="C193" s="26" t="s">
        <v>183</v>
      </c>
      <c r="D193" s="7" t="s">
        <v>138</v>
      </c>
      <c r="F193">
        <f>IF(H193&lt;&gt;"", INDEX('Processed Non-zero TRI Data'!$G:$G, MATCH(H193, 'Processed Non-zero TRI Data'!$I:$I,0)), INDEX('Processed Non-zero DMR Data'!$F:$F, MATCH(I193,'Processed Non-zero DMR Data'!$I:$I, 0)))</f>
        <v>37.801943999999999</v>
      </c>
      <c r="G193">
        <f>IF(H193&lt;&gt;"", INDEX('Processed Non-zero TRI Data'!$H:$H, MATCH(H193, 'Processed Non-zero TRI Data'!$I:$I,0)), INDEX('Processed Non-zero DMR Data'!$G:$G, MATCH(I193,'Processed Non-zero DMR Data'!$I:$I, 0)))</f>
        <v>-84.261111</v>
      </c>
      <c r="H193" s="7"/>
      <c r="I193" s="183">
        <v>110031112659</v>
      </c>
      <c r="J193" s="1">
        <f>IF(H193&lt;&gt;"",INDEX('Processed Non-zero TRI Data'!$L:$L,MATCH('Facility Summary_All'!H193,'Processed Non-zero TRI Data'!$I:$I,0)),INDEX('Processed Non-zero DMR Data'!$L:$L,MATCH('Facility Summary_All'!I193,'Processed Non-zero DMR Data'!$I:$I,0)))*1</f>
        <v>221320</v>
      </c>
      <c r="K193" s="185" t="str">
        <f>INDEX('2017 - 2022 NAICS'!$D:$D, MATCH('Facility Summary_All'!J193,'2017 - 2022 NAICS'!$C:$C,0))</f>
        <v>Sewage Treatment Facilities</v>
      </c>
      <c r="L193" t="str">
        <f>IFERROR(VLOOKUP(J193,'NAICS Code to IS CDR Code'!A:C,2,FALSE), "NAICS/SIC Not Provided")</f>
        <v>IS4</v>
      </c>
      <c r="M193" t="str">
        <f>IFERROR(VLOOKUP(J193,'NAICS Code to IS CDR Code'!A:C,3,FALSE), "NAICS/SIC Not Provided")</f>
        <v>Utilities</v>
      </c>
      <c r="N193" t="str">
        <f>IF(COUNTIF('Facility Summary_Water'!$M$2:$M$98,I193)&gt;0,"Yes","No")</f>
        <v>No</v>
      </c>
    </row>
    <row r="194" spans="1:14" x14ac:dyDescent="0.25">
      <c r="A194" s="7" t="s">
        <v>496</v>
      </c>
      <c r="B194" s="26"/>
      <c r="C194" s="26" t="s">
        <v>333</v>
      </c>
      <c r="D194" s="7" t="s">
        <v>268</v>
      </c>
      <c r="F194">
        <f>IF(H194&lt;&gt;"", INDEX('Processed Non-zero TRI Data'!$G:$G, MATCH(H194, 'Processed Non-zero TRI Data'!$I:$I,0)), INDEX('Processed Non-zero DMR Data'!$F:$F, MATCH(I194,'Processed Non-zero DMR Data'!$I:$I, 0)))</f>
        <v>40.670580000000001</v>
      </c>
      <c r="G194">
        <f>IF(H194&lt;&gt;"", INDEX('Processed Non-zero TRI Data'!$H:$H, MATCH(H194, 'Processed Non-zero TRI Data'!$I:$I,0)), INDEX('Processed Non-zero DMR Data'!$G:$G, MATCH(I194,'Processed Non-zero DMR Data'!$I:$I, 0)))</f>
        <v>-80.336500000000001</v>
      </c>
      <c r="H194" s="7"/>
      <c r="I194" s="183">
        <v>110000329038</v>
      </c>
      <c r="J194" s="1">
        <f>IF(H194&lt;&gt;"",INDEX('Processed Non-zero TRI Data'!$L:$L,MATCH('Facility Summary_All'!H194,'Processed Non-zero TRI Data'!$I:$I,0)),INDEX('Processed Non-zero DMR Data'!$L:$L,MATCH('Facility Summary_All'!I194,'Processed Non-zero DMR Data'!$I:$I,0)))*1</f>
        <v>325110</v>
      </c>
      <c r="K194" s="185" t="str">
        <f>INDEX('2017 - 2022 NAICS'!$D:$D, MATCH('Facility Summary_All'!J194,'2017 - 2022 NAICS'!$C:$C,0))</f>
        <v>Petrochemical Manufacturing</v>
      </c>
      <c r="L194" t="str">
        <f>IFERROR(VLOOKUP(J194,'NAICS Code to IS CDR Code'!A:C,2,FALSE), "NAICS/SIC Not Provided")</f>
        <v>IS15</v>
      </c>
      <c r="M194" t="str">
        <f>IFERROR(VLOOKUP(J194,'NAICS Code to IS CDR Code'!A:C,3,FALSE), "NAICS/SIC Not Provided")</f>
        <v>Petrochemical Manufacturing</v>
      </c>
      <c r="N194" t="str">
        <f>IF(COUNTIF('Facility Summary_Water'!$M$2:$M$98,I194)&gt;0,"Yes","No")</f>
        <v>No</v>
      </c>
    </row>
    <row r="195" spans="1:14" x14ac:dyDescent="0.25">
      <c r="A195" s="7" t="s">
        <v>497</v>
      </c>
      <c r="B195" s="26"/>
      <c r="C195" s="26" t="s">
        <v>498</v>
      </c>
      <c r="D195" s="7" t="s">
        <v>218</v>
      </c>
      <c r="F195">
        <f>IF(H195&lt;&gt;"", INDEX('Processed Non-zero TRI Data'!$G:$G, MATCH(H195, 'Processed Non-zero TRI Data'!$I:$I,0)), INDEX('Processed Non-zero DMR Data'!$F:$F, MATCH(I195,'Processed Non-zero DMR Data'!$I:$I, 0)))</f>
        <v>39.754530000000003</v>
      </c>
      <c r="G195">
        <f>IF(H195&lt;&gt;"", INDEX('Processed Non-zero TRI Data'!$H:$H, MATCH(H195, 'Processed Non-zero TRI Data'!$I:$I,0)), INDEX('Processed Non-zero DMR Data'!$G:$G, MATCH(I195,'Processed Non-zero DMR Data'!$I:$I, 0)))</f>
        <v>-105.00681</v>
      </c>
      <c r="H195" s="7"/>
      <c r="I195" s="183">
        <v>110056125376</v>
      </c>
      <c r="J195" s="1">
        <f>IF(H195&lt;&gt;"",INDEX('Processed Non-zero TRI Data'!$L:$L,MATCH('Facility Summary_All'!H195,'Processed Non-zero TRI Data'!$I:$I,0)),INDEX('Processed Non-zero DMR Data'!$L:$L,MATCH('Facility Summary_All'!I195,'Processed Non-zero DMR Data'!$I:$I,0)))*1</f>
        <v>236220</v>
      </c>
      <c r="K195" s="185" t="str">
        <f>INDEX('2017 - 2022 NAICS'!$D:$D, MATCH('Facility Summary_All'!J195,'2017 - 2022 NAICS'!$C:$C,0))</f>
        <v>Commercial and Institutional Building Construction</v>
      </c>
      <c r="L195" t="str">
        <f>IFERROR(VLOOKUP(J195,'NAICS Code to IS CDR Code'!A:C,2,FALSE), "NAICS/SIC Not Provided")</f>
        <v>IS5</v>
      </c>
      <c r="M195" t="str">
        <f>IFERROR(VLOOKUP(J195,'NAICS Code to IS CDR Code'!A:C,3,FALSE), "NAICS/SIC Not Provided")</f>
        <v>Construction</v>
      </c>
      <c r="N195" t="str">
        <f>IF(COUNTIF('Facility Summary_Water'!$M$2:$M$98,I195)&gt;0,"Yes","No")</f>
        <v>No</v>
      </c>
    </row>
    <row r="196" spans="1:14" x14ac:dyDescent="0.25">
      <c r="A196" s="7" t="s">
        <v>499</v>
      </c>
      <c r="B196" s="26"/>
      <c r="C196" s="26" t="s">
        <v>500</v>
      </c>
      <c r="D196" s="7" t="s">
        <v>501</v>
      </c>
      <c r="F196">
        <f>IF(H196&lt;&gt;"", INDEX('Processed Non-zero TRI Data'!$G:$G, MATCH(H196, 'Processed Non-zero TRI Data'!$I:$I,0)), INDEX('Processed Non-zero DMR Data'!$F:$F, MATCH(I196,'Processed Non-zero DMR Data'!$I:$I, 0)))</f>
        <v>40.506320000000002</v>
      </c>
      <c r="G196">
        <f>IF(H196&lt;&gt;"", INDEX('Processed Non-zero TRI Data'!$H:$H, MATCH(H196, 'Processed Non-zero TRI Data'!$I:$I,0)), INDEX('Processed Non-zero DMR Data'!$G:$G, MATCH(I196,'Processed Non-zero DMR Data'!$I:$I, 0)))</f>
        <v>-81.474299999999999</v>
      </c>
      <c r="H196" s="7"/>
      <c r="I196" s="183">
        <v>110000496981</v>
      </c>
      <c r="J196" s="1">
        <f>IF(H196&lt;&gt;"",INDEX('Processed Non-zero TRI Data'!$L:$L,MATCH('Facility Summary_All'!H196,'Processed Non-zero TRI Data'!$I:$I,0)),INDEX('Processed Non-zero DMR Data'!$L:$L,MATCH('Facility Summary_All'!I196,'Processed Non-zero DMR Data'!$I:$I,0)))*1</f>
        <v>325110</v>
      </c>
      <c r="K196" s="185" t="str">
        <f>INDEX('2017 - 2022 NAICS'!$D:$D, MATCH('Facility Summary_All'!J196,'2017 - 2022 NAICS'!$C:$C,0))</f>
        <v>Petrochemical Manufacturing</v>
      </c>
      <c r="L196" t="str">
        <f>IFERROR(VLOOKUP(J196,'NAICS Code to IS CDR Code'!A:C,2,FALSE), "NAICS/SIC Not Provided")</f>
        <v>IS15</v>
      </c>
      <c r="M196" t="str">
        <f>IFERROR(VLOOKUP(J196,'NAICS Code to IS CDR Code'!A:C,3,FALSE), "NAICS/SIC Not Provided")</f>
        <v>Petrochemical Manufacturing</v>
      </c>
      <c r="N196" t="str">
        <f>IF(COUNTIF('Facility Summary_Water'!$M$2:$M$98,I196)&gt;0,"Yes","No")</f>
        <v>No</v>
      </c>
    </row>
    <row r="197" spans="1:14" x14ac:dyDescent="0.25">
      <c r="A197" s="7" t="s">
        <v>502</v>
      </c>
      <c r="B197" s="26"/>
      <c r="C197" s="26" t="s">
        <v>372</v>
      </c>
      <c r="D197" s="7" t="s">
        <v>114</v>
      </c>
      <c r="F197">
        <f>IF(H197&lt;&gt;"", INDEX('Processed Non-zero TRI Data'!$G:$G, MATCH(H197, 'Processed Non-zero TRI Data'!$I:$I,0)), INDEX('Processed Non-zero DMR Data'!$F:$F, MATCH(I197,'Processed Non-zero DMR Data'!$I:$I, 0)))</f>
        <v>29.726065999999999</v>
      </c>
      <c r="G197">
        <f>IF(H197&lt;&gt;"", INDEX('Processed Non-zero TRI Data'!$H:$H, MATCH(H197, 'Processed Non-zero TRI Data'!$I:$I,0)), INDEX('Processed Non-zero DMR Data'!$G:$G, MATCH(I197,'Processed Non-zero DMR Data'!$I:$I, 0)))</f>
        <v>-95.079583999999997</v>
      </c>
      <c r="H197" s="7"/>
      <c r="I197" s="183">
        <v>110000463677</v>
      </c>
      <c r="J197" s="1">
        <f>IF(H197&lt;&gt;"",INDEX('Processed Non-zero TRI Data'!$L:$L,MATCH('Facility Summary_All'!H197,'Processed Non-zero TRI Data'!$I:$I,0)),INDEX('Processed Non-zero DMR Data'!$L:$L,MATCH('Facility Summary_All'!I197,'Processed Non-zero DMR Data'!$I:$I,0)))*1</f>
        <v>325211</v>
      </c>
      <c r="K197" s="185" t="str">
        <f>INDEX('2017 - 2022 NAICS'!$D:$D, MATCH('Facility Summary_All'!J197,'2017 - 2022 NAICS'!$C:$C,0))</f>
        <v>Plastics Material and Resin Manufacturing</v>
      </c>
      <c r="L197" t="str">
        <f>IFERROR(VLOOKUP(J197,'NAICS Code to IS CDR Code'!A:C,2,FALSE), "NAICS/SIC Not Provided")</f>
        <v>IS22</v>
      </c>
      <c r="M197" t="str">
        <f>IFERROR(VLOOKUP(J197,'NAICS Code to IS CDR Code'!A:C,3,FALSE), "NAICS/SIC Not Provided")</f>
        <v>Plastic Material and Resin Manufacturing</v>
      </c>
      <c r="N197" t="str">
        <f>IF(COUNTIF('Facility Summary_Water'!$M$2:$M$98,I197)&gt;0,"Yes","No")</f>
        <v>No</v>
      </c>
    </row>
    <row r="198" spans="1:14" x14ac:dyDescent="0.25">
      <c r="A198" s="7" t="s">
        <v>503</v>
      </c>
      <c r="B198" s="26"/>
      <c r="C198" s="26" t="s">
        <v>504</v>
      </c>
      <c r="D198" s="7" t="s">
        <v>452</v>
      </c>
      <c r="F198">
        <f>IF(H198&lt;&gt;"", INDEX('Processed Non-zero TRI Data'!$G:$G, MATCH(H198, 'Processed Non-zero TRI Data'!$I:$I,0)), INDEX('Processed Non-zero DMR Data'!$F:$F, MATCH(I198,'Processed Non-zero DMR Data'!$I:$I, 0)))</f>
        <v>35.118552999999999</v>
      </c>
      <c r="G198">
        <f>IF(H198&lt;&gt;"", INDEX('Processed Non-zero TRI Data'!$H:$H, MATCH(H198, 'Processed Non-zero TRI Data'!$I:$I,0)), INDEX('Processed Non-zero DMR Data'!$G:$G, MATCH(I198,'Processed Non-zero DMR Data'!$I:$I, 0)))</f>
        <v>-81.559533000000002</v>
      </c>
      <c r="H198" s="7"/>
      <c r="I198" s="183">
        <v>110000915984</v>
      </c>
      <c r="J198" s="1">
        <f>IF(H198&lt;&gt;"",INDEX('Processed Non-zero TRI Data'!$L:$L,MATCH('Facility Summary_All'!H198,'Processed Non-zero TRI Data'!$I:$I,0)),INDEX('Processed Non-zero DMR Data'!$L:$L,MATCH('Facility Summary_All'!I198,'Processed Non-zero DMR Data'!$I:$I,0)))*1</f>
        <v>313310</v>
      </c>
      <c r="K198" s="185" t="str">
        <f>INDEX('2017 - 2022 NAICS'!$D:$D, MATCH('Facility Summary_All'!J198,'2017 - 2022 NAICS'!$C:$C,0))</f>
        <v>Textile and Fabric Finishing Mills</v>
      </c>
      <c r="L198" t="str">
        <f>IFERROR(VLOOKUP(J198,'NAICS Code to IS CDR Code'!A:C,2,FALSE), "NAICS/SIC Not Provided")</f>
        <v>IS7</v>
      </c>
      <c r="M198" t="str">
        <f>IFERROR(VLOOKUP(J198,'NAICS Code to IS CDR Code'!A:C,3,FALSE), "NAICS/SIC Not Provided")</f>
        <v>Textiles, apparel, and leather manufacturing</v>
      </c>
      <c r="N198" t="str">
        <f>IF(COUNTIF('Facility Summary_Water'!$M$2:$M$98,I198)&gt;0,"Yes","No")</f>
        <v>No</v>
      </c>
    </row>
    <row r="199" spans="1:14" x14ac:dyDescent="0.25">
      <c r="A199" s="7" t="s">
        <v>505</v>
      </c>
      <c r="B199" s="26"/>
      <c r="C199" s="26" t="s">
        <v>498</v>
      </c>
      <c r="D199" s="7" t="s">
        <v>218</v>
      </c>
      <c r="F199">
        <f>IF(H199&lt;&gt;"", INDEX('Processed Non-zero TRI Data'!$G:$G, MATCH(H199, 'Processed Non-zero TRI Data'!$I:$I,0)), INDEX('Processed Non-zero DMR Data'!$F:$F, MATCH(I199,'Processed Non-zero DMR Data'!$I:$I, 0)))</f>
        <v>39.781474000000003</v>
      </c>
      <c r="G199">
        <f>IF(H199&lt;&gt;"", INDEX('Processed Non-zero TRI Data'!$H:$H, MATCH(H199, 'Processed Non-zero TRI Data'!$I:$I,0)), INDEX('Processed Non-zero DMR Data'!$G:$G, MATCH(I199,'Processed Non-zero DMR Data'!$I:$I, 0)))</f>
        <v>-104.97438</v>
      </c>
      <c r="H199" s="7"/>
      <c r="I199" s="183">
        <v>110070162955</v>
      </c>
      <c r="J199" s="1">
        <f>IF(H199&lt;&gt;"",INDEX('Processed Non-zero TRI Data'!$L:$L,MATCH('Facility Summary_All'!H199,'Processed Non-zero TRI Data'!$I:$I,0)),INDEX('Processed Non-zero DMR Data'!$L:$L,MATCH('Facility Summary_All'!I199,'Processed Non-zero DMR Data'!$I:$I,0)))*1</f>
        <v>236210</v>
      </c>
      <c r="K199" s="185" t="str">
        <f>INDEX('2017 - 2022 NAICS'!$D:$D, MATCH('Facility Summary_All'!J199,'2017 - 2022 NAICS'!$C:$C,0))</f>
        <v>Industrial Building Construction</v>
      </c>
      <c r="L199" t="str">
        <f>IFERROR(VLOOKUP(J199,'NAICS Code to IS CDR Code'!A:C,2,FALSE), "NAICS/SIC Not Provided")</f>
        <v>IS5</v>
      </c>
      <c r="M199" t="str">
        <f>IFERROR(VLOOKUP(J199,'NAICS Code to IS CDR Code'!A:C,3,FALSE), "NAICS/SIC Not Provided")</f>
        <v>Construction</v>
      </c>
      <c r="N199" t="str">
        <f>IF(COUNTIF('Facility Summary_Water'!$M$2:$M$98,I199)&gt;0,"Yes","No")</f>
        <v>No</v>
      </c>
    </row>
    <row r="200" spans="1:14" x14ac:dyDescent="0.25">
      <c r="A200" s="7" t="s">
        <v>506</v>
      </c>
      <c r="B200" s="26"/>
      <c r="C200" s="26" t="s">
        <v>507</v>
      </c>
      <c r="D200" s="7" t="s">
        <v>114</v>
      </c>
      <c r="F200">
        <f>IF(H200&lt;&gt;"", INDEX('Processed Non-zero TRI Data'!$G:$G, MATCH(H200, 'Processed Non-zero TRI Data'!$I:$I,0)), INDEX('Processed Non-zero DMR Data'!$F:$F, MATCH(I200,'Processed Non-zero DMR Data'!$I:$I, 0)))</f>
        <v>29.857654</v>
      </c>
      <c r="G200">
        <f>IF(H200&lt;&gt;"", INDEX('Processed Non-zero TRI Data'!$H:$H, MATCH(H200, 'Processed Non-zero TRI Data'!$I:$I,0)), INDEX('Processed Non-zero DMR Data'!$G:$G, MATCH(I200,'Processed Non-zero DMR Data'!$I:$I, 0)))</f>
        <v>-94.910674</v>
      </c>
      <c r="H200" s="7"/>
      <c r="I200" s="183">
        <v>110056961480</v>
      </c>
      <c r="J200" s="1">
        <f>IF(H200&lt;&gt;"",INDEX('Processed Non-zero TRI Data'!$L:$L,MATCH('Facility Summary_All'!H200,'Processed Non-zero TRI Data'!$I:$I,0)),INDEX('Processed Non-zero DMR Data'!$L:$L,MATCH('Facility Summary_All'!I200,'Processed Non-zero DMR Data'!$I:$I,0)))*1</f>
        <v>325110</v>
      </c>
      <c r="K200" s="185" t="str">
        <f>INDEX('2017 - 2022 NAICS'!$D:$D, MATCH('Facility Summary_All'!J200,'2017 - 2022 NAICS'!$C:$C,0))</f>
        <v>Petrochemical Manufacturing</v>
      </c>
      <c r="L200" t="str">
        <f>IFERROR(VLOOKUP(J200,'NAICS Code to IS CDR Code'!A:C,2,FALSE), "NAICS/SIC Not Provided")</f>
        <v>IS15</v>
      </c>
      <c r="M200" t="str">
        <f>IFERROR(VLOOKUP(J200,'NAICS Code to IS CDR Code'!A:C,3,FALSE), "NAICS/SIC Not Provided")</f>
        <v>Petrochemical Manufacturing</v>
      </c>
      <c r="N200" t="str">
        <f>IF(COUNTIF('Facility Summary_Water'!$M$2:$M$98,I200)&gt;0,"Yes","No")</f>
        <v>No</v>
      </c>
    </row>
    <row r="201" spans="1:14" x14ac:dyDescent="0.25">
      <c r="A201" s="7" t="s">
        <v>508</v>
      </c>
      <c r="B201" s="26"/>
      <c r="C201" s="26" t="s">
        <v>509</v>
      </c>
      <c r="D201" s="7" t="s">
        <v>146</v>
      </c>
      <c r="F201">
        <f>IF(H201&lt;&gt;"", INDEX('Processed Non-zero TRI Data'!$G:$G, MATCH(H201, 'Processed Non-zero TRI Data'!$I:$I,0)), INDEX('Processed Non-zero DMR Data'!$F:$F, MATCH(I201,'Processed Non-zero DMR Data'!$I:$I, 0)))</f>
        <v>40.638300000000001</v>
      </c>
      <c r="G201">
        <f>IF(H201&lt;&gt;"", INDEX('Processed Non-zero TRI Data'!$H:$H, MATCH(H201, 'Processed Non-zero TRI Data'!$I:$I,0)), INDEX('Processed Non-zero DMR Data'!$G:$G, MATCH(I201,'Processed Non-zero DMR Data'!$I:$I, 0)))</f>
        <v>-124.22553000000001</v>
      </c>
      <c r="H201" s="7"/>
      <c r="I201" s="183">
        <v>110010059649</v>
      </c>
      <c r="J201" s="1">
        <f>IF(H201&lt;&gt;"",INDEX('Processed Non-zero TRI Data'!$L:$L,MATCH('Facility Summary_All'!H201,'Processed Non-zero TRI Data'!$I:$I,0)),INDEX('Processed Non-zero DMR Data'!$L:$L,MATCH('Facility Summary_All'!I201,'Processed Non-zero DMR Data'!$I:$I,0)))*1</f>
        <v>221320</v>
      </c>
      <c r="K201" s="185" t="str">
        <f>INDEX('2017 - 2022 NAICS'!$D:$D, MATCH('Facility Summary_All'!J201,'2017 - 2022 NAICS'!$C:$C,0))</f>
        <v>Sewage Treatment Facilities</v>
      </c>
      <c r="L201" t="str">
        <f>IFERROR(VLOOKUP(J201,'NAICS Code to IS CDR Code'!A:C,2,FALSE), "NAICS/SIC Not Provided")</f>
        <v>IS4</v>
      </c>
      <c r="M201" t="str">
        <f>IFERROR(VLOOKUP(J201,'NAICS Code to IS CDR Code'!A:C,3,FALSE), "NAICS/SIC Not Provided")</f>
        <v>Utilities</v>
      </c>
      <c r="N201" t="str">
        <f>IF(COUNTIF('Facility Summary_Water'!$M$2:$M$98,I201)&gt;0,"Yes","No")</f>
        <v>No</v>
      </c>
    </row>
    <row r="202" spans="1:14" x14ac:dyDescent="0.25">
      <c r="A202" s="7" t="s">
        <v>510</v>
      </c>
      <c r="B202" s="26"/>
      <c r="C202" s="26" t="s">
        <v>145</v>
      </c>
      <c r="D202" s="7" t="s">
        <v>146</v>
      </c>
      <c r="F202">
        <f>IF(H202&lt;&gt;"", INDEX('Processed Non-zero TRI Data'!$G:$G, MATCH(H202, 'Processed Non-zero TRI Data'!$I:$I,0)), INDEX('Processed Non-zero DMR Data'!$F:$F, MATCH(I202,'Processed Non-zero DMR Data'!$I:$I, 0)))</f>
        <v>39.915689999999998</v>
      </c>
      <c r="G202">
        <f>IF(H202&lt;&gt;"", INDEX('Processed Non-zero TRI Data'!$H:$H, MATCH(H202, 'Processed Non-zero TRI Data'!$I:$I,0)), INDEX('Processed Non-zero DMR Data'!$G:$G, MATCH(I202,'Processed Non-zero DMR Data'!$I:$I, 0)))</f>
        <v>-122.10365</v>
      </c>
      <c r="H202" s="7"/>
      <c r="I202" s="183">
        <v>110054272210</v>
      </c>
      <c r="J202" s="1">
        <f>IF(H202&lt;&gt;"",INDEX('Processed Non-zero TRI Data'!$L:$L,MATCH('Facility Summary_All'!H202,'Processed Non-zero TRI Data'!$I:$I,0)),INDEX('Processed Non-zero DMR Data'!$L:$L,MATCH('Facility Summary_All'!I202,'Processed Non-zero DMR Data'!$I:$I,0)))*1</f>
        <v>311421</v>
      </c>
      <c r="K202" s="185" t="str">
        <f>INDEX('2017 - 2022 NAICS'!$D:$D, MATCH('Facility Summary_All'!J202,'2017 - 2022 NAICS'!$C:$C,0))</f>
        <v>Fruit and Vegetable Canning</v>
      </c>
      <c r="L202" t="str">
        <f>IFERROR(VLOOKUP(J202,'NAICS Code to IS CDR Code'!A:C,2,FALSE), "NAICS/SIC Not Provided")</f>
        <v>IS6</v>
      </c>
      <c r="M202" t="str">
        <f>IFERROR(VLOOKUP(J202,'NAICS Code to IS CDR Code'!A:C,3,FALSE), "NAICS/SIC Not Provided")</f>
        <v>Food, beverage, and tobacco product manufacturing</v>
      </c>
      <c r="N202" t="str">
        <f>IF(COUNTIF('Facility Summary_Water'!$M$2:$M$98,I202)&gt;0,"Yes","No")</f>
        <v>No</v>
      </c>
    </row>
    <row r="203" spans="1:14" x14ac:dyDescent="0.25">
      <c r="A203" s="7" t="s">
        <v>511</v>
      </c>
      <c r="B203" s="26"/>
      <c r="C203" s="26" t="s">
        <v>512</v>
      </c>
      <c r="D203" s="7" t="s">
        <v>146</v>
      </c>
      <c r="F203">
        <f>IF(H203&lt;&gt;"", INDEX('Processed Non-zero TRI Data'!$G:$G, MATCH(H203, 'Processed Non-zero TRI Data'!$I:$I,0)), INDEX('Processed Non-zero DMR Data'!$F:$F, MATCH(I203,'Processed Non-zero DMR Data'!$I:$I, 0)))</f>
        <v>38.030833000000001</v>
      </c>
      <c r="G203">
        <f>IF(H203&lt;&gt;"", INDEX('Processed Non-zero TRI Data'!$H:$H, MATCH(H203, 'Processed Non-zero TRI Data'!$I:$I,0)), INDEX('Processed Non-zero DMR Data'!$G:$G, MATCH(I203,'Processed Non-zero DMR Data'!$I:$I, 0)))</f>
        <v>-122.075</v>
      </c>
      <c r="H203" s="7"/>
      <c r="I203" s="183">
        <v>110071349304</v>
      </c>
      <c r="J203" s="1">
        <f>IF(H203&lt;&gt;"",INDEX('Processed Non-zero TRI Data'!$L:$L,MATCH('Facility Summary_All'!H203,'Processed Non-zero TRI Data'!$I:$I,0)),INDEX('Processed Non-zero DMR Data'!$L:$L,MATCH('Facility Summary_All'!I203,'Processed Non-zero DMR Data'!$I:$I,0)))*1</f>
        <v>324110</v>
      </c>
      <c r="K203" s="185" t="str">
        <f>INDEX('2017 - 2022 NAICS'!$D:$D, MATCH('Facility Summary_All'!J203,'2017 - 2022 NAICS'!$C:$C,0))</f>
        <v>Petroleum Refineries</v>
      </c>
      <c r="L203" t="str">
        <f>IFERROR(VLOOKUP(J203,'NAICS Code to IS CDR Code'!A:C,2,FALSE), "NAICS/SIC Not Provided")</f>
        <v>IS11</v>
      </c>
      <c r="M203" t="str">
        <f>IFERROR(VLOOKUP(J203,'NAICS Code to IS CDR Code'!A:C,3,FALSE), "NAICS/SIC Not Provided")</f>
        <v>Petroleum Refineries</v>
      </c>
      <c r="N203" t="str">
        <f>IF(COUNTIF('Facility Summary_Water'!$M$2:$M$98,I203)&gt;0,"Yes","No")</f>
        <v>No</v>
      </c>
    </row>
    <row r="204" spans="1:14" x14ac:dyDescent="0.25">
      <c r="A204" s="7" t="s">
        <v>513</v>
      </c>
      <c r="B204" s="26"/>
      <c r="C204" s="26" t="s">
        <v>514</v>
      </c>
      <c r="D204" s="7" t="s">
        <v>146</v>
      </c>
      <c r="F204">
        <f>IF(H204&lt;&gt;"", INDEX('Processed Non-zero TRI Data'!$G:$G, MATCH(H204, 'Processed Non-zero TRI Data'!$I:$I,0)), INDEX('Processed Non-zero DMR Data'!$F:$F, MATCH(I204,'Processed Non-zero DMR Data'!$I:$I, 0)))</f>
        <v>37.795589999999997</v>
      </c>
      <c r="G204">
        <f>IF(H204&lt;&gt;"", INDEX('Processed Non-zero TRI Data'!$H:$H, MATCH(H204, 'Processed Non-zero TRI Data'!$I:$I,0)), INDEX('Processed Non-zero DMR Data'!$G:$G, MATCH(I204,'Processed Non-zero DMR Data'!$I:$I, 0)))</f>
        <v>-121.26000999999999</v>
      </c>
      <c r="H204" s="7"/>
      <c r="I204" s="183">
        <v>110039801462</v>
      </c>
      <c r="J204" s="1">
        <f>IF(H204&lt;&gt;"",INDEX('Processed Non-zero TRI Data'!$L:$L,MATCH('Facility Summary_All'!H204,'Processed Non-zero TRI Data'!$I:$I,0)),INDEX('Processed Non-zero DMR Data'!$L:$L,MATCH('Facility Summary_All'!I204,'Processed Non-zero DMR Data'!$I:$I,0)))*1</f>
        <v>221320</v>
      </c>
      <c r="K204" s="185" t="str">
        <f>INDEX('2017 - 2022 NAICS'!$D:$D, MATCH('Facility Summary_All'!J204,'2017 - 2022 NAICS'!$C:$C,0))</f>
        <v>Sewage Treatment Facilities</v>
      </c>
      <c r="L204" t="str">
        <f>IFERROR(VLOOKUP(J204,'NAICS Code to IS CDR Code'!A:C,2,FALSE), "NAICS/SIC Not Provided")</f>
        <v>IS4</v>
      </c>
      <c r="M204" t="str">
        <f>IFERROR(VLOOKUP(J204,'NAICS Code to IS CDR Code'!A:C,3,FALSE), "NAICS/SIC Not Provided")</f>
        <v>Utilities</v>
      </c>
      <c r="N204" t="str">
        <f>IF(COUNTIF('Facility Summary_Water'!$M$2:$M$98,I204)&gt;0,"Yes","No")</f>
        <v>No</v>
      </c>
    </row>
    <row r="205" spans="1:14" x14ac:dyDescent="0.25">
      <c r="A205" s="7" t="s">
        <v>515</v>
      </c>
      <c r="B205" s="26"/>
      <c r="C205" s="26" t="s">
        <v>313</v>
      </c>
      <c r="D205" s="7" t="s">
        <v>114</v>
      </c>
      <c r="F205">
        <f>IF(H205&lt;&gt;"", INDEX('Processed Non-zero TRI Data'!$G:$G, MATCH(H205, 'Processed Non-zero TRI Data'!$I:$I,0)), INDEX('Processed Non-zero DMR Data'!$F:$F, MATCH(I205,'Processed Non-zero DMR Data'!$I:$I, 0)))</f>
        <v>29.706247999999999</v>
      </c>
      <c r="G205">
        <f>IF(H205&lt;&gt;"", INDEX('Processed Non-zero TRI Data'!$H:$H, MATCH(H205, 'Processed Non-zero TRI Data'!$I:$I,0)), INDEX('Processed Non-zero DMR Data'!$G:$G, MATCH(I205,'Processed Non-zero DMR Data'!$I:$I, 0)))</f>
        <v>-95.251079000000004</v>
      </c>
      <c r="H205" s="7"/>
      <c r="I205" s="183">
        <v>110000461107</v>
      </c>
      <c r="J205" s="1">
        <f>IF(H205&lt;&gt;"",INDEX('Processed Non-zero TRI Data'!$L:$L,MATCH('Facility Summary_All'!H205,'Processed Non-zero TRI Data'!$I:$I,0)),INDEX('Processed Non-zero DMR Data'!$L:$L,MATCH('Facility Summary_All'!I205,'Processed Non-zero DMR Data'!$I:$I,0)))*1</f>
        <v>325110</v>
      </c>
      <c r="K205" s="185" t="str">
        <f>INDEX('2017 - 2022 NAICS'!$D:$D, MATCH('Facility Summary_All'!J205,'2017 - 2022 NAICS'!$C:$C,0))</f>
        <v>Petrochemical Manufacturing</v>
      </c>
      <c r="L205" t="str">
        <f>IFERROR(VLOOKUP(J205,'NAICS Code to IS CDR Code'!A:C,2,FALSE), "NAICS/SIC Not Provided")</f>
        <v>IS15</v>
      </c>
      <c r="M205" t="str">
        <f>IFERROR(VLOOKUP(J205,'NAICS Code to IS CDR Code'!A:C,3,FALSE), "NAICS/SIC Not Provided")</f>
        <v>Petrochemical Manufacturing</v>
      </c>
      <c r="N205" t="str">
        <f>IF(COUNTIF('Facility Summary_Water'!$M$2:$M$98,I205)&gt;0,"Yes","No")</f>
        <v>No</v>
      </c>
    </row>
    <row r="206" spans="1:14" x14ac:dyDescent="0.25">
      <c r="A206" s="7" t="s">
        <v>516</v>
      </c>
      <c r="B206" s="26"/>
      <c r="C206" s="26" t="s">
        <v>517</v>
      </c>
      <c r="D206" s="7" t="s">
        <v>146</v>
      </c>
      <c r="F206">
        <f>IF(H206&lt;&gt;"", INDEX('Processed Non-zero TRI Data'!$G:$G, MATCH(H206, 'Processed Non-zero TRI Data'!$I:$I,0)), INDEX('Processed Non-zero DMR Data'!$F:$F, MATCH(I206,'Processed Non-zero DMR Data'!$I:$I, 0)))</f>
        <v>38.055900000000001</v>
      </c>
      <c r="G206">
        <f>IF(H206&lt;&gt;"", INDEX('Processed Non-zero TRI Data'!$H:$H, MATCH(H206, 'Processed Non-zero TRI Data'!$I:$I,0)), INDEX('Processed Non-zero DMR Data'!$G:$G, MATCH(I206,'Processed Non-zero DMR Data'!$I:$I, 0)))</f>
        <v>-122.21435</v>
      </c>
      <c r="H206" s="7"/>
      <c r="I206" s="183">
        <v>110001163062</v>
      </c>
      <c r="J206" s="1">
        <f>IF(H206&lt;&gt;"",INDEX('Processed Non-zero TRI Data'!$L:$L,MATCH('Facility Summary_All'!H206,'Processed Non-zero TRI Data'!$I:$I,0)),INDEX('Processed Non-zero DMR Data'!$L:$L,MATCH('Facility Summary_All'!I206,'Processed Non-zero DMR Data'!$I:$I,0)))*1</f>
        <v>221111</v>
      </c>
      <c r="K206" s="185" t="str">
        <f>INDEX('2017 - 2022 NAICS'!$D:$D, MATCH('Facility Summary_All'!J206,'2017 - 2022 NAICS'!$C:$C,0))</f>
        <v>Hydroelectric Power Generation</v>
      </c>
      <c r="L206" t="str">
        <f>IFERROR(VLOOKUP(J206,'NAICS Code to IS CDR Code'!A:C,2,FALSE), "NAICS/SIC Not Provided")</f>
        <v>NAICS/SIC Not Provided</v>
      </c>
      <c r="M206" t="str">
        <f>IFERROR(VLOOKUP(J206,'NAICS Code to IS CDR Code'!A:C,3,FALSE), "NAICS/SIC Not Provided")</f>
        <v>NAICS/SIC Not Provided</v>
      </c>
      <c r="N206" t="str">
        <f>IF(COUNTIF('Facility Summary_Water'!$M$2:$M$98,I206)&gt;0,"Yes","No")</f>
        <v>No</v>
      </c>
    </row>
    <row r="207" spans="1:14" x14ac:dyDescent="0.25">
      <c r="A207" s="7" t="s">
        <v>518</v>
      </c>
      <c r="B207" s="26"/>
      <c r="C207" s="26" t="s">
        <v>519</v>
      </c>
      <c r="D207" s="7" t="s">
        <v>520</v>
      </c>
      <c r="F207">
        <f>IF(H207&lt;&gt;"", INDEX('Processed Non-zero TRI Data'!$G:$G, MATCH(H207, 'Processed Non-zero TRI Data'!$I:$I,0)), INDEX('Processed Non-zero DMR Data'!$F:$F, MATCH(I207,'Processed Non-zero DMR Data'!$I:$I, 0)))</f>
        <v>42.362200000000001</v>
      </c>
      <c r="G207">
        <f>IF(H207&lt;&gt;"", INDEX('Processed Non-zero TRI Data'!$H:$H, MATCH(H207, 'Processed Non-zero TRI Data'!$I:$I,0)), INDEX('Processed Non-zero DMR Data'!$G:$G, MATCH(I207,'Processed Non-zero DMR Data'!$I:$I, 0)))</f>
        <v>-71.084089000000006</v>
      </c>
      <c r="H207" s="7"/>
      <c r="I207" s="183">
        <v>110071158765</v>
      </c>
      <c r="J207" s="1">
        <f>IF(H207&lt;&gt;"",INDEX('Processed Non-zero TRI Data'!$L:$L,MATCH('Facility Summary_All'!H207,'Processed Non-zero TRI Data'!$I:$I,0)),INDEX('Processed Non-zero DMR Data'!$L:$L,MATCH('Facility Summary_All'!I207,'Processed Non-zero DMR Data'!$I:$I,0)))*1</f>
        <v>488119</v>
      </c>
      <c r="K207" s="185" t="str">
        <f>INDEX('2017 - 2022 NAICS'!$D:$D, MATCH('Facility Summary_All'!J207,'2017 - 2022 NAICS'!$C:$C,0))</f>
        <v>Other Airport Operations</v>
      </c>
      <c r="L207" t="str">
        <f>IFERROR(VLOOKUP(J207,'NAICS Code to IS CDR Code'!A:C,2,FALSE), "NAICS/SIC Not Provided")</f>
        <v>IS46</v>
      </c>
      <c r="M207" t="str">
        <f>IFERROR(VLOOKUP(J207,'NAICS Code to IS CDR Code'!A:C,3,FALSE), "NAICS/SIC Not Provided")</f>
        <v>Wholesale and Retail Trade</v>
      </c>
      <c r="N207" t="str">
        <f>IF(COUNTIF('Facility Summary_Water'!$M$2:$M$98,I207)&gt;0,"Yes","No")</f>
        <v>No</v>
      </c>
    </row>
    <row r="208" spans="1:14" x14ac:dyDescent="0.25">
      <c r="A208" s="7" t="s">
        <v>521</v>
      </c>
      <c r="B208" s="26"/>
      <c r="C208" s="26" t="s">
        <v>522</v>
      </c>
      <c r="D208" s="7" t="s">
        <v>153</v>
      </c>
      <c r="F208">
        <f>IF(H208&lt;&gt;"", INDEX('Processed Non-zero TRI Data'!$G:$G, MATCH(H208, 'Processed Non-zero TRI Data'!$I:$I,0)), INDEX('Processed Non-zero DMR Data'!$F:$F, MATCH(I208,'Processed Non-zero DMR Data'!$I:$I, 0)))</f>
        <v>40.703099000000002</v>
      </c>
      <c r="G208">
        <f>IF(H208&lt;&gt;"", INDEX('Processed Non-zero TRI Data'!$H:$H, MATCH(H208, 'Processed Non-zero TRI Data'!$I:$I,0)), INDEX('Processed Non-zero DMR Data'!$G:$G, MATCH(I208,'Processed Non-zero DMR Data'!$I:$I, 0)))</f>
        <v>-75.197676000000001</v>
      </c>
      <c r="H208" s="7"/>
      <c r="I208" s="183">
        <v>110000322311</v>
      </c>
      <c r="J208" s="1">
        <f>IF(H208&lt;&gt;"",INDEX('Processed Non-zero TRI Data'!$L:$L,MATCH('Facility Summary_All'!H208,'Processed Non-zero TRI Data'!$I:$I,0)),INDEX('Processed Non-zero DMR Data'!$L:$L,MATCH('Facility Summary_All'!I208,'Processed Non-zero DMR Data'!$I:$I,0)))*1</f>
        <v>211130</v>
      </c>
      <c r="K208" s="185" t="str">
        <f>INDEX('2017 - 2022 NAICS'!$D:$D, MATCH('Facility Summary_All'!J208,'2017 - 2022 NAICS'!$C:$C,0))</f>
        <v>Natural Gas Extraction</v>
      </c>
      <c r="L208" t="str">
        <f>IFERROR(VLOOKUP(J208,'NAICS Code to IS CDR Code'!A:C,2,FALSE), "NAICS/SIC Not Provided")</f>
        <v>IS2</v>
      </c>
      <c r="M208" t="str">
        <f>IFERROR(VLOOKUP(J208,'NAICS Code to IS CDR Code'!A:C,3,FALSE), "NAICS/SIC Not Provided")</f>
        <v>Oil and Gas Drilling, Extraction, and Support Activities</v>
      </c>
      <c r="N208" t="str">
        <f>IF(COUNTIF('Facility Summary_Water'!$M$2:$M$98,I208)&gt;0,"Yes","No")</f>
        <v>No</v>
      </c>
    </row>
    <row r="209" spans="1:14" x14ac:dyDescent="0.25">
      <c r="A209" s="7" t="s">
        <v>523</v>
      </c>
      <c r="B209" s="26"/>
      <c r="C209" s="26" t="s">
        <v>190</v>
      </c>
      <c r="D209" s="7" t="s">
        <v>146</v>
      </c>
      <c r="F209">
        <f>IF(H209&lt;&gt;"", INDEX('Processed Non-zero TRI Data'!$G:$G, MATCH(H209, 'Processed Non-zero TRI Data'!$I:$I,0)), INDEX('Processed Non-zero DMR Data'!$F:$F, MATCH(I209,'Processed Non-zero DMR Data'!$I:$I, 0)))</f>
        <v>32.796432000000003</v>
      </c>
      <c r="G209">
        <f>IF(H209&lt;&gt;"", INDEX('Processed Non-zero TRI Data'!$H:$H, MATCH(H209, 'Processed Non-zero TRI Data'!$I:$I,0)), INDEX('Processed Non-zero DMR Data'!$G:$G, MATCH(I209,'Processed Non-zero DMR Data'!$I:$I, 0)))</f>
        <v>-115.667761</v>
      </c>
      <c r="H209" s="7"/>
      <c r="I209" s="183">
        <v>110013128169</v>
      </c>
      <c r="J209" s="1">
        <f>IF(H209&lt;&gt;"",INDEX('Processed Non-zero TRI Data'!$L:$L,MATCH('Facility Summary_All'!H209,'Processed Non-zero TRI Data'!$I:$I,0)),INDEX('Processed Non-zero DMR Data'!$L:$L,MATCH('Facility Summary_All'!I209,'Processed Non-zero DMR Data'!$I:$I,0)))*1</f>
        <v>221320</v>
      </c>
      <c r="K209" s="185" t="str">
        <f>INDEX('2017 - 2022 NAICS'!$D:$D, MATCH('Facility Summary_All'!J209,'2017 - 2022 NAICS'!$C:$C,0))</f>
        <v>Sewage Treatment Facilities</v>
      </c>
      <c r="L209" t="str">
        <f>IFERROR(VLOOKUP(J209,'NAICS Code to IS CDR Code'!A:C,2,FALSE), "NAICS/SIC Not Provided")</f>
        <v>IS4</v>
      </c>
      <c r="M209" t="str">
        <f>IFERROR(VLOOKUP(J209,'NAICS Code to IS CDR Code'!A:C,3,FALSE), "NAICS/SIC Not Provided")</f>
        <v>Utilities</v>
      </c>
      <c r="N209" t="str">
        <f>IF(COUNTIF('Facility Summary_Water'!$M$2:$M$98,I209)&gt;0,"Yes","No")</f>
        <v>No</v>
      </c>
    </row>
    <row r="210" spans="1:14" x14ac:dyDescent="0.25">
      <c r="A210" s="7" t="s">
        <v>524</v>
      </c>
      <c r="B210" s="26"/>
      <c r="C210" s="26" t="s">
        <v>315</v>
      </c>
      <c r="D210" s="7" t="s">
        <v>138</v>
      </c>
      <c r="F210">
        <f>IF(H210&lt;&gt;"", INDEX('Processed Non-zero TRI Data'!$G:$G, MATCH(H210, 'Processed Non-zero TRI Data'!$I:$I,0)), INDEX('Processed Non-zero DMR Data'!$F:$F, MATCH(I210,'Processed Non-zero DMR Data'!$I:$I, 0)))</f>
        <v>38.041639000000004</v>
      </c>
      <c r="G210">
        <f>IF(H210&lt;&gt;"", INDEX('Processed Non-zero TRI Data'!$H:$H, MATCH(H210, 'Processed Non-zero TRI Data'!$I:$I,0)), INDEX('Processed Non-zero DMR Data'!$G:$G, MATCH(I210,'Processed Non-zero DMR Data'!$I:$I, 0)))</f>
        <v>-84.208667000000005</v>
      </c>
      <c r="H210" s="7"/>
      <c r="I210" s="183">
        <v>110000542896</v>
      </c>
      <c r="J210" s="1">
        <f>IF(H210&lt;&gt;"",INDEX('Processed Non-zero TRI Data'!$L:$L,MATCH('Facility Summary_All'!H210,'Processed Non-zero TRI Data'!$I:$I,0)),INDEX('Processed Non-zero DMR Data'!$L:$L,MATCH('Facility Summary_All'!I210,'Processed Non-zero DMR Data'!$I:$I,0)))*1</f>
        <v>221320</v>
      </c>
      <c r="K210" s="185" t="str">
        <f>INDEX('2017 - 2022 NAICS'!$D:$D, MATCH('Facility Summary_All'!J210,'2017 - 2022 NAICS'!$C:$C,0))</f>
        <v>Sewage Treatment Facilities</v>
      </c>
      <c r="L210" t="str">
        <f>IFERROR(VLOOKUP(J210,'NAICS Code to IS CDR Code'!A:C,2,FALSE), "NAICS/SIC Not Provided")</f>
        <v>IS4</v>
      </c>
      <c r="M210" t="str">
        <f>IFERROR(VLOOKUP(J210,'NAICS Code to IS CDR Code'!A:C,3,FALSE), "NAICS/SIC Not Provided")</f>
        <v>Utilities</v>
      </c>
      <c r="N210" t="str">
        <f>IF(COUNTIF('Facility Summary_Water'!$M$2:$M$98,I210)&gt;0,"Yes","No")</f>
        <v>No</v>
      </c>
    </row>
    <row r="211" spans="1:14" x14ac:dyDescent="0.25">
      <c r="A211" s="7" t="s">
        <v>525</v>
      </c>
      <c r="B211" s="26"/>
      <c r="C211" s="26" t="s">
        <v>157</v>
      </c>
      <c r="D211" s="7" t="s">
        <v>158</v>
      </c>
      <c r="F211">
        <f>IF(H211&lt;&gt;"", INDEX('Processed Non-zero TRI Data'!$G:$G, MATCH(H211, 'Processed Non-zero TRI Data'!$I:$I,0)), INDEX('Processed Non-zero DMR Data'!$F:$F, MATCH(I211,'Processed Non-zero DMR Data'!$I:$I, 0)))</f>
        <v>36.170819999999999</v>
      </c>
      <c r="G211">
        <f>IF(H211&lt;&gt;"", INDEX('Processed Non-zero TRI Data'!$H:$H, MATCH(H211, 'Processed Non-zero TRI Data'!$I:$I,0)), INDEX('Processed Non-zero DMR Data'!$G:$G, MATCH(I211,'Processed Non-zero DMR Data'!$I:$I, 0)))</f>
        <v>-115.14431</v>
      </c>
      <c r="H211" s="7"/>
      <c r="I211" s="183">
        <v>110004300596</v>
      </c>
      <c r="J211" s="1">
        <f>IF(H211&lt;&gt;"",INDEX('Processed Non-zero TRI Data'!$L:$L,MATCH('Facility Summary_All'!H211,'Processed Non-zero TRI Data'!$I:$I,0)),INDEX('Processed Non-zero DMR Data'!$L:$L,MATCH('Facility Summary_All'!I211,'Processed Non-zero DMR Data'!$I:$I,0)))*1</f>
        <v>721110</v>
      </c>
      <c r="K211" s="185" t="str">
        <f>INDEX('2017 - 2022 NAICS'!$D:$D, MATCH('Facility Summary_All'!J211,'2017 - 2022 NAICS'!$C:$C,0))</f>
        <v>Hotels (except Casino Hotels) and Motels</v>
      </c>
      <c r="L211" t="str">
        <f>IFERROR(VLOOKUP(J211,'NAICS Code to IS CDR Code'!A:C,2,FALSE), "NAICS/SIC Not Provided")</f>
        <v>IS47</v>
      </c>
      <c r="M211" t="str">
        <f>IFERROR(VLOOKUP(J211,'NAICS Code to IS CDR Code'!A:C,3,FALSE), "NAICS/SIC Not Provided")</f>
        <v>Services</v>
      </c>
      <c r="N211" t="str">
        <f>IF(COUNTIF('Facility Summary_Water'!$M$2:$M$98,I211)&gt;0,"Yes","No")</f>
        <v>No</v>
      </c>
    </row>
    <row r="212" spans="1:14" x14ac:dyDescent="0.25">
      <c r="A212" s="7" t="s">
        <v>526</v>
      </c>
      <c r="B212" s="26"/>
      <c r="C212" s="26" t="s">
        <v>527</v>
      </c>
      <c r="D212" s="7" t="s">
        <v>485</v>
      </c>
      <c r="F212">
        <f>IF(H212&lt;&gt;"", INDEX('Processed Non-zero TRI Data'!$G:$G, MATCH(H212, 'Processed Non-zero TRI Data'!$I:$I,0)), INDEX('Processed Non-zero DMR Data'!$F:$F, MATCH(I212,'Processed Non-zero DMR Data'!$I:$I, 0)))</f>
        <v>36.786963999999998</v>
      </c>
      <c r="G212">
        <f>IF(H212&lt;&gt;"", INDEX('Processed Non-zero TRI Data'!$H:$H, MATCH(H212, 'Processed Non-zero TRI Data'!$I:$I,0)), INDEX('Processed Non-zero DMR Data'!$G:$G, MATCH(I212,'Processed Non-zero DMR Data'!$I:$I, 0)))</f>
        <v>-108.711493</v>
      </c>
      <c r="H212" s="7"/>
      <c r="I212" s="183">
        <v>110024409362</v>
      </c>
      <c r="J212" s="1">
        <f>IF(H212&lt;&gt;"",INDEX('Processed Non-zero TRI Data'!$L:$L,MATCH('Facility Summary_All'!H212,'Processed Non-zero TRI Data'!$I:$I,0)),INDEX('Processed Non-zero DMR Data'!$L:$L,MATCH('Facility Summary_All'!I212,'Processed Non-zero DMR Data'!$I:$I,0)))*1</f>
        <v>221320</v>
      </c>
      <c r="K212" s="185" t="str">
        <f>INDEX('2017 - 2022 NAICS'!$D:$D, MATCH('Facility Summary_All'!J212,'2017 - 2022 NAICS'!$C:$C,0))</f>
        <v>Sewage Treatment Facilities</v>
      </c>
      <c r="L212" t="str">
        <f>IFERROR(VLOOKUP(J212,'NAICS Code to IS CDR Code'!A:C,2,FALSE), "NAICS/SIC Not Provided")</f>
        <v>IS4</v>
      </c>
      <c r="M212" t="str">
        <f>IFERROR(VLOOKUP(J212,'NAICS Code to IS CDR Code'!A:C,3,FALSE), "NAICS/SIC Not Provided")</f>
        <v>Utilities</v>
      </c>
      <c r="N212" t="str">
        <f>IF(COUNTIF('Facility Summary_Water'!$M$2:$M$98,I212)&gt;0,"Yes","No")</f>
        <v>No</v>
      </c>
    </row>
    <row r="213" spans="1:14" x14ac:dyDescent="0.25">
      <c r="A213" s="7" t="s">
        <v>528</v>
      </c>
      <c r="B213" s="26"/>
      <c r="C213" s="26" t="s">
        <v>529</v>
      </c>
      <c r="D213" s="7" t="s">
        <v>138</v>
      </c>
      <c r="F213">
        <f>IF(H213&lt;&gt;"", INDEX('Processed Non-zero TRI Data'!$G:$G, MATCH(H213, 'Processed Non-zero TRI Data'!$I:$I,0)), INDEX('Processed Non-zero DMR Data'!$F:$F, MATCH(I213,'Processed Non-zero DMR Data'!$I:$I, 0)))</f>
        <v>38.691943999999999</v>
      </c>
      <c r="G213">
        <f>IF(H213&lt;&gt;"", INDEX('Processed Non-zero TRI Data'!$H:$H, MATCH(H213, 'Processed Non-zero TRI Data'!$I:$I,0)), INDEX('Processed Non-zero DMR Data'!$G:$G, MATCH(I213,'Processed Non-zero DMR Data'!$I:$I, 0)))</f>
        <v>-84.325000000000003</v>
      </c>
      <c r="H213" s="7"/>
      <c r="I213" s="183">
        <v>110023140420</v>
      </c>
      <c r="J213" s="1">
        <f>IF(H213&lt;&gt;"",INDEX('Processed Non-zero TRI Data'!$L:$L,MATCH('Facility Summary_All'!H213,'Processed Non-zero TRI Data'!$I:$I,0)),INDEX('Processed Non-zero DMR Data'!$L:$L,MATCH('Facility Summary_All'!I213,'Processed Non-zero DMR Data'!$I:$I,0)))*1</f>
        <v>221320</v>
      </c>
      <c r="K213" s="185" t="str">
        <f>INDEX('2017 - 2022 NAICS'!$D:$D, MATCH('Facility Summary_All'!J213,'2017 - 2022 NAICS'!$C:$C,0))</f>
        <v>Sewage Treatment Facilities</v>
      </c>
      <c r="L213" t="str">
        <f>IFERROR(VLOOKUP(J213,'NAICS Code to IS CDR Code'!A:C,2,FALSE), "NAICS/SIC Not Provided")</f>
        <v>IS4</v>
      </c>
      <c r="M213" t="str">
        <f>IFERROR(VLOOKUP(J213,'NAICS Code to IS CDR Code'!A:C,3,FALSE), "NAICS/SIC Not Provided")</f>
        <v>Utilities</v>
      </c>
      <c r="N213" t="str">
        <f>IF(COUNTIF('Facility Summary_Water'!$M$2:$M$98,I213)&gt;0,"Yes","No")</f>
        <v>No</v>
      </c>
    </row>
    <row r="214" spans="1:14" x14ac:dyDescent="0.25">
      <c r="A214" s="7" t="s">
        <v>530</v>
      </c>
      <c r="B214" s="26"/>
      <c r="C214" s="26" t="s">
        <v>531</v>
      </c>
      <c r="D214" s="7" t="s">
        <v>146</v>
      </c>
      <c r="F214">
        <f>IF(H214&lt;&gt;"", INDEX('Processed Non-zero TRI Data'!$G:$G, MATCH(H214, 'Processed Non-zero TRI Data'!$I:$I,0)), INDEX('Processed Non-zero DMR Data'!$F:$F, MATCH(I214,'Processed Non-zero DMR Data'!$I:$I, 0)))</f>
        <v>38.074433999999997</v>
      </c>
      <c r="G214">
        <f>IF(H214&lt;&gt;"", INDEX('Processed Non-zero TRI Data'!$H:$H, MATCH(H214, 'Processed Non-zero TRI Data'!$I:$I,0)), INDEX('Processed Non-zero DMR Data'!$G:$G, MATCH(I214,'Processed Non-zero DMR Data'!$I:$I, 0)))</f>
        <v>-122.144397</v>
      </c>
      <c r="H214" s="7"/>
      <c r="I214" s="183">
        <v>110033145353</v>
      </c>
      <c r="J214" s="1">
        <f>IF(H214&lt;&gt;"",INDEX('Processed Non-zero TRI Data'!$L:$L,MATCH('Facility Summary_All'!H214,'Processed Non-zero TRI Data'!$I:$I,0)),INDEX('Processed Non-zero DMR Data'!$L:$L,MATCH('Facility Summary_All'!I214,'Processed Non-zero DMR Data'!$I:$I,0)))*1</f>
        <v>324110</v>
      </c>
      <c r="K214" s="185" t="str">
        <f>INDEX('2017 - 2022 NAICS'!$D:$D, MATCH('Facility Summary_All'!J214,'2017 - 2022 NAICS'!$C:$C,0))</f>
        <v>Petroleum Refineries</v>
      </c>
      <c r="L214" t="str">
        <f>IFERROR(VLOOKUP(J214,'NAICS Code to IS CDR Code'!A:C,2,FALSE), "NAICS/SIC Not Provided")</f>
        <v>IS11</v>
      </c>
      <c r="M214" t="str">
        <f>IFERROR(VLOOKUP(J214,'NAICS Code to IS CDR Code'!A:C,3,FALSE), "NAICS/SIC Not Provided")</f>
        <v>Petroleum Refineries</v>
      </c>
      <c r="N214" t="str">
        <f>IF(COUNTIF('Facility Summary_Water'!$M$2:$M$98,I214)&gt;0,"Yes","No")</f>
        <v>No</v>
      </c>
    </row>
    <row r="215" spans="1:14" ht="30" x14ac:dyDescent="0.25">
      <c r="A215" s="7" t="s">
        <v>532</v>
      </c>
      <c r="B215" s="26"/>
      <c r="C215" s="26" t="s">
        <v>533</v>
      </c>
      <c r="D215" s="7" t="s">
        <v>520</v>
      </c>
      <c r="F215">
        <f>IF(H215&lt;&gt;"", INDEX('Processed Non-zero TRI Data'!$G:$G, MATCH(H215, 'Processed Non-zero TRI Data'!$I:$I,0)), INDEX('Processed Non-zero DMR Data'!$F:$F, MATCH(I215,'Processed Non-zero DMR Data'!$I:$I, 0)))</f>
        <v>42.313240999999998</v>
      </c>
      <c r="G215">
        <f>IF(H215&lt;&gt;"", INDEX('Processed Non-zero TRI Data'!$H:$H, MATCH(H215, 'Processed Non-zero TRI Data'!$I:$I,0)), INDEX('Processed Non-zero DMR Data'!$G:$G, MATCH(I215,'Processed Non-zero DMR Data'!$I:$I, 0)))</f>
        <v>-71.046143999999998</v>
      </c>
      <c r="H215" s="7"/>
      <c r="I215" s="183">
        <v>110071445083</v>
      </c>
      <c r="J215" s="1">
        <f>IF(H215&lt;&gt;"",INDEX('Processed Non-zero TRI Data'!$L:$L,MATCH('Facility Summary_All'!H215,'Processed Non-zero TRI Data'!$I:$I,0)),INDEX('Processed Non-zero DMR Data'!$L:$L,MATCH('Facility Summary_All'!I215,'Processed Non-zero DMR Data'!$I:$I,0)))*1</f>
        <v>488119</v>
      </c>
      <c r="K215" s="185" t="str">
        <f>INDEX('2017 - 2022 NAICS'!$D:$D, MATCH('Facility Summary_All'!J215,'2017 - 2022 NAICS'!$C:$C,0))</f>
        <v>Other Airport Operations</v>
      </c>
      <c r="L215" t="str">
        <f>IFERROR(VLOOKUP(J215,'NAICS Code to IS CDR Code'!A:C,2,FALSE), "NAICS/SIC Not Provided")</f>
        <v>IS46</v>
      </c>
      <c r="M215" t="str">
        <f>IFERROR(VLOOKUP(J215,'NAICS Code to IS CDR Code'!A:C,3,FALSE), "NAICS/SIC Not Provided")</f>
        <v>Wholesale and Retail Trade</v>
      </c>
      <c r="N215" t="str">
        <f>IF(COUNTIF('Facility Summary_Water'!$M$2:$M$98,I215)&gt;0,"Yes","No")</f>
        <v>No</v>
      </c>
    </row>
    <row r="216" spans="1:14" x14ac:dyDescent="0.25">
      <c r="A216" s="7" t="s">
        <v>534</v>
      </c>
      <c r="B216" s="26"/>
      <c r="C216" s="26" t="s">
        <v>190</v>
      </c>
      <c r="D216" s="7" t="s">
        <v>146</v>
      </c>
      <c r="F216">
        <f>IF(H216&lt;&gt;"", INDEX('Processed Non-zero TRI Data'!$G:$G, MATCH(H216, 'Processed Non-zero TRI Data'!$I:$I,0)), INDEX('Processed Non-zero DMR Data'!$F:$F, MATCH(I216,'Processed Non-zero DMR Data'!$I:$I, 0)))</f>
        <v>32.781489999999998</v>
      </c>
      <c r="G216">
        <f>IF(H216&lt;&gt;"", INDEX('Processed Non-zero TRI Data'!$H:$H, MATCH(H216, 'Processed Non-zero TRI Data'!$I:$I,0)), INDEX('Processed Non-zero DMR Data'!$G:$G, MATCH(I216,'Processed Non-zero DMR Data'!$I:$I, 0)))</f>
        <v>-115.5035</v>
      </c>
      <c r="H216" s="7"/>
      <c r="I216" s="183">
        <v>110012876557</v>
      </c>
      <c r="J216" s="1">
        <f>IF(H216&lt;&gt;"",INDEX('Processed Non-zero TRI Data'!$L:$L,MATCH('Facility Summary_All'!H216,'Processed Non-zero TRI Data'!$I:$I,0)),INDEX('Processed Non-zero DMR Data'!$L:$L,MATCH('Facility Summary_All'!I216,'Processed Non-zero DMR Data'!$I:$I,0)))*1</f>
        <v>531190</v>
      </c>
      <c r="K216" s="185" t="str">
        <f>INDEX('2017 - 2022 NAICS'!$D:$D, MATCH('Facility Summary_All'!J216,'2017 - 2022 NAICS'!$C:$C,0))</f>
        <v>Lessors of Other Real Estate Property</v>
      </c>
      <c r="L216" t="str">
        <f>IFERROR(VLOOKUP(J216,'NAICS Code to IS CDR Code'!A:C,2,FALSE), "NAICS/SIC Not Provided")</f>
        <v>IS47</v>
      </c>
      <c r="M216" t="str">
        <f>IFERROR(VLOOKUP(J216,'NAICS Code to IS CDR Code'!A:C,3,FALSE), "NAICS/SIC Not Provided")</f>
        <v>Services</v>
      </c>
      <c r="N216" t="str">
        <f>IF(COUNTIF('Facility Summary_Water'!$M$2:$M$98,I216)&gt;0,"Yes","No")</f>
        <v>No</v>
      </c>
    </row>
    <row r="217" spans="1:14" x14ac:dyDescent="0.25">
      <c r="A217" s="7" t="s">
        <v>535</v>
      </c>
      <c r="B217" s="26"/>
      <c r="C217" s="26" t="s">
        <v>536</v>
      </c>
      <c r="D217" s="7" t="s">
        <v>218</v>
      </c>
      <c r="F217">
        <f>IF(H217&lt;&gt;"", INDEX('Processed Non-zero TRI Data'!$G:$G, MATCH(H217, 'Processed Non-zero TRI Data'!$I:$I,0)), INDEX('Processed Non-zero DMR Data'!$F:$F, MATCH(I217,'Processed Non-zero DMR Data'!$I:$I, 0)))</f>
        <v>40.49682</v>
      </c>
      <c r="G217">
        <f>IF(H217&lt;&gt;"", INDEX('Processed Non-zero TRI Data'!$H:$H, MATCH(H217, 'Processed Non-zero TRI Data'!$I:$I,0)), INDEX('Processed Non-zero DMR Data'!$G:$G, MATCH(I217,'Processed Non-zero DMR Data'!$I:$I, 0)))</f>
        <v>-105.11552</v>
      </c>
      <c r="H217" s="7"/>
      <c r="I217" s="183">
        <v>110012150858</v>
      </c>
      <c r="J217" s="1">
        <f>IF(H217&lt;&gt;"",INDEX('Processed Non-zero TRI Data'!$L:$L,MATCH('Facility Summary_All'!H217,'Processed Non-zero TRI Data'!$I:$I,0)),INDEX('Processed Non-zero DMR Data'!$L:$L,MATCH('Facility Summary_All'!I217,'Processed Non-zero DMR Data'!$I:$I,0)))*1</f>
        <v>562211</v>
      </c>
      <c r="K217" s="185" t="str">
        <f>INDEX('2017 - 2022 NAICS'!$D:$D, MATCH('Facility Summary_All'!J217,'2017 - 2022 NAICS'!$C:$C,0))</f>
        <v>Hazardous Waste Treatment and Disposal</v>
      </c>
      <c r="L217" t="str">
        <f>IFERROR(VLOOKUP(J217,'NAICS Code to IS CDR Code'!A:C,2,FALSE), "NAICS/SIC Not Provided")</f>
        <v>IS47</v>
      </c>
      <c r="M217" t="str">
        <f>IFERROR(VLOOKUP(J217,'NAICS Code to IS CDR Code'!A:C,3,FALSE), "NAICS/SIC Not Provided")</f>
        <v>Services</v>
      </c>
      <c r="N217" t="str">
        <f>IF(COUNTIF('Facility Summary_Water'!$M$2:$M$98,I217)&gt;0,"Yes","No")</f>
        <v>No</v>
      </c>
    </row>
    <row r="218" spans="1:14" x14ac:dyDescent="0.25">
      <c r="A218" s="7" t="s">
        <v>537</v>
      </c>
      <c r="B218" s="26"/>
      <c r="C218" s="26" t="s">
        <v>538</v>
      </c>
      <c r="D218" s="7" t="s">
        <v>138</v>
      </c>
      <c r="F218">
        <f>IF(H218&lt;&gt;"", INDEX('Processed Non-zero TRI Data'!$G:$G, MATCH(H218, 'Processed Non-zero TRI Data'!$I:$I,0)), INDEX('Processed Non-zero DMR Data'!$F:$F, MATCH(I218,'Processed Non-zero DMR Data'!$I:$I, 0)))</f>
        <v>38.213957000000001</v>
      </c>
      <c r="G218">
        <f>IF(H218&lt;&gt;"", INDEX('Processed Non-zero TRI Data'!$H:$H, MATCH(H218, 'Processed Non-zero TRI Data'!$I:$I,0)), INDEX('Processed Non-zero DMR Data'!$G:$G, MATCH(I218,'Processed Non-zero DMR Data'!$I:$I, 0)))</f>
        <v>-84.873705000000001</v>
      </c>
      <c r="H218" s="7"/>
      <c r="I218" s="183">
        <v>110000732299</v>
      </c>
      <c r="J218" s="1">
        <f>IF(H218&lt;&gt;"",INDEX('Processed Non-zero TRI Data'!$L:$L,MATCH('Facility Summary_All'!H218,'Processed Non-zero TRI Data'!$I:$I,0)),INDEX('Processed Non-zero DMR Data'!$L:$L,MATCH('Facility Summary_All'!I218,'Processed Non-zero DMR Data'!$I:$I,0)))*1</f>
        <v>221320</v>
      </c>
      <c r="K218" s="185" t="str">
        <f>INDEX('2017 - 2022 NAICS'!$D:$D, MATCH('Facility Summary_All'!J218,'2017 - 2022 NAICS'!$C:$C,0))</f>
        <v>Sewage Treatment Facilities</v>
      </c>
      <c r="L218" t="str">
        <f>IFERROR(VLOOKUP(J218,'NAICS Code to IS CDR Code'!A:C,2,FALSE), "NAICS/SIC Not Provided")</f>
        <v>IS4</v>
      </c>
      <c r="M218" t="str">
        <f>IFERROR(VLOOKUP(J218,'NAICS Code to IS CDR Code'!A:C,3,FALSE), "NAICS/SIC Not Provided")</f>
        <v>Utilities</v>
      </c>
      <c r="N218" t="str">
        <f>IF(COUNTIF('Facility Summary_Water'!$M$2:$M$98,I218)&gt;0,"Yes","No")</f>
        <v>No</v>
      </c>
    </row>
  </sheetData>
  <autoFilter ref="A1:N47" xr:uid="{03FCAD0C-0C68-4153-AE2F-100C56AFECF2}">
    <sortState xmlns:xlrd2="http://schemas.microsoft.com/office/spreadsheetml/2017/richdata2" ref="A2:N47">
      <sortCondition ref="H1:H148"/>
    </sortState>
  </autoFilter>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C4136-DBC6-4457-AEB2-7A793955C9D7}">
  <sheetPr codeName="Sheet13">
    <tabColor rgb="FF9933FF"/>
  </sheetPr>
  <dimension ref="A1:H35"/>
  <sheetViews>
    <sheetView workbookViewId="0"/>
  </sheetViews>
  <sheetFormatPr defaultRowHeight="15" x14ac:dyDescent="0.25"/>
  <cols>
    <col min="1" max="1" width="19.42578125" bestFit="1" customWidth="1"/>
    <col min="2" max="2" width="32.85546875" style="7" bestFit="1" customWidth="1"/>
    <col min="3" max="3" width="54.7109375" style="7" bestFit="1" customWidth="1"/>
    <col min="4" max="4" width="46" bestFit="1" customWidth="1"/>
    <col min="5" max="5" width="16.7109375" bestFit="1" customWidth="1"/>
    <col min="6" max="7" width="11.140625" bestFit="1" customWidth="1"/>
    <col min="8" max="8" width="67.85546875" bestFit="1" customWidth="1"/>
    <col min="9" max="9" width="7" bestFit="1" customWidth="1"/>
    <col min="10" max="10" width="67.85546875" bestFit="1" customWidth="1"/>
  </cols>
  <sheetData>
    <row r="1" spans="1:8" x14ac:dyDescent="0.25">
      <c r="A1" s="205" t="s">
        <v>1158</v>
      </c>
      <c r="B1" s="213" t="s">
        <v>1516</v>
      </c>
      <c r="C1" s="243" t="s">
        <v>82</v>
      </c>
      <c r="D1" s="240" t="s">
        <v>1517</v>
      </c>
      <c r="E1" s="240" t="s">
        <v>1518</v>
      </c>
      <c r="F1" s="240" t="s">
        <v>1519</v>
      </c>
      <c r="G1" s="240" t="s">
        <v>1520</v>
      </c>
      <c r="H1" s="240" t="s">
        <v>1521</v>
      </c>
    </row>
    <row r="2" spans="1:8" x14ac:dyDescent="0.25">
      <c r="A2" s="236">
        <v>110001244724</v>
      </c>
      <c r="B2" s="214" t="s">
        <v>5459</v>
      </c>
      <c r="C2" s="237" t="s">
        <v>1522</v>
      </c>
      <c r="D2" s="237" t="s">
        <v>104</v>
      </c>
      <c r="E2" s="237" t="s">
        <v>105</v>
      </c>
      <c r="F2" s="237" t="s">
        <v>106</v>
      </c>
      <c r="G2" s="238">
        <v>325199</v>
      </c>
      <c r="H2" s="239" t="s">
        <v>1171</v>
      </c>
    </row>
    <row r="3" spans="1:8" x14ac:dyDescent="0.25">
      <c r="A3" s="236">
        <v>110000499611</v>
      </c>
      <c r="B3" s="214" t="s">
        <v>65</v>
      </c>
      <c r="C3" s="237" t="s">
        <v>1523</v>
      </c>
      <c r="D3" s="237" t="s">
        <v>108</v>
      </c>
      <c r="E3" s="237" t="s">
        <v>109</v>
      </c>
      <c r="F3" s="237" t="s">
        <v>110</v>
      </c>
      <c r="G3" s="238">
        <v>325199</v>
      </c>
      <c r="H3" s="239" t="s">
        <v>1171</v>
      </c>
    </row>
    <row r="4" spans="1:8" x14ac:dyDescent="0.25">
      <c r="A4" s="236">
        <v>110008170237</v>
      </c>
      <c r="B4" s="214" t="s">
        <v>5459</v>
      </c>
      <c r="C4" s="237" t="s">
        <v>1522</v>
      </c>
      <c r="D4" s="237" t="s">
        <v>112</v>
      </c>
      <c r="E4" s="237" t="s">
        <v>113</v>
      </c>
      <c r="F4" s="237" t="s">
        <v>114</v>
      </c>
      <c r="G4" s="238">
        <v>325199</v>
      </c>
      <c r="H4" s="239" t="s">
        <v>1171</v>
      </c>
    </row>
    <row r="5" spans="1:8" x14ac:dyDescent="0.25">
      <c r="A5" s="236">
        <v>110043787408</v>
      </c>
      <c r="B5" s="214" t="s">
        <v>63</v>
      </c>
      <c r="C5" s="237" t="s">
        <v>1524</v>
      </c>
      <c r="D5" s="237" t="s">
        <v>116</v>
      </c>
      <c r="E5" s="237" t="s">
        <v>117</v>
      </c>
      <c r="F5" s="237" t="s">
        <v>118</v>
      </c>
      <c r="G5" s="238">
        <v>325211</v>
      </c>
      <c r="H5" s="239" t="s">
        <v>1180</v>
      </c>
    </row>
    <row r="6" spans="1:8" x14ac:dyDescent="0.25">
      <c r="A6" s="236">
        <v>110066943605</v>
      </c>
      <c r="B6" s="214" t="s">
        <v>5459</v>
      </c>
      <c r="C6" s="237" t="s">
        <v>1525</v>
      </c>
      <c r="D6" s="237" t="s">
        <v>120</v>
      </c>
      <c r="E6" s="237" t="s">
        <v>113</v>
      </c>
      <c r="F6" s="237" t="s">
        <v>114</v>
      </c>
      <c r="G6" s="238">
        <v>325199</v>
      </c>
      <c r="H6" s="239" t="s">
        <v>1171</v>
      </c>
    </row>
    <row r="7" spans="1:8" x14ac:dyDescent="0.25">
      <c r="A7" s="236">
        <v>110000607772</v>
      </c>
      <c r="B7" s="214" t="s">
        <v>5459</v>
      </c>
      <c r="C7" s="237" t="s">
        <v>1526</v>
      </c>
      <c r="D7" s="237" t="s">
        <v>1174</v>
      </c>
      <c r="E7" s="237" t="s">
        <v>134</v>
      </c>
      <c r="F7" s="237" t="s">
        <v>135</v>
      </c>
      <c r="G7" s="237">
        <v>325998</v>
      </c>
      <c r="H7" s="237" t="s">
        <v>1176</v>
      </c>
    </row>
    <row r="8" spans="1:8" x14ac:dyDescent="0.25">
      <c r="B8"/>
      <c r="C8"/>
    </row>
    <row r="9" spans="1:8" x14ac:dyDescent="0.25">
      <c r="B9"/>
      <c r="C9"/>
    </row>
    <row r="10" spans="1:8" x14ac:dyDescent="0.25">
      <c r="B10"/>
      <c r="C10"/>
    </row>
    <row r="11" spans="1:8" x14ac:dyDescent="0.25">
      <c r="B11"/>
      <c r="C11"/>
    </row>
    <row r="12" spans="1:8" x14ac:dyDescent="0.25">
      <c r="B12"/>
      <c r="C12"/>
    </row>
    <row r="13" spans="1:8" x14ac:dyDescent="0.25">
      <c r="B13"/>
      <c r="C13"/>
    </row>
    <row r="14" spans="1:8" x14ac:dyDescent="0.25">
      <c r="B14"/>
      <c r="C14"/>
    </row>
    <row r="15" spans="1:8" x14ac:dyDescent="0.25">
      <c r="B15"/>
      <c r="C15"/>
    </row>
    <row r="16" spans="1:8" x14ac:dyDescent="0.25">
      <c r="B16"/>
      <c r="C16"/>
    </row>
    <row r="17" spans="2:3" x14ac:dyDescent="0.25">
      <c r="B17"/>
      <c r="C17"/>
    </row>
    <row r="18" spans="2:3" x14ac:dyDescent="0.25">
      <c r="B18"/>
      <c r="C18"/>
    </row>
    <row r="19" spans="2:3" x14ac:dyDescent="0.25">
      <c r="B19"/>
      <c r="C19"/>
    </row>
    <row r="20" spans="2:3" x14ac:dyDescent="0.25">
      <c r="B20"/>
      <c r="C20"/>
    </row>
    <row r="21" spans="2:3" x14ac:dyDescent="0.25">
      <c r="B21"/>
      <c r="C21"/>
    </row>
    <row r="22" spans="2:3" x14ac:dyDescent="0.25">
      <c r="B22"/>
      <c r="C22"/>
    </row>
    <row r="23" spans="2:3" x14ac:dyDescent="0.25">
      <c r="B23"/>
      <c r="C23"/>
    </row>
    <row r="26" spans="2:3" x14ac:dyDescent="0.25">
      <c r="B26" s="7" t="s">
        <v>2</v>
      </c>
    </row>
    <row r="27" spans="2:3" x14ac:dyDescent="0.25">
      <c r="B27" s="7" t="s">
        <v>2</v>
      </c>
    </row>
    <row r="28" spans="2:3" x14ac:dyDescent="0.25">
      <c r="B28" s="7" t="s">
        <v>2</v>
      </c>
    </row>
    <row r="29" spans="2:3" x14ac:dyDescent="0.25">
      <c r="B29" s="7" t="s">
        <v>2</v>
      </c>
    </row>
    <row r="32" spans="2:3" x14ac:dyDescent="0.25">
      <c r="B32" s="7" t="s">
        <v>2</v>
      </c>
    </row>
    <row r="34" spans="2:2" x14ac:dyDescent="0.25">
      <c r="B34" s="7" t="s">
        <v>2</v>
      </c>
    </row>
    <row r="35" spans="2:2" x14ac:dyDescent="0.25">
      <c r="B35" s="7" t="s">
        <v>2</v>
      </c>
    </row>
  </sheetData>
  <sheetProtection sheet="1" objects="1" scenarios="1" formatCells="0" formatColumns="0" formatRows="0" sort="0" autoFilter="0"/>
  <phoneticPr fontId="7" type="noConversion"/>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B0974153-2A75-4A27-B7BB-F7B312936C7A}">
          <x14:formula1>
            <xm:f>'TRI and DMR OES Summary'!$A$3:$A$15</xm:f>
          </x14:formula1>
          <xm:sqref>B2:B7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CE32-BB47-4416-B9D5-82C6E63FABB6}">
  <sheetPr codeName="Sheet14">
    <tabColor rgb="FF9933FF"/>
  </sheetPr>
  <dimension ref="A1:S327"/>
  <sheetViews>
    <sheetView workbookViewId="0"/>
  </sheetViews>
  <sheetFormatPr defaultRowHeight="15" x14ac:dyDescent="0.25"/>
  <cols>
    <col min="1" max="1" width="4" bestFit="1" customWidth="1"/>
    <col min="2" max="2" width="68.85546875" bestFit="1" customWidth="1"/>
    <col min="3" max="3" width="55" bestFit="1" customWidth="1"/>
    <col min="4" max="4" width="23.28515625" bestFit="1" customWidth="1"/>
    <col min="5" max="5" width="5.5703125" bestFit="1" customWidth="1"/>
    <col min="6" max="6" width="10.7109375" bestFit="1" customWidth="1"/>
    <col min="7" max="7" width="15.140625" bestFit="1" customWidth="1"/>
    <col min="8" max="8" width="16.7109375" bestFit="1" customWidth="1"/>
    <col min="9" max="9" width="38.5703125" bestFit="1" customWidth="1"/>
    <col min="10" max="10" width="16.85546875" customWidth="1"/>
    <col min="11" max="11" width="47.85546875" bestFit="1" customWidth="1"/>
    <col min="12" max="12" width="255.7109375" bestFit="1" customWidth="1"/>
    <col min="13" max="13" width="15.140625" bestFit="1" customWidth="1"/>
    <col min="14" max="14" width="178.85546875" bestFit="1" customWidth="1"/>
    <col min="15" max="15" width="12.140625" bestFit="1" customWidth="1"/>
    <col min="16" max="16" width="31.28515625" bestFit="1" customWidth="1"/>
    <col min="17" max="17" width="15.140625" bestFit="1" customWidth="1"/>
    <col min="18" max="18" width="12.5703125" bestFit="1" customWidth="1"/>
    <col min="19" max="19" width="14.7109375" bestFit="1" customWidth="1"/>
  </cols>
  <sheetData>
    <row r="1" spans="1:19" x14ac:dyDescent="0.25">
      <c r="A1" s="9" t="s">
        <v>1506</v>
      </c>
      <c r="B1" s="9" t="s">
        <v>83</v>
      </c>
      <c r="C1" s="9" t="s">
        <v>124</v>
      </c>
      <c r="D1" s="9" t="s">
        <v>84</v>
      </c>
      <c r="E1" s="9" t="s">
        <v>85</v>
      </c>
      <c r="F1" s="9" t="s">
        <v>125</v>
      </c>
      <c r="G1" s="9" t="s">
        <v>126</v>
      </c>
      <c r="H1" s="9" t="s">
        <v>127</v>
      </c>
      <c r="I1" s="9" t="s">
        <v>86</v>
      </c>
      <c r="J1" s="9" t="s">
        <v>87</v>
      </c>
      <c r="K1" s="9" t="s">
        <v>1527</v>
      </c>
      <c r="L1" s="9" t="s">
        <v>1528</v>
      </c>
      <c r="M1" s="9" t="s">
        <v>128</v>
      </c>
      <c r="N1" s="9" t="s">
        <v>1529</v>
      </c>
      <c r="O1" s="9" t="s">
        <v>1530</v>
      </c>
      <c r="P1" s="9" t="s">
        <v>130</v>
      </c>
      <c r="Q1" s="9" t="s">
        <v>131</v>
      </c>
      <c r="R1" s="9" t="s">
        <v>132</v>
      </c>
      <c r="S1" s="9" t="s">
        <v>1531</v>
      </c>
    </row>
    <row r="2" spans="1:19" x14ac:dyDescent="0.25">
      <c r="A2" s="9">
        <v>1</v>
      </c>
      <c r="B2" s="9" t="s">
        <v>1532</v>
      </c>
      <c r="C2" s="9" t="s">
        <v>1533</v>
      </c>
      <c r="D2" s="9" t="s">
        <v>113</v>
      </c>
      <c r="E2" s="9" t="s">
        <v>114</v>
      </c>
      <c r="F2" s="9">
        <v>77541</v>
      </c>
      <c r="G2" s="9">
        <v>28.981691999999999</v>
      </c>
      <c r="H2" s="9">
        <v>-95.376501000000005</v>
      </c>
      <c r="I2" s="9" t="s">
        <v>121</v>
      </c>
      <c r="J2" s="9">
        <v>110066943605</v>
      </c>
      <c r="K2" s="9" t="s">
        <v>1534</v>
      </c>
      <c r="L2" s="9" t="s">
        <v>1535</v>
      </c>
      <c r="M2" s="9">
        <v>325199</v>
      </c>
      <c r="N2" s="9" t="s">
        <v>1171</v>
      </c>
      <c r="O2" s="9"/>
      <c r="P2" s="9" t="s">
        <v>1536</v>
      </c>
      <c r="Q2" s="9" t="s">
        <v>72</v>
      </c>
      <c r="R2" s="9">
        <v>350</v>
      </c>
      <c r="S2" s="9" t="s">
        <v>1537</v>
      </c>
    </row>
    <row r="3" spans="1:19" x14ac:dyDescent="0.25">
      <c r="A3" s="9">
        <v>2</v>
      </c>
      <c r="B3" s="9" t="s">
        <v>1362</v>
      </c>
      <c r="C3" s="9" t="s">
        <v>1363</v>
      </c>
      <c r="D3" s="9" t="s">
        <v>1364</v>
      </c>
      <c r="E3" s="9" t="s">
        <v>501</v>
      </c>
      <c r="F3" s="9">
        <v>43920</v>
      </c>
      <c r="G3" s="9">
        <v>40.631622</v>
      </c>
      <c r="H3" s="9">
        <v>-80.546319999999994</v>
      </c>
      <c r="I3" s="9" t="s">
        <v>1361</v>
      </c>
      <c r="J3" s="9">
        <v>110027242320</v>
      </c>
      <c r="K3" s="9" t="s">
        <v>1538</v>
      </c>
      <c r="L3" s="9" t="s">
        <v>1539</v>
      </c>
      <c r="M3" s="9">
        <v>562213</v>
      </c>
      <c r="N3" s="9" t="s">
        <v>1366</v>
      </c>
      <c r="O3" s="9"/>
      <c r="P3" s="9" t="s">
        <v>1540</v>
      </c>
      <c r="Q3" s="9" t="s">
        <v>72</v>
      </c>
      <c r="R3" s="9">
        <v>250</v>
      </c>
      <c r="S3" s="9" t="s">
        <v>1537</v>
      </c>
    </row>
    <row r="4" spans="1:19" x14ac:dyDescent="0.25">
      <c r="A4" s="9">
        <v>3</v>
      </c>
      <c r="B4" s="9" t="s">
        <v>244</v>
      </c>
      <c r="C4" s="9" t="s">
        <v>1541</v>
      </c>
      <c r="D4" s="9" t="s">
        <v>245</v>
      </c>
      <c r="E4" s="9" t="s">
        <v>138</v>
      </c>
      <c r="F4" s="9">
        <v>42330</v>
      </c>
      <c r="G4" s="9">
        <v>37.326943999999997</v>
      </c>
      <c r="H4" s="9">
        <v>-87.123889000000005</v>
      </c>
      <c r="I4" s="9"/>
      <c r="J4" s="9">
        <v>110064265496</v>
      </c>
      <c r="K4" s="9" t="s">
        <v>1542</v>
      </c>
      <c r="L4" s="9" t="s">
        <v>1543</v>
      </c>
      <c r="M4" s="9">
        <v>4952</v>
      </c>
      <c r="N4" s="9" t="s">
        <v>1544</v>
      </c>
      <c r="O4" s="9"/>
      <c r="P4" s="9" t="s">
        <v>1545</v>
      </c>
      <c r="Q4" s="9" t="s">
        <v>1546</v>
      </c>
      <c r="R4" s="9">
        <v>365</v>
      </c>
      <c r="S4" s="9" t="s">
        <v>1537</v>
      </c>
    </row>
    <row r="5" spans="1:19" x14ac:dyDescent="0.25">
      <c r="A5" s="9">
        <v>4</v>
      </c>
      <c r="B5" s="9" t="s">
        <v>1547</v>
      </c>
      <c r="C5" s="9" t="s">
        <v>1548</v>
      </c>
      <c r="D5" s="9" t="s">
        <v>1549</v>
      </c>
      <c r="E5" s="9" t="s">
        <v>138</v>
      </c>
      <c r="F5" s="9">
        <v>40906</v>
      </c>
      <c r="G5" s="9">
        <v>36.848332999999997</v>
      </c>
      <c r="H5" s="9">
        <v>-83.905000000000001</v>
      </c>
      <c r="I5" s="9"/>
      <c r="J5" s="9">
        <v>110006644765</v>
      </c>
      <c r="K5" s="9" t="s">
        <v>1542</v>
      </c>
      <c r="L5" s="9" t="s">
        <v>1543</v>
      </c>
      <c r="M5" s="9">
        <v>4952</v>
      </c>
      <c r="N5" s="9" t="s">
        <v>1544</v>
      </c>
      <c r="O5" s="9"/>
      <c r="P5" s="9" t="s">
        <v>1545</v>
      </c>
      <c r="Q5" s="9" t="s">
        <v>1546</v>
      </c>
      <c r="R5" s="9">
        <v>365</v>
      </c>
      <c r="S5" s="9" t="s">
        <v>1537</v>
      </c>
    </row>
    <row r="6" spans="1:19" x14ac:dyDescent="0.25">
      <c r="A6" s="9">
        <v>5</v>
      </c>
      <c r="B6" s="9" t="s">
        <v>1550</v>
      </c>
      <c r="C6" s="9" t="s">
        <v>1551</v>
      </c>
      <c r="D6" s="9" t="s">
        <v>313</v>
      </c>
      <c r="E6" s="9" t="s">
        <v>114</v>
      </c>
      <c r="F6" s="9">
        <v>77012</v>
      </c>
      <c r="G6" s="9">
        <v>29.718139000000001</v>
      </c>
      <c r="H6" s="9">
        <v>-95.268749999999997</v>
      </c>
      <c r="I6" s="9" t="s">
        <v>1552</v>
      </c>
      <c r="J6" s="9">
        <v>110000460901</v>
      </c>
      <c r="K6" s="9" t="s">
        <v>1553</v>
      </c>
      <c r="L6" s="9" t="s">
        <v>1554</v>
      </c>
      <c r="M6" s="9">
        <v>2819</v>
      </c>
      <c r="N6" s="9" t="s">
        <v>1555</v>
      </c>
      <c r="O6" s="9"/>
      <c r="P6" s="9" t="s">
        <v>1545</v>
      </c>
      <c r="Q6" s="9" t="s">
        <v>1546</v>
      </c>
      <c r="R6" s="9">
        <v>350</v>
      </c>
      <c r="S6" s="9" t="s">
        <v>1537</v>
      </c>
    </row>
    <row r="7" spans="1:19" x14ac:dyDescent="0.25">
      <c r="A7" s="9">
        <v>6</v>
      </c>
      <c r="B7" s="9" t="s">
        <v>1556</v>
      </c>
      <c r="C7" s="9" t="s">
        <v>1557</v>
      </c>
      <c r="D7" s="9" t="s">
        <v>1558</v>
      </c>
      <c r="E7" s="9" t="s">
        <v>106</v>
      </c>
      <c r="F7" s="9">
        <v>70710</v>
      </c>
      <c r="G7" s="9">
        <v>30.325882</v>
      </c>
      <c r="H7" s="9">
        <v>-91.261731999999995</v>
      </c>
      <c r="I7" s="9" t="s">
        <v>1559</v>
      </c>
      <c r="J7" s="9">
        <v>110008393354</v>
      </c>
      <c r="K7" s="9" t="s">
        <v>1553</v>
      </c>
      <c r="L7" s="9" t="s">
        <v>1554</v>
      </c>
      <c r="M7" s="9">
        <v>2821</v>
      </c>
      <c r="N7" s="9" t="s">
        <v>1560</v>
      </c>
      <c r="O7" s="9"/>
      <c r="P7" s="9" t="s">
        <v>1545</v>
      </c>
      <c r="Q7" s="9" t="s">
        <v>1546</v>
      </c>
      <c r="R7" s="9">
        <v>350</v>
      </c>
      <c r="S7" s="9" t="s">
        <v>1537</v>
      </c>
    </row>
    <row r="8" spans="1:19" x14ac:dyDescent="0.25">
      <c r="A8" s="9">
        <v>7</v>
      </c>
      <c r="B8" s="9" t="s">
        <v>1561</v>
      </c>
      <c r="C8" s="9" t="s">
        <v>1562</v>
      </c>
      <c r="D8" s="9" t="s">
        <v>1563</v>
      </c>
      <c r="E8" s="9" t="s">
        <v>1511</v>
      </c>
      <c r="F8" s="9">
        <v>98201</v>
      </c>
      <c r="G8" s="9">
        <v>47.997331000000003</v>
      </c>
      <c r="H8" s="9">
        <v>-122.172561</v>
      </c>
      <c r="I8" s="9"/>
      <c r="J8" s="9">
        <v>110016662011</v>
      </c>
      <c r="K8" s="9" t="s">
        <v>1542</v>
      </c>
      <c r="L8" s="9" t="s">
        <v>1564</v>
      </c>
      <c r="M8" s="9"/>
      <c r="N8" s="9"/>
      <c r="O8" s="9"/>
      <c r="P8" s="9" t="s">
        <v>1545</v>
      </c>
      <c r="Q8" s="9" t="s">
        <v>1546</v>
      </c>
      <c r="R8" s="9">
        <v>365</v>
      </c>
      <c r="S8" s="9" t="s">
        <v>1537</v>
      </c>
    </row>
    <row r="9" spans="1:19" x14ac:dyDescent="0.25">
      <c r="A9" s="9">
        <v>8</v>
      </c>
      <c r="B9" s="9" t="s">
        <v>297</v>
      </c>
      <c r="C9" s="9" t="s">
        <v>1565</v>
      </c>
      <c r="D9" s="9" t="s">
        <v>298</v>
      </c>
      <c r="E9" s="9" t="s">
        <v>138</v>
      </c>
      <c r="F9" s="9">
        <v>404039742</v>
      </c>
      <c r="G9" s="9">
        <v>37.640973000000002</v>
      </c>
      <c r="H9" s="9">
        <v>-84.312661000000006</v>
      </c>
      <c r="I9" s="9"/>
      <c r="J9" s="9">
        <v>110009933484</v>
      </c>
      <c r="K9" s="9" t="s">
        <v>1542</v>
      </c>
      <c r="L9" s="9" t="s">
        <v>1543</v>
      </c>
      <c r="M9" s="9">
        <v>4952</v>
      </c>
      <c r="N9" s="9" t="s">
        <v>1544</v>
      </c>
      <c r="O9" s="9"/>
      <c r="P9" s="9" t="s">
        <v>1545</v>
      </c>
      <c r="Q9" s="9" t="s">
        <v>1546</v>
      </c>
      <c r="R9" s="9">
        <v>365</v>
      </c>
      <c r="S9" s="9" t="s">
        <v>1537</v>
      </c>
    </row>
    <row r="10" spans="1:19" x14ac:dyDescent="0.25">
      <c r="A10" s="9">
        <v>9</v>
      </c>
      <c r="B10" s="9" t="s">
        <v>304</v>
      </c>
      <c r="C10" s="9" t="s">
        <v>1566</v>
      </c>
      <c r="D10" s="9" t="s">
        <v>305</v>
      </c>
      <c r="E10" s="9" t="s">
        <v>138</v>
      </c>
      <c r="F10" s="9">
        <v>42038</v>
      </c>
      <c r="G10" s="9">
        <v>37.075277999999997</v>
      </c>
      <c r="H10" s="9">
        <v>-88.09</v>
      </c>
      <c r="I10" s="9"/>
      <c r="J10" s="9">
        <v>110009938719</v>
      </c>
      <c r="K10" s="9" t="s">
        <v>1542</v>
      </c>
      <c r="L10" s="9" t="s">
        <v>1543</v>
      </c>
      <c r="M10" s="9">
        <v>4952</v>
      </c>
      <c r="N10" s="9" t="s">
        <v>1544</v>
      </c>
      <c r="O10" s="9"/>
      <c r="P10" s="9" t="s">
        <v>1545</v>
      </c>
      <c r="Q10" s="9" t="s">
        <v>1546</v>
      </c>
      <c r="R10" s="9">
        <v>365</v>
      </c>
      <c r="S10" s="9" t="s">
        <v>1537</v>
      </c>
    </row>
    <row r="11" spans="1:19" x14ac:dyDescent="0.25">
      <c r="A11" s="9">
        <v>10</v>
      </c>
      <c r="B11" s="9" t="s">
        <v>225</v>
      </c>
      <c r="C11" s="9" t="s">
        <v>1567</v>
      </c>
      <c r="D11" s="9" t="s">
        <v>226</v>
      </c>
      <c r="E11" s="9" t="s">
        <v>146</v>
      </c>
      <c r="F11" s="9">
        <v>93436</v>
      </c>
      <c r="G11" s="9">
        <v>34.661079999999998</v>
      </c>
      <c r="H11" s="9">
        <v>-120.48135000000001</v>
      </c>
      <c r="I11" s="9"/>
      <c r="J11" s="9">
        <v>110009547222</v>
      </c>
      <c r="K11" s="9" t="s">
        <v>1542</v>
      </c>
      <c r="L11" s="9" t="s">
        <v>1543</v>
      </c>
      <c r="M11" s="9">
        <v>4952</v>
      </c>
      <c r="N11" s="9" t="s">
        <v>1544</v>
      </c>
      <c r="O11" s="9"/>
      <c r="P11" s="9" t="s">
        <v>1545</v>
      </c>
      <c r="Q11" s="9" t="s">
        <v>1546</v>
      </c>
      <c r="R11" s="9">
        <v>365</v>
      </c>
      <c r="S11" s="9" t="s">
        <v>1537</v>
      </c>
    </row>
    <row r="12" spans="1:19" x14ac:dyDescent="0.25">
      <c r="A12" s="9">
        <v>11</v>
      </c>
      <c r="B12" s="9" t="s">
        <v>1568</v>
      </c>
      <c r="C12" s="9" t="s">
        <v>1569</v>
      </c>
      <c r="D12" s="9" t="s">
        <v>1570</v>
      </c>
      <c r="E12" s="9" t="s">
        <v>138</v>
      </c>
      <c r="F12" s="9">
        <v>42749</v>
      </c>
      <c r="G12" s="9">
        <v>37.17</v>
      </c>
      <c r="H12" s="9">
        <v>-85.916111000000001</v>
      </c>
      <c r="I12" s="9"/>
      <c r="J12" s="9">
        <v>110006656083</v>
      </c>
      <c r="K12" s="9" t="s">
        <v>1542</v>
      </c>
      <c r="L12" s="9" t="s">
        <v>1543</v>
      </c>
      <c r="M12" s="9">
        <v>4952</v>
      </c>
      <c r="N12" s="9" t="s">
        <v>1544</v>
      </c>
      <c r="O12" s="9"/>
      <c r="P12" s="9" t="s">
        <v>1545</v>
      </c>
      <c r="Q12" s="9" t="s">
        <v>1546</v>
      </c>
      <c r="R12" s="9">
        <v>365</v>
      </c>
      <c r="S12" s="9" t="s">
        <v>1537</v>
      </c>
    </row>
    <row r="13" spans="1:19" x14ac:dyDescent="0.25">
      <c r="A13" s="9">
        <v>12</v>
      </c>
      <c r="B13" s="9" t="s">
        <v>1571</v>
      </c>
      <c r="C13" s="9" t="s">
        <v>1572</v>
      </c>
      <c r="D13" s="9" t="s">
        <v>1573</v>
      </c>
      <c r="E13" s="9" t="s">
        <v>501</v>
      </c>
      <c r="F13" s="9">
        <v>45439</v>
      </c>
      <c r="G13" s="9">
        <v>39.688437</v>
      </c>
      <c r="H13" s="9">
        <v>-84.226001999999994</v>
      </c>
      <c r="I13" s="9"/>
      <c r="J13" s="9">
        <v>110000394895</v>
      </c>
      <c r="K13" s="9" t="s">
        <v>1514</v>
      </c>
      <c r="L13" s="9" t="s">
        <v>1574</v>
      </c>
      <c r="M13" s="9">
        <v>3711</v>
      </c>
      <c r="N13" s="9" t="s">
        <v>1575</v>
      </c>
      <c r="O13" s="9"/>
      <c r="P13" s="9" t="s">
        <v>1545</v>
      </c>
      <c r="Q13" s="9" t="s">
        <v>1546</v>
      </c>
      <c r="R13" s="9">
        <v>365</v>
      </c>
      <c r="S13" s="9" t="s">
        <v>1537</v>
      </c>
    </row>
    <row r="14" spans="1:19" x14ac:dyDescent="0.25">
      <c r="A14" s="9">
        <v>13</v>
      </c>
      <c r="B14" s="9" t="s">
        <v>302</v>
      </c>
      <c r="C14" s="9" t="s">
        <v>1576</v>
      </c>
      <c r="D14" s="9" t="s">
        <v>303</v>
      </c>
      <c r="E14" s="9" t="s">
        <v>114</v>
      </c>
      <c r="F14" s="9">
        <v>77503</v>
      </c>
      <c r="G14" s="9">
        <v>29.741954</v>
      </c>
      <c r="H14" s="9">
        <v>-95.165228999999997</v>
      </c>
      <c r="I14" s="9"/>
      <c r="J14" s="9">
        <v>110060340162</v>
      </c>
      <c r="K14" s="9" t="s">
        <v>1553</v>
      </c>
      <c r="L14" s="9" t="s">
        <v>1554</v>
      </c>
      <c r="M14" s="9">
        <v>2869</v>
      </c>
      <c r="N14" s="9" t="s">
        <v>1577</v>
      </c>
      <c r="O14" s="9"/>
      <c r="P14" s="9" t="s">
        <v>1545</v>
      </c>
      <c r="Q14" s="9" t="s">
        <v>1546</v>
      </c>
      <c r="R14" s="9">
        <v>350</v>
      </c>
      <c r="S14" s="9" t="s">
        <v>1537</v>
      </c>
    </row>
    <row r="15" spans="1:19" x14ac:dyDescent="0.25">
      <c r="A15" s="9">
        <v>14</v>
      </c>
      <c r="B15" s="9" t="s">
        <v>1578</v>
      </c>
      <c r="C15" s="9" t="s">
        <v>1579</v>
      </c>
      <c r="D15" s="9" t="s">
        <v>1580</v>
      </c>
      <c r="E15" s="9" t="s">
        <v>1511</v>
      </c>
      <c r="F15" s="9">
        <v>98944</v>
      </c>
      <c r="G15" s="9">
        <v>46.291665999999999</v>
      </c>
      <c r="H15" s="9">
        <v>-120.01223400000001</v>
      </c>
      <c r="I15" s="9"/>
      <c r="J15" s="9">
        <v>110015474789</v>
      </c>
      <c r="K15" s="9" t="s">
        <v>1542</v>
      </c>
      <c r="L15" s="9" t="s">
        <v>1543</v>
      </c>
      <c r="M15" s="9"/>
      <c r="N15" s="9"/>
      <c r="O15" s="9"/>
      <c r="P15" s="9" t="s">
        <v>1545</v>
      </c>
      <c r="Q15" s="9" t="s">
        <v>1546</v>
      </c>
      <c r="R15" s="9">
        <v>365</v>
      </c>
      <c r="S15" s="9" t="s">
        <v>1537</v>
      </c>
    </row>
    <row r="16" spans="1:19" x14ac:dyDescent="0.25">
      <c r="A16" s="9">
        <v>15</v>
      </c>
      <c r="B16" s="9" t="s">
        <v>1581</v>
      </c>
      <c r="C16" s="9" t="s">
        <v>1582</v>
      </c>
      <c r="D16" s="9" t="s">
        <v>659</v>
      </c>
      <c r="E16" s="9" t="s">
        <v>135</v>
      </c>
      <c r="F16" s="9">
        <v>26181</v>
      </c>
      <c r="G16" s="9">
        <v>39.271943999999998</v>
      </c>
      <c r="H16" s="9">
        <v>-81.661666999999994</v>
      </c>
      <c r="I16" s="9" t="s">
        <v>1583</v>
      </c>
      <c r="J16" s="9">
        <v>110000586081</v>
      </c>
      <c r="K16" s="9" t="s">
        <v>1553</v>
      </c>
      <c r="L16" s="9" t="s">
        <v>1554</v>
      </c>
      <c r="M16" s="9">
        <v>2821</v>
      </c>
      <c r="N16" s="9" t="s">
        <v>1560</v>
      </c>
      <c r="O16" s="9"/>
      <c r="P16" s="9" t="s">
        <v>1545</v>
      </c>
      <c r="Q16" s="9" t="s">
        <v>1546</v>
      </c>
      <c r="R16" s="9">
        <v>350</v>
      </c>
      <c r="S16" s="9" t="s">
        <v>1537</v>
      </c>
    </row>
    <row r="17" spans="1:19" x14ac:dyDescent="0.25">
      <c r="A17" s="9">
        <v>16</v>
      </c>
      <c r="B17" s="9" t="s">
        <v>161</v>
      </c>
      <c r="C17" s="9" t="s">
        <v>1584</v>
      </c>
      <c r="D17" s="9" t="s">
        <v>162</v>
      </c>
      <c r="E17" s="9" t="s">
        <v>146</v>
      </c>
      <c r="F17" s="9">
        <v>92316</v>
      </c>
      <c r="G17" s="9">
        <v>34.055900000000001</v>
      </c>
      <c r="H17" s="9">
        <v>-117.36134</v>
      </c>
      <c r="I17" s="9"/>
      <c r="J17" s="9">
        <v>110000525842</v>
      </c>
      <c r="K17" s="9" t="s">
        <v>1542</v>
      </c>
      <c r="L17" s="9" t="s">
        <v>1543</v>
      </c>
      <c r="M17" s="9">
        <v>4952</v>
      </c>
      <c r="N17" s="9" t="s">
        <v>1544</v>
      </c>
      <c r="O17" s="9"/>
      <c r="P17" s="9" t="s">
        <v>1545</v>
      </c>
      <c r="Q17" s="9" t="s">
        <v>1546</v>
      </c>
      <c r="R17" s="9">
        <v>365</v>
      </c>
      <c r="S17" s="9" t="s">
        <v>1537</v>
      </c>
    </row>
    <row r="18" spans="1:19" x14ac:dyDescent="0.25">
      <c r="A18" s="9">
        <v>17</v>
      </c>
      <c r="B18" s="9" t="s">
        <v>1585</v>
      </c>
      <c r="C18" s="9" t="s">
        <v>1586</v>
      </c>
      <c r="D18" s="9" t="s">
        <v>140</v>
      </c>
      <c r="E18" s="9" t="s">
        <v>141</v>
      </c>
      <c r="F18" s="9" t="s">
        <v>1587</v>
      </c>
      <c r="G18" s="9">
        <v>41.441667000000002</v>
      </c>
      <c r="H18" s="9">
        <v>-88.159719999999993</v>
      </c>
      <c r="I18" s="9" t="s">
        <v>1588</v>
      </c>
      <c r="J18" s="9">
        <v>110000432504</v>
      </c>
      <c r="K18" s="9" t="s">
        <v>1553</v>
      </c>
      <c r="L18" s="9" t="s">
        <v>1082</v>
      </c>
      <c r="M18" s="9">
        <v>2843</v>
      </c>
      <c r="N18" s="9" t="s">
        <v>1589</v>
      </c>
      <c r="O18" s="9"/>
      <c r="P18" s="9" t="s">
        <v>1545</v>
      </c>
      <c r="Q18" s="9" t="s">
        <v>1546</v>
      </c>
      <c r="R18" s="9">
        <v>350</v>
      </c>
      <c r="S18" s="9" t="s">
        <v>1537</v>
      </c>
    </row>
    <row r="19" spans="1:19" x14ac:dyDescent="0.25">
      <c r="A19" s="9">
        <v>18</v>
      </c>
      <c r="B19" s="9" t="s">
        <v>172</v>
      </c>
      <c r="C19" s="9" t="s">
        <v>1590</v>
      </c>
      <c r="D19" s="9" t="s">
        <v>173</v>
      </c>
      <c r="E19" s="9" t="s">
        <v>158</v>
      </c>
      <c r="F19" s="9">
        <v>89015</v>
      </c>
      <c r="G19" s="9">
        <v>36.035440000000001</v>
      </c>
      <c r="H19" s="9">
        <v>-114.99994</v>
      </c>
      <c r="I19" s="9" t="s">
        <v>1591</v>
      </c>
      <c r="J19" s="9">
        <v>110043808467</v>
      </c>
      <c r="K19" s="9" t="s">
        <v>1514</v>
      </c>
      <c r="L19" s="9" t="s">
        <v>1592</v>
      </c>
      <c r="M19" s="9">
        <v>1799</v>
      </c>
      <c r="N19" s="9" t="s">
        <v>1593</v>
      </c>
      <c r="O19" s="9"/>
      <c r="P19" s="9" t="s">
        <v>1545</v>
      </c>
      <c r="Q19" s="9" t="s">
        <v>1546</v>
      </c>
      <c r="R19" s="9">
        <v>365</v>
      </c>
      <c r="S19" s="9" t="s">
        <v>1537</v>
      </c>
    </row>
    <row r="20" spans="1:19" x14ac:dyDescent="0.25">
      <c r="A20" s="9">
        <v>19</v>
      </c>
      <c r="B20" s="9" t="s">
        <v>221</v>
      </c>
      <c r="C20" s="9" t="s">
        <v>1594</v>
      </c>
      <c r="D20" s="9" t="s">
        <v>222</v>
      </c>
      <c r="E20" s="9" t="s">
        <v>158</v>
      </c>
      <c r="F20" s="9">
        <v>89501</v>
      </c>
      <c r="G20" s="9">
        <v>39.526260000000001</v>
      </c>
      <c r="H20" s="9">
        <v>-119.81308</v>
      </c>
      <c r="I20" s="9"/>
      <c r="J20" s="9">
        <v>110009830273</v>
      </c>
      <c r="K20" s="9" t="s">
        <v>1514</v>
      </c>
      <c r="L20" s="9" t="s">
        <v>1595</v>
      </c>
      <c r="M20" s="9">
        <v>7011</v>
      </c>
      <c r="N20" s="9" t="s">
        <v>1596</v>
      </c>
      <c r="O20" s="9"/>
      <c r="P20" s="9" t="s">
        <v>1545</v>
      </c>
      <c r="Q20" s="9" t="s">
        <v>1546</v>
      </c>
      <c r="R20" s="9">
        <v>365</v>
      </c>
      <c r="S20" s="9" t="s">
        <v>1537</v>
      </c>
    </row>
    <row r="21" spans="1:19" x14ac:dyDescent="0.25">
      <c r="A21" s="9">
        <v>20</v>
      </c>
      <c r="B21" s="9" t="s">
        <v>1597</v>
      </c>
      <c r="C21" s="9" t="s">
        <v>1598</v>
      </c>
      <c r="D21" s="9" t="s">
        <v>472</v>
      </c>
      <c r="E21" s="9" t="s">
        <v>106</v>
      </c>
      <c r="F21" s="9">
        <v>70805</v>
      </c>
      <c r="G21" s="9">
        <v>30.483523000000002</v>
      </c>
      <c r="H21" s="9">
        <v>-91.183440000000004</v>
      </c>
      <c r="I21" s="9"/>
      <c r="J21" s="9">
        <v>110001143584</v>
      </c>
      <c r="K21" s="9" t="s">
        <v>1553</v>
      </c>
      <c r="L21" s="9" t="s">
        <v>1554</v>
      </c>
      <c r="M21" s="9">
        <v>2869</v>
      </c>
      <c r="N21" s="9" t="s">
        <v>1577</v>
      </c>
      <c r="O21" s="9"/>
      <c r="P21" s="9" t="s">
        <v>1545</v>
      </c>
      <c r="Q21" s="9" t="s">
        <v>1546</v>
      </c>
      <c r="R21" s="9">
        <v>350</v>
      </c>
      <c r="S21" s="9" t="s">
        <v>1403</v>
      </c>
    </row>
    <row r="22" spans="1:19" x14ac:dyDescent="0.25">
      <c r="A22" s="9">
        <v>21</v>
      </c>
      <c r="B22" s="9" t="s">
        <v>1599</v>
      </c>
      <c r="C22" s="9" t="s">
        <v>1600</v>
      </c>
      <c r="D22" s="9" t="s">
        <v>1601</v>
      </c>
      <c r="E22" s="9" t="s">
        <v>135</v>
      </c>
      <c r="F22" s="9">
        <v>25112</v>
      </c>
      <c r="G22" s="9">
        <v>38.386439000000003</v>
      </c>
      <c r="H22" s="9">
        <v>-81.798439999999999</v>
      </c>
      <c r="I22" s="9"/>
      <c r="J22" s="9">
        <v>110064632312</v>
      </c>
      <c r="K22" s="9" t="s">
        <v>1553</v>
      </c>
      <c r="L22" s="9" t="s">
        <v>1554</v>
      </c>
      <c r="M22" s="9">
        <v>2869</v>
      </c>
      <c r="N22" s="9" t="s">
        <v>1577</v>
      </c>
      <c r="O22" s="9"/>
      <c r="P22" s="9" t="s">
        <v>1545</v>
      </c>
      <c r="Q22" s="9" t="s">
        <v>1546</v>
      </c>
      <c r="R22" s="9">
        <v>350</v>
      </c>
      <c r="S22" s="9" t="s">
        <v>1537</v>
      </c>
    </row>
    <row r="23" spans="1:19" x14ac:dyDescent="0.25">
      <c r="A23" s="9">
        <v>22</v>
      </c>
      <c r="B23" s="9" t="s">
        <v>1602</v>
      </c>
      <c r="C23" s="9" t="s">
        <v>1603</v>
      </c>
      <c r="D23" s="9" t="s">
        <v>372</v>
      </c>
      <c r="E23" s="9" t="s">
        <v>114</v>
      </c>
      <c r="F23" s="9">
        <v>77571</v>
      </c>
      <c r="G23" s="9">
        <v>29.704027</v>
      </c>
      <c r="H23" s="9">
        <v>-95.079931999999999</v>
      </c>
      <c r="I23" s="9" t="s">
        <v>1604</v>
      </c>
      <c r="J23" s="9">
        <v>110000463631</v>
      </c>
      <c r="K23" s="9" t="s">
        <v>1553</v>
      </c>
      <c r="L23" s="9" t="s">
        <v>1554</v>
      </c>
      <c r="M23" s="9">
        <v>2821</v>
      </c>
      <c r="N23" s="9" t="s">
        <v>1560</v>
      </c>
      <c r="O23" s="9"/>
      <c r="P23" s="9" t="s">
        <v>1545</v>
      </c>
      <c r="Q23" s="9" t="s">
        <v>1546</v>
      </c>
      <c r="R23" s="9">
        <v>350</v>
      </c>
      <c r="S23" s="9" t="s">
        <v>1537</v>
      </c>
    </row>
    <row r="24" spans="1:19" x14ac:dyDescent="0.25">
      <c r="A24" s="9">
        <v>23</v>
      </c>
      <c r="B24" s="9" t="s">
        <v>1605</v>
      </c>
      <c r="C24" s="9" t="s">
        <v>1606</v>
      </c>
      <c r="D24" s="9" t="s">
        <v>1607</v>
      </c>
      <c r="E24" s="9" t="s">
        <v>1510</v>
      </c>
      <c r="F24" s="9">
        <v>2886</v>
      </c>
      <c r="G24" s="9">
        <v>41.726509999999998</v>
      </c>
      <c r="H24" s="9">
        <v>-71.472179999999994</v>
      </c>
      <c r="I24" s="9"/>
      <c r="J24" s="9">
        <v>110070145273</v>
      </c>
      <c r="K24" s="9" t="s">
        <v>1514</v>
      </c>
      <c r="L24" s="9" t="s">
        <v>1608</v>
      </c>
      <c r="M24" s="9">
        <v>7011</v>
      </c>
      <c r="N24" s="9" t="s">
        <v>1596</v>
      </c>
      <c r="O24" s="9"/>
      <c r="P24" s="9" t="s">
        <v>1545</v>
      </c>
      <c r="Q24" s="9" t="s">
        <v>1546</v>
      </c>
      <c r="R24" s="9">
        <v>365</v>
      </c>
      <c r="S24" s="9" t="s">
        <v>1537</v>
      </c>
    </row>
    <row r="25" spans="1:19" x14ac:dyDescent="0.25">
      <c r="A25" s="9">
        <v>24</v>
      </c>
      <c r="B25" s="9" t="s">
        <v>1609</v>
      </c>
      <c r="C25" s="9" t="s">
        <v>1610</v>
      </c>
      <c r="D25" s="9" t="s">
        <v>1611</v>
      </c>
      <c r="E25" s="9" t="s">
        <v>141</v>
      </c>
      <c r="F25" s="9" t="s">
        <v>1612</v>
      </c>
      <c r="G25" s="9">
        <v>41.412533000000003</v>
      </c>
      <c r="H25" s="9">
        <v>-88.197281000000004</v>
      </c>
      <c r="I25" s="9" t="s">
        <v>1613</v>
      </c>
      <c r="J25" s="9">
        <v>110008458597</v>
      </c>
      <c r="K25" s="9" t="s">
        <v>1553</v>
      </c>
      <c r="L25" s="9" t="s">
        <v>1554</v>
      </c>
      <c r="M25" s="9">
        <v>2821</v>
      </c>
      <c r="N25" s="9" t="s">
        <v>1560</v>
      </c>
      <c r="O25" s="9"/>
      <c r="P25" s="9" t="s">
        <v>1545</v>
      </c>
      <c r="Q25" s="9" t="s">
        <v>1546</v>
      </c>
      <c r="R25" s="9">
        <v>350</v>
      </c>
      <c r="S25" s="9" t="s">
        <v>1537</v>
      </c>
    </row>
    <row r="26" spans="1:19" x14ac:dyDescent="0.25">
      <c r="A26" s="9">
        <v>25</v>
      </c>
      <c r="B26" s="9" t="s">
        <v>1614</v>
      </c>
      <c r="C26" s="9" t="s">
        <v>1615</v>
      </c>
      <c r="D26" s="9" t="s">
        <v>352</v>
      </c>
      <c r="E26" s="9" t="s">
        <v>106</v>
      </c>
      <c r="F26" s="9">
        <v>70051</v>
      </c>
      <c r="G26" s="9">
        <v>30.048590999999998</v>
      </c>
      <c r="H26" s="9">
        <v>-90.630941000000007</v>
      </c>
      <c r="I26" s="9" t="s">
        <v>1616</v>
      </c>
      <c r="J26" s="9">
        <v>110007015871</v>
      </c>
      <c r="K26" s="9" t="s">
        <v>1553</v>
      </c>
      <c r="L26" s="9" t="s">
        <v>1554</v>
      </c>
      <c r="M26" s="9">
        <v>2899</v>
      </c>
      <c r="N26" s="9" t="s">
        <v>1617</v>
      </c>
      <c r="O26" s="9"/>
      <c r="P26" s="9" t="s">
        <v>1545</v>
      </c>
      <c r="Q26" s="9" t="s">
        <v>1546</v>
      </c>
      <c r="R26" s="9">
        <v>350</v>
      </c>
      <c r="S26" s="9" t="s">
        <v>1537</v>
      </c>
    </row>
    <row r="27" spans="1:19" x14ac:dyDescent="0.25">
      <c r="A27" s="9">
        <v>26</v>
      </c>
      <c r="B27" s="9" t="s">
        <v>347</v>
      </c>
      <c r="C27" s="9" t="s">
        <v>1618</v>
      </c>
      <c r="D27" s="9" t="s">
        <v>348</v>
      </c>
      <c r="E27" s="9" t="s">
        <v>146</v>
      </c>
      <c r="F27" s="9">
        <v>95932</v>
      </c>
      <c r="G27" s="9">
        <v>39.191054000000001</v>
      </c>
      <c r="H27" s="9">
        <v>-122.023129</v>
      </c>
      <c r="I27" s="9"/>
      <c r="J27" s="9">
        <v>110055984957</v>
      </c>
      <c r="K27" s="9" t="s">
        <v>1542</v>
      </c>
      <c r="L27" s="9" t="s">
        <v>1543</v>
      </c>
      <c r="M27" s="9">
        <v>4952</v>
      </c>
      <c r="N27" s="9" t="s">
        <v>1544</v>
      </c>
      <c r="O27" s="9"/>
      <c r="P27" s="9" t="s">
        <v>1545</v>
      </c>
      <c r="Q27" s="9" t="s">
        <v>1546</v>
      </c>
      <c r="R27" s="9">
        <v>365</v>
      </c>
      <c r="S27" s="9" t="s">
        <v>1537</v>
      </c>
    </row>
    <row r="28" spans="1:19" x14ac:dyDescent="0.25">
      <c r="A28" s="9">
        <v>27</v>
      </c>
      <c r="B28" s="9" t="s">
        <v>1619</v>
      </c>
      <c r="C28" s="9" t="s">
        <v>1620</v>
      </c>
      <c r="D28" s="9" t="s">
        <v>372</v>
      </c>
      <c r="E28" s="9" t="s">
        <v>114</v>
      </c>
      <c r="F28" s="9">
        <v>775719810</v>
      </c>
      <c r="G28" s="9">
        <v>29.717471</v>
      </c>
      <c r="H28" s="9">
        <v>-95.068008000000006</v>
      </c>
      <c r="I28" s="9" t="s">
        <v>1621</v>
      </c>
      <c r="J28" s="9">
        <v>110034641635</v>
      </c>
      <c r="K28" s="9" t="s">
        <v>1553</v>
      </c>
      <c r="L28" s="9" t="s">
        <v>1554</v>
      </c>
      <c r="M28" s="9">
        <v>2869</v>
      </c>
      <c r="N28" s="9" t="s">
        <v>1577</v>
      </c>
      <c r="O28" s="9"/>
      <c r="P28" s="9" t="s">
        <v>1545</v>
      </c>
      <c r="Q28" s="9" t="s">
        <v>1546</v>
      </c>
      <c r="R28" s="9">
        <v>350</v>
      </c>
      <c r="S28" s="9" t="s">
        <v>1537</v>
      </c>
    </row>
    <row r="29" spans="1:19" x14ac:dyDescent="0.25">
      <c r="A29" s="9">
        <v>28</v>
      </c>
      <c r="B29" s="9" t="s">
        <v>1622</v>
      </c>
      <c r="C29" s="9" t="s">
        <v>1623</v>
      </c>
      <c r="D29" s="9" t="s">
        <v>1624</v>
      </c>
      <c r="E29" s="9" t="s">
        <v>367</v>
      </c>
      <c r="F29" s="9">
        <v>86020</v>
      </c>
      <c r="G29" s="9">
        <v>36.30301</v>
      </c>
      <c r="H29" s="9">
        <v>-111.45966</v>
      </c>
      <c r="I29" s="9"/>
      <c r="J29" s="9">
        <v>110010062546</v>
      </c>
      <c r="K29" s="9" t="s">
        <v>1538</v>
      </c>
      <c r="L29" s="9" t="s">
        <v>1625</v>
      </c>
      <c r="M29" s="9">
        <v>4952</v>
      </c>
      <c r="N29" s="9" t="s">
        <v>1544</v>
      </c>
      <c r="O29" s="9"/>
      <c r="P29" s="9" t="s">
        <v>1545</v>
      </c>
      <c r="Q29" s="9" t="s">
        <v>1546</v>
      </c>
      <c r="R29" s="9">
        <v>250</v>
      </c>
      <c r="S29" s="9" t="s">
        <v>1537</v>
      </c>
    </row>
    <row r="30" spans="1:19" x14ac:dyDescent="0.25">
      <c r="A30" s="9">
        <v>29</v>
      </c>
      <c r="B30" s="9" t="s">
        <v>1626</v>
      </c>
      <c r="C30" s="9" t="s">
        <v>1627</v>
      </c>
      <c r="D30" s="9" t="s">
        <v>1628</v>
      </c>
      <c r="E30" s="9" t="s">
        <v>141</v>
      </c>
      <c r="F30" s="9">
        <v>61101</v>
      </c>
      <c r="G30" s="9">
        <v>42.304209</v>
      </c>
      <c r="H30" s="9">
        <v>-89.055548999999999</v>
      </c>
      <c r="I30" s="9" t="s">
        <v>1629</v>
      </c>
      <c r="J30" s="9">
        <v>110005812371</v>
      </c>
      <c r="K30" s="9" t="s">
        <v>1630</v>
      </c>
      <c r="L30" s="9" t="s">
        <v>1631</v>
      </c>
      <c r="M30" s="9">
        <v>3728</v>
      </c>
      <c r="N30" s="9" t="s">
        <v>1632</v>
      </c>
      <c r="O30" s="9"/>
      <c r="P30" s="9" t="s">
        <v>1545</v>
      </c>
      <c r="Q30" s="9" t="s">
        <v>1546</v>
      </c>
      <c r="R30" s="9">
        <v>0</v>
      </c>
      <c r="S30" s="9" t="s">
        <v>1537</v>
      </c>
    </row>
    <row r="31" spans="1:19" x14ac:dyDescent="0.25">
      <c r="A31" s="9">
        <v>30</v>
      </c>
      <c r="B31" s="9" t="s">
        <v>1633</v>
      </c>
      <c r="C31" s="9" t="s">
        <v>1634</v>
      </c>
      <c r="D31" s="9" t="s">
        <v>1635</v>
      </c>
      <c r="E31" s="9" t="s">
        <v>520</v>
      </c>
      <c r="F31" s="9">
        <v>1905</v>
      </c>
      <c r="G31" s="9">
        <v>42.452603000000003</v>
      </c>
      <c r="H31" s="9">
        <v>-70.973436000000007</v>
      </c>
      <c r="I31" s="9" t="s">
        <v>1636</v>
      </c>
      <c r="J31" s="9">
        <v>110000310191</v>
      </c>
      <c r="K31" s="9" t="s">
        <v>1630</v>
      </c>
      <c r="L31" s="9" t="s">
        <v>1637</v>
      </c>
      <c r="M31" s="9">
        <v>3724</v>
      </c>
      <c r="N31" s="9" t="s">
        <v>1638</v>
      </c>
      <c r="O31" s="9"/>
      <c r="P31" s="9" t="s">
        <v>1545</v>
      </c>
      <c r="Q31" s="9" t="s">
        <v>1546</v>
      </c>
      <c r="R31" s="9">
        <v>0</v>
      </c>
      <c r="S31" s="9" t="s">
        <v>1537</v>
      </c>
    </row>
    <row r="32" spans="1:19" x14ac:dyDescent="0.25">
      <c r="A32" s="9">
        <v>31</v>
      </c>
      <c r="B32" s="9" t="s">
        <v>1639</v>
      </c>
      <c r="C32" s="9" t="s">
        <v>1640</v>
      </c>
      <c r="D32" s="9" t="s">
        <v>1641</v>
      </c>
      <c r="E32" s="9" t="s">
        <v>1510</v>
      </c>
      <c r="F32" s="9" t="s">
        <v>1642</v>
      </c>
      <c r="G32" s="9">
        <v>41.843150000000001</v>
      </c>
      <c r="H32" s="9">
        <v>-71.417769000000007</v>
      </c>
      <c r="I32" s="9"/>
      <c r="J32" s="9">
        <v>110024267620</v>
      </c>
      <c r="K32" s="9" t="s">
        <v>1514</v>
      </c>
      <c r="L32" s="9" t="s">
        <v>1643</v>
      </c>
      <c r="M32" s="9">
        <v>1541</v>
      </c>
      <c r="N32" s="9" t="s">
        <v>1644</v>
      </c>
      <c r="O32" s="9"/>
      <c r="P32" s="9" t="s">
        <v>1545</v>
      </c>
      <c r="Q32" s="9" t="s">
        <v>1546</v>
      </c>
      <c r="R32" s="9">
        <v>365</v>
      </c>
      <c r="S32" s="9" t="s">
        <v>1537</v>
      </c>
    </row>
    <row r="33" spans="1:19" x14ac:dyDescent="0.25">
      <c r="A33" s="9">
        <v>32</v>
      </c>
      <c r="B33" s="9" t="s">
        <v>353</v>
      </c>
      <c r="C33" s="9" t="s">
        <v>1645</v>
      </c>
      <c r="D33" s="9" t="s">
        <v>354</v>
      </c>
      <c r="E33" s="9" t="s">
        <v>146</v>
      </c>
      <c r="F33" s="9">
        <v>92227</v>
      </c>
      <c r="G33" s="9">
        <v>33.017359999999996</v>
      </c>
      <c r="H33" s="9">
        <v>-115.50923</v>
      </c>
      <c r="I33" s="9"/>
      <c r="J33" s="9">
        <v>110030476465</v>
      </c>
      <c r="K33" s="9" t="s">
        <v>1542</v>
      </c>
      <c r="L33" s="9" t="s">
        <v>1543</v>
      </c>
      <c r="M33" s="9">
        <v>4952</v>
      </c>
      <c r="N33" s="9" t="s">
        <v>1544</v>
      </c>
      <c r="O33" s="9"/>
      <c r="P33" s="9" t="s">
        <v>1545</v>
      </c>
      <c r="Q33" s="9" t="s">
        <v>1546</v>
      </c>
      <c r="R33" s="9">
        <v>365</v>
      </c>
      <c r="S33" s="9" t="s">
        <v>1537</v>
      </c>
    </row>
    <row r="34" spans="1:19" x14ac:dyDescent="0.25">
      <c r="A34" s="9">
        <v>33</v>
      </c>
      <c r="B34" s="9" t="s">
        <v>1646</v>
      </c>
      <c r="C34" s="9" t="s">
        <v>1647</v>
      </c>
      <c r="D34" s="9" t="s">
        <v>1648</v>
      </c>
      <c r="E34" s="9" t="s">
        <v>268</v>
      </c>
      <c r="F34" s="9">
        <v>17961</v>
      </c>
      <c r="G34" s="9">
        <v>40.627648000000001</v>
      </c>
      <c r="H34" s="9">
        <v>-76.064880000000002</v>
      </c>
      <c r="I34" s="9"/>
      <c r="J34" s="9">
        <v>110000584305</v>
      </c>
      <c r="K34" s="9" t="s">
        <v>1514</v>
      </c>
      <c r="L34" s="9" t="s">
        <v>1649</v>
      </c>
      <c r="M34" s="9">
        <v>3951</v>
      </c>
      <c r="N34" s="9" t="s">
        <v>1650</v>
      </c>
      <c r="O34" s="9"/>
      <c r="P34" s="9" t="s">
        <v>1545</v>
      </c>
      <c r="Q34" s="9" t="s">
        <v>1546</v>
      </c>
      <c r="R34" s="9">
        <v>365</v>
      </c>
      <c r="S34" s="9" t="s">
        <v>1537</v>
      </c>
    </row>
    <row r="35" spans="1:19" x14ac:dyDescent="0.25">
      <c r="A35" s="9">
        <v>34</v>
      </c>
      <c r="B35" s="9" t="s">
        <v>1651</v>
      </c>
      <c r="C35" s="9" t="s">
        <v>1652</v>
      </c>
      <c r="D35" s="9" t="s">
        <v>1653</v>
      </c>
      <c r="E35" s="9" t="s">
        <v>118</v>
      </c>
      <c r="F35" s="9">
        <v>49601</v>
      </c>
      <c r="G35" s="9">
        <v>44.251100000000001</v>
      </c>
      <c r="H35" s="9">
        <v>-85.408000000000001</v>
      </c>
      <c r="I35" s="9" t="s">
        <v>1654</v>
      </c>
      <c r="J35" s="9">
        <v>110000412009</v>
      </c>
      <c r="K35" s="9" t="s">
        <v>1655</v>
      </c>
      <c r="L35" s="9" t="s">
        <v>1656</v>
      </c>
      <c r="M35" s="9">
        <v>3499</v>
      </c>
      <c r="N35" s="9" t="s">
        <v>1657</v>
      </c>
      <c r="O35" s="9"/>
      <c r="P35" s="9" t="s">
        <v>1545</v>
      </c>
      <c r="Q35" s="9" t="s">
        <v>1546</v>
      </c>
      <c r="R35" s="9">
        <v>0</v>
      </c>
      <c r="S35" s="9" t="s">
        <v>1537</v>
      </c>
    </row>
    <row r="36" spans="1:19" x14ac:dyDescent="0.25">
      <c r="A36" s="9">
        <v>35</v>
      </c>
      <c r="B36" s="9" t="s">
        <v>1658</v>
      </c>
      <c r="C36" s="9" t="s">
        <v>1659</v>
      </c>
      <c r="D36" s="9" t="s">
        <v>288</v>
      </c>
      <c r="E36" s="9" t="s">
        <v>289</v>
      </c>
      <c r="F36" s="9" t="s">
        <v>1660</v>
      </c>
      <c r="G36" s="9">
        <v>34.632592000000002</v>
      </c>
      <c r="H36" s="9">
        <v>-84.927667999999997</v>
      </c>
      <c r="I36" s="9" t="s">
        <v>1661</v>
      </c>
      <c r="J36" s="9">
        <v>110000611703</v>
      </c>
      <c r="K36" s="9" t="s">
        <v>1553</v>
      </c>
      <c r="L36" s="9" t="s">
        <v>1554</v>
      </c>
      <c r="M36" s="9">
        <v>2822</v>
      </c>
      <c r="N36" s="9" t="s">
        <v>1662</v>
      </c>
      <c r="O36" s="9"/>
      <c r="P36" s="9" t="s">
        <v>1545</v>
      </c>
      <c r="Q36" s="9" t="s">
        <v>1546</v>
      </c>
      <c r="R36" s="9">
        <v>350</v>
      </c>
      <c r="S36" s="9" t="s">
        <v>1537</v>
      </c>
    </row>
    <row r="37" spans="1:19" x14ac:dyDescent="0.25">
      <c r="A37" s="9">
        <v>36</v>
      </c>
      <c r="B37" s="9" t="s">
        <v>1663</v>
      </c>
      <c r="C37" s="9" t="s">
        <v>1664</v>
      </c>
      <c r="D37" s="9" t="s">
        <v>1665</v>
      </c>
      <c r="E37" s="9" t="s">
        <v>218</v>
      </c>
      <c r="F37" s="9" t="s">
        <v>1666</v>
      </c>
      <c r="G37" s="9">
        <v>39.724640000000001</v>
      </c>
      <c r="H37" s="9">
        <v>-105.14191</v>
      </c>
      <c r="I37" s="9"/>
      <c r="J37" s="9">
        <v>110002961929</v>
      </c>
      <c r="K37" s="9" t="s">
        <v>1514</v>
      </c>
      <c r="L37" s="9" t="s">
        <v>1667</v>
      </c>
      <c r="M37" s="9">
        <v>9999</v>
      </c>
      <c r="N37" s="9" t="s">
        <v>1668</v>
      </c>
      <c r="O37" s="9"/>
      <c r="P37" s="9" t="s">
        <v>1545</v>
      </c>
      <c r="Q37" s="9" t="s">
        <v>1546</v>
      </c>
      <c r="R37" s="9">
        <v>365</v>
      </c>
      <c r="S37" s="9" t="s">
        <v>1537</v>
      </c>
    </row>
    <row r="38" spans="1:19" x14ac:dyDescent="0.25">
      <c r="A38" s="9">
        <v>37</v>
      </c>
      <c r="B38" s="9" t="s">
        <v>1669</v>
      </c>
      <c r="C38" s="9" t="s">
        <v>1670</v>
      </c>
      <c r="D38" s="9" t="s">
        <v>1607</v>
      </c>
      <c r="E38" s="9" t="s">
        <v>1510</v>
      </c>
      <c r="F38" s="9" t="s">
        <v>1671</v>
      </c>
      <c r="G38" s="9">
        <v>41.711390000000002</v>
      </c>
      <c r="H38" s="9">
        <v>-71.426670000000001</v>
      </c>
      <c r="I38" s="9"/>
      <c r="J38" s="9">
        <v>110013738045</v>
      </c>
      <c r="K38" s="9" t="s">
        <v>1514</v>
      </c>
      <c r="L38" s="9" t="s">
        <v>1672</v>
      </c>
      <c r="M38" s="9">
        <v>9511</v>
      </c>
      <c r="N38" s="9" t="s">
        <v>1673</v>
      </c>
      <c r="O38" s="9"/>
      <c r="P38" s="9" t="s">
        <v>1545</v>
      </c>
      <c r="Q38" s="9" t="s">
        <v>1546</v>
      </c>
      <c r="R38" s="9">
        <v>365</v>
      </c>
      <c r="S38" s="9" t="s">
        <v>1537</v>
      </c>
    </row>
    <row r="39" spans="1:19" x14ac:dyDescent="0.25">
      <c r="A39" s="9">
        <v>38</v>
      </c>
      <c r="B39" s="9" t="s">
        <v>1674</v>
      </c>
      <c r="C39" s="9" t="s">
        <v>1675</v>
      </c>
      <c r="D39" s="9" t="s">
        <v>1676</v>
      </c>
      <c r="E39" s="9" t="s">
        <v>250</v>
      </c>
      <c r="F39" s="9">
        <v>12498</v>
      </c>
      <c r="G39" s="9">
        <v>42.025620000000004</v>
      </c>
      <c r="H39" s="9">
        <v>-74.099329999999995</v>
      </c>
      <c r="I39" s="9"/>
      <c r="J39" s="9">
        <v>110015744024</v>
      </c>
      <c r="K39" s="9" t="s">
        <v>1677</v>
      </c>
      <c r="L39" s="9" t="s">
        <v>1678</v>
      </c>
      <c r="M39" s="9">
        <v>9511</v>
      </c>
      <c r="N39" s="9" t="s">
        <v>1673</v>
      </c>
      <c r="O39" s="9"/>
      <c r="P39" s="9" t="s">
        <v>1545</v>
      </c>
      <c r="Q39" s="9" t="s">
        <v>1546</v>
      </c>
      <c r="R39" s="9">
        <v>365</v>
      </c>
      <c r="S39" s="9" t="s">
        <v>1537</v>
      </c>
    </row>
    <row r="40" spans="1:19" x14ac:dyDescent="0.25">
      <c r="A40" s="9">
        <v>39</v>
      </c>
      <c r="B40" s="9" t="s">
        <v>377</v>
      </c>
      <c r="C40" s="9" t="s">
        <v>1679</v>
      </c>
      <c r="D40" s="9" t="s">
        <v>378</v>
      </c>
      <c r="E40" s="9" t="s">
        <v>114</v>
      </c>
      <c r="F40" s="9">
        <v>77578</v>
      </c>
      <c r="G40" s="9">
        <v>29.458400000000001</v>
      </c>
      <c r="H40" s="9">
        <v>-95.330399999999997</v>
      </c>
      <c r="I40" s="9" t="s">
        <v>1680</v>
      </c>
      <c r="J40" s="9">
        <v>110000599479</v>
      </c>
      <c r="K40" s="9" t="s">
        <v>1553</v>
      </c>
      <c r="L40" s="9" t="s">
        <v>1554</v>
      </c>
      <c r="M40" s="9">
        <v>2869</v>
      </c>
      <c r="N40" s="9" t="s">
        <v>1577</v>
      </c>
      <c r="O40" s="9"/>
      <c r="P40" s="9" t="s">
        <v>1545</v>
      </c>
      <c r="Q40" s="9" t="s">
        <v>1546</v>
      </c>
      <c r="R40" s="9">
        <v>350</v>
      </c>
      <c r="S40" s="9" t="s">
        <v>1537</v>
      </c>
    </row>
    <row r="41" spans="1:19" x14ac:dyDescent="0.25">
      <c r="A41" s="9">
        <v>40</v>
      </c>
      <c r="B41" s="9" t="s">
        <v>1681</v>
      </c>
      <c r="C41" s="9" t="s">
        <v>1682</v>
      </c>
      <c r="D41" s="9" t="s">
        <v>1683</v>
      </c>
      <c r="E41" s="9" t="s">
        <v>1506</v>
      </c>
      <c r="F41" s="9">
        <v>83706</v>
      </c>
      <c r="G41" s="9">
        <v>43.603453999999999</v>
      </c>
      <c r="H41" s="9">
        <v>-116.202736</v>
      </c>
      <c r="I41" s="9"/>
      <c r="J41" s="9">
        <v>110042072351</v>
      </c>
      <c r="K41" s="9" t="s">
        <v>1514</v>
      </c>
      <c r="L41" s="9" t="s">
        <v>1684</v>
      </c>
      <c r="M41" s="9">
        <v>7216</v>
      </c>
      <c r="N41" s="9" t="s">
        <v>1685</v>
      </c>
      <c r="O41" s="9"/>
      <c r="P41" s="9" t="s">
        <v>1545</v>
      </c>
      <c r="Q41" s="9" t="s">
        <v>1546</v>
      </c>
      <c r="R41" s="9">
        <v>365</v>
      </c>
      <c r="S41" s="9" t="s">
        <v>1537</v>
      </c>
    </row>
    <row r="42" spans="1:19" x14ac:dyDescent="0.25">
      <c r="A42" s="9">
        <v>41</v>
      </c>
      <c r="B42" s="9" t="s">
        <v>1686</v>
      </c>
      <c r="C42" s="9" t="s">
        <v>1687</v>
      </c>
      <c r="D42" s="9" t="s">
        <v>1688</v>
      </c>
      <c r="E42" s="9" t="s">
        <v>268</v>
      </c>
      <c r="F42" s="9">
        <v>17356</v>
      </c>
      <c r="G42" s="9">
        <v>39.903748999999998</v>
      </c>
      <c r="H42" s="9">
        <v>-76.605096000000003</v>
      </c>
      <c r="I42" s="9" t="s">
        <v>1689</v>
      </c>
      <c r="J42" s="9">
        <v>110000333318</v>
      </c>
      <c r="K42" s="9" t="s">
        <v>1690</v>
      </c>
      <c r="L42" s="9" t="s">
        <v>1691</v>
      </c>
      <c r="M42" s="9">
        <v>3489</v>
      </c>
      <c r="N42" s="9" t="s">
        <v>1692</v>
      </c>
      <c r="O42" s="9"/>
      <c r="P42" s="9" t="s">
        <v>1545</v>
      </c>
      <c r="Q42" s="9" t="s">
        <v>1546</v>
      </c>
      <c r="R42" s="9">
        <v>250</v>
      </c>
      <c r="S42" s="9" t="s">
        <v>1537</v>
      </c>
    </row>
    <row r="43" spans="1:19" x14ac:dyDescent="0.25">
      <c r="A43" s="9">
        <v>42</v>
      </c>
      <c r="B43" s="9" t="s">
        <v>1693</v>
      </c>
      <c r="C43" s="9" t="s">
        <v>1694</v>
      </c>
      <c r="D43" s="9" t="s">
        <v>1695</v>
      </c>
      <c r="E43" s="9" t="s">
        <v>1509</v>
      </c>
      <c r="F43" s="9">
        <v>28203</v>
      </c>
      <c r="G43" s="9">
        <v>35.215859999999999</v>
      </c>
      <c r="H43" s="9">
        <v>-80.856890000000007</v>
      </c>
      <c r="I43" s="9"/>
      <c r="J43" s="9">
        <v>110070048003</v>
      </c>
      <c r="K43" s="9" t="s">
        <v>1538</v>
      </c>
      <c r="L43" s="9" t="s">
        <v>1696</v>
      </c>
      <c r="M43" s="9"/>
      <c r="N43" s="9"/>
      <c r="O43" s="9"/>
      <c r="P43" s="9" t="s">
        <v>1545</v>
      </c>
      <c r="Q43" s="9" t="s">
        <v>1546</v>
      </c>
      <c r="R43" s="9">
        <v>250</v>
      </c>
      <c r="S43" s="9" t="s">
        <v>1537</v>
      </c>
    </row>
    <row r="44" spans="1:19" x14ac:dyDescent="0.25">
      <c r="A44" s="9">
        <v>43</v>
      </c>
      <c r="B44" s="9" t="s">
        <v>1697</v>
      </c>
      <c r="C44" s="9" t="s">
        <v>1698</v>
      </c>
      <c r="D44" s="9" t="s">
        <v>175</v>
      </c>
      <c r="E44" s="9" t="s">
        <v>106</v>
      </c>
      <c r="F44" s="9">
        <v>70669</v>
      </c>
      <c r="G44" s="9">
        <v>30.223500000000001</v>
      </c>
      <c r="H44" s="9">
        <v>-93.286900000000003</v>
      </c>
      <c r="I44" s="9" t="s">
        <v>1699</v>
      </c>
      <c r="J44" s="9">
        <v>110000494894</v>
      </c>
      <c r="K44" s="9" t="s">
        <v>1534</v>
      </c>
      <c r="L44" s="9" t="s">
        <v>1535</v>
      </c>
      <c r="M44" s="9">
        <v>2869</v>
      </c>
      <c r="N44" s="9" t="s">
        <v>1577</v>
      </c>
      <c r="O44" s="9"/>
      <c r="P44" s="9" t="s">
        <v>1545</v>
      </c>
      <c r="Q44" s="9" t="s">
        <v>1546</v>
      </c>
      <c r="R44" s="9">
        <v>350</v>
      </c>
      <c r="S44" s="9" t="s">
        <v>1403</v>
      </c>
    </row>
    <row r="45" spans="1:19" x14ac:dyDescent="0.25">
      <c r="A45" s="9">
        <v>44</v>
      </c>
      <c r="B45" s="9" t="s">
        <v>1700</v>
      </c>
      <c r="C45" s="9" t="s">
        <v>1698</v>
      </c>
      <c r="D45" s="9" t="s">
        <v>1701</v>
      </c>
      <c r="E45" s="9" t="s">
        <v>106</v>
      </c>
      <c r="F45" s="9">
        <v>70601</v>
      </c>
      <c r="G45" s="9">
        <v>30.223500000000001</v>
      </c>
      <c r="H45" s="9">
        <v>-93.286900000000003</v>
      </c>
      <c r="I45" s="9" t="s">
        <v>1699</v>
      </c>
      <c r="J45" s="9">
        <v>110000494894</v>
      </c>
      <c r="K45" s="9" t="s">
        <v>1534</v>
      </c>
      <c r="L45" s="9" t="s">
        <v>1535</v>
      </c>
      <c r="M45" s="9">
        <v>2869</v>
      </c>
      <c r="N45" s="9" t="s">
        <v>1577</v>
      </c>
      <c r="O45" s="9"/>
      <c r="P45" s="9" t="s">
        <v>1545</v>
      </c>
      <c r="Q45" s="9" t="s">
        <v>1546</v>
      </c>
      <c r="R45" s="9">
        <v>350</v>
      </c>
      <c r="S45" s="9" t="s">
        <v>1537</v>
      </c>
    </row>
    <row r="46" spans="1:19" x14ac:dyDescent="0.25">
      <c r="A46" s="9">
        <v>45</v>
      </c>
      <c r="B46" s="9" t="s">
        <v>156</v>
      </c>
      <c r="C46" s="9" t="s">
        <v>1702</v>
      </c>
      <c r="D46" s="9" t="s">
        <v>157</v>
      </c>
      <c r="E46" s="9" t="s">
        <v>158</v>
      </c>
      <c r="F46" s="9">
        <v>89109</v>
      </c>
      <c r="G46" s="9">
        <v>36.122100000000003</v>
      </c>
      <c r="H46" s="9">
        <v>-115.17139</v>
      </c>
      <c r="I46" s="9"/>
      <c r="J46" s="9">
        <v>110004306938</v>
      </c>
      <c r="K46" s="9" t="s">
        <v>1703</v>
      </c>
      <c r="L46" s="9" t="s">
        <v>1704</v>
      </c>
      <c r="M46" s="9">
        <v>7011</v>
      </c>
      <c r="N46" s="9" t="s">
        <v>1596</v>
      </c>
      <c r="O46" s="9"/>
      <c r="P46" s="9" t="s">
        <v>1545</v>
      </c>
      <c r="Q46" s="9" t="s">
        <v>1546</v>
      </c>
      <c r="R46" s="9">
        <v>250</v>
      </c>
      <c r="S46" s="9" t="s">
        <v>1537</v>
      </c>
    </row>
    <row r="47" spans="1:19" x14ac:dyDescent="0.25">
      <c r="A47" s="9">
        <v>46</v>
      </c>
      <c r="B47" s="9" t="s">
        <v>1705</v>
      </c>
      <c r="C47" s="9" t="s">
        <v>1706</v>
      </c>
      <c r="D47" s="9" t="s">
        <v>164</v>
      </c>
      <c r="E47" s="9" t="s">
        <v>135</v>
      </c>
      <c r="F47" s="9">
        <v>26501</v>
      </c>
      <c r="G47" s="9">
        <v>39.599829999999997</v>
      </c>
      <c r="H47" s="9">
        <v>-79.97148</v>
      </c>
      <c r="I47" s="9" t="s">
        <v>1707</v>
      </c>
      <c r="J47" s="9">
        <v>110000572782</v>
      </c>
      <c r="K47" s="9" t="s">
        <v>1553</v>
      </c>
      <c r="L47" s="9" t="s">
        <v>1554</v>
      </c>
      <c r="M47" s="9">
        <v>2869</v>
      </c>
      <c r="N47" s="9" t="s">
        <v>1577</v>
      </c>
      <c r="O47" s="9"/>
      <c r="P47" s="9" t="s">
        <v>1545</v>
      </c>
      <c r="Q47" s="9" t="s">
        <v>1546</v>
      </c>
      <c r="R47" s="9">
        <v>350</v>
      </c>
      <c r="S47" s="9" t="s">
        <v>1537</v>
      </c>
    </row>
    <row r="48" spans="1:19" x14ac:dyDescent="0.25">
      <c r="A48" s="9">
        <v>47</v>
      </c>
      <c r="B48" s="9" t="s">
        <v>470</v>
      </c>
      <c r="C48" s="9" t="s">
        <v>1708</v>
      </c>
      <c r="D48" s="9" t="s">
        <v>157</v>
      </c>
      <c r="E48" s="9" t="s">
        <v>158</v>
      </c>
      <c r="F48" s="9">
        <v>89109</v>
      </c>
      <c r="G48" s="9">
        <v>36.137529999999998</v>
      </c>
      <c r="H48" s="9">
        <v>-115.15479000000001</v>
      </c>
      <c r="I48" s="9"/>
      <c r="J48" s="9">
        <v>110020039402</v>
      </c>
      <c r="K48" s="9" t="s">
        <v>72</v>
      </c>
      <c r="L48" s="9" t="s">
        <v>1709</v>
      </c>
      <c r="M48" s="9">
        <v>7011</v>
      </c>
      <c r="N48" s="9" t="s">
        <v>1596</v>
      </c>
      <c r="O48" s="9"/>
      <c r="P48" s="9" t="s">
        <v>1545</v>
      </c>
      <c r="Q48" s="9" t="s">
        <v>1546</v>
      </c>
      <c r="R48" s="9">
        <v>250</v>
      </c>
      <c r="S48" s="9" t="s">
        <v>1537</v>
      </c>
    </row>
    <row r="49" spans="1:19" x14ac:dyDescent="0.25">
      <c r="A49" s="9">
        <v>48</v>
      </c>
      <c r="B49" s="9" t="s">
        <v>401</v>
      </c>
      <c r="C49" s="9" t="s">
        <v>1710</v>
      </c>
      <c r="D49" s="9" t="s">
        <v>402</v>
      </c>
      <c r="E49" s="9" t="s">
        <v>106</v>
      </c>
      <c r="F49" s="9" t="s">
        <v>1711</v>
      </c>
      <c r="G49" s="9">
        <v>30.27083</v>
      </c>
      <c r="H49" s="9">
        <v>-92.037279999999996</v>
      </c>
      <c r="I49" s="9"/>
      <c r="J49" s="9">
        <v>110000846602</v>
      </c>
      <c r="K49" s="9" t="s">
        <v>1690</v>
      </c>
      <c r="L49" s="9" t="s">
        <v>1554</v>
      </c>
      <c r="M49" s="9">
        <v>8731</v>
      </c>
      <c r="N49" s="9" t="s">
        <v>1712</v>
      </c>
      <c r="O49" s="9"/>
      <c r="P49" s="9" t="s">
        <v>1545</v>
      </c>
      <c r="Q49" s="9" t="s">
        <v>1546</v>
      </c>
      <c r="R49" s="9">
        <v>250</v>
      </c>
      <c r="S49" s="9" t="s">
        <v>1537</v>
      </c>
    </row>
    <row r="50" spans="1:19" x14ac:dyDescent="0.25">
      <c r="A50" s="9">
        <v>49</v>
      </c>
      <c r="B50" s="9" t="s">
        <v>1713</v>
      </c>
      <c r="C50" s="9" t="s">
        <v>1714</v>
      </c>
      <c r="D50" s="9" t="s">
        <v>1715</v>
      </c>
      <c r="E50" s="9" t="s">
        <v>146</v>
      </c>
      <c r="F50" s="9">
        <v>90731</v>
      </c>
      <c r="G50" s="9">
        <v>33.754980000000003</v>
      </c>
      <c r="H50" s="9">
        <v>-118.25427999999999</v>
      </c>
      <c r="I50" s="9"/>
      <c r="J50" s="9">
        <v>110009127015</v>
      </c>
      <c r="K50" s="9" t="s">
        <v>1542</v>
      </c>
      <c r="L50" s="9" t="s">
        <v>1716</v>
      </c>
      <c r="M50" s="9">
        <v>9999</v>
      </c>
      <c r="N50" s="9" t="s">
        <v>1668</v>
      </c>
      <c r="O50" s="9"/>
      <c r="P50" s="9" t="s">
        <v>1545</v>
      </c>
      <c r="Q50" s="9" t="s">
        <v>1546</v>
      </c>
      <c r="R50" s="9">
        <v>365</v>
      </c>
      <c r="S50" s="9" t="s">
        <v>1537</v>
      </c>
    </row>
    <row r="51" spans="1:19" x14ac:dyDescent="0.25">
      <c r="A51" s="9">
        <v>50</v>
      </c>
      <c r="B51" s="9" t="s">
        <v>1717</v>
      </c>
      <c r="C51" s="9" t="s">
        <v>1718</v>
      </c>
      <c r="D51" s="9" t="s">
        <v>1719</v>
      </c>
      <c r="E51" s="9" t="s">
        <v>250</v>
      </c>
      <c r="F51" s="9">
        <v>13502</v>
      </c>
      <c r="G51" s="9">
        <v>43.107216000000001</v>
      </c>
      <c r="H51" s="9">
        <v>-75.225815999999995</v>
      </c>
      <c r="I51" s="9"/>
      <c r="J51" s="9">
        <v>110002321345</v>
      </c>
      <c r="K51" s="9" t="s">
        <v>1553</v>
      </c>
      <c r="L51" s="9" t="s">
        <v>1554</v>
      </c>
      <c r="M51" s="9">
        <v>5169</v>
      </c>
      <c r="N51" s="9" t="s">
        <v>1720</v>
      </c>
      <c r="O51" s="9"/>
      <c r="P51" s="9" t="s">
        <v>1545</v>
      </c>
      <c r="Q51" s="9" t="s">
        <v>1546</v>
      </c>
      <c r="R51" s="9">
        <v>350</v>
      </c>
      <c r="S51" s="9" t="s">
        <v>1537</v>
      </c>
    </row>
    <row r="52" spans="1:19" x14ac:dyDescent="0.25">
      <c r="A52" s="9">
        <v>51</v>
      </c>
      <c r="B52" s="9" t="s">
        <v>1721</v>
      </c>
      <c r="C52" s="9" t="s">
        <v>1722</v>
      </c>
      <c r="D52" s="9" t="s">
        <v>1723</v>
      </c>
      <c r="E52" s="9" t="s">
        <v>141</v>
      </c>
      <c r="F52" s="9" t="s">
        <v>1724</v>
      </c>
      <c r="G52" s="9">
        <v>41.968190999999997</v>
      </c>
      <c r="H52" s="9">
        <v>-87.809528</v>
      </c>
      <c r="I52" s="9"/>
      <c r="J52" s="9">
        <v>110000790984</v>
      </c>
      <c r="K52" s="9" t="s">
        <v>1514</v>
      </c>
      <c r="L52" s="9" t="s">
        <v>1725</v>
      </c>
      <c r="M52" s="9">
        <v>3569</v>
      </c>
      <c r="N52" s="9" t="s">
        <v>1726</v>
      </c>
      <c r="O52" s="9"/>
      <c r="P52" s="9" t="s">
        <v>1545</v>
      </c>
      <c r="Q52" s="9" t="s">
        <v>1546</v>
      </c>
      <c r="R52" s="9">
        <v>365</v>
      </c>
      <c r="S52" s="9" t="s">
        <v>1537</v>
      </c>
    </row>
    <row r="53" spans="1:19" x14ac:dyDescent="0.25">
      <c r="A53" s="9">
        <v>52</v>
      </c>
      <c r="B53" s="9" t="s">
        <v>1727</v>
      </c>
      <c r="C53" s="9" t="s">
        <v>1728</v>
      </c>
      <c r="D53" s="9" t="s">
        <v>1729</v>
      </c>
      <c r="E53" s="9" t="s">
        <v>364</v>
      </c>
      <c r="F53" s="9">
        <v>21921</v>
      </c>
      <c r="G53" s="9">
        <v>39.610759999999999</v>
      </c>
      <c r="H53" s="9">
        <v>-75.864720000000005</v>
      </c>
      <c r="I53" s="9"/>
      <c r="J53" s="9">
        <v>110019877409</v>
      </c>
      <c r="K53" s="9" t="s">
        <v>1514</v>
      </c>
      <c r="L53" s="9" t="s">
        <v>1730</v>
      </c>
      <c r="M53" s="9">
        <v>3764</v>
      </c>
      <c r="N53" s="9" t="s">
        <v>1731</v>
      </c>
      <c r="O53" s="9"/>
      <c r="P53" s="9" t="s">
        <v>1545</v>
      </c>
      <c r="Q53" s="9" t="s">
        <v>1546</v>
      </c>
      <c r="R53" s="9">
        <v>365</v>
      </c>
      <c r="S53" s="9" t="s">
        <v>1537</v>
      </c>
    </row>
    <row r="54" spans="1:19" x14ac:dyDescent="0.25">
      <c r="A54" s="9">
        <v>53</v>
      </c>
      <c r="B54" s="9" t="s">
        <v>1732</v>
      </c>
      <c r="C54" s="9" t="s">
        <v>1733</v>
      </c>
      <c r="D54" s="9" t="s">
        <v>1734</v>
      </c>
      <c r="E54" s="9" t="s">
        <v>106</v>
      </c>
      <c r="F54" s="9">
        <v>70665</v>
      </c>
      <c r="G54" s="9">
        <v>30.190567999999999</v>
      </c>
      <c r="H54" s="9">
        <v>-93.325823</v>
      </c>
      <c r="I54" s="9" t="s">
        <v>1735</v>
      </c>
      <c r="J54" s="9">
        <v>110000748040</v>
      </c>
      <c r="K54" s="9" t="s">
        <v>1553</v>
      </c>
      <c r="L54" s="9" t="s">
        <v>1554</v>
      </c>
      <c r="M54" s="9">
        <v>2869</v>
      </c>
      <c r="N54" s="9" t="s">
        <v>1577</v>
      </c>
      <c r="O54" s="9"/>
      <c r="P54" s="9" t="s">
        <v>1545</v>
      </c>
      <c r="Q54" s="9" t="s">
        <v>1546</v>
      </c>
      <c r="R54" s="9">
        <v>350</v>
      </c>
      <c r="S54" s="9" t="s">
        <v>1537</v>
      </c>
    </row>
    <row r="55" spans="1:19" x14ac:dyDescent="0.25">
      <c r="A55" s="9">
        <v>54</v>
      </c>
      <c r="B55" s="9" t="s">
        <v>1736</v>
      </c>
      <c r="C55" s="9" t="s">
        <v>1737</v>
      </c>
      <c r="D55" s="9" t="s">
        <v>1738</v>
      </c>
      <c r="E55" s="9" t="s">
        <v>146</v>
      </c>
      <c r="F55" s="9" t="s">
        <v>1739</v>
      </c>
      <c r="G55" s="9">
        <v>33.892391000000003</v>
      </c>
      <c r="H55" s="9">
        <v>-118.072909</v>
      </c>
      <c r="I55" s="9"/>
      <c r="J55" s="9">
        <v>110000781609</v>
      </c>
      <c r="K55" s="9" t="s">
        <v>1514</v>
      </c>
      <c r="L55" s="9" t="s">
        <v>1740</v>
      </c>
      <c r="M55" s="9">
        <v>4613</v>
      </c>
      <c r="N55" s="9" t="s">
        <v>1741</v>
      </c>
      <c r="O55" s="9"/>
      <c r="P55" s="9" t="s">
        <v>1545</v>
      </c>
      <c r="Q55" s="9" t="s">
        <v>1546</v>
      </c>
      <c r="R55" s="9">
        <v>365</v>
      </c>
      <c r="S55" s="9" t="s">
        <v>1537</v>
      </c>
    </row>
    <row r="56" spans="1:19" x14ac:dyDescent="0.25">
      <c r="A56" s="9">
        <v>55</v>
      </c>
      <c r="B56" s="9" t="s">
        <v>1742</v>
      </c>
      <c r="C56" s="9" t="s">
        <v>1743</v>
      </c>
      <c r="D56" s="9" t="s">
        <v>1744</v>
      </c>
      <c r="E56" s="9" t="s">
        <v>153</v>
      </c>
      <c r="F56" s="9">
        <v>7002</v>
      </c>
      <c r="G56" s="9">
        <v>40.650120999999999</v>
      </c>
      <c r="H56" s="9">
        <v>-74.095578000000003</v>
      </c>
      <c r="I56" s="9"/>
      <c r="J56" s="9">
        <v>110070220480</v>
      </c>
      <c r="K56" s="9" t="s">
        <v>1514</v>
      </c>
      <c r="L56" s="9" t="s">
        <v>1595</v>
      </c>
      <c r="M56" s="9">
        <v>4226</v>
      </c>
      <c r="N56" s="9" t="s">
        <v>1745</v>
      </c>
      <c r="O56" s="9"/>
      <c r="P56" s="9" t="s">
        <v>1545</v>
      </c>
      <c r="Q56" s="9" t="s">
        <v>1546</v>
      </c>
      <c r="R56" s="9">
        <v>365</v>
      </c>
      <c r="S56" s="9" t="s">
        <v>1537</v>
      </c>
    </row>
    <row r="57" spans="1:19" x14ac:dyDescent="0.25">
      <c r="A57" s="9">
        <v>56</v>
      </c>
      <c r="B57" s="9" t="s">
        <v>510</v>
      </c>
      <c r="C57" s="9" t="s">
        <v>1746</v>
      </c>
      <c r="D57" s="9" t="s">
        <v>145</v>
      </c>
      <c r="E57" s="9" t="s">
        <v>146</v>
      </c>
      <c r="F57" s="9">
        <v>96021</v>
      </c>
      <c r="G57" s="9">
        <v>39.915689999999998</v>
      </c>
      <c r="H57" s="9">
        <v>-122.10365</v>
      </c>
      <c r="I57" s="9"/>
      <c r="J57" s="9">
        <v>110054272210</v>
      </c>
      <c r="K57" s="9" t="s">
        <v>1538</v>
      </c>
      <c r="L57" s="9" t="s">
        <v>1564</v>
      </c>
      <c r="M57" s="9">
        <v>2033</v>
      </c>
      <c r="N57" s="9" t="s">
        <v>1747</v>
      </c>
      <c r="O57" s="9"/>
      <c r="P57" s="9" t="s">
        <v>1545</v>
      </c>
      <c r="Q57" s="9" t="s">
        <v>1546</v>
      </c>
      <c r="R57" s="9">
        <v>250</v>
      </c>
      <c r="S57" s="9" t="s">
        <v>1537</v>
      </c>
    </row>
    <row r="58" spans="1:19" x14ac:dyDescent="0.25">
      <c r="A58" s="9">
        <v>57</v>
      </c>
      <c r="B58" s="9" t="s">
        <v>355</v>
      </c>
      <c r="C58" s="9" t="s">
        <v>1748</v>
      </c>
      <c r="D58" s="9" t="s">
        <v>1749</v>
      </c>
      <c r="E58" s="9" t="s">
        <v>153</v>
      </c>
      <c r="F58" s="9">
        <v>8023</v>
      </c>
      <c r="G58" s="9">
        <v>39.682361999999998</v>
      </c>
      <c r="H58" s="9">
        <v>-75.491378999999995</v>
      </c>
      <c r="I58" s="9" t="s">
        <v>1750</v>
      </c>
      <c r="J58" s="9">
        <v>110007970142</v>
      </c>
      <c r="K58" s="9" t="s">
        <v>1553</v>
      </c>
      <c r="L58" s="9" t="s">
        <v>1554</v>
      </c>
      <c r="M58" s="9">
        <v>2869</v>
      </c>
      <c r="N58" s="9" t="s">
        <v>1577</v>
      </c>
      <c r="O58" s="9"/>
      <c r="P58" s="9" t="s">
        <v>1545</v>
      </c>
      <c r="Q58" s="9" t="s">
        <v>1546</v>
      </c>
      <c r="R58" s="9">
        <v>350</v>
      </c>
      <c r="S58" s="9" t="s">
        <v>1537</v>
      </c>
    </row>
    <row r="59" spans="1:19" x14ac:dyDescent="0.25">
      <c r="A59" s="9">
        <v>58</v>
      </c>
      <c r="B59" s="9" t="s">
        <v>1751</v>
      </c>
      <c r="C59" s="9" t="s">
        <v>1752</v>
      </c>
      <c r="D59" s="9" t="s">
        <v>404</v>
      </c>
      <c r="E59" s="9" t="s">
        <v>106</v>
      </c>
      <c r="F59" s="9">
        <v>70037</v>
      </c>
      <c r="G59" s="9">
        <v>29.808250000000001</v>
      </c>
      <c r="H59" s="9">
        <v>-90.01</v>
      </c>
      <c r="I59" s="9" t="s">
        <v>1753</v>
      </c>
      <c r="J59" s="9">
        <v>110000575244</v>
      </c>
      <c r="K59" s="9" t="s">
        <v>1553</v>
      </c>
      <c r="L59" s="9" t="s">
        <v>1554</v>
      </c>
      <c r="M59" s="9">
        <v>2869</v>
      </c>
      <c r="N59" s="9" t="s">
        <v>1577</v>
      </c>
      <c r="O59" s="9"/>
      <c r="P59" s="9" t="s">
        <v>1545</v>
      </c>
      <c r="Q59" s="9" t="s">
        <v>1546</v>
      </c>
      <c r="R59" s="9">
        <v>350</v>
      </c>
      <c r="S59" s="9" t="s">
        <v>1537</v>
      </c>
    </row>
    <row r="60" spans="1:19" x14ac:dyDescent="0.25">
      <c r="A60" s="9">
        <v>59</v>
      </c>
      <c r="B60" s="9" t="s">
        <v>1754</v>
      </c>
      <c r="C60" s="9" t="s">
        <v>1755</v>
      </c>
      <c r="D60" s="9" t="s">
        <v>1756</v>
      </c>
      <c r="E60" s="9" t="s">
        <v>501</v>
      </c>
      <c r="F60" s="9">
        <v>43521</v>
      </c>
      <c r="G60" s="9">
        <v>41.678610999999997</v>
      </c>
      <c r="H60" s="9">
        <v>-84.325556000000006</v>
      </c>
      <c r="I60" s="9"/>
      <c r="J60" s="9">
        <v>110058286331</v>
      </c>
      <c r="K60" s="9" t="s">
        <v>1514</v>
      </c>
      <c r="L60" s="9" t="s">
        <v>1757</v>
      </c>
      <c r="M60" s="9">
        <v>8999</v>
      </c>
      <c r="N60" s="9" t="s">
        <v>1758</v>
      </c>
      <c r="O60" s="9"/>
      <c r="P60" s="9" t="s">
        <v>1545</v>
      </c>
      <c r="Q60" s="9" t="s">
        <v>1546</v>
      </c>
      <c r="R60" s="9">
        <v>365</v>
      </c>
      <c r="S60" s="9" t="s">
        <v>1537</v>
      </c>
    </row>
    <row r="61" spans="1:19" x14ac:dyDescent="0.25">
      <c r="A61" s="9">
        <v>60</v>
      </c>
      <c r="B61" s="9" t="s">
        <v>1619</v>
      </c>
      <c r="C61" s="9" t="s">
        <v>1759</v>
      </c>
      <c r="D61" s="9" t="s">
        <v>224</v>
      </c>
      <c r="E61" s="9" t="s">
        <v>141</v>
      </c>
      <c r="F61" s="9" t="s">
        <v>1760</v>
      </c>
      <c r="G61" s="9">
        <v>41.412897000000001</v>
      </c>
      <c r="H61" s="9">
        <v>-88.329773000000003</v>
      </c>
      <c r="I61" s="9" t="s">
        <v>1761</v>
      </c>
      <c r="J61" s="9">
        <v>110000433013</v>
      </c>
      <c r="K61" s="9" t="s">
        <v>1553</v>
      </c>
      <c r="L61" s="9" t="s">
        <v>1554</v>
      </c>
      <c r="M61" s="9">
        <v>2821</v>
      </c>
      <c r="N61" s="9" t="s">
        <v>1560</v>
      </c>
      <c r="O61" s="9"/>
      <c r="P61" s="9" t="s">
        <v>1545</v>
      </c>
      <c r="Q61" s="9" t="s">
        <v>1546</v>
      </c>
      <c r="R61" s="9">
        <v>350</v>
      </c>
      <c r="S61" s="9" t="s">
        <v>1537</v>
      </c>
    </row>
    <row r="62" spans="1:19" x14ac:dyDescent="0.25">
      <c r="A62" s="9">
        <v>61</v>
      </c>
      <c r="B62" s="9" t="s">
        <v>1762</v>
      </c>
      <c r="C62" s="9" t="s">
        <v>1763</v>
      </c>
      <c r="D62" s="9" t="s">
        <v>1641</v>
      </c>
      <c r="E62" s="9" t="s">
        <v>1510</v>
      </c>
      <c r="F62" s="9" t="s">
        <v>1764</v>
      </c>
      <c r="G62" s="9">
        <v>41.794519999999999</v>
      </c>
      <c r="H62" s="9">
        <v>-71.429429999999996</v>
      </c>
      <c r="I62" s="9"/>
      <c r="J62" s="9">
        <v>110009310548</v>
      </c>
      <c r="K62" s="9" t="s">
        <v>1514</v>
      </c>
      <c r="L62" s="9"/>
      <c r="M62" s="9">
        <v>3914</v>
      </c>
      <c r="N62" s="9" t="s">
        <v>1765</v>
      </c>
      <c r="O62" s="9"/>
      <c r="P62" s="9" t="s">
        <v>1545</v>
      </c>
      <c r="Q62" s="9" t="s">
        <v>1546</v>
      </c>
      <c r="R62" s="9">
        <v>365</v>
      </c>
      <c r="S62" s="9" t="s">
        <v>1537</v>
      </c>
    </row>
    <row r="63" spans="1:19" x14ac:dyDescent="0.25">
      <c r="A63" s="9">
        <v>62</v>
      </c>
      <c r="B63" s="9" t="s">
        <v>1766</v>
      </c>
      <c r="C63" s="9" t="s">
        <v>1767</v>
      </c>
      <c r="D63" s="9" t="s">
        <v>1768</v>
      </c>
      <c r="E63" s="9" t="s">
        <v>106</v>
      </c>
      <c r="F63" s="9">
        <v>70805</v>
      </c>
      <c r="G63" s="9">
        <v>30.558889000000001</v>
      </c>
      <c r="H63" s="9">
        <v>-91.217500000000001</v>
      </c>
      <c r="I63" s="9"/>
      <c r="J63" s="9">
        <v>110012254363</v>
      </c>
      <c r="K63" s="9" t="s">
        <v>1630</v>
      </c>
      <c r="L63" s="9" t="s">
        <v>1769</v>
      </c>
      <c r="M63" s="9">
        <v>4789</v>
      </c>
      <c r="N63" s="9" t="s">
        <v>1770</v>
      </c>
      <c r="O63" s="9"/>
      <c r="P63" s="9" t="s">
        <v>1545</v>
      </c>
      <c r="Q63" s="9" t="s">
        <v>1546</v>
      </c>
      <c r="R63" s="9">
        <v>0</v>
      </c>
      <c r="S63" s="9" t="s">
        <v>1537</v>
      </c>
    </row>
    <row r="64" spans="1:19" x14ac:dyDescent="0.25">
      <c r="A64" s="9">
        <v>63</v>
      </c>
      <c r="B64" s="9" t="s">
        <v>1771</v>
      </c>
      <c r="C64" s="9" t="s">
        <v>1772</v>
      </c>
      <c r="D64" s="9" t="s">
        <v>1773</v>
      </c>
      <c r="E64" s="9" t="s">
        <v>520</v>
      </c>
      <c r="F64" s="9">
        <v>2145</v>
      </c>
      <c r="G64" s="9">
        <v>42.380989999999997</v>
      </c>
      <c r="H64" s="9">
        <v>-71.087580000000003</v>
      </c>
      <c r="I64" s="9"/>
      <c r="J64" s="9">
        <v>110070741217</v>
      </c>
      <c r="K64" s="9" t="s">
        <v>1514</v>
      </c>
      <c r="L64" s="9"/>
      <c r="M64" s="9"/>
      <c r="N64" s="9" t="e">
        <v>#N/A</v>
      </c>
      <c r="O64" s="9"/>
      <c r="P64" s="9" t="s">
        <v>1545</v>
      </c>
      <c r="Q64" s="9" t="s">
        <v>1546</v>
      </c>
      <c r="R64" s="9">
        <v>365</v>
      </c>
      <c r="S64" s="9" t="s">
        <v>1537</v>
      </c>
    </row>
    <row r="65" spans="1:19" x14ac:dyDescent="0.25">
      <c r="A65" s="9">
        <v>64</v>
      </c>
      <c r="B65" s="9" t="s">
        <v>1774</v>
      </c>
      <c r="C65" s="9" t="s">
        <v>1775</v>
      </c>
      <c r="D65" s="9" t="s">
        <v>369</v>
      </c>
      <c r="E65" s="9" t="s">
        <v>114</v>
      </c>
      <c r="F65" s="9" t="s">
        <v>1776</v>
      </c>
      <c r="G65" s="9">
        <v>30.311361000000002</v>
      </c>
      <c r="H65" s="9">
        <v>-95.387083000000004</v>
      </c>
      <c r="I65" s="9" t="s">
        <v>1777</v>
      </c>
      <c r="J65" s="9">
        <v>110000748095</v>
      </c>
      <c r="K65" s="9" t="s">
        <v>1553</v>
      </c>
      <c r="L65" s="9" t="s">
        <v>1554</v>
      </c>
      <c r="M65" s="9">
        <v>2869</v>
      </c>
      <c r="N65" s="9" t="s">
        <v>1577</v>
      </c>
      <c r="O65" s="9"/>
      <c r="P65" s="9" t="s">
        <v>1545</v>
      </c>
      <c r="Q65" s="9" t="s">
        <v>1546</v>
      </c>
      <c r="R65" s="9">
        <v>350</v>
      </c>
      <c r="S65" s="9" t="s">
        <v>1537</v>
      </c>
    </row>
    <row r="66" spans="1:19" x14ac:dyDescent="0.25">
      <c r="A66" s="9">
        <v>65</v>
      </c>
      <c r="B66" s="9" t="s">
        <v>1778</v>
      </c>
      <c r="C66" s="9" t="s">
        <v>1779</v>
      </c>
      <c r="D66" s="9" t="s">
        <v>1780</v>
      </c>
      <c r="E66" s="9" t="s">
        <v>520</v>
      </c>
      <c r="F66" s="9">
        <v>1803</v>
      </c>
      <c r="G66" s="9">
        <v>42.482259999999997</v>
      </c>
      <c r="H66" s="9">
        <v>-71.191800000000001</v>
      </c>
      <c r="I66" s="9"/>
      <c r="J66" s="9">
        <v>110024468128</v>
      </c>
      <c r="K66" s="9" t="s">
        <v>1514</v>
      </c>
      <c r="L66" s="9"/>
      <c r="M66" s="9"/>
      <c r="N66" s="9" t="e">
        <v>#N/A</v>
      </c>
      <c r="O66" s="9"/>
      <c r="P66" s="9" t="s">
        <v>1545</v>
      </c>
      <c r="Q66" s="9" t="s">
        <v>1546</v>
      </c>
      <c r="R66" s="9">
        <v>365</v>
      </c>
      <c r="S66" s="9" t="s">
        <v>1537</v>
      </c>
    </row>
    <row r="67" spans="1:19" x14ac:dyDescent="0.25">
      <c r="A67" s="9">
        <v>66</v>
      </c>
      <c r="B67" s="9" t="s">
        <v>1781</v>
      </c>
      <c r="C67" s="9" t="s">
        <v>1782</v>
      </c>
      <c r="D67" s="9" t="s">
        <v>313</v>
      </c>
      <c r="E67" s="9" t="s">
        <v>114</v>
      </c>
      <c r="F67" s="9">
        <v>77015</v>
      </c>
      <c r="G67" s="9">
        <v>29.75487</v>
      </c>
      <c r="H67" s="9">
        <v>-95.103269999999995</v>
      </c>
      <c r="I67" s="9" t="s">
        <v>1783</v>
      </c>
      <c r="J67" s="9">
        <v>110000460983</v>
      </c>
      <c r="K67" s="9" t="s">
        <v>1553</v>
      </c>
      <c r="L67" s="9" t="s">
        <v>1554</v>
      </c>
      <c r="M67" s="9">
        <v>2869</v>
      </c>
      <c r="N67" s="9" t="s">
        <v>1577</v>
      </c>
      <c r="O67" s="9"/>
      <c r="P67" s="9" t="s">
        <v>1545</v>
      </c>
      <c r="Q67" s="9" t="s">
        <v>1546</v>
      </c>
      <c r="R67" s="9">
        <v>350</v>
      </c>
      <c r="S67" s="9" t="s">
        <v>1537</v>
      </c>
    </row>
    <row r="68" spans="1:19" x14ac:dyDescent="0.25">
      <c r="A68" s="9">
        <v>67</v>
      </c>
      <c r="B68" s="9" t="s">
        <v>1784</v>
      </c>
      <c r="C68" s="9" t="s">
        <v>1785</v>
      </c>
      <c r="D68" s="9" t="s">
        <v>1786</v>
      </c>
      <c r="E68" s="9" t="s">
        <v>250</v>
      </c>
      <c r="F68" s="9">
        <v>14052</v>
      </c>
      <c r="G68" s="9">
        <v>42.805160000000001</v>
      </c>
      <c r="H68" s="9">
        <v>-78.64658</v>
      </c>
      <c r="I68" s="9" t="s">
        <v>1787</v>
      </c>
      <c r="J68" s="9">
        <v>110008011490</v>
      </c>
      <c r="K68" s="9" t="s">
        <v>1514</v>
      </c>
      <c r="L68" s="9" t="s">
        <v>1788</v>
      </c>
      <c r="M68" s="9">
        <v>3494</v>
      </c>
      <c r="N68" s="9" t="s">
        <v>1789</v>
      </c>
      <c r="O68" s="9"/>
      <c r="P68" s="9" t="s">
        <v>1545</v>
      </c>
      <c r="Q68" s="9" t="s">
        <v>1546</v>
      </c>
      <c r="R68" s="9">
        <v>365</v>
      </c>
      <c r="S68" s="9" t="s">
        <v>1537</v>
      </c>
    </row>
    <row r="69" spans="1:19" x14ac:dyDescent="0.25">
      <c r="A69" s="9">
        <v>68</v>
      </c>
      <c r="B69" s="9" t="s">
        <v>1790</v>
      </c>
      <c r="C69" s="9" t="s">
        <v>1791</v>
      </c>
      <c r="D69" s="9" t="s">
        <v>1792</v>
      </c>
      <c r="E69" s="9" t="s">
        <v>1510</v>
      </c>
      <c r="F69" s="9" t="s">
        <v>1793</v>
      </c>
      <c r="G69" s="9">
        <v>41.633920000000003</v>
      </c>
      <c r="H69" s="9">
        <v>-71.493690000000001</v>
      </c>
      <c r="I69" s="9"/>
      <c r="J69" s="9">
        <v>110000581255</v>
      </c>
      <c r="K69" s="9" t="s">
        <v>1553</v>
      </c>
      <c r="L69" s="9" t="s">
        <v>1794</v>
      </c>
      <c r="M69" s="9">
        <v>3315</v>
      </c>
      <c r="N69" s="9" t="s">
        <v>1795</v>
      </c>
      <c r="O69" s="9"/>
      <c r="P69" s="9" t="s">
        <v>1545</v>
      </c>
      <c r="Q69" s="9" t="s">
        <v>1546</v>
      </c>
      <c r="R69" s="9">
        <v>350</v>
      </c>
      <c r="S69" s="9" t="s">
        <v>1537</v>
      </c>
    </row>
    <row r="70" spans="1:19" x14ac:dyDescent="0.25">
      <c r="A70" s="9">
        <v>69</v>
      </c>
      <c r="B70" s="9" t="s">
        <v>1796</v>
      </c>
      <c r="C70" s="9" t="s">
        <v>1797</v>
      </c>
      <c r="D70" s="9" t="s">
        <v>1798</v>
      </c>
      <c r="E70" s="9" t="s">
        <v>114</v>
      </c>
      <c r="F70" s="9">
        <v>77536</v>
      </c>
      <c r="G70" s="9">
        <v>29.726111</v>
      </c>
      <c r="H70" s="9">
        <v>-95.089449999999999</v>
      </c>
      <c r="I70" s="9" t="s">
        <v>1799</v>
      </c>
      <c r="J70" s="9">
        <v>110000619652</v>
      </c>
      <c r="K70" s="9" t="s">
        <v>1553</v>
      </c>
      <c r="L70" s="9" t="s">
        <v>1554</v>
      </c>
      <c r="M70" s="9">
        <v>2821</v>
      </c>
      <c r="N70" s="9" t="s">
        <v>1560</v>
      </c>
      <c r="O70" s="9"/>
      <c r="P70" s="9" t="s">
        <v>1545</v>
      </c>
      <c r="Q70" s="9" t="s">
        <v>1546</v>
      </c>
      <c r="R70" s="9">
        <v>350</v>
      </c>
      <c r="S70" s="9" t="s">
        <v>1537</v>
      </c>
    </row>
    <row r="71" spans="1:19" x14ac:dyDescent="0.25">
      <c r="A71" s="9">
        <v>70</v>
      </c>
      <c r="B71" s="9" t="s">
        <v>1800</v>
      </c>
      <c r="C71" s="9" t="s">
        <v>1801</v>
      </c>
      <c r="D71" s="9" t="s">
        <v>1802</v>
      </c>
      <c r="E71" s="9" t="s">
        <v>153</v>
      </c>
      <c r="F71" s="9">
        <v>7470</v>
      </c>
      <c r="G71" s="9">
        <v>40.891950000000001</v>
      </c>
      <c r="H71" s="9">
        <v>-74.249369999999999</v>
      </c>
      <c r="I71" s="9"/>
      <c r="J71" s="9">
        <v>110070213656</v>
      </c>
      <c r="K71" s="9" t="s">
        <v>1514</v>
      </c>
      <c r="L71" s="9"/>
      <c r="M71" s="9">
        <v>9999</v>
      </c>
      <c r="N71" s="9" t="s">
        <v>1668</v>
      </c>
      <c r="O71" s="9"/>
      <c r="P71" s="9" t="s">
        <v>1545</v>
      </c>
      <c r="Q71" s="9" t="s">
        <v>1546</v>
      </c>
      <c r="R71" s="9">
        <v>365</v>
      </c>
      <c r="S71" s="9" t="s">
        <v>1537</v>
      </c>
    </row>
    <row r="72" spans="1:19" x14ac:dyDescent="0.25">
      <c r="A72" s="9">
        <v>71</v>
      </c>
      <c r="B72" s="9" t="s">
        <v>201</v>
      </c>
      <c r="C72" s="9" t="s">
        <v>1803</v>
      </c>
      <c r="D72" s="9" t="s">
        <v>202</v>
      </c>
      <c r="E72" s="9" t="s">
        <v>106</v>
      </c>
      <c r="F72" s="9" t="s">
        <v>1804</v>
      </c>
      <c r="G72" s="9">
        <v>30.221900000000002</v>
      </c>
      <c r="H72" s="9">
        <v>-91.051500000000004</v>
      </c>
      <c r="I72" s="9" t="s">
        <v>1805</v>
      </c>
      <c r="J72" s="9">
        <v>110033659878</v>
      </c>
      <c r="K72" s="9" t="s">
        <v>1553</v>
      </c>
      <c r="L72" s="9" t="s">
        <v>1806</v>
      </c>
      <c r="M72" s="9">
        <v>2819</v>
      </c>
      <c r="N72" s="9" t="s">
        <v>1555</v>
      </c>
      <c r="O72" s="9"/>
      <c r="P72" s="9" t="s">
        <v>1545</v>
      </c>
      <c r="Q72" s="9" t="s">
        <v>1546</v>
      </c>
      <c r="R72" s="9">
        <v>350</v>
      </c>
      <c r="S72" s="9" t="s">
        <v>1537</v>
      </c>
    </row>
    <row r="73" spans="1:19" x14ac:dyDescent="0.25">
      <c r="A73" s="9">
        <v>72</v>
      </c>
      <c r="B73" s="9" t="s">
        <v>1807</v>
      </c>
      <c r="C73" s="9" t="s">
        <v>1808</v>
      </c>
      <c r="D73" s="9" t="s">
        <v>1809</v>
      </c>
      <c r="E73" s="9" t="s">
        <v>153</v>
      </c>
      <c r="F73" s="9">
        <v>8844</v>
      </c>
      <c r="G73" s="9">
        <v>40.52516</v>
      </c>
      <c r="H73" s="9">
        <v>-74.601039999999998</v>
      </c>
      <c r="I73" s="9"/>
      <c r="J73" s="9">
        <v>110070217974</v>
      </c>
      <c r="K73" s="9" t="s">
        <v>1514</v>
      </c>
      <c r="L73" s="9"/>
      <c r="M73" s="9">
        <v>2851</v>
      </c>
      <c r="N73" s="9" t="s">
        <v>1810</v>
      </c>
      <c r="O73" s="9"/>
      <c r="P73" s="9" t="s">
        <v>1545</v>
      </c>
      <c r="Q73" s="9" t="s">
        <v>1546</v>
      </c>
      <c r="R73" s="9">
        <v>365</v>
      </c>
      <c r="S73" s="9" t="s">
        <v>1537</v>
      </c>
    </row>
    <row r="74" spans="1:19" x14ac:dyDescent="0.25">
      <c r="A74" s="9">
        <v>73</v>
      </c>
      <c r="B74" s="9" t="s">
        <v>1467</v>
      </c>
      <c r="C74" s="9" t="s">
        <v>1811</v>
      </c>
      <c r="D74" s="9" t="s">
        <v>1468</v>
      </c>
      <c r="E74" s="9" t="s">
        <v>146</v>
      </c>
      <c r="F74" s="9" t="s">
        <v>1812</v>
      </c>
      <c r="G74" s="9">
        <v>40.162275000000001</v>
      </c>
      <c r="H74" s="9">
        <v>-122.221378</v>
      </c>
      <c r="I74" s="9"/>
      <c r="J74" s="9">
        <v>110000730745</v>
      </c>
      <c r="K74" s="9" t="s">
        <v>1542</v>
      </c>
      <c r="L74" s="9" t="s">
        <v>1813</v>
      </c>
      <c r="M74" s="9">
        <v>4952</v>
      </c>
      <c r="N74" s="9" t="s">
        <v>1544</v>
      </c>
      <c r="O74" s="9"/>
      <c r="P74" s="9" t="s">
        <v>1545</v>
      </c>
      <c r="Q74" s="9" t="s">
        <v>1546</v>
      </c>
      <c r="R74" s="9">
        <v>365</v>
      </c>
      <c r="S74" s="9" t="s">
        <v>1537</v>
      </c>
    </row>
    <row r="75" spans="1:19" x14ac:dyDescent="0.25">
      <c r="A75" s="9">
        <v>74</v>
      </c>
      <c r="B75" s="9" t="s">
        <v>365</v>
      </c>
      <c r="C75" s="9" t="s">
        <v>1814</v>
      </c>
      <c r="D75" s="9" t="s">
        <v>366</v>
      </c>
      <c r="E75" s="9" t="s">
        <v>367</v>
      </c>
      <c r="F75" s="9">
        <v>85546</v>
      </c>
      <c r="G75" s="9">
        <v>32.802</v>
      </c>
      <c r="H75" s="9">
        <v>-109.711</v>
      </c>
      <c r="I75" s="9"/>
      <c r="J75" s="9">
        <v>110012330520</v>
      </c>
      <c r="K75" s="9" t="s">
        <v>1542</v>
      </c>
      <c r="L75" s="9" t="s">
        <v>1815</v>
      </c>
      <c r="M75" s="9"/>
      <c r="N75" s="9" t="e">
        <v>#N/A</v>
      </c>
      <c r="O75" s="9"/>
      <c r="P75" s="9" t="s">
        <v>1545</v>
      </c>
      <c r="Q75" s="9" t="s">
        <v>1546</v>
      </c>
      <c r="R75" s="9">
        <v>365</v>
      </c>
      <c r="S75" s="9" t="s">
        <v>1537</v>
      </c>
    </row>
    <row r="76" spans="1:19" x14ac:dyDescent="0.25">
      <c r="A76" s="9">
        <v>75</v>
      </c>
      <c r="B76" s="9" t="s">
        <v>1816</v>
      </c>
      <c r="C76" s="9" t="s">
        <v>1817</v>
      </c>
      <c r="D76" s="9" t="s">
        <v>1695</v>
      </c>
      <c r="E76" s="9" t="s">
        <v>1509</v>
      </c>
      <c r="F76" s="9">
        <v>28214</v>
      </c>
      <c r="G76" s="9">
        <v>35.259729999999998</v>
      </c>
      <c r="H76" s="9">
        <v>-81.000079999999997</v>
      </c>
      <c r="I76" s="9"/>
      <c r="J76" s="9">
        <v>110004018731</v>
      </c>
      <c r="K76" s="9" t="s">
        <v>1514</v>
      </c>
      <c r="L76" s="9" t="s">
        <v>1818</v>
      </c>
      <c r="M76" s="9">
        <v>3552</v>
      </c>
      <c r="N76" s="9" t="s">
        <v>1819</v>
      </c>
      <c r="O76" s="9"/>
      <c r="P76" s="9" t="s">
        <v>1545</v>
      </c>
      <c r="Q76" s="9" t="s">
        <v>1546</v>
      </c>
      <c r="R76" s="9">
        <v>365</v>
      </c>
      <c r="S76" s="9" t="s">
        <v>1537</v>
      </c>
    </row>
    <row r="77" spans="1:19" x14ac:dyDescent="0.25">
      <c r="A77" s="9">
        <v>76</v>
      </c>
      <c r="B77" s="9" t="s">
        <v>1820</v>
      </c>
      <c r="C77" s="9" t="s">
        <v>1821</v>
      </c>
      <c r="D77" s="9" t="s">
        <v>1822</v>
      </c>
      <c r="E77" s="9" t="s">
        <v>250</v>
      </c>
      <c r="F77" s="9">
        <v>12428</v>
      </c>
      <c r="G77" s="9">
        <v>41.700479999999999</v>
      </c>
      <c r="H77" s="9">
        <v>-74.409739999999999</v>
      </c>
      <c r="I77" s="9"/>
      <c r="J77" s="9">
        <v>110064186615</v>
      </c>
      <c r="K77" s="9" t="s">
        <v>1514</v>
      </c>
      <c r="L77" s="9" t="s">
        <v>1823</v>
      </c>
      <c r="M77" s="9">
        <v>3679</v>
      </c>
      <c r="N77" s="9" t="s">
        <v>1824</v>
      </c>
      <c r="O77" s="9"/>
      <c r="P77" s="9" t="s">
        <v>1545</v>
      </c>
      <c r="Q77" s="9" t="s">
        <v>1546</v>
      </c>
      <c r="R77" s="9">
        <v>365</v>
      </c>
      <c r="S77" s="9" t="s">
        <v>1537</v>
      </c>
    </row>
    <row r="78" spans="1:19" x14ac:dyDescent="0.25">
      <c r="A78" s="9">
        <v>77</v>
      </c>
      <c r="B78" s="9" t="s">
        <v>1825</v>
      </c>
      <c r="C78" s="9" t="s">
        <v>1826</v>
      </c>
      <c r="D78" s="9" t="s">
        <v>1827</v>
      </c>
      <c r="E78" s="9" t="s">
        <v>118</v>
      </c>
      <c r="F78" s="9">
        <v>49015</v>
      </c>
      <c r="G78" s="9">
        <v>42.293660000000003</v>
      </c>
      <c r="H78" s="9">
        <v>-85.223643999999993</v>
      </c>
      <c r="I78" s="9"/>
      <c r="J78" s="9">
        <v>110009900884</v>
      </c>
      <c r="K78" s="9" t="s">
        <v>1514</v>
      </c>
      <c r="L78" s="9" t="s">
        <v>1828</v>
      </c>
      <c r="M78" s="9">
        <v>9999</v>
      </c>
      <c r="N78" s="9" t="s">
        <v>1575</v>
      </c>
      <c r="O78" s="9"/>
      <c r="P78" s="9" t="s">
        <v>1545</v>
      </c>
      <c r="Q78" s="9" t="s">
        <v>1546</v>
      </c>
      <c r="R78" s="9">
        <v>365</v>
      </c>
      <c r="S78" s="9" t="s">
        <v>1537</v>
      </c>
    </row>
    <row r="79" spans="1:19" x14ac:dyDescent="0.25">
      <c r="A79" s="9">
        <v>78</v>
      </c>
      <c r="B79" s="9" t="s">
        <v>1829</v>
      </c>
      <c r="C79" s="9" t="s">
        <v>1830</v>
      </c>
      <c r="D79" s="9" t="s">
        <v>169</v>
      </c>
      <c r="E79" s="9" t="s">
        <v>501</v>
      </c>
      <c r="F79" s="9" t="s">
        <v>1831</v>
      </c>
      <c r="G79" s="9">
        <v>39.9101</v>
      </c>
      <c r="H79" s="9">
        <v>-83.771169999999998</v>
      </c>
      <c r="I79" s="9" t="s">
        <v>1832</v>
      </c>
      <c r="J79" s="9">
        <v>110000395019</v>
      </c>
      <c r="K79" s="9" t="s">
        <v>1655</v>
      </c>
      <c r="L79" s="9" t="s">
        <v>1833</v>
      </c>
      <c r="M79" s="9">
        <v>3499</v>
      </c>
      <c r="N79" s="9" t="s">
        <v>1657</v>
      </c>
      <c r="O79" s="9"/>
      <c r="P79" s="9" t="s">
        <v>1545</v>
      </c>
      <c r="Q79" s="9" t="s">
        <v>1546</v>
      </c>
      <c r="R79" s="9">
        <v>0</v>
      </c>
      <c r="S79" s="9" t="s">
        <v>1537</v>
      </c>
    </row>
    <row r="80" spans="1:19" x14ac:dyDescent="0.25">
      <c r="A80" s="9">
        <v>79</v>
      </c>
      <c r="B80" s="9" t="s">
        <v>1834</v>
      </c>
      <c r="C80" s="9" t="s">
        <v>1835</v>
      </c>
      <c r="D80" s="9" t="s">
        <v>1836</v>
      </c>
      <c r="E80" s="9" t="s">
        <v>501</v>
      </c>
      <c r="F80" s="9">
        <v>43701</v>
      </c>
      <c r="G80" s="9">
        <v>39.924827000000001</v>
      </c>
      <c r="H80" s="9">
        <v>-82.028574000000006</v>
      </c>
      <c r="I80" s="9"/>
      <c r="J80" s="9">
        <v>110040145321</v>
      </c>
      <c r="K80" s="9" t="s">
        <v>1514</v>
      </c>
      <c r="L80" s="9" t="s">
        <v>1837</v>
      </c>
      <c r="M80" s="9">
        <v>1799</v>
      </c>
      <c r="N80" s="9" t="s">
        <v>1593</v>
      </c>
      <c r="O80" s="9"/>
      <c r="P80" s="9" t="s">
        <v>1545</v>
      </c>
      <c r="Q80" s="9" t="s">
        <v>1546</v>
      </c>
      <c r="R80" s="9">
        <v>365</v>
      </c>
      <c r="S80" s="9" t="s">
        <v>1537</v>
      </c>
    </row>
    <row r="81" spans="1:19" x14ac:dyDescent="0.25">
      <c r="A81" s="9">
        <v>80</v>
      </c>
      <c r="B81" s="9" t="s">
        <v>1838</v>
      </c>
      <c r="C81" s="9" t="s">
        <v>1839</v>
      </c>
      <c r="D81" s="9" t="s">
        <v>1573</v>
      </c>
      <c r="E81" s="9" t="s">
        <v>501</v>
      </c>
      <c r="F81" s="9">
        <v>45404</v>
      </c>
      <c r="G81" s="9">
        <v>39.792729999999999</v>
      </c>
      <c r="H81" s="9">
        <v>-84.171130000000005</v>
      </c>
      <c r="I81" s="9"/>
      <c r="J81" s="9">
        <v>110001622316</v>
      </c>
      <c r="K81" s="9" t="s">
        <v>1655</v>
      </c>
      <c r="L81" s="9" t="s">
        <v>1840</v>
      </c>
      <c r="M81" s="9">
        <v>3489</v>
      </c>
      <c r="N81" s="9" t="s">
        <v>1692</v>
      </c>
      <c r="O81" s="9"/>
      <c r="P81" s="9" t="s">
        <v>1545</v>
      </c>
      <c r="Q81" s="9" t="s">
        <v>1546</v>
      </c>
      <c r="R81" s="9">
        <v>0</v>
      </c>
      <c r="S81" s="9" t="s">
        <v>1537</v>
      </c>
    </row>
    <row r="82" spans="1:19" x14ac:dyDescent="0.25">
      <c r="A82" s="9">
        <v>81</v>
      </c>
      <c r="B82" s="9" t="s">
        <v>1841</v>
      </c>
      <c r="C82" s="9" t="s">
        <v>1842</v>
      </c>
      <c r="D82" s="9" t="s">
        <v>1843</v>
      </c>
      <c r="E82" s="9" t="s">
        <v>501</v>
      </c>
      <c r="F82" s="9" t="s">
        <v>1844</v>
      </c>
      <c r="G82" s="9">
        <v>40.804659999999998</v>
      </c>
      <c r="H82" s="9">
        <v>-81.532089999999997</v>
      </c>
      <c r="I82" s="9"/>
      <c r="J82" s="9">
        <v>110005987664</v>
      </c>
      <c r="K82" s="9" t="s">
        <v>1514</v>
      </c>
      <c r="L82" s="9" t="s">
        <v>1845</v>
      </c>
      <c r="M82" s="9">
        <v>8999</v>
      </c>
      <c r="N82" s="9" t="s">
        <v>1758</v>
      </c>
      <c r="O82" s="9"/>
      <c r="P82" s="9" t="s">
        <v>1545</v>
      </c>
      <c r="Q82" s="9" t="s">
        <v>1546</v>
      </c>
      <c r="R82" s="9">
        <v>365</v>
      </c>
      <c r="S82" s="9" t="s">
        <v>1537</v>
      </c>
    </row>
    <row r="83" spans="1:19" x14ac:dyDescent="0.25">
      <c r="A83" s="9">
        <v>82</v>
      </c>
      <c r="B83" s="9" t="s">
        <v>1846</v>
      </c>
      <c r="C83" s="9" t="s">
        <v>1847</v>
      </c>
      <c r="D83" s="9" t="s">
        <v>1848</v>
      </c>
      <c r="E83" s="9" t="s">
        <v>138</v>
      </c>
      <c r="F83" s="9" t="s">
        <v>1849</v>
      </c>
      <c r="G83" s="9">
        <v>36.790599999999998</v>
      </c>
      <c r="H83" s="9">
        <v>-88.635800000000003</v>
      </c>
      <c r="I83" s="9"/>
      <c r="J83" s="9">
        <v>110000380169</v>
      </c>
      <c r="K83" s="9" t="s">
        <v>1850</v>
      </c>
      <c r="L83" s="9" t="s">
        <v>1851</v>
      </c>
      <c r="M83" s="9">
        <v>3011</v>
      </c>
      <c r="N83" s="9" t="s">
        <v>1852</v>
      </c>
      <c r="O83" s="9"/>
      <c r="P83" s="9" t="s">
        <v>1545</v>
      </c>
      <c r="Q83" s="9" t="s">
        <v>1546</v>
      </c>
      <c r="R83" s="9">
        <v>0</v>
      </c>
      <c r="S83" s="9" t="s">
        <v>1537</v>
      </c>
    </row>
    <row r="84" spans="1:19" x14ac:dyDescent="0.25">
      <c r="A84" s="9">
        <v>83</v>
      </c>
      <c r="B84" s="9" t="s">
        <v>206</v>
      </c>
      <c r="C84" s="9" t="s">
        <v>1853</v>
      </c>
      <c r="D84" s="9" t="s">
        <v>207</v>
      </c>
      <c r="E84" s="9" t="s">
        <v>205</v>
      </c>
      <c r="F84" s="9">
        <v>72501</v>
      </c>
      <c r="G84" s="9">
        <v>35.722341999999998</v>
      </c>
      <c r="H84" s="9">
        <v>-91.524983000000006</v>
      </c>
      <c r="I84" s="9" t="s">
        <v>1854</v>
      </c>
      <c r="J84" s="9">
        <v>110017432937</v>
      </c>
      <c r="K84" s="9" t="s">
        <v>1553</v>
      </c>
      <c r="L84" s="9" t="s">
        <v>1855</v>
      </c>
      <c r="M84" s="9">
        <v>2865</v>
      </c>
      <c r="N84" s="9" t="s">
        <v>1856</v>
      </c>
      <c r="O84" s="9"/>
      <c r="P84" s="9" t="s">
        <v>1545</v>
      </c>
      <c r="Q84" s="9" t="s">
        <v>1546</v>
      </c>
      <c r="R84" s="9">
        <v>350</v>
      </c>
      <c r="S84" s="9" t="s">
        <v>1537</v>
      </c>
    </row>
    <row r="85" spans="1:19" x14ac:dyDescent="0.25">
      <c r="A85" s="9">
        <v>84</v>
      </c>
      <c r="B85" s="9" t="s">
        <v>1857</v>
      </c>
      <c r="C85" s="9" t="s">
        <v>1858</v>
      </c>
      <c r="D85" s="9" t="s">
        <v>1859</v>
      </c>
      <c r="E85" s="9" t="s">
        <v>367</v>
      </c>
      <c r="F85" s="9">
        <v>85337</v>
      </c>
      <c r="G85" s="9">
        <v>32.970362000000002</v>
      </c>
      <c r="H85" s="9">
        <v>-112.73018399999999</v>
      </c>
      <c r="I85" s="9" t="s">
        <v>1487</v>
      </c>
      <c r="J85" s="9">
        <v>110010677829</v>
      </c>
      <c r="K85" s="9" t="s">
        <v>1542</v>
      </c>
      <c r="L85" s="9" t="s">
        <v>1860</v>
      </c>
      <c r="M85" s="9" t="s">
        <v>1487</v>
      </c>
      <c r="N85" s="9" t="s">
        <v>1861</v>
      </c>
      <c r="O85" s="9"/>
      <c r="P85" s="9" t="s">
        <v>1545</v>
      </c>
      <c r="Q85" s="9" t="s">
        <v>1546</v>
      </c>
      <c r="R85" s="9">
        <v>365</v>
      </c>
      <c r="S85" s="9" t="s">
        <v>1537</v>
      </c>
    </row>
    <row r="86" spans="1:19" x14ac:dyDescent="0.25">
      <c r="A86" s="9">
        <v>85</v>
      </c>
      <c r="B86" s="9" t="s">
        <v>1862</v>
      </c>
      <c r="C86" s="9" t="s">
        <v>1863</v>
      </c>
      <c r="D86" s="9" t="s">
        <v>1864</v>
      </c>
      <c r="E86" s="9" t="s">
        <v>367</v>
      </c>
      <c r="F86" s="9">
        <v>86401</v>
      </c>
      <c r="G86" s="9">
        <v>35.16666</v>
      </c>
      <c r="H86" s="9">
        <v>-113.78333000000001</v>
      </c>
      <c r="I86" s="9" t="s">
        <v>1487</v>
      </c>
      <c r="J86" s="9">
        <v>110010062644</v>
      </c>
      <c r="K86" s="9" t="s">
        <v>1514</v>
      </c>
      <c r="L86" s="9" t="s">
        <v>1865</v>
      </c>
      <c r="M86" s="9" t="s">
        <v>1487</v>
      </c>
      <c r="N86" s="9" t="s">
        <v>1861</v>
      </c>
      <c r="O86" s="9"/>
      <c r="P86" s="9" t="s">
        <v>1545</v>
      </c>
      <c r="Q86" s="9" t="s">
        <v>1546</v>
      </c>
      <c r="R86" s="9">
        <v>365</v>
      </c>
      <c r="S86" s="9" t="s">
        <v>1537</v>
      </c>
    </row>
    <row r="87" spans="1:19" x14ac:dyDescent="0.25">
      <c r="A87" s="9">
        <v>86</v>
      </c>
      <c r="B87" s="9" t="s">
        <v>1866</v>
      </c>
      <c r="C87" s="9" t="s">
        <v>1867</v>
      </c>
      <c r="D87" s="9" t="s">
        <v>1868</v>
      </c>
      <c r="E87" s="9" t="s">
        <v>367</v>
      </c>
      <c r="F87" s="9">
        <v>86001</v>
      </c>
      <c r="G87" s="9">
        <v>35.188434999999998</v>
      </c>
      <c r="H87" s="9">
        <v>-111.63066000000001</v>
      </c>
      <c r="I87" s="9" t="s">
        <v>1487</v>
      </c>
      <c r="J87" s="9">
        <v>110064629442</v>
      </c>
      <c r="K87" s="9" t="s">
        <v>1542</v>
      </c>
      <c r="L87" s="9" t="s">
        <v>1860</v>
      </c>
      <c r="M87" s="9" t="s">
        <v>1487</v>
      </c>
      <c r="N87" s="9" t="s">
        <v>1861</v>
      </c>
      <c r="O87" s="9"/>
      <c r="P87" s="9" t="s">
        <v>1545</v>
      </c>
      <c r="Q87" s="9" t="s">
        <v>1546</v>
      </c>
      <c r="R87" s="9">
        <v>365</v>
      </c>
      <c r="S87" s="9" t="s">
        <v>1537</v>
      </c>
    </row>
    <row r="88" spans="1:19" x14ac:dyDescent="0.25">
      <c r="A88" s="9">
        <v>87</v>
      </c>
      <c r="B88" s="9" t="s">
        <v>1869</v>
      </c>
      <c r="C88" s="9" t="s">
        <v>1870</v>
      </c>
      <c r="D88" s="9" t="s">
        <v>1871</v>
      </c>
      <c r="E88" s="9" t="s">
        <v>367</v>
      </c>
      <c r="F88" s="9">
        <v>85346</v>
      </c>
      <c r="G88" s="9">
        <v>33.708300000000001</v>
      </c>
      <c r="H88" s="9">
        <v>-114.2206</v>
      </c>
      <c r="I88" s="9" t="s">
        <v>1487</v>
      </c>
      <c r="J88" s="9">
        <v>110010062528</v>
      </c>
      <c r="K88" s="9" t="s">
        <v>1542</v>
      </c>
      <c r="L88" s="9" t="s">
        <v>1860</v>
      </c>
      <c r="M88" s="9" t="s">
        <v>1487</v>
      </c>
      <c r="N88" s="9" t="s">
        <v>1861</v>
      </c>
      <c r="O88" s="9"/>
      <c r="P88" s="9" t="s">
        <v>1545</v>
      </c>
      <c r="Q88" s="9" t="s">
        <v>1546</v>
      </c>
      <c r="R88" s="9">
        <v>365</v>
      </c>
      <c r="S88" s="9" t="s">
        <v>1537</v>
      </c>
    </row>
    <row r="89" spans="1:19" x14ac:dyDescent="0.25">
      <c r="A89" s="9">
        <v>88</v>
      </c>
      <c r="B89" s="9" t="s">
        <v>1872</v>
      </c>
      <c r="C89" s="9" t="s">
        <v>1873</v>
      </c>
      <c r="D89" s="9" t="s">
        <v>1874</v>
      </c>
      <c r="E89" s="9" t="s">
        <v>367</v>
      </c>
      <c r="F89" s="9">
        <v>85901</v>
      </c>
      <c r="G89" s="9">
        <v>34.26126</v>
      </c>
      <c r="H89" s="9">
        <v>-110.03482</v>
      </c>
      <c r="I89" s="9" t="s">
        <v>1487</v>
      </c>
      <c r="J89" s="9">
        <v>110006785149</v>
      </c>
      <c r="K89" s="9" t="s">
        <v>1542</v>
      </c>
      <c r="L89" s="9" t="s">
        <v>1860</v>
      </c>
      <c r="M89" s="9">
        <v>4952</v>
      </c>
      <c r="N89" s="9" t="s">
        <v>1544</v>
      </c>
      <c r="O89" s="9"/>
      <c r="P89" s="9" t="s">
        <v>1545</v>
      </c>
      <c r="Q89" s="9" t="s">
        <v>1546</v>
      </c>
      <c r="R89" s="9">
        <v>365</v>
      </c>
      <c r="S89" s="9" t="s">
        <v>1537</v>
      </c>
    </row>
    <row r="90" spans="1:19" x14ac:dyDescent="0.25">
      <c r="A90" s="9">
        <v>89</v>
      </c>
      <c r="B90" s="9" t="s">
        <v>1875</v>
      </c>
      <c r="C90" s="9" t="s">
        <v>1876</v>
      </c>
      <c r="D90" s="9" t="s">
        <v>1877</v>
      </c>
      <c r="E90" s="9" t="s">
        <v>367</v>
      </c>
      <c r="F90" s="9">
        <v>85138</v>
      </c>
      <c r="G90" s="9">
        <v>33.084569999999999</v>
      </c>
      <c r="H90" s="9">
        <v>-112.00959</v>
      </c>
      <c r="I90" s="9" t="s">
        <v>1487</v>
      </c>
      <c r="J90" s="9">
        <v>110015940776</v>
      </c>
      <c r="K90" s="9" t="s">
        <v>1542</v>
      </c>
      <c r="L90" s="9" t="s">
        <v>1878</v>
      </c>
      <c r="M90" s="9" t="s">
        <v>1487</v>
      </c>
      <c r="N90" s="9" t="s">
        <v>1861</v>
      </c>
      <c r="O90" s="9"/>
      <c r="P90" s="9" t="s">
        <v>1545</v>
      </c>
      <c r="Q90" s="9" t="s">
        <v>1546</v>
      </c>
      <c r="R90" s="9">
        <v>365</v>
      </c>
      <c r="S90" s="9" t="s">
        <v>1537</v>
      </c>
    </row>
    <row r="91" spans="1:19" x14ac:dyDescent="0.25">
      <c r="A91" s="9">
        <v>90</v>
      </c>
      <c r="B91" s="9" t="s">
        <v>1879</v>
      </c>
      <c r="C91" s="9" t="s">
        <v>1880</v>
      </c>
      <c r="D91" s="9" t="s">
        <v>1881</v>
      </c>
      <c r="E91" s="9" t="s">
        <v>367</v>
      </c>
      <c r="F91" s="9">
        <v>85648</v>
      </c>
      <c r="G91" s="9">
        <v>31.456666999999999</v>
      </c>
      <c r="H91" s="9">
        <v>-110.968056</v>
      </c>
      <c r="I91" s="9" t="s">
        <v>1487</v>
      </c>
      <c r="J91" s="9">
        <v>110028190419</v>
      </c>
      <c r="K91" s="9" t="s">
        <v>1542</v>
      </c>
      <c r="L91" s="9" t="s">
        <v>1882</v>
      </c>
      <c r="M91" s="9" t="s">
        <v>1487</v>
      </c>
      <c r="N91" s="9" t="s">
        <v>1861</v>
      </c>
      <c r="O91" s="9"/>
      <c r="P91" s="9" t="s">
        <v>1545</v>
      </c>
      <c r="Q91" s="9" t="s">
        <v>1546</v>
      </c>
      <c r="R91" s="9">
        <v>365</v>
      </c>
      <c r="S91" s="9" t="s">
        <v>1537</v>
      </c>
    </row>
    <row r="92" spans="1:19" x14ac:dyDescent="0.25">
      <c r="A92" s="9">
        <v>91</v>
      </c>
      <c r="B92" s="9" t="s">
        <v>1883</v>
      </c>
      <c r="C92" s="9" t="s">
        <v>1884</v>
      </c>
      <c r="D92" s="9" t="s">
        <v>270</v>
      </c>
      <c r="E92" s="9" t="s">
        <v>146</v>
      </c>
      <c r="F92" s="9" t="s">
        <v>1885</v>
      </c>
      <c r="G92" s="9">
        <v>34.616658000000001</v>
      </c>
      <c r="H92" s="9">
        <v>-117.355048</v>
      </c>
      <c r="I92" s="9" t="s">
        <v>1487</v>
      </c>
      <c r="J92" s="9">
        <v>110000517637</v>
      </c>
      <c r="K92" s="9" t="s">
        <v>1542</v>
      </c>
      <c r="L92" s="9" t="s">
        <v>1860</v>
      </c>
      <c r="M92" s="9">
        <v>4952</v>
      </c>
      <c r="N92" s="9" t="s">
        <v>1544</v>
      </c>
      <c r="O92" s="9"/>
      <c r="P92" s="9" t="s">
        <v>1545</v>
      </c>
      <c r="Q92" s="9" t="s">
        <v>1546</v>
      </c>
      <c r="R92" s="9">
        <v>365</v>
      </c>
      <c r="S92" s="9" t="s">
        <v>1537</v>
      </c>
    </row>
    <row r="93" spans="1:19" x14ac:dyDescent="0.25">
      <c r="A93" s="9">
        <v>92</v>
      </c>
      <c r="B93" s="9" t="s">
        <v>214</v>
      </c>
      <c r="C93" s="9" t="s">
        <v>1886</v>
      </c>
      <c r="D93" s="9" t="s">
        <v>215</v>
      </c>
      <c r="E93" s="9" t="s">
        <v>146</v>
      </c>
      <c r="F93" s="9">
        <v>92231</v>
      </c>
      <c r="G93" s="9">
        <v>32.664450000000002</v>
      </c>
      <c r="H93" s="9">
        <v>-115.55970499999999</v>
      </c>
      <c r="I93" s="9" t="s">
        <v>1487</v>
      </c>
      <c r="J93" s="9">
        <v>110000730825</v>
      </c>
      <c r="K93" s="9" t="s">
        <v>1542</v>
      </c>
      <c r="L93" s="9" t="s">
        <v>1860</v>
      </c>
      <c r="M93" s="9">
        <v>4952</v>
      </c>
      <c r="N93" s="9" t="s">
        <v>1544</v>
      </c>
      <c r="O93" s="9"/>
      <c r="P93" s="9" t="s">
        <v>1545</v>
      </c>
      <c r="Q93" s="9" t="s">
        <v>1546</v>
      </c>
      <c r="R93" s="9">
        <v>365</v>
      </c>
      <c r="S93" s="9" t="s">
        <v>1537</v>
      </c>
    </row>
    <row r="94" spans="1:19" x14ac:dyDescent="0.25">
      <c r="A94" s="9">
        <v>93</v>
      </c>
      <c r="B94" s="9" t="s">
        <v>280</v>
      </c>
      <c r="C94" s="9" t="s">
        <v>1887</v>
      </c>
      <c r="D94" s="9" t="s">
        <v>281</v>
      </c>
      <c r="E94" s="9" t="s">
        <v>186</v>
      </c>
      <c r="F94" s="9">
        <v>96706</v>
      </c>
      <c r="G94" s="9">
        <v>21.329699999999999</v>
      </c>
      <c r="H94" s="9">
        <v>-158.03559999999999</v>
      </c>
      <c r="I94" s="9" t="s">
        <v>1487</v>
      </c>
      <c r="J94" s="9">
        <v>110020728943</v>
      </c>
      <c r="K94" s="9" t="s">
        <v>1542</v>
      </c>
      <c r="L94" s="9" t="s">
        <v>1860</v>
      </c>
      <c r="M94" s="9">
        <v>4952</v>
      </c>
      <c r="N94" s="9" t="s">
        <v>1544</v>
      </c>
      <c r="O94" s="9"/>
      <c r="P94" s="9" t="s">
        <v>1545</v>
      </c>
      <c r="Q94" s="9" t="s">
        <v>1546</v>
      </c>
      <c r="R94" s="9">
        <v>365</v>
      </c>
      <c r="S94" s="9" t="s">
        <v>1537</v>
      </c>
    </row>
    <row r="95" spans="1:19" x14ac:dyDescent="0.25">
      <c r="A95" s="9">
        <v>94</v>
      </c>
      <c r="B95" s="9" t="s">
        <v>1888</v>
      </c>
      <c r="C95" s="9" t="s">
        <v>1889</v>
      </c>
      <c r="D95" s="9" t="s">
        <v>1890</v>
      </c>
      <c r="E95" s="9" t="s">
        <v>186</v>
      </c>
      <c r="F95" s="9" t="s">
        <v>1891</v>
      </c>
      <c r="G95" s="9">
        <v>21.426439999999999</v>
      </c>
      <c r="H95" s="9">
        <v>-157.75324000000001</v>
      </c>
      <c r="I95" s="9" t="s">
        <v>1487</v>
      </c>
      <c r="J95" s="9">
        <v>110000867054</v>
      </c>
      <c r="K95" s="9" t="s">
        <v>1542</v>
      </c>
      <c r="L95" s="9" t="s">
        <v>1892</v>
      </c>
      <c r="M95" s="9">
        <v>4952</v>
      </c>
      <c r="N95" s="9" t="s">
        <v>1544</v>
      </c>
      <c r="O95" s="9"/>
      <c r="P95" s="9" t="s">
        <v>1545</v>
      </c>
      <c r="Q95" s="9" t="s">
        <v>1546</v>
      </c>
      <c r="R95" s="9">
        <v>365</v>
      </c>
      <c r="S95" s="9" t="s">
        <v>1537</v>
      </c>
    </row>
    <row r="96" spans="1:19" x14ac:dyDescent="0.25">
      <c r="A96" s="9">
        <v>95</v>
      </c>
      <c r="B96" s="9" t="s">
        <v>1893</v>
      </c>
      <c r="C96" s="9" t="s">
        <v>1894</v>
      </c>
      <c r="D96" s="9" t="s">
        <v>1683</v>
      </c>
      <c r="E96" s="9" t="s">
        <v>1506</v>
      </c>
      <c r="F96" s="9">
        <v>83704</v>
      </c>
      <c r="G96" s="9">
        <v>43.605383000000003</v>
      </c>
      <c r="H96" s="9">
        <v>-116.27849000000001</v>
      </c>
      <c r="I96" s="9" t="s">
        <v>1487</v>
      </c>
      <c r="J96" s="9">
        <v>110062644367</v>
      </c>
      <c r="K96" s="9" t="s">
        <v>1514</v>
      </c>
      <c r="L96" s="9" t="s">
        <v>1895</v>
      </c>
      <c r="M96" s="9" t="s">
        <v>1487</v>
      </c>
      <c r="N96" s="9" t="s">
        <v>1861</v>
      </c>
      <c r="O96" s="9"/>
      <c r="P96" s="9" t="s">
        <v>1545</v>
      </c>
      <c r="Q96" s="9" t="s">
        <v>1546</v>
      </c>
      <c r="R96" s="9">
        <v>365</v>
      </c>
      <c r="S96" s="9" t="s">
        <v>1537</v>
      </c>
    </row>
    <row r="97" spans="1:19" x14ac:dyDescent="0.25">
      <c r="A97" s="9">
        <v>96</v>
      </c>
      <c r="B97" s="9" t="s">
        <v>1896</v>
      </c>
      <c r="C97" s="9" t="s">
        <v>1897</v>
      </c>
      <c r="D97" s="9" t="s">
        <v>1683</v>
      </c>
      <c r="E97" s="9" t="s">
        <v>1506</v>
      </c>
      <c r="F97" s="9">
        <v>83704</v>
      </c>
      <c r="G97" s="9">
        <v>43.60971</v>
      </c>
      <c r="H97" s="9">
        <v>-116.28819</v>
      </c>
      <c r="I97" s="9" t="s">
        <v>1487</v>
      </c>
      <c r="J97" s="9">
        <v>110005791107</v>
      </c>
      <c r="K97" s="9" t="s">
        <v>1514</v>
      </c>
      <c r="L97" s="9" t="s">
        <v>1895</v>
      </c>
      <c r="M97" s="9" t="s">
        <v>1487</v>
      </c>
      <c r="N97" s="9" t="s">
        <v>1861</v>
      </c>
      <c r="O97" s="9"/>
      <c r="P97" s="9" t="s">
        <v>1545</v>
      </c>
      <c r="Q97" s="9" t="s">
        <v>1546</v>
      </c>
      <c r="R97" s="9">
        <v>365</v>
      </c>
      <c r="S97" s="9" t="s">
        <v>1537</v>
      </c>
    </row>
    <row r="98" spans="1:19" x14ac:dyDescent="0.25">
      <c r="A98" s="9">
        <v>97</v>
      </c>
      <c r="B98" s="9" t="s">
        <v>1898</v>
      </c>
      <c r="C98" s="9" t="s">
        <v>1899</v>
      </c>
      <c r="D98" s="9" t="s">
        <v>1683</v>
      </c>
      <c r="E98" s="9" t="s">
        <v>1506</v>
      </c>
      <c r="F98" s="9">
        <v>83702</v>
      </c>
      <c r="G98" s="9">
        <v>43.626778999999999</v>
      </c>
      <c r="H98" s="9">
        <v>-116.229345</v>
      </c>
      <c r="I98" s="9" t="s">
        <v>1487</v>
      </c>
      <c r="J98" s="9">
        <v>110064411417</v>
      </c>
      <c r="K98" s="9" t="s">
        <v>72</v>
      </c>
      <c r="L98" s="9" t="s">
        <v>1900</v>
      </c>
      <c r="M98" s="9">
        <v>3273</v>
      </c>
      <c r="N98" s="9" t="s">
        <v>1901</v>
      </c>
      <c r="O98" s="9"/>
      <c r="P98" s="9" t="s">
        <v>1545</v>
      </c>
      <c r="Q98" s="9" t="s">
        <v>1546</v>
      </c>
      <c r="R98" s="9">
        <v>250</v>
      </c>
      <c r="S98" s="9" t="s">
        <v>1537</v>
      </c>
    </row>
    <row r="99" spans="1:19" x14ac:dyDescent="0.25">
      <c r="A99" s="9">
        <v>98</v>
      </c>
      <c r="B99" s="9" t="s">
        <v>1902</v>
      </c>
      <c r="C99" s="9" t="s">
        <v>1903</v>
      </c>
      <c r="D99" s="9" t="s">
        <v>1904</v>
      </c>
      <c r="E99" s="9" t="s">
        <v>141</v>
      </c>
      <c r="F99" s="9" t="s">
        <v>1905</v>
      </c>
      <c r="G99" s="9">
        <v>41.707231999999998</v>
      </c>
      <c r="H99" s="9">
        <v>-87.981550999999996</v>
      </c>
      <c r="I99" s="9" t="s">
        <v>1906</v>
      </c>
      <c r="J99" s="9">
        <v>110041963168</v>
      </c>
      <c r="K99" s="9" t="s">
        <v>1690</v>
      </c>
      <c r="L99" s="9" t="s">
        <v>1907</v>
      </c>
      <c r="M99" s="9">
        <v>8733</v>
      </c>
      <c r="N99" s="9" t="s">
        <v>1908</v>
      </c>
      <c r="O99" s="9"/>
      <c r="P99" s="9" t="s">
        <v>1545</v>
      </c>
      <c r="Q99" s="9" t="s">
        <v>1546</v>
      </c>
      <c r="R99" s="9">
        <v>250</v>
      </c>
      <c r="S99" s="9" t="s">
        <v>1537</v>
      </c>
    </row>
    <row r="100" spans="1:19" x14ac:dyDescent="0.25">
      <c r="A100" s="9">
        <v>99</v>
      </c>
      <c r="B100" s="9" t="s">
        <v>1909</v>
      </c>
      <c r="C100" s="9" t="s">
        <v>1910</v>
      </c>
      <c r="D100" s="9" t="s">
        <v>1911</v>
      </c>
      <c r="E100" s="9" t="s">
        <v>292</v>
      </c>
      <c r="F100" s="9">
        <v>47620</v>
      </c>
      <c r="G100" s="9">
        <v>37.907200000000003</v>
      </c>
      <c r="H100" s="9">
        <v>-87.927099999999996</v>
      </c>
      <c r="I100" s="9" t="s">
        <v>1912</v>
      </c>
      <c r="J100" s="9">
        <v>110000403670</v>
      </c>
      <c r="K100" s="9" t="s">
        <v>1553</v>
      </c>
      <c r="L100" s="9" t="s">
        <v>1913</v>
      </c>
      <c r="M100" s="9">
        <v>2821</v>
      </c>
      <c r="N100" s="9" t="s">
        <v>1560</v>
      </c>
      <c r="O100" s="9"/>
      <c r="P100" s="9" t="s">
        <v>1545</v>
      </c>
      <c r="Q100" s="9" t="s">
        <v>1546</v>
      </c>
      <c r="R100" s="9">
        <v>350</v>
      </c>
      <c r="S100" s="9" t="s">
        <v>1537</v>
      </c>
    </row>
    <row r="101" spans="1:19" x14ac:dyDescent="0.25">
      <c r="A101" s="9">
        <v>100</v>
      </c>
      <c r="B101" s="9" t="s">
        <v>1914</v>
      </c>
      <c r="C101" s="9" t="s">
        <v>1915</v>
      </c>
      <c r="D101" s="9" t="s">
        <v>276</v>
      </c>
      <c r="E101" s="9" t="s">
        <v>138</v>
      </c>
      <c r="F101" s="9">
        <v>42029</v>
      </c>
      <c r="G101" s="9">
        <v>37.056699000000002</v>
      </c>
      <c r="H101" s="9">
        <v>-88.365727000000007</v>
      </c>
      <c r="I101" s="9" t="s">
        <v>1916</v>
      </c>
      <c r="J101" s="9">
        <v>110000380061</v>
      </c>
      <c r="K101" s="9" t="s">
        <v>1553</v>
      </c>
      <c r="L101" s="9" t="s">
        <v>1917</v>
      </c>
      <c r="M101" s="9">
        <v>2819</v>
      </c>
      <c r="N101" s="9" t="s">
        <v>1555</v>
      </c>
      <c r="O101" s="9"/>
      <c r="P101" s="9" t="s">
        <v>1545</v>
      </c>
      <c r="Q101" s="9" t="s">
        <v>1546</v>
      </c>
      <c r="R101" s="9">
        <v>350</v>
      </c>
      <c r="S101" s="9" t="s">
        <v>1537</v>
      </c>
    </row>
    <row r="102" spans="1:19" x14ac:dyDescent="0.25">
      <c r="A102" s="9">
        <v>101</v>
      </c>
      <c r="B102" s="9" t="s">
        <v>174</v>
      </c>
      <c r="C102" s="9" t="s">
        <v>1918</v>
      </c>
      <c r="D102" s="9" t="s">
        <v>175</v>
      </c>
      <c r="E102" s="9" t="s">
        <v>106</v>
      </c>
      <c r="F102" s="9">
        <v>70669</v>
      </c>
      <c r="G102" s="9">
        <v>30.193916000000002</v>
      </c>
      <c r="H102" s="9">
        <v>-93.321347000000003</v>
      </c>
      <c r="I102" s="9" t="s">
        <v>1919</v>
      </c>
      <c r="J102" s="9">
        <v>110000597266</v>
      </c>
      <c r="K102" s="9" t="s">
        <v>1553</v>
      </c>
      <c r="L102" s="9" t="s">
        <v>1913</v>
      </c>
      <c r="M102" s="9">
        <v>2821</v>
      </c>
      <c r="N102" s="9" t="s">
        <v>1560</v>
      </c>
      <c r="O102" s="9"/>
      <c r="P102" s="9" t="s">
        <v>1545</v>
      </c>
      <c r="Q102" s="9" t="s">
        <v>1546</v>
      </c>
      <c r="R102" s="9">
        <v>350</v>
      </c>
      <c r="S102" s="9" t="s">
        <v>1537</v>
      </c>
    </row>
    <row r="103" spans="1:19" x14ac:dyDescent="0.25">
      <c r="A103" s="9">
        <v>102</v>
      </c>
      <c r="B103" s="9" t="s">
        <v>246</v>
      </c>
      <c r="C103" s="9" t="s">
        <v>1920</v>
      </c>
      <c r="D103" s="9" t="s">
        <v>194</v>
      </c>
      <c r="E103" s="9" t="s">
        <v>106</v>
      </c>
      <c r="F103" s="9">
        <v>70776</v>
      </c>
      <c r="G103" s="9">
        <v>30.241299999999999</v>
      </c>
      <c r="H103" s="9">
        <v>-91.100899999999996</v>
      </c>
      <c r="I103" s="9" t="s">
        <v>1921</v>
      </c>
      <c r="J103" s="9">
        <v>110000597426</v>
      </c>
      <c r="K103" s="9" t="s">
        <v>1553</v>
      </c>
      <c r="L103" s="9" t="s">
        <v>1917</v>
      </c>
      <c r="M103" s="9">
        <v>2819</v>
      </c>
      <c r="N103" s="9" t="s">
        <v>1555</v>
      </c>
      <c r="O103" s="9"/>
      <c r="P103" s="9" t="s">
        <v>1545</v>
      </c>
      <c r="Q103" s="9" t="s">
        <v>1546</v>
      </c>
      <c r="R103" s="9">
        <v>350</v>
      </c>
      <c r="S103" s="9" t="s">
        <v>1537</v>
      </c>
    </row>
    <row r="104" spans="1:19" x14ac:dyDescent="0.25">
      <c r="A104" s="9">
        <v>103</v>
      </c>
      <c r="B104" s="9" t="s">
        <v>1922</v>
      </c>
      <c r="C104" s="9" t="s">
        <v>1923</v>
      </c>
      <c r="D104" s="9" t="s">
        <v>1924</v>
      </c>
      <c r="E104" s="9" t="s">
        <v>106</v>
      </c>
      <c r="F104" s="9">
        <v>71422</v>
      </c>
      <c r="G104" s="9">
        <v>32.039444000000003</v>
      </c>
      <c r="H104" s="9">
        <v>-92.655000000000001</v>
      </c>
      <c r="I104" s="9" t="s">
        <v>1925</v>
      </c>
      <c r="J104" s="9">
        <v>110000597596</v>
      </c>
      <c r="K104" s="9" t="s">
        <v>1553</v>
      </c>
      <c r="L104" s="9" t="s">
        <v>1913</v>
      </c>
      <c r="M104" s="9">
        <v>2821</v>
      </c>
      <c r="N104" s="9" t="s">
        <v>1560</v>
      </c>
      <c r="O104" s="9"/>
      <c r="P104" s="9" t="s">
        <v>1545</v>
      </c>
      <c r="Q104" s="9" t="s">
        <v>1546</v>
      </c>
      <c r="R104" s="9">
        <v>350</v>
      </c>
      <c r="S104" s="9" t="s">
        <v>1537</v>
      </c>
    </row>
    <row r="105" spans="1:19" x14ac:dyDescent="0.25">
      <c r="A105" s="9">
        <v>104</v>
      </c>
      <c r="B105" s="9" t="s">
        <v>193</v>
      </c>
      <c r="C105" s="9" t="s">
        <v>1926</v>
      </c>
      <c r="D105" s="9" t="s">
        <v>194</v>
      </c>
      <c r="E105" s="9" t="s">
        <v>106</v>
      </c>
      <c r="F105" s="9">
        <v>70776</v>
      </c>
      <c r="G105" s="9">
        <v>30.250833</v>
      </c>
      <c r="H105" s="9">
        <v>-91.092277999999993</v>
      </c>
      <c r="I105" s="9" t="s">
        <v>1927</v>
      </c>
      <c r="J105" s="9">
        <v>110056972432</v>
      </c>
      <c r="K105" s="9" t="s">
        <v>1553</v>
      </c>
      <c r="L105" s="9" t="s">
        <v>1928</v>
      </c>
      <c r="M105" s="9">
        <v>2869</v>
      </c>
      <c r="N105" s="9" t="s">
        <v>1577</v>
      </c>
      <c r="O105" s="9"/>
      <c r="P105" s="9" t="s">
        <v>1545</v>
      </c>
      <c r="Q105" s="9" t="s">
        <v>1546</v>
      </c>
      <c r="R105" s="9">
        <v>350</v>
      </c>
      <c r="S105" s="9" t="s">
        <v>1537</v>
      </c>
    </row>
    <row r="106" spans="1:19" x14ac:dyDescent="0.25">
      <c r="A106" s="9">
        <v>105</v>
      </c>
      <c r="B106" s="9" t="s">
        <v>1929</v>
      </c>
      <c r="C106" s="9" t="s">
        <v>1930</v>
      </c>
      <c r="D106" s="9" t="s">
        <v>402</v>
      </c>
      <c r="E106" s="9" t="s">
        <v>106</v>
      </c>
      <c r="F106" s="9">
        <v>70507</v>
      </c>
      <c r="G106" s="9">
        <v>30.275200000000002</v>
      </c>
      <c r="H106" s="9">
        <v>-92.036231000000001</v>
      </c>
      <c r="I106" s="9" t="s">
        <v>1931</v>
      </c>
      <c r="J106" s="9">
        <v>110000449266</v>
      </c>
      <c r="K106" s="9" t="s">
        <v>1542</v>
      </c>
      <c r="L106" s="9" t="s">
        <v>1892</v>
      </c>
      <c r="M106" s="9">
        <v>4952</v>
      </c>
      <c r="N106" s="9" t="s">
        <v>1544</v>
      </c>
      <c r="O106" s="9"/>
      <c r="P106" s="9" t="s">
        <v>1545</v>
      </c>
      <c r="Q106" s="9" t="s">
        <v>1546</v>
      </c>
      <c r="R106" s="9">
        <v>365</v>
      </c>
      <c r="S106" s="9" t="s">
        <v>1537</v>
      </c>
    </row>
    <row r="107" spans="1:19" x14ac:dyDescent="0.25">
      <c r="A107" s="9">
        <v>106</v>
      </c>
      <c r="B107" s="9" t="s">
        <v>1932</v>
      </c>
      <c r="C107" s="9" t="s">
        <v>1933</v>
      </c>
      <c r="D107" s="9" t="s">
        <v>1934</v>
      </c>
      <c r="E107" s="9" t="s">
        <v>118</v>
      </c>
      <c r="F107" s="9" t="s">
        <v>1935</v>
      </c>
      <c r="G107" s="9">
        <v>42.592550000000003</v>
      </c>
      <c r="H107" s="9">
        <v>-83.889930000000007</v>
      </c>
      <c r="I107" s="9" t="s">
        <v>1487</v>
      </c>
      <c r="J107" s="9">
        <v>110000408265</v>
      </c>
      <c r="K107" s="9" t="s">
        <v>1553</v>
      </c>
      <c r="L107" s="9" t="s">
        <v>1936</v>
      </c>
      <c r="M107" s="9">
        <v>2899</v>
      </c>
      <c r="N107" s="9" t="s">
        <v>1617</v>
      </c>
      <c r="O107" s="9"/>
      <c r="P107" s="9" t="s">
        <v>1545</v>
      </c>
      <c r="Q107" s="9" t="s">
        <v>1546</v>
      </c>
      <c r="R107" s="9">
        <v>350</v>
      </c>
      <c r="S107" s="9" t="s">
        <v>1537</v>
      </c>
    </row>
    <row r="108" spans="1:19" x14ac:dyDescent="0.25">
      <c r="A108" s="9">
        <v>107</v>
      </c>
      <c r="B108" s="9" t="s">
        <v>405</v>
      </c>
      <c r="C108" s="9" t="s">
        <v>1937</v>
      </c>
      <c r="D108" s="9" t="s">
        <v>406</v>
      </c>
      <c r="E108" s="9" t="s">
        <v>153</v>
      </c>
      <c r="F108" s="9">
        <v>8086</v>
      </c>
      <c r="G108" s="9">
        <v>39.845474000000003</v>
      </c>
      <c r="H108" s="9">
        <v>-75.209485999999998</v>
      </c>
      <c r="I108" s="9" t="s">
        <v>1938</v>
      </c>
      <c r="J108" s="9">
        <v>110013317614</v>
      </c>
      <c r="K108" s="9" t="s">
        <v>1553</v>
      </c>
      <c r="L108" s="9" t="s">
        <v>1939</v>
      </c>
      <c r="M108" s="9">
        <v>2821</v>
      </c>
      <c r="N108" s="9" t="s">
        <v>1560</v>
      </c>
      <c r="O108" s="9"/>
      <c r="P108" s="9" t="s">
        <v>1545</v>
      </c>
      <c r="Q108" s="9" t="s">
        <v>1546</v>
      </c>
      <c r="R108" s="9">
        <v>350</v>
      </c>
      <c r="S108" s="9" t="s">
        <v>1537</v>
      </c>
    </row>
    <row r="109" spans="1:19" x14ac:dyDescent="0.25">
      <c r="A109" s="9">
        <v>108</v>
      </c>
      <c r="B109" s="9" t="s">
        <v>429</v>
      </c>
      <c r="C109" s="9" t="s">
        <v>1940</v>
      </c>
      <c r="D109" s="9" t="s">
        <v>430</v>
      </c>
      <c r="E109" s="9" t="s">
        <v>367</v>
      </c>
      <c r="F109" s="9">
        <v>86045</v>
      </c>
      <c r="G109" s="9">
        <v>36.091380999999998</v>
      </c>
      <c r="H109" s="9">
        <v>-111.289585</v>
      </c>
      <c r="I109" s="9" t="s">
        <v>1487</v>
      </c>
      <c r="J109" s="9">
        <v>110024409344</v>
      </c>
      <c r="K109" s="9" t="s">
        <v>1542</v>
      </c>
      <c r="L109" s="9" t="s">
        <v>1860</v>
      </c>
      <c r="M109" s="9">
        <v>4952</v>
      </c>
      <c r="N109" s="9" t="s">
        <v>1544</v>
      </c>
      <c r="O109" s="9"/>
      <c r="P109" s="9" t="s">
        <v>1545</v>
      </c>
      <c r="Q109" s="9" t="s">
        <v>1546</v>
      </c>
      <c r="R109" s="9">
        <v>365</v>
      </c>
      <c r="S109" s="9" t="s">
        <v>1537</v>
      </c>
    </row>
    <row r="110" spans="1:19" x14ac:dyDescent="0.25">
      <c r="A110" s="9">
        <v>109</v>
      </c>
      <c r="B110" s="9" t="s">
        <v>379</v>
      </c>
      <c r="C110" s="9" t="s">
        <v>1941</v>
      </c>
      <c r="D110" s="9" t="s">
        <v>380</v>
      </c>
      <c r="E110" s="9" t="s">
        <v>367</v>
      </c>
      <c r="F110" s="9">
        <v>86504</v>
      </c>
      <c r="G110" s="9">
        <v>35.639485000000001</v>
      </c>
      <c r="H110" s="9">
        <v>-109.080939</v>
      </c>
      <c r="I110" s="9" t="s">
        <v>1487</v>
      </c>
      <c r="J110" s="9">
        <v>110024409433</v>
      </c>
      <c r="K110" s="9" t="s">
        <v>1542</v>
      </c>
      <c r="L110" s="9" t="s">
        <v>1860</v>
      </c>
      <c r="M110" s="9">
        <v>4952</v>
      </c>
      <c r="N110" s="9" t="s">
        <v>1544</v>
      </c>
      <c r="O110" s="9"/>
      <c r="P110" s="9" t="s">
        <v>1545</v>
      </c>
      <c r="Q110" s="9" t="s">
        <v>1546</v>
      </c>
      <c r="R110" s="9">
        <v>365</v>
      </c>
      <c r="S110" s="9" t="s">
        <v>1537</v>
      </c>
    </row>
    <row r="111" spans="1:19" x14ac:dyDescent="0.25">
      <c r="A111" s="9">
        <v>110</v>
      </c>
      <c r="B111" s="9" t="s">
        <v>1942</v>
      </c>
      <c r="C111" s="9" t="s">
        <v>1943</v>
      </c>
      <c r="D111" s="9" t="s">
        <v>1944</v>
      </c>
      <c r="E111" s="9" t="s">
        <v>367</v>
      </c>
      <c r="F111" s="9">
        <v>86510</v>
      </c>
      <c r="G111" s="9">
        <v>35.092222</v>
      </c>
      <c r="H111" s="9">
        <v>-110.22666700000001</v>
      </c>
      <c r="I111" s="9" t="s">
        <v>1487</v>
      </c>
      <c r="J111" s="9">
        <v>110024409460</v>
      </c>
      <c r="K111" s="9" t="s">
        <v>1542</v>
      </c>
      <c r="L111" s="9" t="s">
        <v>1860</v>
      </c>
      <c r="M111" s="9">
        <v>4952</v>
      </c>
      <c r="N111" s="9" t="s">
        <v>1544</v>
      </c>
      <c r="O111" s="9"/>
      <c r="P111" s="9" t="s">
        <v>1545</v>
      </c>
      <c r="Q111" s="9" t="s">
        <v>1546</v>
      </c>
      <c r="R111" s="9">
        <v>365</v>
      </c>
      <c r="S111" s="9" t="s">
        <v>1537</v>
      </c>
    </row>
    <row r="112" spans="1:19" x14ac:dyDescent="0.25">
      <c r="A112" s="9">
        <v>111</v>
      </c>
      <c r="B112" s="9" t="s">
        <v>1945</v>
      </c>
      <c r="C112" s="9" t="s">
        <v>1946</v>
      </c>
      <c r="D112" s="9" t="s">
        <v>1947</v>
      </c>
      <c r="E112" s="9" t="s">
        <v>250</v>
      </c>
      <c r="F112" s="9" t="s">
        <v>1948</v>
      </c>
      <c r="G112" s="9">
        <v>43.068139000000002</v>
      </c>
      <c r="H112" s="9">
        <v>-76.176861000000002</v>
      </c>
      <c r="I112" s="9" t="s">
        <v>1487</v>
      </c>
      <c r="J112" s="9">
        <v>110006700711</v>
      </c>
      <c r="K112" s="9" t="s">
        <v>72</v>
      </c>
      <c r="L112" s="9" t="s">
        <v>1949</v>
      </c>
      <c r="M112" s="9">
        <v>5311</v>
      </c>
      <c r="N112" s="9" t="s">
        <v>1950</v>
      </c>
      <c r="O112" s="9"/>
      <c r="P112" s="9" t="s">
        <v>1545</v>
      </c>
      <c r="Q112" s="9" t="s">
        <v>1546</v>
      </c>
      <c r="R112" s="9">
        <v>250</v>
      </c>
      <c r="S112" s="9" t="s">
        <v>1537</v>
      </c>
    </row>
    <row r="113" spans="1:19" x14ac:dyDescent="0.25">
      <c r="A113" s="9">
        <v>112</v>
      </c>
      <c r="B113" s="9" t="s">
        <v>1951</v>
      </c>
      <c r="C113" s="9" t="s">
        <v>1952</v>
      </c>
      <c r="D113" s="9" t="s">
        <v>538</v>
      </c>
      <c r="E113" s="9" t="s">
        <v>250</v>
      </c>
      <c r="F113" s="9">
        <v>13340</v>
      </c>
      <c r="G113" s="9">
        <v>43.072800000000001</v>
      </c>
      <c r="H113" s="9">
        <v>-75.130200000000002</v>
      </c>
      <c r="I113" s="9" t="s">
        <v>1487</v>
      </c>
      <c r="J113" s="9">
        <v>110001985745</v>
      </c>
      <c r="K113" s="9" t="s">
        <v>1703</v>
      </c>
      <c r="L113" s="9" t="s">
        <v>1953</v>
      </c>
      <c r="M113" s="9">
        <v>4953</v>
      </c>
      <c r="N113" s="9" t="s">
        <v>1954</v>
      </c>
      <c r="O113" s="9"/>
      <c r="P113" s="9" t="s">
        <v>1545</v>
      </c>
      <c r="Q113" s="9" t="s">
        <v>1546</v>
      </c>
      <c r="R113" s="9">
        <v>250</v>
      </c>
      <c r="S113" s="9" t="s">
        <v>1537</v>
      </c>
    </row>
    <row r="114" spans="1:19" x14ac:dyDescent="0.25">
      <c r="A114" s="9">
        <v>113</v>
      </c>
      <c r="B114" s="9" t="s">
        <v>1955</v>
      </c>
      <c r="C114" s="9" t="s">
        <v>1956</v>
      </c>
      <c r="D114" s="9" t="s">
        <v>1957</v>
      </c>
      <c r="E114" s="9" t="s">
        <v>452</v>
      </c>
      <c r="F114" s="9" t="s">
        <v>1958</v>
      </c>
      <c r="G114" s="9">
        <v>33.071649999999998</v>
      </c>
      <c r="H114" s="9">
        <v>-81.476479999999995</v>
      </c>
      <c r="I114" s="9" t="s">
        <v>1959</v>
      </c>
      <c r="J114" s="9">
        <v>110000604490</v>
      </c>
      <c r="K114" s="9" t="s">
        <v>1553</v>
      </c>
      <c r="L114" s="9" t="s">
        <v>1917</v>
      </c>
      <c r="M114" s="9">
        <v>2819</v>
      </c>
      <c r="N114" s="9" t="s">
        <v>1555</v>
      </c>
      <c r="O114" s="9"/>
      <c r="P114" s="9" t="s">
        <v>1545</v>
      </c>
      <c r="Q114" s="9" t="s">
        <v>1546</v>
      </c>
      <c r="R114" s="9">
        <v>350</v>
      </c>
      <c r="S114" s="9" t="s">
        <v>1537</v>
      </c>
    </row>
    <row r="115" spans="1:19" x14ac:dyDescent="0.25">
      <c r="A115" s="9">
        <v>114</v>
      </c>
      <c r="B115" s="9" t="s">
        <v>1960</v>
      </c>
      <c r="C115" s="9" t="s">
        <v>1961</v>
      </c>
      <c r="D115" s="9" t="s">
        <v>1962</v>
      </c>
      <c r="E115" s="9" t="s">
        <v>452</v>
      </c>
      <c r="F115" s="9">
        <v>29696</v>
      </c>
      <c r="G115" s="9">
        <v>34.776310000000002</v>
      </c>
      <c r="H115" s="9">
        <v>-83.043450000000007</v>
      </c>
      <c r="I115" s="9" t="s">
        <v>1487</v>
      </c>
      <c r="J115" s="9">
        <v>110056162218</v>
      </c>
      <c r="K115" s="9" t="s">
        <v>1703</v>
      </c>
      <c r="L115" s="9" t="s">
        <v>1963</v>
      </c>
      <c r="M115" s="9">
        <v>4959</v>
      </c>
      <c r="N115" s="9" t="s">
        <v>1964</v>
      </c>
      <c r="O115" s="9"/>
      <c r="P115" s="9" t="s">
        <v>1545</v>
      </c>
      <c r="Q115" s="9" t="s">
        <v>1546</v>
      </c>
      <c r="R115" s="9">
        <v>250</v>
      </c>
      <c r="S115" s="9" t="s">
        <v>1537</v>
      </c>
    </row>
    <row r="116" spans="1:19" x14ac:dyDescent="0.25">
      <c r="A116" s="9">
        <v>115</v>
      </c>
      <c r="B116" s="9" t="s">
        <v>1965</v>
      </c>
      <c r="C116" s="9" t="s">
        <v>1966</v>
      </c>
      <c r="D116" s="9" t="s">
        <v>1967</v>
      </c>
      <c r="E116" s="9" t="s">
        <v>114</v>
      </c>
      <c r="F116" s="9">
        <v>775224004</v>
      </c>
      <c r="G116" s="9">
        <v>29.739339999999999</v>
      </c>
      <c r="H116" s="9">
        <v>-95.022403999999995</v>
      </c>
      <c r="I116" s="9" t="s">
        <v>1968</v>
      </c>
      <c r="J116" s="9">
        <v>110000463178</v>
      </c>
      <c r="K116" s="9" t="s">
        <v>1553</v>
      </c>
      <c r="L116" s="9" t="s">
        <v>1917</v>
      </c>
      <c r="M116" s="9">
        <v>2869</v>
      </c>
      <c r="N116" s="9" t="s">
        <v>1577</v>
      </c>
      <c r="O116" s="9"/>
      <c r="P116" s="9" t="s">
        <v>1545</v>
      </c>
      <c r="Q116" s="9" t="s">
        <v>1546</v>
      </c>
      <c r="R116" s="9">
        <v>350</v>
      </c>
      <c r="S116" s="9" t="s">
        <v>1537</v>
      </c>
    </row>
    <row r="117" spans="1:19" x14ac:dyDescent="0.25">
      <c r="A117" s="9">
        <v>116</v>
      </c>
      <c r="B117" s="9" t="s">
        <v>1969</v>
      </c>
      <c r="C117" s="9" t="s">
        <v>1970</v>
      </c>
      <c r="D117" s="9" t="s">
        <v>1971</v>
      </c>
      <c r="E117" s="9" t="s">
        <v>114</v>
      </c>
      <c r="F117" s="9" t="s">
        <v>1972</v>
      </c>
      <c r="G117" s="9">
        <v>29.793299999999999</v>
      </c>
      <c r="H117" s="9">
        <v>-95.064959999999999</v>
      </c>
      <c r="I117" s="9" t="s">
        <v>1973</v>
      </c>
      <c r="J117" s="9">
        <v>110000463533</v>
      </c>
      <c r="K117" s="9" t="s">
        <v>72</v>
      </c>
      <c r="L117" s="9">
        <v>0</v>
      </c>
      <c r="M117" s="9">
        <v>3731</v>
      </c>
      <c r="N117" s="9" t="s">
        <v>1974</v>
      </c>
      <c r="O117" s="9"/>
      <c r="P117" s="9" t="s">
        <v>1545</v>
      </c>
      <c r="Q117" s="9" t="s">
        <v>1546</v>
      </c>
      <c r="R117" s="9">
        <v>250</v>
      </c>
      <c r="S117" s="9" t="s">
        <v>1537</v>
      </c>
    </row>
    <row r="118" spans="1:19" x14ac:dyDescent="0.25">
      <c r="A118" s="9">
        <v>117</v>
      </c>
      <c r="B118" s="9" t="s">
        <v>1975</v>
      </c>
      <c r="C118" s="9" t="s">
        <v>1976</v>
      </c>
      <c r="D118" s="9" t="s">
        <v>1977</v>
      </c>
      <c r="E118" s="9" t="s">
        <v>1485</v>
      </c>
      <c r="F118" s="9" t="s">
        <v>1978</v>
      </c>
      <c r="G118" s="9">
        <v>41.217039999999997</v>
      </c>
      <c r="H118" s="9">
        <v>-112.00649</v>
      </c>
      <c r="I118" s="9" t="s">
        <v>1487</v>
      </c>
      <c r="J118" s="9">
        <v>110001881740</v>
      </c>
      <c r="K118" s="9" t="s">
        <v>72</v>
      </c>
      <c r="L118" s="9" t="s">
        <v>1979</v>
      </c>
      <c r="M118" s="9">
        <v>2041</v>
      </c>
      <c r="N118" s="9" t="s">
        <v>1980</v>
      </c>
      <c r="O118" s="9"/>
      <c r="P118" s="9" t="s">
        <v>1545</v>
      </c>
      <c r="Q118" s="9" t="s">
        <v>1546</v>
      </c>
      <c r="R118" s="9">
        <v>250</v>
      </c>
      <c r="S118" s="9" t="s">
        <v>1537</v>
      </c>
    </row>
    <row r="119" spans="1:19" x14ac:dyDescent="0.25">
      <c r="A119" s="9">
        <v>118</v>
      </c>
      <c r="B119" s="9" t="s">
        <v>1981</v>
      </c>
      <c r="C119" s="9" t="s">
        <v>1982</v>
      </c>
      <c r="D119" s="9" t="s">
        <v>1983</v>
      </c>
      <c r="E119" s="9" t="s">
        <v>367</v>
      </c>
      <c r="F119" s="9" t="s">
        <v>1984</v>
      </c>
      <c r="G119" s="9">
        <v>32.334964999999997</v>
      </c>
      <c r="H119" s="9">
        <v>-111.06332500000001</v>
      </c>
      <c r="I119" s="9" t="s">
        <v>1487</v>
      </c>
      <c r="J119" s="9">
        <v>110039276404</v>
      </c>
      <c r="K119" s="9" t="s">
        <v>1542</v>
      </c>
      <c r="L119" s="9" t="s">
        <v>1860</v>
      </c>
      <c r="M119" s="9" t="s">
        <v>1487</v>
      </c>
      <c r="N119" s="9" t="s">
        <v>1861</v>
      </c>
      <c r="O119" s="9"/>
      <c r="P119" s="9" t="s">
        <v>1545</v>
      </c>
      <c r="Q119" s="9" t="s">
        <v>1546</v>
      </c>
      <c r="R119" s="9">
        <v>365</v>
      </c>
      <c r="S119" s="9" t="s">
        <v>1537</v>
      </c>
    </row>
    <row r="120" spans="1:19" x14ac:dyDescent="0.25">
      <c r="A120" s="9">
        <v>119</v>
      </c>
      <c r="B120" s="9" t="s">
        <v>1985</v>
      </c>
      <c r="C120" s="9" t="s">
        <v>1986</v>
      </c>
      <c r="D120" s="9" t="s">
        <v>1868</v>
      </c>
      <c r="E120" s="9" t="s">
        <v>367</v>
      </c>
      <c r="F120" s="9">
        <v>86004</v>
      </c>
      <c r="G120" s="9">
        <v>35.225619999999999</v>
      </c>
      <c r="H120" s="9">
        <v>-111.5582</v>
      </c>
      <c r="I120" s="9" t="s">
        <v>1487</v>
      </c>
      <c r="J120" s="9">
        <v>110043316612</v>
      </c>
      <c r="K120" s="9" t="s">
        <v>1542</v>
      </c>
      <c r="L120" s="9" t="s">
        <v>1860</v>
      </c>
      <c r="M120" s="9" t="s">
        <v>1487</v>
      </c>
      <c r="N120" s="9" t="s">
        <v>1861</v>
      </c>
      <c r="O120" s="9"/>
      <c r="P120" s="9" t="s">
        <v>1545</v>
      </c>
      <c r="Q120" s="9" t="s">
        <v>1546</v>
      </c>
      <c r="R120" s="9">
        <v>365</v>
      </c>
      <c r="S120" s="9" t="s">
        <v>1537</v>
      </c>
    </row>
    <row r="121" spans="1:19" x14ac:dyDescent="0.25">
      <c r="A121" s="9">
        <v>120</v>
      </c>
      <c r="B121" s="9" t="s">
        <v>1987</v>
      </c>
      <c r="C121" s="9" t="s">
        <v>1988</v>
      </c>
      <c r="D121" s="9" t="s">
        <v>1989</v>
      </c>
      <c r="E121" s="9" t="s">
        <v>367</v>
      </c>
      <c r="F121" s="9">
        <v>85009</v>
      </c>
      <c r="G121" s="9">
        <v>33.424239999999998</v>
      </c>
      <c r="H121" s="9">
        <v>-112.10626999999999</v>
      </c>
      <c r="I121" s="9" t="s">
        <v>1487</v>
      </c>
      <c r="J121" s="9">
        <v>110000509851</v>
      </c>
      <c r="K121" s="9" t="s">
        <v>1542</v>
      </c>
      <c r="L121" s="9" t="s">
        <v>1860</v>
      </c>
      <c r="M121" s="9" t="s">
        <v>1487</v>
      </c>
      <c r="N121" s="9" t="s">
        <v>1861</v>
      </c>
      <c r="O121" s="9"/>
      <c r="P121" s="9" t="s">
        <v>1545</v>
      </c>
      <c r="Q121" s="9" t="s">
        <v>1546</v>
      </c>
      <c r="R121" s="9">
        <v>365</v>
      </c>
      <c r="S121" s="9" t="s">
        <v>1537</v>
      </c>
    </row>
    <row r="122" spans="1:19" x14ac:dyDescent="0.25">
      <c r="A122" s="9">
        <v>121</v>
      </c>
      <c r="B122" s="9" t="s">
        <v>1990</v>
      </c>
      <c r="C122" s="9" t="s">
        <v>1991</v>
      </c>
      <c r="D122" s="9" t="s">
        <v>1989</v>
      </c>
      <c r="E122" s="9" t="s">
        <v>367</v>
      </c>
      <c r="F122" s="9" t="s">
        <v>1992</v>
      </c>
      <c r="G122" s="9">
        <v>33.448250000000002</v>
      </c>
      <c r="H122" s="9">
        <v>-112.07706</v>
      </c>
      <c r="I122" s="9" t="s">
        <v>1487</v>
      </c>
      <c r="J122" s="9">
        <v>110009066278</v>
      </c>
      <c r="K122" s="9" t="s">
        <v>1514</v>
      </c>
      <c r="L122" s="9" t="s">
        <v>1993</v>
      </c>
      <c r="M122" s="9" t="s">
        <v>1487</v>
      </c>
      <c r="N122" s="9" t="s">
        <v>1861</v>
      </c>
      <c r="O122" s="9"/>
      <c r="P122" s="9" t="s">
        <v>1545</v>
      </c>
      <c r="Q122" s="9" t="s">
        <v>1546</v>
      </c>
      <c r="R122" s="9">
        <v>365</v>
      </c>
      <c r="S122" s="9" t="s">
        <v>1537</v>
      </c>
    </row>
    <row r="123" spans="1:19" x14ac:dyDescent="0.25">
      <c r="A123" s="9">
        <v>122</v>
      </c>
      <c r="B123" s="9" t="s">
        <v>1994</v>
      </c>
      <c r="C123" s="9" t="s">
        <v>1995</v>
      </c>
      <c r="D123" s="9" t="s">
        <v>1996</v>
      </c>
      <c r="E123" s="9" t="s">
        <v>367</v>
      </c>
      <c r="F123" s="9" t="s">
        <v>1997</v>
      </c>
      <c r="G123" s="9">
        <v>34.729709999999997</v>
      </c>
      <c r="H123" s="9">
        <v>-112.04337599999999</v>
      </c>
      <c r="I123" s="9" t="s">
        <v>1487</v>
      </c>
      <c r="J123" s="9">
        <v>110055979455</v>
      </c>
      <c r="K123" s="9" t="s">
        <v>1542</v>
      </c>
      <c r="L123" s="9" t="s">
        <v>1860</v>
      </c>
      <c r="M123" s="9" t="s">
        <v>1487</v>
      </c>
      <c r="N123" s="9" t="s">
        <v>1861</v>
      </c>
      <c r="O123" s="9"/>
      <c r="P123" s="9" t="s">
        <v>1545</v>
      </c>
      <c r="Q123" s="9" t="s">
        <v>1546</v>
      </c>
      <c r="R123" s="9">
        <v>365</v>
      </c>
      <c r="S123" s="9" t="s">
        <v>1537</v>
      </c>
    </row>
    <row r="124" spans="1:19" x14ac:dyDescent="0.25">
      <c r="A124" s="9">
        <v>123</v>
      </c>
      <c r="B124" s="9" t="s">
        <v>1998</v>
      </c>
      <c r="C124" s="9" t="s">
        <v>1999</v>
      </c>
      <c r="D124" s="9" t="s">
        <v>2000</v>
      </c>
      <c r="E124" s="9" t="s">
        <v>367</v>
      </c>
      <c r="F124" s="9" t="s">
        <v>2001</v>
      </c>
      <c r="G124" s="9">
        <v>32.9011</v>
      </c>
      <c r="H124" s="9">
        <v>-111.78749999999999</v>
      </c>
      <c r="I124" s="9" t="s">
        <v>1487</v>
      </c>
      <c r="J124" s="9">
        <v>110022287210</v>
      </c>
      <c r="K124" s="9" t="s">
        <v>1542</v>
      </c>
      <c r="L124" s="9" t="s">
        <v>1860</v>
      </c>
      <c r="M124" s="9" t="s">
        <v>1487</v>
      </c>
      <c r="N124" s="9" t="s">
        <v>1861</v>
      </c>
      <c r="O124" s="9"/>
      <c r="P124" s="9" t="s">
        <v>1545</v>
      </c>
      <c r="Q124" s="9" t="s">
        <v>1546</v>
      </c>
      <c r="R124" s="9">
        <v>365</v>
      </c>
      <c r="S124" s="9" t="s">
        <v>1537</v>
      </c>
    </row>
    <row r="125" spans="1:19" x14ac:dyDescent="0.25">
      <c r="A125" s="9">
        <v>124</v>
      </c>
      <c r="B125" s="9" t="s">
        <v>2002</v>
      </c>
      <c r="C125" s="9" t="s">
        <v>2003</v>
      </c>
      <c r="D125" s="9" t="s">
        <v>2004</v>
      </c>
      <c r="E125" s="9" t="s">
        <v>367</v>
      </c>
      <c r="F125" s="9">
        <v>85296</v>
      </c>
      <c r="G125" s="9">
        <v>33.270409999999998</v>
      </c>
      <c r="H125" s="9">
        <v>-111.73791</v>
      </c>
      <c r="I125" s="9" t="s">
        <v>1487</v>
      </c>
      <c r="J125" s="9">
        <v>110022853429</v>
      </c>
      <c r="K125" s="9" t="s">
        <v>1542</v>
      </c>
      <c r="L125" s="9" t="s">
        <v>1860</v>
      </c>
      <c r="M125" s="9" t="s">
        <v>1487</v>
      </c>
      <c r="N125" s="9" t="s">
        <v>1861</v>
      </c>
      <c r="O125" s="9"/>
      <c r="P125" s="9" t="s">
        <v>1545</v>
      </c>
      <c r="Q125" s="9" t="s">
        <v>1546</v>
      </c>
      <c r="R125" s="9">
        <v>365</v>
      </c>
      <c r="S125" s="9" t="s">
        <v>1537</v>
      </c>
    </row>
    <row r="126" spans="1:19" x14ac:dyDescent="0.25">
      <c r="A126" s="9">
        <v>125</v>
      </c>
      <c r="B126" s="9" t="s">
        <v>2005</v>
      </c>
      <c r="C126" s="9" t="s">
        <v>2006</v>
      </c>
      <c r="D126" s="9" t="s">
        <v>1989</v>
      </c>
      <c r="E126" s="9" t="s">
        <v>367</v>
      </c>
      <c r="F126" s="9" t="s">
        <v>2007</v>
      </c>
      <c r="G126" s="9">
        <v>33.846469999999997</v>
      </c>
      <c r="H126" s="9">
        <v>-112.13712</v>
      </c>
      <c r="I126" s="9" t="s">
        <v>1487</v>
      </c>
      <c r="J126" s="9">
        <v>110015943559</v>
      </c>
      <c r="K126" s="9" t="s">
        <v>1542</v>
      </c>
      <c r="L126" s="9" t="s">
        <v>1882</v>
      </c>
      <c r="M126" s="9" t="s">
        <v>1487</v>
      </c>
      <c r="N126" s="9" t="s">
        <v>1861</v>
      </c>
      <c r="O126" s="9"/>
      <c r="P126" s="9" t="s">
        <v>1545</v>
      </c>
      <c r="Q126" s="9" t="s">
        <v>1546</v>
      </c>
      <c r="R126" s="9">
        <v>365</v>
      </c>
      <c r="S126" s="9" t="s">
        <v>1537</v>
      </c>
    </row>
    <row r="127" spans="1:19" x14ac:dyDescent="0.25">
      <c r="A127" s="9">
        <v>126</v>
      </c>
      <c r="B127" s="9" t="s">
        <v>2008</v>
      </c>
      <c r="C127" s="9" t="s">
        <v>2009</v>
      </c>
      <c r="D127" s="9" t="s">
        <v>2010</v>
      </c>
      <c r="E127" s="9" t="s">
        <v>367</v>
      </c>
      <c r="F127" s="9">
        <v>85603</v>
      </c>
      <c r="G127" s="9">
        <v>31.359059999999999</v>
      </c>
      <c r="H127" s="9">
        <v>-109.91528</v>
      </c>
      <c r="I127" s="9" t="s">
        <v>1487</v>
      </c>
      <c r="J127" s="9">
        <v>110039713067</v>
      </c>
      <c r="K127" s="9" t="s">
        <v>1542</v>
      </c>
      <c r="L127" s="9" t="s">
        <v>1882</v>
      </c>
      <c r="M127" s="9" t="s">
        <v>1487</v>
      </c>
      <c r="N127" s="9" t="s">
        <v>1861</v>
      </c>
      <c r="O127" s="9"/>
      <c r="P127" s="9" t="s">
        <v>1545</v>
      </c>
      <c r="Q127" s="9" t="s">
        <v>1546</v>
      </c>
      <c r="R127" s="9">
        <v>365</v>
      </c>
      <c r="S127" s="9" t="s">
        <v>1537</v>
      </c>
    </row>
    <row r="128" spans="1:19" x14ac:dyDescent="0.25">
      <c r="A128" s="9">
        <v>127</v>
      </c>
      <c r="B128" s="9" t="s">
        <v>2011</v>
      </c>
      <c r="C128" s="9" t="s">
        <v>2012</v>
      </c>
      <c r="D128" s="9" t="s">
        <v>2013</v>
      </c>
      <c r="E128" s="9" t="s">
        <v>367</v>
      </c>
      <c r="F128" s="9">
        <v>85350</v>
      </c>
      <c r="G128" s="9">
        <v>32.589804000000001</v>
      </c>
      <c r="H128" s="9">
        <v>-114.726901</v>
      </c>
      <c r="I128" s="9" t="s">
        <v>1487</v>
      </c>
      <c r="J128" s="9">
        <v>110006785229</v>
      </c>
      <c r="K128" s="9" t="s">
        <v>1542</v>
      </c>
      <c r="L128" s="9" t="s">
        <v>2014</v>
      </c>
      <c r="M128" s="9" t="s">
        <v>1487</v>
      </c>
      <c r="N128" s="9" t="s">
        <v>1861</v>
      </c>
      <c r="O128" s="9"/>
      <c r="P128" s="9" t="s">
        <v>1545</v>
      </c>
      <c r="Q128" s="9" t="s">
        <v>1546</v>
      </c>
      <c r="R128" s="9">
        <v>365</v>
      </c>
      <c r="S128" s="9" t="s">
        <v>1537</v>
      </c>
    </row>
    <row r="129" spans="1:19" x14ac:dyDescent="0.25">
      <c r="A129" s="9">
        <v>128</v>
      </c>
      <c r="B129" s="9" t="s">
        <v>2015</v>
      </c>
      <c r="C129" s="9" t="s">
        <v>2016</v>
      </c>
      <c r="D129" s="9" t="s">
        <v>916</v>
      </c>
      <c r="E129" s="9" t="s">
        <v>146</v>
      </c>
      <c r="F129" s="9" t="s">
        <v>2017</v>
      </c>
      <c r="G129" s="9">
        <v>34.418880000000001</v>
      </c>
      <c r="H129" s="9">
        <v>-119.68471</v>
      </c>
      <c r="I129" s="9" t="s">
        <v>1487</v>
      </c>
      <c r="J129" s="9">
        <v>110000730638</v>
      </c>
      <c r="K129" s="9" t="s">
        <v>1542</v>
      </c>
      <c r="L129" s="9" t="s">
        <v>1860</v>
      </c>
      <c r="M129" s="9">
        <v>4952</v>
      </c>
      <c r="N129" s="9" t="s">
        <v>1544</v>
      </c>
      <c r="O129" s="9"/>
      <c r="P129" s="9" t="s">
        <v>1545</v>
      </c>
      <c r="Q129" s="9" t="s">
        <v>1546</v>
      </c>
      <c r="R129" s="9">
        <v>365</v>
      </c>
      <c r="S129" s="9" t="s">
        <v>1537</v>
      </c>
    </row>
    <row r="130" spans="1:19" x14ac:dyDescent="0.25">
      <c r="A130" s="9">
        <v>129</v>
      </c>
      <c r="B130" s="9" t="s">
        <v>2018</v>
      </c>
      <c r="C130" s="9" t="s">
        <v>2019</v>
      </c>
      <c r="D130" s="9" t="s">
        <v>2020</v>
      </c>
      <c r="E130" s="9" t="s">
        <v>146</v>
      </c>
      <c r="F130" s="9" t="s">
        <v>2021</v>
      </c>
      <c r="G130" s="9">
        <v>36.889969999999998</v>
      </c>
      <c r="H130" s="9">
        <v>-121.78815</v>
      </c>
      <c r="I130" s="9" t="s">
        <v>1487</v>
      </c>
      <c r="J130" s="9">
        <v>110013819706</v>
      </c>
      <c r="K130" s="9" t="s">
        <v>1542</v>
      </c>
      <c r="L130" s="9" t="s">
        <v>1860</v>
      </c>
      <c r="M130" s="9">
        <v>4952</v>
      </c>
      <c r="N130" s="9" t="s">
        <v>1544</v>
      </c>
      <c r="O130" s="9"/>
      <c r="P130" s="9" t="s">
        <v>1545</v>
      </c>
      <c r="Q130" s="9" t="s">
        <v>1546</v>
      </c>
      <c r="R130" s="9">
        <v>365</v>
      </c>
      <c r="S130" s="9" t="s">
        <v>1537</v>
      </c>
    </row>
    <row r="131" spans="1:19" x14ac:dyDescent="0.25">
      <c r="A131" s="9">
        <v>130</v>
      </c>
      <c r="B131" s="9" t="s">
        <v>2022</v>
      </c>
      <c r="C131" s="9" t="s">
        <v>2023</v>
      </c>
      <c r="D131" s="9" t="s">
        <v>2024</v>
      </c>
      <c r="E131" s="9" t="s">
        <v>146</v>
      </c>
      <c r="F131" s="9">
        <v>95762</v>
      </c>
      <c r="G131" s="9">
        <v>38.63597</v>
      </c>
      <c r="H131" s="9">
        <v>-121.06135999999999</v>
      </c>
      <c r="I131" s="9" t="s">
        <v>1487</v>
      </c>
      <c r="J131" s="9">
        <v>110001103939</v>
      </c>
      <c r="K131" s="9" t="s">
        <v>1542</v>
      </c>
      <c r="L131" s="9" t="s">
        <v>1860</v>
      </c>
      <c r="M131" s="9">
        <v>4952</v>
      </c>
      <c r="N131" s="9" t="s">
        <v>1544</v>
      </c>
      <c r="O131" s="9"/>
      <c r="P131" s="9" t="s">
        <v>1545</v>
      </c>
      <c r="Q131" s="9" t="s">
        <v>1546</v>
      </c>
      <c r="R131" s="9">
        <v>365</v>
      </c>
      <c r="S131" s="9" t="s">
        <v>1537</v>
      </c>
    </row>
    <row r="132" spans="1:19" x14ac:dyDescent="0.25">
      <c r="A132" s="9">
        <v>131</v>
      </c>
      <c r="B132" s="9" t="s">
        <v>2025</v>
      </c>
      <c r="C132" s="9" t="s">
        <v>2026</v>
      </c>
      <c r="D132" s="9" t="s">
        <v>2027</v>
      </c>
      <c r="E132" s="9" t="s">
        <v>146</v>
      </c>
      <c r="F132" s="9">
        <v>95391</v>
      </c>
      <c r="G132" s="9">
        <v>37.780340000000002</v>
      </c>
      <c r="H132" s="9">
        <v>-121.51779000000001</v>
      </c>
      <c r="I132" s="9" t="s">
        <v>1487</v>
      </c>
      <c r="J132" s="9">
        <v>110010058034</v>
      </c>
      <c r="K132" s="9" t="s">
        <v>1542</v>
      </c>
      <c r="L132" s="9" t="s">
        <v>1860</v>
      </c>
      <c r="M132" s="9">
        <v>4952</v>
      </c>
      <c r="N132" s="9" t="s">
        <v>1544</v>
      </c>
      <c r="O132" s="9"/>
      <c r="P132" s="9" t="s">
        <v>1545</v>
      </c>
      <c r="Q132" s="9" t="s">
        <v>1546</v>
      </c>
      <c r="R132" s="9">
        <v>365</v>
      </c>
      <c r="S132" s="9" t="s">
        <v>1537</v>
      </c>
    </row>
    <row r="133" spans="1:19" x14ac:dyDescent="0.25">
      <c r="A133" s="9">
        <v>132</v>
      </c>
      <c r="B133" s="9" t="s">
        <v>479</v>
      </c>
      <c r="C133" s="9" t="s">
        <v>2028</v>
      </c>
      <c r="D133" s="9" t="s">
        <v>480</v>
      </c>
      <c r="E133" s="9" t="s">
        <v>146</v>
      </c>
      <c r="F133" s="9">
        <v>92233</v>
      </c>
      <c r="G133" s="9">
        <v>33.147531999999998</v>
      </c>
      <c r="H133" s="9">
        <v>-115.54533000000001</v>
      </c>
      <c r="I133" s="9" t="s">
        <v>1487</v>
      </c>
      <c r="J133" s="9">
        <v>110002043217</v>
      </c>
      <c r="K133" s="9" t="s">
        <v>1542</v>
      </c>
      <c r="L133" s="9" t="s">
        <v>1860</v>
      </c>
      <c r="M133" s="9">
        <v>4952</v>
      </c>
      <c r="N133" s="9" t="s">
        <v>1544</v>
      </c>
      <c r="O133" s="9"/>
      <c r="P133" s="9" t="s">
        <v>1545</v>
      </c>
      <c r="Q133" s="9" t="s">
        <v>1546</v>
      </c>
      <c r="R133" s="9">
        <v>365</v>
      </c>
      <c r="S133" s="9" t="s">
        <v>1537</v>
      </c>
    </row>
    <row r="134" spans="1:19" x14ac:dyDescent="0.25">
      <c r="A134" s="9">
        <v>133</v>
      </c>
      <c r="B134" s="9" t="s">
        <v>2029</v>
      </c>
      <c r="C134" s="9" t="s">
        <v>2030</v>
      </c>
      <c r="D134" s="9" t="s">
        <v>2031</v>
      </c>
      <c r="E134" s="9" t="s">
        <v>1505</v>
      </c>
      <c r="F134" s="9" t="s">
        <v>2032</v>
      </c>
      <c r="G134" s="9">
        <v>41.2836</v>
      </c>
      <c r="H134" s="9">
        <v>-72.662710000000004</v>
      </c>
      <c r="I134" s="9" t="s">
        <v>2033</v>
      </c>
      <c r="J134" s="9">
        <v>110000316186</v>
      </c>
      <c r="K134" s="9" t="s">
        <v>72</v>
      </c>
      <c r="L134" s="9">
        <v>0</v>
      </c>
      <c r="M134" s="9">
        <v>3351</v>
      </c>
      <c r="N134" s="9" t="s">
        <v>2034</v>
      </c>
      <c r="O134" s="9"/>
      <c r="P134" s="9" t="s">
        <v>1545</v>
      </c>
      <c r="Q134" s="9" t="s">
        <v>1546</v>
      </c>
      <c r="R134" s="9">
        <v>250</v>
      </c>
      <c r="S134" s="9" t="s">
        <v>1537</v>
      </c>
    </row>
    <row r="135" spans="1:19" x14ac:dyDescent="0.25">
      <c r="A135" s="9">
        <v>134</v>
      </c>
      <c r="B135" s="9" t="s">
        <v>342</v>
      </c>
      <c r="C135" s="9" t="s">
        <v>2035</v>
      </c>
      <c r="D135" s="9" t="s">
        <v>343</v>
      </c>
      <c r="E135" s="9" t="s">
        <v>344</v>
      </c>
      <c r="F135" s="9">
        <v>19706</v>
      </c>
      <c r="G135" s="9">
        <v>39.585099999999997</v>
      </c>
      <c r="H135" s="9">
        <v>-75.649199999999993</v>
      </c>
      <c r="I135" s="9" t="s">
        <v>1487</v>
      </c>
      <c r="J135" s="9">
        <v>110000338536</v>
      </c>
      <c r="K135" s="9" t="s">
        <v>1553</v>
      </c>
      <c r="L135" s="9" t="s">
        <v>1913</v>
      </c>
      <c r="M135" s="9">
        <v>2821</v>
      </c>
      <c r="N135" s="9" t="s">
        <v>1560</v>
      </c>
      <c r="O135" s="9"/>
      <c r="P135" s="9" t="s">
        <v>1545</v>
      </c>
      <c r="Q135" s="9" t="s">
        <v>1546</v>
      </c>
      <c r="R135" s="9">
        <v>350</v>
      </c>
      <c r="S135" s="9" t="s">
        <v>1537</v>
      </c>
    </row>
    <row r="136" spans="1:19" x14ac:dyDescent="0.25">
      <c r="A136" s="9">
        <v>135</v>
      </c>
      <c r="B136" s="9" t="s">
        <v>2036</v>
      </c>
      <c r="C136" s="9" t="s">
        <v>2037</v>
      </c>
      <c r="D136" s="9" t="s">
        <v>2038</v>
      </c>
      <c r="E136" s="9" t="s">
        <v>292</v>
      </c>
      <c r="F136" s="9">
        <v>46135</v>
      </c>
      <c r="G136" s="9">
        <v>39.648139</v>
      </c>
      <c r="H136" s="9">
        <v>-86.818139000000002</v>
      </c>
      <c r="I136" s="9" t="s">
        <v>1487</v>
      </c>
      <c r="J136" s="9">
        <v>110006679834</v>
      </c>
      <c r="K136" s="9" t="s">
        <v>72</v>
      </c>
      <c r="L136" s="9">
        <v>0</v>
      </c>
      <c r="M136" s="9">
        <v>2675</v>
      </c>
      <c r="N136" s="9" t="s">
        <v>2039</v>
      </c>
      <c r="O136" s="9"/>
      <c r="P136" s="9" t="s">
        <v>1545</v>
      </c>
      <c r="Q136" s="9" t="s">
        <v>1546</v>
      </c>
      <c r="R136" s="9">
        <v>250</v>
      </c>
      <c r="S136" s="9" t="s">
        <v>1537</v>
      </c>
    </row>
    <row r="137" spans="1:19" x14ac:dyDescent="0.25">
      <c r="A137" s="9">
        <v>136</v>
      </c>
      <c r="B137" s="9" t="s">
        <v>261</v>
      </c>
      <c r="C137" s="9" t="s">
        <v>2040</v>
      </c>
      <c r="D137" s="9" t="s">
        <v>262</v>
      </c>
      <c r="E137" s="9" t="s">
        <v>138</v>
      </c>
      <c r="F137" s="9">
        <v>41056</v>
      </c>
      <c r="G137" s="9">
        <v>38.687221999999998</v>
      </c>
      <c r="H137" s="9">
        <v>-83.786666999999994</v>
      </c>
      <c r="I137" s="9" t="s">
        <v>1487</v>
      </c>
      <c r="J137" s="9">
        <v>110000761104</v>
      </c>
      <c r="K137" s="9" t="s">
        <v>1542</v>
      </c>
      <c r="L137" s="9" t="s">
        <v>1860</v>
      </c>
      <c r="M137" s="9">
        <v>4952</v>
      </c>
      <c r="N137" s="9" t="s">
        <v>1544</v>
      </c>
      <c r="O137" s="9"/>
      <c r="P137" s="9" t="s">
        <v>1545</v>
      </c>
      <c r="Q137" s="9" t="s">
        <v>1546</v>
      </c>
      <c r="R137" s="9">
        <v>365</v>
      </c>
      <c r="S137" s="9" t="s">
        <v>1537</v>
      </c>
    </row>
    <row r="138" spans="1:19" x14ac:dyDescent="0.25">
      <c r="A138" s="9">
        <v>137</v>
      </c>
      <c r="B138" s="9" t="s">
        <v>370</v>
      </c>
      <c r="C138" s="9" t="s">
        <v>2041</v>
      </c>
      <c r="D138" s="9" t="s">
        <v>175</v>
      </c>
      <c r="E138" s="9" t="s">
        <v>106</v>
      </c>
      <c r="F138" s="9">
        <v>70669</v>
      </c>
      <c r="G138" s="9">
        <v>30.318283999999998</v>
      </c>
      <c r="H138" s="9">
        <v>-93.300456999999994</v>
      </c>
      <c r="I138" s="9" t="s">
        <v>1487</v>
      </c>
      <c r="J138" s="9">
        <v>110000613685</v>
      </c>
      <c r="K138" s="9" t="s">
        <v>1703</v>
      </c>
      <c r="L138" s="9" t="s">
        <v>2042</v>
      </c>
      <c r="M138" s="9">
        <v>4953</v>
      </c>
      <c r="N138" s="9" t="s">
        <v>1954</v>
      </c>
      <c r="O138" s="9"/>
      <c r="P138" s="9" t="s">
        <v>1545</v>
      </c>
      <c r="Q138" s="9" t="s">
        <v>1546</v>
      </c>
      <c r="R138" s="9">
        <v>250</v>
      </c>
      <c r="S138" s="9" t="s">
        <v>1537</v>
      </c>
    </row>
    <row r="139" spans="1:19" x14ac:dyDescent="0.25">
      <c r="A139" s="9">
        <v>138</v>
      </c>
      <c r="B139" s="9" t="s">
        <v>2043</v>
      </c>
      <c r="C139" s="9" t="s">
        <v>2044</v>
      </c>
      <c r="D139" s="9" t="s">
        <v>2045</v>
      </c>
      <c r="E139" s="9" t="s">
        <v>118</v>
      </c>
      <c r="F139" s="9">
        <v>49424</v>
      </c>
      <c r="G139" s="9">
        <v>42.813049999999997</v>
      </c>
      <c r="H139" s="9">
        <v>-86.197429999999997</v>
      </c>
      <c r="I139" s="9" t="s">
        <v>1487</v>
      </c>
      <c r="J139" s="9">
        <v>110006740161</v>
      </c>
      <c r="K139" s="9" t="s">
        <v>1703</v>
      </c>
      <c r="L139" s="9" t="s">
        <v>2046</v>
      </c>
      <c r="M139" s="9">
        <v>4953</v>
      </c>
      <c r="N139" s="9" t="s">
        <v>1954</v>
      </c>
      <c r="O139" s="9"/>
      <c r="P139" s="9" t="s">
        <v>1545</v>
      </c>
      <c r="Q139" s="9" t="s">
        <v>1546</v>
      </c>
      <c r="R139" s="9">
        <v>250</v>
      </c>
      <c r="S139" s="9" t="s">
        <v>1537</v>
      </c>
    </row>
    <row r="140" spans="1:19" x14ac:dyDescent="0.25">
      <c r="A140" s="9">
        <v>139</v>
      </c>
      <c r="B140" s="9" t="s">
        <v>2047</v>
      </c>
      <c r="C140" s="9" t="s">
        <v>2048</v>
      </c>
      <c r="D140" s="9" t="s">
        <v>2049</v>
      </c>
      <c r="E140" s="9" t="s">
        <v>118</v>
      </c>
      <c r="F140" s="9">
        <v>49022</v>
      </c>
      <c r="G140" s="9">
        <v>42.076250000000002</v>
      </c>
      <c r="H140" s="9">
        <v>-86.43656</v>
      </c>
      <c r="I140" s="9" t="s">
        <v>2050</v>
      </c>
      <c r="J140" s="9">
        <v>110000593206</v>
      </c>
      <c r="K140" s="9" t="s">
        <v>72</v>
      </c>
      <c r="L140" s="9">
        <v>0</v>
      </c>
      <c r="M140" s="9">
        <v>3561</v>
      </c>
      <c r="N140" s="9" t="s">
        <v>2051</v>
      </c>
      <c r="O140" s="9"/>
      <c r="P140" s="9" t="s">
        <v>1545</v>
      </c>
      <c r="Q140" s="9" t="s">
        <v>1546</v>
      </c>
      <c r="R140" s="9">
        <v>250</v>
      </c>
      <c r="S140" s="9" t="s">
        <v>1537</v>
      </c>
    </row>
    <row r="141" spans="1:19" x14ac:dyDescent="0.25">
      <c r="A141" s="9">
        <v>140</v>
      </c>
      <c r="B141" s="9" t="s">
        <v>2052</v>
      </c>
      <c r="C141" s="9" t="s">
        <v>2053</v>
      </c>
      <c r="D141" s="9" t="s">
        <v>2054</v>
      </c>
      <c r="E141" s="9" t="s">
        <v>118</v>
      </c>
      <c r="F141" s="9">
        <v>48381</v>
      </c>
      <c r="G141" s="9">
        <v>42.591610000000003</v>
      </c>
      <c r="H141" s="9">
        <v>-83.602609999999999</v>
      </c>
      <c r="I141" s="9" t="s">
        <v>1487</v>
      </c>
      <c r="J141" s="9">
        <v>110003597395</v>
      </c>
      <c r="K141" s="9" t="s">
        <v>1514</v>
      </c>
      <c r="L141" s="9" t="s">
        <v>2055</v>
      </c>
      <c r="M141" s="9" t="s">
        <v>1487</v>
      </c>
      <c r="N141" s="9" t="s">
        <v>1861</v>
      </c>
      <c r="O141" s="9"/>
      <c r="P141" s="9" t="s">
        <v>1545</v>
      </c>
      <c r="Q141" s="9" t="s">
        <v>1546</v>
      </c>
      <c r="R141" s="9">
        <v>365</v>
      </c>
      <c r="S141" s="9" t="s">
        <v>1537</v>
      </c>
    </row>
    <row r="142" spans="1:19" x14ac:dyDescent="0.25">
      <c r="A142" s="9">
        <v>141</v>
      </c>
      <c r="B142" s="9" t="s">
        <v>340</v>
      </c>
      <c r="C142" s="9" t="s">
        <v>2056</v>
      </c>
      <c r="D142" s="9" t="s">
        <v>341</v>
      </c>
      <c r="E142" s="9" t="s">
        <v>170</v>
      </c>
      <c r="F142" s="9">
        <v>63353</v>
      </c>
      <c r="G142" s="9">
        <v>39.423425000000002</v>
      </c>
      <c r="H142" s="9">
        <v>-91.025666000000001</v>
      </c>
      <c r="I142" s="9" t="s">
        <v>1487</v>
      </c>
      <c r="J142" s="9">
        <v>110054612558</v>
      </c>
      <c r="K142" s="9" t="s">
        <v>1553</v>
      </c>
      <c r="L142" s="9" t="s">
        <v>2057</v>
      </c>
      <c r="M142" s="9">
        <v>2869</v>
      </c>
      <c r="N142" s="9" t="s">
        <v>1577</v>
      </c>
      <c r="O142" s="9"/>
      <c r="P142" s="9" t="s">
        <v>1545</v>
      </c>
      <c r="Q142" s="9" t="s">
        <v>1546</v>
      </c>
      <c r="R142" s="9">
        <v>350</v>
      </c>
      <c r="S142" s="9" t="s">
        <v>1537</v>
      </c>
    </row>
    <row r="143" spans="1:19" x14ac:dyDescent="0.25">
      <c r="A143" s="9">
        <v>142</v>
      </c>
      <c r="B143" s="9" t="s">
        <v>2058</v>
      </c>
      <c r="C143" s="9" t="s">
        <v>2059</v>
      </c>
      <c r="D143" s="9" t="s">
        <v>2060</v>
      </c>
      <c r="E143" s="9" t="s">
        <v>153</v>
      </c>
      <c r="F143" s="9">
        <v>8903</v>
      </c>
      <c r="G143" s="9">
        <v>40.471558999999999</v>
      </c>
      <c r="H143" s="9">
        <v>-74.446973</v>
      </c>
      <c r="I143" s="9" t="s">
        <v>1487</v>
      </c>
      <c r="J143" s="9">
        <v>110070220269</v>
      </c>
      <c r="K143" s="9" t="s">
        <v>72</v>
      </c>
      <c r="L143" s="9">
        <v>0</v>
      </c>
      <c r="M143" s="9">
        <v>3053</v>
      </c>
      <c r="N143" s="9" t="s">
        <v>2061</v>
      </c>
      <c r="O143" s="9"/>
      <c r="P143" s="9" t="s">
        <v>1545</v>
      </c>
      <c r="Q143" s="9" t="s">
        <v>1546</v>
      </c>
      <c r="R143" s="9">
        <v>250</v>
      </c>
      <c r="S143" s="9" t="s">
        <v>1537</v>
      </c>
    </row>
    <row r="144" spans="1:19" x14ac:dyDescent="0.25">
      <c r="A144" s="9">
        <v>143</v>
      </c>
      <c r="B144" s="9" t="s">
        <v>2062</v>
      </c>
      <c r="C144" s="9" t="s">
        <v>2063</v>
      </c>
      <c r="D144" s="9" t="s">
        <v>2064</v>
      </c>
      <c r="E144" s="9" t="s">
        <v>367</v>
      </c>
      <c r="F144" s="9">
        <v>86503</v>
      </c>
      <c r="G144" s="9">
        <v>36.179194000000003</v>
      </c>
      <c r="H144" s="9">
        <v>-109.58580600000001</v>
      </c>
      <c r="I144" s="9" t="s">
        <v>1487</v>
      </c>
      <c r="J144" s="9">
        <v>110010062680</v>
      </c>
      <c r="K144" s="9" t="s">
        <v>1542</v>
      </c>
      <c r="L144" s="9" t="s">
        <v>1860</v>
      </c>
      <c r="M144" s="9">
        <v>4952</v>
      </c>
      <c r="N144" s="9" t="s">
        <v>1544</v>
      </c>
      <c r="O144" s="9"/>
      <c r="P144" s="9" t="s">
        <v>1545</v>
      </c>
      <c r="Q144" s="9" t="s">
        <v>1546</v>
      </c>
      <c r="R144" s="9">
        <v>365</v>
      </c>
      <c r="S144" s="9" t="s">
        <v>1537</v>
      </c>
    </row>
    <row r="145" spans="1:19" x14ac:dyDescent="0.25">
      <c r="A145" s="9">
        <v>144</v>
      </c>
      <c r="B145" s="9" t="s">
        <v>2065</v>
      </c>
      <c r="C145" s="9" t="s">
        <v>2066</v>
      </c>
      <c r="D145" s="9" t="s">
        <v>2067</v>
      </c>
      <c r="E145" s="9" t="s">
        <v>485</v>
      </c>
      <c r="F145" s="9">
        <v>87328</v>
      </c>
      <c r="G145" s="9">
        <v>35.901389000000002</v>
      </c>
      <c r="H145" s="9">
        <v>-109.044167</v>
      </c>
      <c r="I145" s="9" t="s">
        <v>1487</v>
      </c>
      <c r="J145" s="9">
        <v>110022284240</v>
      </c>
      <c r="K145" s="9" t="s">
        <v>1542</v>
      </c>
      <c r="L145" s="9" t="s">
        <v>1860</v>
      </c>
      <c r="M145" s="9">
        <v>4952</v>
      </c>
      <c r="N145" s="9" t="s">
        <v>1544</v>
      </c>
      <c r="O145" s="9"/>
      <c r="P145" s="9" t="s">
        <v>1545</v>
      </c>
      <c r="Q145" s="9" t="s">
        <v>1546</v>
      </c>
      <c r="R145" s="9">
        <v>365</v>
      </c>
      <c r="S145" s="9" t="s">
        <v>1537</v>
      </c>
    </row>
    <row r="146" spans="1:19" x14ac:dyDescent="0.25">
      <c r="A146" s="9">
        <v>145</v>
      </c>
      <c r="B146" s="9" t="s">
        <v>301</v>
      </c>
      <c r="C146" s="9" t="s">
        <v>2068</v>
      </c>
      <c r="D146" s="9" t="s">
        <v>157</v>
      </c>
      <c r="E146" s="9" t="s">
        <v>158</v>
      </c>
      <c r="F146" s="9">
        <v>89101</v>
      </c>
      <c r="G146" s="9">
        <v>36.176639999999999</v>
      </c>
      <c r="H146" s="9">
        <v>-115.12891999999999</v>
      </c>
      <c r="I146" s="9" t="s">
        <v>1487</v>
      </c>
      <c r="J146" s="9">
        <v>110008995490</v>
      </c>
      <c r="K146" s="9" t="s">
        <v>72</v>
      </c>
      <c r="L146" s="9" t="s">
        <v>2069</v>
      </c>
      <c r="M146" s="9">
        <v>6513</v>
      </c>
      <c r="N146" s="9" t="s">
        <v>2070</v>
      </c>
      <c r="O146" s="9"/>
      <c r="P146" s="9" t="s">
        <v>1545</v>
      </c>
      <c r="Q146" s="9" t="s">
        <v>1546</v>
      </c>
      <c r="R146" s="9">
        <v>250</v>
      </c>
      <c r="S146" s="9" t="s">
        <v>1537</v>
      </c>
    </row>
    <row r="147" spans="1:19" x14ac:dyDescent="0.25">
      <c r="A147" s="9">
        <v>146</v>
      </c>
      <c r="B147" s="9" t="s">
        <v>2071</v>
      </c>
      <c r="C147" s="9" t="s">
        <v>2072</v>
      </c>
      <c r="D147" s="9" t="s">
        <v>157</v>
      </c>
      <c r="E147" s="9" t="s">
        <v>158</v>
      </c>
      <c r="F147" s="9">
        <v>89155</v>
      </c>
      <c r="G147" s="9">
        <v>36.166969999999999</v>
      </c>
      <c r="H147" s="9">
        <v>-115.14576</v>
      </c>
      <c r="I147" s="9" t="s">
        <v>1487</v>
      </c>
      <c r="J147" s="9">
        <v>110009001828</v>
      </c>
      <c r="K147" s="9" t="s">
        <v>72</v>
      </c>
      <c r="L147" s="9" t="s">
        <v>2073</v>
      </c>
      <c r="M147" s="9">
        <v>9211</v>
      </c>
      <c r="N147" s="9" t="s">
        <v>2074</v>
      </c>
      <c r="O147" s="9"/>
      <c r="P147" s="9" t="s">
        <v>1545</v>
      </c>
      <c r="Q147" s="9" t="s">
        <v>1546</v>
      </c>
      <c r="R147" s="9">
        <v>250</v>
      </c>
      <c r="S147" s="9" t="s">
        <v>1537</v>
      </c>
    </row>
    <row r="148" spans="1:19" x14ac:dyDescent="0.25">
      <c r="A148" s="9">
        <v>147</v>
      </c>
      <c r="B148" s="9" t="s">
        <v>233</v>
      </c>
      <c r="C148" s="9" t="s">
        <v>2075</v>
      </c>
      <c r="D148" s="9" t="s">
        <v>157</v>
      </c>
      <c r="E148" s="9" t="s">
        <v>158</v>
      </c>
      <c r="F148" s="9">
        <v>89119</v>
      </c>
      <c r="G148" s="9">
        <v>36.075400000000002</v>
      </c>
      <c r="H148" s="9">
        <v>-115.1669</v>
      </c>
      <c r="I148" s="9" t="s">
        <v>1487</v>
      </c>
      <c r="J148" s="9">
        <v>110064134459</v>
      </c>
      <c r="K148" s="9" t="s">
        <v>1630</v>
      </c>
      <c r="L148" s="9" t="s">
        <v>2076</v>
      </c>
      <c r="M148" s="9">
        <v>4581</v>
      </c>
      <c r="N148" s="9" t="s">
        <v>2077</v>
      </c>
      <c r="O148" s="9"/>
      <c r="P148" s="9" t="s">
        <v>1545</v>
      </c>
      <c r="Q148" s="9" t="s">
        <v>1546</v>
      </c>
      <c r="R148" s="9">
        <v>0</v>
      </c>
      <c r="S148" s="9" t="s">
        <v>1537</v>
      </c>
    </row>
    <row r="149" spans="1:19" x14ac:dyDescent="0.25">
      <c r="A149" s="9">
        <v>148</v>
      </c>
      <c r="B149" s="9" t="s">
        <v>431</v>
      </c>
      <c r="C149" s="9" t="s">
        <v>2078</v>
      </c>
      <c r="D149" s="9" t="s">
        <v>157</v>
      </c>
      <c r="E149" s="9" t="s">
        <v>158</v>
      </c>
      <c r="F149" s="9">
        <v>89106</v>
      </c>
      <c r="G149" s="9">
        <v>36.19997</v>
      </c>
      <c r="H149" s="9">
        <v>-115.19658</v>
      </c>
      <c r="I149" s="9" t="s">
        <v>1487</v>
      </c>
      <c r="J149" s="9">
        <v>110064418553</v>
      </c>
      <c r="K149" s="9" t="s">
        <v>72</v>
      </c>
      <c r="L149" s="9">
        <v>0</v>
      </c>
      <c r="M149" s="9">
        <v>5541</v>
      </c>
      <c r="N149" s="9" t="s">
        <v>2079</v>
      </c>
      <c r="O149" s="9"/>
      <c r="P149" s="9" t="s">
        <v>1545</v>
      </c>
      <c r="Q149" s="9" t="s">
        <v>1546</v>
      </c>
      <c r="R149" s="9">
        <v>250</v>
      </c>
      <c r="S149" s="9" t="s">
        <v>1537</v>
      </c>
    </row>
    <row r="150" spans="1:19" x14ac:dyDescent="0.25">
      <c r="A150" s="9">
        <v>149</v>
      </c>
      <c r="B150" s="9" t="s">
        <v>2080</v>
      </c>
      <c r="C150" s="9" t="s">
        <v>2081</v>
      </c>
      <c r="D150" s="9" t="s">
        <v>2082</v>
      </c>
      <c r="E150" s="9" t="s">
        <v>250</v>
      </c>
      <c r="F150" s="9">
        <v>14132</v>
      </c>
      <c r="G150" s="9">
        <v>43.129750000000001</v>
      </c>
      <c r="H150" s="9">
        <v>-78.939679999999996</v>
      </c>
      <c r="I150" s="9" t="s">
        <v>1487</v>
      </c>
      <c r="J150" s="9">
        <v>110000737365</v>
      </c>
      <c r="K150" s="9" t="s">
        <v>1703</v>
      </c>
      <c r="L150" s="9" t="s">
        <v>2083</v>
      </c>
      <c r="M150" s="9">
        <v>9511</v>
      </c>
      <c r="N150" s="9" t="s">
        <v>1673</v>
      </c>
      <c r="O150" s="9"/>
      <c r="P150" s="9" t="s">
        <v>1545</v>
      </c>
      <c r="Q150" s="9" t="s">
        <v>1546</v>
      </c>
      <c r="R150" s="9">
        <v>250</v>
      </c>
      <c r="S150" s="9" t="s">
        <v>1537</v>
      </c>
    </row>
    <row r="151" spans="1:19" x14ac:dyDescent="0.25">
      <c r="A151" s="9">
        <v>150</v>
      </c>
      <c r="B151" s="9" t="s">
        <v>2084</v>
      </c>
      <c r="C151" s="9" t="s">
        <v>2085</v>
      </c>
      <c r="D151" s="9" t="s">
        <v>2086</v>
      </c>
      <c r="E151" s="9" t="s">
        <v>250</v>
      </c>
      <c r="F151" s="9">
        <v>128281021</v>
      </c>
      <c r="G151" s="9">
        <v>43.285654999999998</v>
      </c>
      <c r="H151" s="9">
        <v>-73.589192999999995</v>
      </c>
      <c r="I151" s="9" t="s">
        <v>1487</v>
      </c>
      <c r="J151" s="9">
        <v>110000324569</v>
      </c>
      <c r="K151" s="9" t="s">
        <v>72</v>
      </c>
      <c r="L151" s="9">
        <v>0</v>
      </c>
      <c r="M151" s="9">
        <v>3612</v>
      </c>
      <c r="N151" s="9" t="s">
        <v>2087</v>
      </c>
      <c r="O151" s="9"/>
      <c r="P151" s="9" t="s">
        <v>1545</v>
      </c>
      <c r="Q151" s="9" t="s">
        <v>1546</v>
      </c>
      <c r="R151" s="9">
        <v>250</v>
      </c>
      <c r="S151" s="9" t="s">
        <v>1537</v>
      </c>
    </row>
    <row r="152" spans="1:19" x14ac:dyDescent="0.25">
      <c r="A152" s="9">
        <v>151</v>
      </c>
      <c r="B152" s="9" t="s">
        <v>2088</v>
      </c>
      <c r="C152" s="9" t="s">
        <v>2089</v>
      </c>
      <c r="D152" s="9" t="s">
        <v>2090</v>
      </c>
      <c r="E152" s="9" t="s">
        <v>1511</v>
      </c>
      <c r="F152" s="9">
        <v>98290</v>
      </c>
      <c r="G152" s="9">
        <v>47.914602000000002</v>
      </c>
      <c r="H152" s="9">
        <v>-122.112173</v>
      </c>
      <c r="I152" s="9" t="s">
        <v>1487</v>
      </c>
      <c r="J152" s="9">
        <v>110015408600</v>
      </c>
      <c r="K152" s="9" t="s">
        <v>1542</v>
      </c>
      <c r="L152" s="9" t="s">
        <v>1860</v>
      </c>
      <c r="M152" s="9" t="s">
        <v>1487</v>
      </c>
      <c r="N152" s="9" t="s">
        <v>1861</v>
      </c>
      <c r="O152" s="9"/>
      <c r="P152" s="9" t="s">
        <v>1545</v>
      </c>
      <c r="Q152" s="9" t="s">
        <v>1546</v>
      </c>
      <c r="R152" s="9">
        <v>365</v>
      </c>
      <c r="S152" s="9" t="s">
        <v>1537</v>
      </c>
    </row>
    <row r="153" spans="1:19" x14ac:dyDescent="0.25">
      <c r="A153" s="9">
        <v>152</v>
      </c>
      <c r="B153" s="9" t="s">
        <v>203</v>
      </c>
      <c r="C153" s="9" t="s">
        <v>2091</v>
      </c>
      <c r="D153" s="9" t="s">
        <v>204</v>
      </c>
      <c r="E153" s="9" t="s">
        <v>205</v>
      </c>
      <c r="F153" s="9">
        <v>723016413</v>
      </c>
      <c r="G153" s="9">
        <v>35.136057000000001</v>
      </c>
      <c r="H153" s="9">
        <v>-90.096892999999994</v>
      </c>
      <c r="I153" s="9" t="s">
        <v>2092</v>
      </c>
      <c r="J153" s="9">
        <v>110000452082</v>
      </c>
      <c r="K153" s="9" t="s">
        <v>1553</v>
      </c>
      <c r="L153" s="9" t="s">
        <v>1855</v>
      </c>
      <c r="M153" s="9">
        <v>2869</v>
      </c>
      <c r="N153" s="9" t="s">
        <v>1577</v>
      </c>
      <c r="O153" s="9"/>
      <c r="P153" s="9" t="s">
        <v>1545</v>
      </c>
      <c r="Q153" s="9" t="s">
        <v>1546</v>
      </c>
      <c r="R153" s="9">
        <v>350</v>
      </c>
      <c r="S153" s="9" t="s">
        <v>1537</v>
      </c>
    </row>
    <row r="154" spans="1:19" x14ac:dyDescent="0.25">
      <c r="A154" s="9">
        <v>153</v>
      </c>
      <c r="B154" s="9" t="s">
        <v>2093</v>
      </c>
      <c r="C154" s="9" t="s">
        <v>2094</v>
      </c>
      <c r="D154" s="9" t="s">
        <v>2095</v>
      </c>
      <c r="E154" s="9" t="s">
        <v>367</v>
      </c>
      <c r="F154" s="9" t="s">
        <v>2096</v>
      </c>
      <c r="G154" s="9">
        <v>33.402509999999999</v>
      </c>
      <c r="H154" s="9">
        <v>-112.34045999999999</v>
      </c>
      <c r="I154" s="9" t="s">
        <v>1487</v>
      </c>
      <c r="J154" s="9">
        <v>110022421789</v>
      </c>
      <c r="K154" s="9" t="s">
        <v>1542</v>
      </c>
      <c r="L154" s="9" t="s">
        <v>1860</v>
      </c>
      <c r="M154" s="9" t="s">
        <v>1487</v>
      </c>
      <c r="N154" s="9" t="s">
        <v>1861</v>
      </c>
      <c r="O154" s="9"/>
      <c r="P154" s="9" t="s">
        <v>1545</v>
      </c>
      <c r="Q154" s="9" t="s">
        <v>1546</v>
      </c>
      <c r="R154" s="9">
        <v>365</v>
      </c>
      <c r="S154" s="9" t="s">
        <v>1537</v>
      </c>
    </row>
    <row r="155" spans="1:19" x14ac:dyDescent="0.25">
      <c r="A155" s="9">
        <v>154</v>
      </c>
      <c r="B155" s="9" t="s">
        <v>2097</v>
      </c>
      <c r="C155" s="9" t="s">
        <v>2098</v>
      </c>
      <c r="D155" s="9" t="s">
        <v>2099</v>
      </c>
      <c r="E155" s="9" t="s">
        <v>367</v>
      </c>
      <c r="F155" s="9">
        <v>863148622</v>
      </c>
      <c r="G155" s="9">
        <v>34.591583999999997</v>
      </c>
      <c r="H155" s="9">
        <v>-112.31693</v>
      </c>
      <c r="I155" s="9" t="s">
        <v>1487</v>
      </c>
      <c r="J155" s="9">
        <v>110000914725</v>
      </c>
      <c r="K155" s="9" t="s">
        <v>1542</v>
      </c>
      <c r="L155" s="9" t="s">
        <v>1860</v>
      </c>
      <c r="M155" s="9" t="s">
        <v>1487</v>
      </c>
      <c r="N155" s="9" t="s">
        <v>1861</v>
      </c>
      <c r="O155" s="9"/>
      <c r="P155" s="9" t="s">
        <v>1545</v>
      </c>
      <c r="Q155" s="9" t="s">
        <v>1546</v>
      </c>
      <c r="R155" s="9">
        <v>365</v>
      </c>
      <c r="S155" s="9" t="s">
        <v>1537</v>
      </c>
    </row>
    <row r="156" spans="1:19" x14ac:dyDescent="0.25">
      <c r="A156" s="9">
        <v>155</v>
      </c>
      <c r="B156" s="9" t="s">
        <v>2100</v>
      </c>
      <c r="C156" s="9" t="s">
        <v>2101</v>
      </c>
      <c r="D156" s="9" t="s">
        <v>1983</v>
      </c>
      <c r="E156" s="9" t="s">
        <v>367</v>
      </c>
      <c r="F156" s="9">
        <v>85705</v>
      </c>
      <c r="G156" s="9">
        <v>32.279809999999998</v>
      </c>
      <c r="H156" s="9">
        <v>-111.02198</v>
      </c>
      <c r="I156" s="9" t="s">
        <v>1487</v>
      </c>
      <c r="J156" s="9">
        <v>110002042021</v>
      </c>
      <c r="K156" s="9" t="s">
        <v>1542</v>
      </c>
      <c r="L156" s="9" t="s">
        <v>2102</v>
      </c>
      <c r="M156" s="9" t="s">
        <v>1487</v>
      </c>
      <c r="N156" s="9" t="s">
        <v>1861</v>
      </c>
      <c r="O156" s="9"/>
      <c r="P156" s="9" t="s">
        <v>1545</v>
      </c>
      <c r="Q156" s="9" t="s">
        <v>1546</v>
      </c>
      <c r="R156" s="9">
        <v>365</v>
      </c>
      <c r="S156" s="9" t="s">
        <v>1537</v>
      </c>
    </row>
    <row r="157" spans="1:19" x14ac:dyDescent="0.25">
      <c r="A157" s="9">
        <v>156</v>
      </c>
      <c r="B157" s="9" t="s">
        <v>229</v>
      </c>
      <c r="C157" s="9" t="s">
        <v>2103</v>
      </c>
      <c r="D157" s="9" t="s">
        <v>230</v>
      </c>
      <c r="E157" s="9" t="s">
        <v>146</v>
      </c>
      <c r="F157" s="9" t="s">
        <v>2104</v>
      </c>
      <c r="G157" s="9">
        <v>36.963245999999998</v>
      </c>
      <c r="H157" s="9">
        <v>-122.034009</v>
      </c>
      <c r="I157" s="9" t="s">
        <v>1487</v>
      </c>
      <c r="J157" s="9">
        <v>110013848453</v>
      </c>
      <c r="K157" s="9" t="s">
        <v>1542</v>
      </c>
      <c r="L157" s="9" t="s">
        <v>1860</v>
      </c>
      <c r="M157" s="9">
        <v>4952</v>
      </c>
      <c r="N157" s="9" t="s">
        <v>1544</v>
      </c>
      <c r="O157" s="9"/>
      <c r="P157" s="9" t="s">
        <v>1545</v>
      </c>
      <c r="Q157" s="9" t="s">
        <v>1546</v>
      </c>
      <c r="R157" s="9">
        <v>365</v>
      </c>
      <c r="S157" s="9" t="s">
        <v>1537</v>
      </c>
    </row>
    <row r="158" spans="1:19" x14ac:dyDescent="0.25">
      <c r="A158" s="9">
        <v>157</v>
      </c>
      <c r="B158" s="9" t="s">
        <v>165</v>
      </c>
      <c r="C158" s="9" t="s">
        <v>2105</v>
      </c>
      <c r="D158" s="9" t="s">
        <v>166</v>
      </c>
      <c r="E158" s="9" t="s">
        <v>146</v>
      </c>
      <c r="F158" s="9">
        <v>93420</v>
      </c>
      <c r="G158" s="9">
        <v>35.178620000000002</v>
      </c>
      <c r="H158" s="9">
        <v>-120.62067500000001</v>
      </c>
      <c r="I158" s="9" t="s">
        <v>1487</v>
      </c>
      <c r="J158" s="9">
        <v>110037256867</v>
      </c>
      <c r="K158" s="9" t="s">
        <v>1703</v>
      </c>
      <c r="L158" s="9" t="s">
        <v>2106</v>
      </c>
      <c r="M158" s="9">
        <v>2911</v>
      </c>
      <c r="N158" s="9" t="s">
        <v>2107</v>
      </c>
      <c r="O158" s="9"/>
      <c r="P158" s="9" t="s">
        <v>1545</v>
      </c>
      <c r="Q158" s="9" t="s">
        <v>1546</v>
      </c>
      <c r="R158" s="9">
        <v>250</v>
      </c>
      <c r="S158" s="9" t="s">
        <v>1537</v>
      </c>
    </row>
    <row r="159" spans="1:19" x14ac:dyDescent="0.25">
      <c r="A159" s="9">
        <v>158</v>
      </c>
      <c r="B159" s="9" t="s">
        <v>475</v>
      </c>
      <c r="C159" s="9" t="s">
        <v>2108</v>
      </c>
      <c r="D159" s="9" t="s">
        <v>476</v>
      </c>
      <c r="E159" s="9" t="s">
        <v>146</v>
      </c>
      <c r="F159" s="9" t="s">
        <v>2109</v>
      </c>
      <c r="G159" s="9">
        <v>38.730832999999997</v>
      </c>
      <c r="H159" s="9">
        <v>-120.846667</v>
      </c>
      <c r="I159" s="9" t="s">
        <v>1487</v>
      </c>
      <c r="J159" s="9">
        <v>110039757992</v>
      </c>
      <c r="K159" s="9" t="s">
        <v>1542</v>
      </c>
      <c r="L159" s="9" t="s">
        <v>1860</v>
      </c>
      <c r="M159" s="9">
        <v>4952</v>
      </c>
      <c r="N159" s="9" t="s">
        <v>1544</v>
      </c>
      <c r="O159" s="9"/>
      <c r="P159" s="9" t="s">
        <v>1545</v>
      </c>
      <c r="Q159" s="9" t="s">
        <v>1546</v>
      </c>
      <c r="R159" s="9">
        <v>365</v>
      </c>
      <c r="S159" s="9" t="s">
        <v>1537</v>
      </c>
    </row>
    <row r="160" spans="1:19" x14ac:dyDescent="0.25">
      <c r="A160" s="9">
        <v>159</v>
      </c>
      <c r="B160" s="9" t="s">
        <v>2110</v>
      </c>
      <c r="C160" s="9" t="s">
        <v>2111</v>
      </c>
      <c r="D160" s="9" t="s">
        <v>2112</v>
      </c>
      <c r="E160" s="9" t="s">
        <v>146</v>
      </c>
      <c r="F160" s="9">
        <v>95991</v>
      </c>
      <c r="G160" s="9">
        <v>39.107500000000002</v>
      </c>
      <c r="H160" s="9">
        <v>-121.612278</v>
      </c>
      <c r="I160" s="9" t="s">
        <v>1487</v>
      </c>
      <c r="J160" s="9">
        <v>110000524987</v>
      </c>
      <c r="K160" s="9" t="s">
        <v>1542</v>
      </c>
      <c r="L160" s="9" t="s">
        <v>1860</v>
      </c>
      <c r="M160" s="9">
        <v>4952</v>
      </c>
      <c r="N160" s="9" t="s">
        <v>1544</v>
      </c>
      <c r="O160" s="9"/>
      <c r="P160" s="9" t="s">
        <v>1545</v>
      </c>
      <c r="Q160" s="9" t="s">
        <v>1546</v>
      </c>
      <c r="R160" s="9">
        <v>365</v>
      </c>
      <c r="S160" s="9" t="s">
        <v>1537</v>
      </c>
    </row>
    <row r="161" spans="1:19" x14ac:dyDescent="0.25">
      <c r="A161" s="9">
        <v>160</v>
      </c>
      <c r="B161" s="9" t="s">
        <v>2113</v>
      </c>
      <c r="C161" s="9" t="s">
        <v>2114</v>
      </c>
      <c r="D161" s="9" t="s">
        <v>2115</v>
      </c>
      <c r="E161" s="9" t="s">
        <v>146</v>
      </c>
      <c r="F161" s="9">
        <v>93561</v>
      </c>
      <c r="G161" s="9">
        <v>35.082410000000003</v>
      </c>
      <c r="H161" s="9">
        <v>-118.63708</v>
      </c>
      <c r="I161" s="9" t="s">
        <v>1487</v>
      </c>
      <c r="J161" s="9">
        <v>110006783463</v>
      </c>
      <c r="K161" s="9" t="s">
        <v>1542</v>
      </c>
      <c r="L161" s="9" t="s">
        <v>1860</v>
      </c>
      <c r="M161" s="9">
        <v>4952</v>
      </c>
      <c r="N161" s="9" t="s">
        <v>1544</v>
      </c>
      <c r="O161" s="9"/>
      <c r="P161" s="9" t="s">
        <v>1545</v>
      </c>
      <c r="Q161" s="9" t="s">
        <v>1546</v>
      </c>
      <c r="R161" s="9">
        <v>365</v>
      </c>
      <c r="S161" s="9" t="s">
        <v>1537</v>
      </c>
    </row>
    <row r="162" spans="1:19" x14ac:dyDescent="0.25">
      <c r="A162" s="9">
        <v>161</v>
      </c>
      <c r="B162" s="9" t="s">
        <v>2116</v>
      </c>
      <c r="C162" s="9" t="s">
        <v>2117</v>
      </c>
      <c r="D162" s="9" t="s">
        <v>1436</v>
      </c>
      <c r="E162" s="9" t="s">
        <v>344</v>
      </c>
      <c r="F162" s="9">
        <v>19973</v>
      </c>
      <c r="G162" s="9">
        <v>38.624206999999998</v>
      </c>
      <c r="H162" s="9">
        <v>-75.628699999999995</v>
      </c>
      <c r="I162" s="9" t="s">
        <v>1487</v>
      </c>
      <c r="J162" s="9">
        <v>110064631849</v>
      </c>
      <c r="K162" s="9" t="s">
        <v>1553</v>
      </c>
      <c r="L162" s="9" t="s">
        <v>1913</v>
      </c>
      <c r="M162" s="9">
        <v>2821</v>
      </c>
      <c r="N162" s="9" t="s">
        <v>1560</v>
      </c>
      <c r="O162" s="9"/>
      <c r="P162" s="9" t="s">
        <v>1545</v>
      </c>
      <c r="Q162" s="9" t="s">
        <v>1546</v>
      </c>
      <c r="R162" s="9">
        <v>350</v>
      </c>
      <c r="S162" s="9" t="s">
        <v>1537</v>
      </c>
    </row>
    <row r="163" spans="1:19" x14ac:dyDescent="0.25">
      <c r="A163" s="9">
        <v>162</v>
      </c>
      <c r="B163" s="9" t="s">
        <v>184</v>
      </c>
      <c r="C163" s="9" t="s">
        <v>2118</v>
      </c>
      <c r="D163" s="9" t="s">
        <v>185</v>
      </c>
      <c r="E163" s="9" t="s">
        <v>186</v>
      </c>
      <c r="F163" s="9">
        <v>96818</v>
      </c>
      <c r="G163" s="9">
        <v>21.349765000000001</v>
      </c>
      <c r="H163" s="9">
        <v>-157.952517</v>
      </c>
      <c r="I163" s="9" t="s">
        <v>1487</v>
      </c>
      <c r="J163" s="9">
        <v>110046184516</v>
      </c>
      <c r="K163" s="9" t="s">
        <v>72</v>
      </c>
      <c r="L163" s="9" t="s">
        <v>656</v>
      </c>
      <c r="M163" s="9">
        <v>3731</v>
      </c>
      <c r="N163" s="9" t="s">
        <v>1974</v>
      </c>
      <c r="O163" s="9"/>
      <c r="P163" s="9" t="s">
        <v>1545</v>
      </c>
      <c r="Q163" s="9" t="s">
        <v>1546</v>
      </c>
      <c r="R163" s="9">
        <v>250</v>
      </c>
      <c r="S163" s="9" t="s">
        <v>1537</v>
      </c>
    </row>
    <row r="164" spans="1:19" x14ac:dyDescent="0.25">
      <c r="A164" s="9">
        <v>163</v>
      </c>
      <c r="B164" s="9" t="s">
        <v>329</v>
      </c>
      <c r="C164" s="9" t="s">
        <v>2119</v>
      </c>
      <c r="D164" s="9" t="s">
        <v>224</v>
      </c>
      <c r="E164" s="9" t="s">
        <v>141</v>
      </c>
      <c r="F164" s="9">
        <v>60450</v>
      </c>
      <c r="G164" s="9">
        <v>41.405681999999999</v>
      </c>
      <c r="H164" s="9">
        <v>-88.335442</v>
      </c>
      <c r="I164" s="9" t="s">
        <v>2120</v>
      </c>
      <c r="J164" s="9">
        <v>110000547196</v>
      </c>
      <c r="K164" s="9" t="s">
        <v>1553</v>
      </c>
      <c r="L164" s="9" t="s">
        <v>2121</v>
      </c>
      <c r="M164" s="9">
        <v>2869</v>
      </c>
      <c r="N164" s="9" t="s">
        <v>1577</v>
      </c>
      <c r="O164" s="9"/>
      <c r="P164" s="9" t="s">
        <v>1545</v>
      </c>
      <c r="Q164" s="9" t="s">
        <v>1546</v>
      </c>
      <c r="R164" s="9">
        <v>350</v>
      </c>
      <c r="S164" s="9" t="s">
        <v>1537</v>
      </c>
    </row>
    <row r="165" spans="1:19" x14ac:dyDescent="0.25">
      <c r="A165" s="9">
        <v>164</v>
      </c>
      <c r="B165" s="9" t="s">
        <v>2122</v>
      </c>
      <c r="C165" s="9" t="s">
        <v>2123</v>
      </c>
      <c r="D165" s="9" t="s">
        <v>2124</v>
      </c>
      <c r="E165" s="9" t="s">
        <v>141</v>
      </c>
      <c r="F165" s="9" t="s">
        <v>2125</v>
      </c>
      <c r="G165" s="9">
        <v>42.468611000000003</v>
      </c>
      <c r="H165" s="9">
        <v>-89.065550000000002</v>
      </c>
      <c r="I165" s="9" t="s">
        <v>2126</v>
      </c>
      <c r="J165" s="9">
        <v>110000500459</v>
      </c>
      <c r="K165" s="9" t="s">
        <v>61</v>
      </c>
      <c r="L165" s="9" t="s">
        <v>2127</v>
      </c>
      <c r="M165" s="9">
        <v>4225</v>
      </c>
      <c r="N165" s="9" t="s">
        <v>2128</v>
      </c>
      <c r="O165" s="9"/>
      <c r="P165" s="9" t="s">
        <v>1545</v>
      </c>
      <c r="Q165" s="9" t="s">
        <v>1546</v>
      </c>
      <c r="R165" s="9">
        <v>350</v>
      </c>
      <c r="S165" s="9" t="s">
        <v>1537</v>
      </c>
    </row>
    <row r="166" spans="1:19" x14ac:dyDescent="0.25">
      <c r="A166" s="9">
        <v>165</v>
      </c>
      <c r="B166" s="9" t="s">
        <v>2129</v>
      </c>
      <c r="C166" s="9" t="s">
        <v>2130</v>
      </c>
      <c r="D166" s="9" t="s">
        <v>2131</v>
      </c>
      <c r="E166" s="9" t="s">
        <v>336</v>
      </c>
      <c r="F166" s="9" t="s">
        <v>2132</v>
      </c>
      <c r="G166" s="9">
        <v>41.989269999999998</v>
      </c>
      <c r="H166" s="9">
        <v>-97.425799999999995</v>
      </c>
      <c r="I166" s="9" t="s">
        <v>1487</v>
      </c>
      <c r="J166" s="9">
        <v>110000448141</v>
      </c>
      <c r="K166" s="9" t="s">
        <v>1703</v>
      </c>
      <c r="L166" s="9" t="s">
        <v>2133</v>
      </c>
      <c r="M166" s="9">
        <v>3841</v>
      </c>
      <c r="N166" s="9" t="s">
        <v>2134</v>
      </c>
      <c r="O166" s="9"/>
      <c r="P166" s="9" t="s">
        <v>1545</v>
      </c>
      <c r="Q166" s="9" t="s">
        <v>1546</v>
      </c>
      <c r="R166" s="9">
        <v>250</v>
      </c>
      <c r="S166" s="9" t="s">
        <v>1537</v>
      </c>
    </row>
    <row r="167" spans="1:19" x14ac:dyDescent="0.25">
      <c r="A167" s="9">
        <v>166</v>
      </c>
      <c r="B167" s="9" t="s">
        <v>151</v>
      </c>
      <c r="C167" s="9" t="s">
        <v>2135</v>
      </c>
      <c r="D167" s="9" t="s">
        <v>152</v>
      </c>
      <c r="E167" s="9" t="s">
        <v>153</v>
      </c>
      <c r="F167" s="9">
        <v>8014</v>
      </c>
      <c r="G167" s="9">
        <v>39.80142</v>
      </c>
      <c r="H167" s="9">
        <v>-75.354990000000001</v>
      </c>
      <c r="I167" s="9" t="s">
        <v>2136</v>
      </c>
      <c r="J167" s="9">
        <v>110000582003</v>
      </c>
      <c r="K167" s="9" t="s">
        <v>1553</v>
      </c>
      <c r="L167" s="9" t="s">
        <v>2057</v>
      </c>
      <c r="M167" s="9">
        <v>2869</v>
      </c>
      <c r="N167" s="9" t="s">
        <v>1577</v>
      </c>
      <c r="O167" s="9"/>
      <c r="P167" s="9" t="s">
        <v>1545</v>
      </c>
      <c r="Q167" s="9" t="s">
        <v>1546</v>
      </c>
      <c r="R167" s="9">
        <v>350</v>
      </c>
      <c r="S167" s="9" t="s">
        <v>1537</v>
      </c>
    </row>
    <row r="168" spans="1:19" x14ac:dyDescent="0.25">
      <c r="A168" s="9">
        <v>167</v>
      </c>
      <c r="B168" s="9" t="s">
        <v>2137</v>
      </c>
      <c r="C168" s="9" t="s">
        <v>2138</v>
      </c>
      <c r="D168" s="9" t="s">
        <v>2139</v>
      </c>
      <c r="E168" s="9" t="s">
        <v>153</v>
      </c>
      <c r="F168" s="9">
        <v>7419</v>
      </c>
      <c r="G168" s="9">
        <v>41.152451999999997</v>
      </c>
      <c r="H168" s="9">
        <v>-74.579751000000002</v>
      </c>
      <c r="I168" s="9" t="s">
        <v>1487</v>
      </c>
      <c r="J168" s="9">
        <v>110070212394</v>
      </c>
      <c r="K168" s="9" t="s">
        <v>1514</v>
      </c>
      <c r="L168" s="9" t="s">
        <v>5466</v>
      </c>
      <c r="M168" s="9">
        <v>3069</v>
      </c>
      <c r="N168" s="9" t="s">
        <v>2140</v>
      </c>
      <c r="O168" s="9"/>
      <c r="P168" s="9" t="s">
        <v>1545</v>
      </c>
      <c r="Q168" s="9" t="s">
        <v>1546</v>
      </c>
      <c r="R168" s="9">
        <v>365</v>
      </c>
      <c r="S168" s="9" t="s">
        <v>1537</v>
      </c>
    </row>
    <row r="169" spans="1:19" x14ac:dyDescent="0.25">
      <c r="A169" s="9">
        <v>168</v>
      </c>
      <c r="B169" s="9" t="s">
        <v>2141</v>
      </c>
      <c r="C169" s="9" t="s">
        <v>2142</v>
      </c>
      <c r="D169" s="9" t="s">
        <v>2143</v>
      </c>
      <c r="E169" s="9" t="s">
        <v>153</v>
      </c>
      <c r="F169" s="9" t="s">
        <v>2144</v>
      </c>
      <c r="G169" s="9">
        <v>39.973252000000002</v>
      </c>
      <c r="H169" s="9">
        <v>-75.018894000000003</v>
      </c>
      <c r="I169" s="9" t="s">
        <v>1487</v>
      </c>
      <c r="J169" s="9">
        <v>110014480445</v>
      </c>
      <c r="K169" s="9" t="s">
        <v>64</v>
      </c>
      <c r="L169" s="9" t="s">
        <v>2145</v>
      </c>
      <c r="M169" s="9">
        <v>3714</v>
      </c>
      <c r="N169" s="9" t="s">
        <v>2146</v>
      </c>
      <c r="O169" s="9"/>
      <c r="P169" s="9" t="s">
        <v>1545</v>
      </c>
      <c r="Q169" s="9" t="s">
        <v>1546</v>
      </c>
      <c r="R169" s="9">
        <v>365</v>
      </c>
      <c r="S169" s="9" t="s">
        <v>1537</v>
      </c>
    </row>
    <row r="170" spans="1:19" x14ac:dyDescent="0.25">
      <c r="A170" s="9">
        <v>169</v>
      </c>
      <c r="B170" s="9" t="s">
        <v>419</v>
      </c>
      <c r="C170" s="9" t="s">
        <v>2147</v>
      </c>
      <c r="D170" s="9" t="s">
        <v>420</v>
      </c>
      <c r="E170" s="9" t="s">
        <v>153</v>
      </c>
      <c r="F170" s="9">
        <v>8832</v>
      </c>
      <c r="G170" s="9">
        <v>40.515906999999999</v>
      </c>
      <c r="H170" s="9">
        <v>-74.325175999999999</v>
      </c>
      <c r="I170" s="9" t="s">
        <v>1487</v>
      </c>
      <c r="J170" s="9">
        <v>110070215141</v>
      </c>
      <c r="K170" s="9" t="s">
        <v>1514</v>
      </c>
      <c r="L170" s="9" t="s">
        <v>793</v>
      </c>
      <c r="M170" s="9" t="s">
        <v>1487</v>
      </c>
      <c r="N170" s="9" t="s">
        <v>1861</v>
      </c>
      <c r="O170" s="9"/>
      <c r="P170" s="9" t="s">
        <v>1545</v>
      </c>
      <c r="Q170" s="9" t="s">
        <v>1546</v>
      </c>
      <c r="R170" s="9">
        <v>365</v>
      </c>
      <c r="S170" s="9" t="s">
        <v>1537</v>
      </c>
    </row>
    <row r="171" spans="1:19" x14ac:dyDescent="0.25">
      <c r="A171" s="9">
        <v>170</v>
      </c>
      <c r="B171" s="9" t="s">
        <v>1483</v>
      </c>
      <c r="C171" s="9" t="s">
        <v>2148</v>
      </c>
      <c r="D171" s="9" t="s">
        <v>1484</v>
      </c>
      <c r="E171" s="9" t="s">
        <v>1485</v>
      </c>
      <c r="F171" s="9">
        <v>0</v>
      </c>
      <c r="G171" s="9">
        <v>37.041677</v>
      </c>
      <c r="H171" s="9">
        <v>-109.500685</v>
      </c>
      <c r="I171" s="9" t="s">
        <v>1487</v>
      </c>
      <c r="J171" s="9">
        <v>110010134185</v>
      </c>
      <c r="K171" s="9" t="s">
        <v>1703</v>
      </c>
      <c r="L171" s="9" t="s">
        <v>2149</v>
      </c>
      <c r="M171" s="9">
        <v>1311</v>
      </c>
      <c r="N171" s="9" t="s">
        <v>2150</v>
      </c>
      <c r="O171" s="9"/>
      <c r="P171" s="9" t="s">
        <v>1545</v>
      </c>
      <c r="Q171" s="9" t="s">
        <v>1546</v>
      </c>
      <c r="R171" s="9">
        <v>250</v>
      </c>
      <c r="S171" s="9" t="s">
        <v>1537</v>
      </c>
    </row>
    <row r="172" spans="1:19" x14ac:dyDescent="0.25">
      <c r="A172" s="9">
        <v>171</v>
      </c>
      <c r="B172" s="9" t="s">
        <v>526</v>
      </c>
      <c r="C172" s="9" t="s">
        <v>2151</v>
      </c>
      <c r="D172" s="9" t="s">
        <v>527</v>
      </c>
      <c r="E172" s="9" t="s">
        <v>485</v>
      </c>
      <c r="F172" s="9">
        <v>87420</v>
      </c>
      <c r="G172" s="9">
        <v>36.786963999999998</v>
      </c>
      <c r="H172" s="9">
        <v>-108.711493</v>
      </c>
      <c r="I172" s="9" t="s">
        <v>1487</v>
      </c>
      <c r="J172" s="9">
        <v>110024409362</v>
      </c>
      <c r="K172" s="9" t="s">
        <v>1542</v>
      </c>
      <c r="L172" s="9" t="s">
        <v>1860</v>
      </c>
      <c r="M172" s="9">
        <v>4952</v>
      </c>
      <c r="N172" s="9" t="s">
        <v>1544</v>
      </c>
      <c r="O172" s="9"/>
      <c r="P172" s="9" t="s">
        <v>1545</v>
      </c>
      <c r="Q172" s="9" t="s">
        <v>1546</v>
      </c>
      <c r="R172" s="9">
        <v>365</v>
      </c>
      <c r="S172" s="9" t="s">
        <v>1537</v>
      </c>
    </row>
    <row r="173" spans="1:19" x14ac:dyDescent="0.25">
      <c r="A173" s="9">
        <v>172</v>
      </c>
      <c r="B173" s="9" t="s">
        <v>2152</v>
      </c>
      <c r="C173" s="9" t="s">
        <v>2153</v>
      </c>
      <c r="D173" s="9" t="s">
        <v>2154</v>
      </c>
      <c r="E173" s="9" t="s">
        <v>250</v>
      </c>
      <c r="F173" s="9">
        <v>11222</v>
      </c>
      <c r="G173" s="9">
        <v>40.73095</v>
      </c>
      <c r="H173" s="9">
        <v>-73.942520000000002</v>
      </c>
      <c r="I173" s="9" t="s">
        <v>1487</v>
      </c>
      <c r="J173" s="9">
        <v>110037107154</v>
      </c>
      <c r="K173" s="9" t="s">
        <v>1703</v>
      </c>
      <c r="L173" s="9" t="s">
        <v>1963</v>
      </c>
      <c r="M173" s="9">
        <v>4959</v>
      </c>
      <c r="N173" s="9" t="s">
        <v>1964</v>
      </c>
      <c r="O173" s="9"/>
      <c r="P173" s="9" t="s">
        <v>1545</v>
      </c>
      <c r="Q173" s="9" t="s">
        <v>1546</v>
      </c>
      <c r="R173" s="9">
        <v>250</v>
      </c>
      <c r="S173" s="9" t="s">
        <v>1537</v>
      </c>
    </row>
    <row r="174" spans="1:19" x14ac:dyDescent="0.25">
      <c r="A174" s="9">
        <v>173</v>
      </c>
      <c r="B174" s="9" t="s">
        <v>2155</v>
      </c>
      <c r="C174" s="9" t="s">
        <v>2156</v>
      </c>
      <c r="D174" s="9" t="s">
        <v>267</v>
      </c>
      <c r="E174" s="9" t="s">
        <v>268</v>
      </c>
      <c r="F174" s="9">
        <v>16301</v>
      </c>
      <c r="G174" s="9">
        <v>41.452778000000002</v>
      </c>
      <c r="H174" s="9">
        <v>-79.690278000000006</v>
      </c>
      <c r="I174" s="9" t="s">
        <v>2157</v>
      </c>
      <c r="J174" s="9">
        <v>110008476327</v>
      </c>
      <c r="K174" s="9" t="s">
        <v>1553</v>
      </c>
      <c r="L174" s="9" t="s">
        <v>2158</v>
      </c>
      <c r="M174" s="9">
        <v>2865</v>
      </c>
      <c r="N174" s="9" t="s">
        <v>1856</v>
      </c>
      <c r="O174" s="9"/>
      <c r="P174" s="9" t="s">
        <v>1545</v>
      </c>
      <c r="Q174" s="9" t="s">
        <v>1546</v>
      </c>
      <c r="R174" s="9">
        <v>350</v>
      </c>
      <c r="S174" s="9" t="s">
        <v>1537</v>
      </c>
    </row>
    <row r="175" spans="1:19" x14ac:dyDescent="0.25">
      <c r="A175" s="9">
        <v>174</v>
      </c>
      <c r="B175" s="9" t="s">
        <v>2159</v>
      </c>
      <c r="C175" s="9" t="s">
        <v>2160</v>
      </c>
      <c r="D175" s="9" t="s">
        <v>2161</v>
      </c>
      <c r="E175" s="9" t="s">
        <v>309</v>
      </c>
      <c r="F175" s="9">
        <v>37620</v>
      </c>
      <c r="G175" s="9">
        <v>36.533436000000002</v>
      </c>
      <c r="H175" s="9">
        <v>-82.265968999999998</v>
      </c>
      <c r="I175" s="9" t="s">
        <v>1487</v>
      </c>
      <c r="J175" s="9">
        <v>110000842134</v>
      </c>
      <c r="K175" s="9" t="s">
        <v>1703</v>
      </c>
      <c r="L175" s="9" t="s">
        <v>2162</v>
      </c>
      <c r="M175" s="9">
        <v>4959</v>
      </c>
      <c r="N175" s="9" t="s">
        <v>1964</v>
      </c>
      <c r="O175" s="9"/>
      <c r="P175" s="9" t="s">
        <v>1545</v>
      </c>
      <c r="Q175" s="9" t="s">
        <v>1546</v>
      </c>
      <c r="R175" s="9">
        <v>250</v>
      </c>
      <c r="S175" s="9" t="s">
        <v>1537</v>
      </c>
    </row>
    <row r="176" spans="1:19" x14ac:dyDescent="0.25">
      <c r="A176" s="9">
        <v>175</v>
      </c>
      <c r="B176" s="9" t="s">
        <v>2163</v>
      </c>
      <c r="C176" s="9" t="s">
        <v>2164</v>
      </c>
      <c r="D176" s="9" t="s">
        <v>2165</v>
      </c>
      <c r="E176" s="9" t="s">
        <v>367</v>
      </c>
      <c r="F176" s="9">
        <v>85338</v>
      </c>
      <c r="G176" s="9">
        <v>33.398600000000002</v>
      </c>
      <c r="H176" s="9">
        <v>-112.3965</v>
      </c>
      <c r="I176" s="9" t="s">
        <v>1487</v>
      </c>
      <c r="J176" s="9">
        <v>110000510894</v>
      </c>
      <c r="K176" s="9" t="s">
        <v>1542</v>
      </c>
      <c r="L176" s="9" t="s">
        <v>1860</v>
      </c>
      <c r="M176" s="9" t="s">
        <v>1487</v>
      </c>
      <c r="N176" s="9" t="s">
        <v>1861</v>
      </c>
      <c r="O176" s="9"/>
      <c r="P176" s="9" t="s">
        <v>1545</v>
      </c>
      <c r="Q176" s="9" t="s">
        <v>1546</v>
      </c>
      <c r="R176" s="9">
        <v>365</v>
      </c>
      <c r="S176" s="9" t="s">
        <v>1537</v>
      </c>
    </row>
    <row r="177" spans="1:19" x14ac:dyDescent="0.25">
      <c r="A177" s="9">
        <v>176</v>
      </c>
      <c r="B177" s="9" t="s">
        <v>2166</v>
      </c>
      <c r="C177" s="9" t="s">
        <v>2167</v>
      </c>
      <c r="D177" s="9" t="s">
        <v>2168</v>
      </c>
      <c r="E177" s="9" t="s">
        <v>367</v>
      </c>
      <c r="F177" s="9">
        <v>85383</v>
      </c>
      <c r="G177" s="9">
        <v>33.726889999999997</v>
      </c>
      <c r="H177" s="9">
        <v>-112.33074000000001</v>
      </c>
      <c r="I177" s="9" t="s">
        <v>1487</v>
      </c>
      <c r="J177" s="9">
        <v>110015317423</v>
      </c>
      <c r="K177" s="9" t="s">
        <v>1542</v>
      </c>
      <c r="L177" s="9" t="s">
        <v>1860</v>
      </c>
      <c r="M177" s="9" t="s">
        <v>1487</v>
      </c>
      <c r="N177" s="9" t="s">
        <v>1861</v>
      </c>
      <c r="O177" s="9"/>
      <c r="P177" s="9" t="s">
        <v>1545</v>
      </c>
      <c r="Q177" s="9" t="s">
        <v>1546</v>
      </c>
      <c r="R177" s="9">
        <v>365</v>
      </c>
      <c r="S177" s="9" t="s">
        <v>1537</v>
      </c>
    </row>
    <row r="178" spans="1:19" x14ac:dyDescent="0.25">
      <c r="A178" s="9">
        <v>177</v>
      </c>
      <c r="B178" s="9" t="s">
        <v>2169</v>
      </c>
      <c r="C178" s="9" t="s">
        <v>2170</v>
      </c>
      <c r="D178" s="9" t="s">
        <v>1864</v>
      </c>
      <c r="E178" s="9" t="s">
        <v>367</v>
      </c>
      <c r="F178" s="9">
        <v>86401</v>
      </c>
      <c r="G178" s="9">
        <v>35.296455000000002</v>
      </c>
      <c r="H178" s="9">
        <v>-113.935008</v>
      </c>
      <c r="I178" s="9" t="s">
        <v>1487</v>
      </c>
      <c r="J178" s="9">
        <v>110015944077</v>
      </c>
      <c r="K178" s="9" t="s">
        <v>1542</v>
      </c>
      <c r="L178" s="9" t="s">
        <v>1860</v>
      </c>
      <c r="M178" s="9" t="s">
        <v>1487</v>
      </c>
      <c r="N178" s="9" t="s">
        <v>1861</v>
      </c>
      <c r="O178" s="9"/>
      <c r="P178" s="9" t="s">
        <v>1545</v>
      </c>
      <c r="Q178" s="9" t="s">
        <v>1546</v>
      </c>
      <c r="R178" s="9">
        <v>365</v>
      </c>
      <c r="S178" s="9" t="s">
        <v>1537</v>
      </c>
    </row>
    <row r="179" spans="1:19" x14ac:dyDescent="0.25">
      <c r="A179" s="9">
        <v>178</v>
      </c>
      <c r="B179" s="9" t="s">
        <v>2171</v>
      </c>
      <c r="C179" s="9" t="s">
        <v>2172</v>
      </c>
      <c r="D179" s="9" t="s">
        <v>446</v>
      </c>
      <c r="E179" s="9" t="s">
        <v>146</v>
      </c>
      <c r="F179" s="9">
        <v>90061</v>
      </c>
      <c r="G179" s="9">
        <v>33.907359999999997</v>
      </c>
      <c r="H179" s="9">
        <v>-118.2784</v>
      </c>
      <c r="I179" s="9" t="s">
        <v>1487</v>
      </c>
      <c r="J179" s="9">
        <v>110028004175</v>
      </c>
      <c r="K179" s="9" t="s">
        <v>1630</v>
      </c>
      <c r="L179" s="9" t="s">
        <v>2173</v>
      </c>
      <c r="M179" s="9">
        <v>2992</v>
      </c>
      <c r="N179" s="9" t="s">
        <v>2174</v>
      </c>
      <c r="O179" s="9"/>
      <c r="P179" s="9" t="s">
        <v>1545</v>
      </c>
      <c r="Q179" s="9" t="s">
        <v>1546</v>
      </c>
      <c r="R179" s="9">
        <v>0</v>
      </c>
      <c r="S179" s="9" t="s">
        <v>1537</v>
      </c>
    </row>
    <row r="180" spans="1:19" x14ac:dyDescent="0.25">
      <c r="A180" s="9">
        <v>179</v>
      </c>
      <c r="B180" s="9" t="s">
        <v>2175</v>
      </c>
      <c r="C180" s="9" t="s">
        <v>2176</v>
      </c>
      <c r="D180" s="9" t="s">
        <v>2177</v>
      </c>
      <c r="E180" s="9" t="s">
        <v>146</v>
      </c>
      <c r="F180" s="9">
        <v>93043</v>
      </c>
      <c r="G180" s="9">
        <v>34.147221999999999</v>
      </c>
      <c r="H180" s="9">
        <v>-119.211111</v>
      </c>
      <c r="I180" s="9" t="s">
        <v>1487</v>
      </c>
      <c r="J180" s="9">
        <v>110037256812</v>
      </c>
      <c r="K180" s="9" t="s">
        <v>1542</v>
      </c>
      <c r="L180" s="9" t="s">
        <v>2178</v>
      </c>
      <c r="M180" s="9">
        <v>9711</v>
      </c>
      <c r="N180" s="9" t="s">
        <v>2179</v>
      </c>
      <c r="O180" s="9"/>
      <c r="P180" s="9" t="s">
        <v>1545</v>
      </c>
      <c r="Q180" s="9" t="s">
        <v>1546</v>
      </c>
      <c r="R180" s="9">
        <v>365</v>
      </c>
      <c r="S180" s="9" t="s">
        <v>1537</v>
      </c>
    </row>
    <row r="181" spans="1:19" x14ac:dyDescent="0.25">
      <c r="A181" s="9">
        <v>180</v>
      </c>
      <c r="B181" s="9" t="s">
        <v>464</v>
      </c>
      <c r="C181" s="9" t="s">
        <v>2180</v>
      </c>
      <c r="D181" s="9" t="s">
        <v>465</v>
      </c>
      <c r="E181" s="9" t="s">
        <v>146</v>
      </c>
      <c r="F181" s="9">
        <v>95776</v>
      </c>
      <c r="G181" s="9">
        <v>38.662149999999997</v>
      </c>
      <c r="H181" s="9">
        <v>-121.71407000000001</v>
      </c>
      <c r="I181" s="9" t="s">
        <v>1487</v>
      </c>
      <c r="J181" s="9">
        <v>110039782349</v>
      </c>
      <c r="K181" s="9" t="s">
        <v>1542</v>
      </c>
      <c r="L181" s="9" t="s">
        <v>1860</v>
      </c>
      <c r="M181" s="9">
        <v>4952</v>
      </c>
      <c r="N181" s="9" t="s">
        <v>1544</v>
      </c>
      <c r="O181" s="9"/>
      <c r="P181" s="9" t="s">
        <v>1545</v>
      </c>
      <c r="Q181" s="9" t="s">
        <v>1546</v>
      </c>
      <c r="R181" s="9">
        <v>365</v>
      </c>
      <c r="S181" s="9" t="s">
        <v>1537</v>
      </c>
    </row>
    <row r="182" spans="1:19" x14ac:dyDescent="0.25">
      <c r="A182" s="9">
        <v>181</v>
      </c>
      <c r="B182" s="9" t="s">
        <v>2181</v>
      </c>
      <c r="C182" s="9" t="s">
        <v>2182</v>
      </c>
      <c r="D182" s="9" t="s">
        <v>2183</v>
      </c>
      <c r="E182" s="9" t="s">
        <v>146</v>
      </c>
      <c r="F182" s="9">
        <v>95728</v>
      </c>
      <c r="G182" s="9">
        <v>39.325924000000001</v>
      </c>
      <c r="H182" s="9">
        <v>-120.393384</v>
      </c>
      <c r="I182" s="9" t="s">
        <v>1487</v>
      </c>
      <c r="J182" s="9">
        <v>110011373628</v>
      </c>
      <c r="K182" s="9" t="s">
        <v>1542</v>
      </c>
      <c r="L182" s="9" t="s">
        <v>1860</v>
      </c>
      <c r="M182" s="9">
        <v>4952</v>
      </c>
      <c r="N182" s="9" t="s">
        <v>1544</v>
      </c>
      <c r="O182" s="9"/>
      <c r="P182" s="9" t="s">
        <v>1545</v>
      </c>
      <c r="Q182" s="9" t="s">
        <v>1546</v>
      </c>
      <c r="R182" s="9">
        <v>365</v>
      </c>
      <c r="S182" s="9" t="s">
        <v>1537</v>
      </c>
    </row>
    <row r="183" spans="1:19" x14ac:dyDescent="0.25">
      <c r="A183" s="9">
        <v>182</v>
      </c>
      <c r="B183" s="9" t="s">
        <v>2184</v>
      </c>
      <c r="C183" s="9" t="s">
        <v>2185</v>
      </c>
      <c r="D183" s="9" t="s">
        <v>2186</v>
      </c>
      <c r="E183" s="9" t="s">
        <v>146</v>
      </c>
      <c r="F183" s="9">
        <v>95683</v>
      </c>
      <c r="G183" s="9">
        <v>38.516390000000001</v>
      </c>
      <c r="H183" s="9">
        <v>-121.19723999999999</v>
      </c>
      <c r="I183" s="9" t="s">
        <v>1487</v>
      </c>
      <c r="J183" s="9">
        <v>110017972764</v>
      </c>
      <c r="K183" s="9" t="s">
        <v>1703</v>
      </c>
      <c r="L183" s="9" t="s">
        <v>1953</v>
      </c>
      <c r="M183" s="9">
        <v>4953</v>
      </c>
      <c r="N183" s="9" t="s">
        <v>1954</v>
      </c>
      <c r="O183" s="9"/>
      <c r="P183" s="9" t="s">
        <v>1545</v>
      </c>
      <c r="Q183" s="9" t="s">
        <v>1546</v>
      </c>
      <c r="R183" s="9">
        <v>250</v>
      </c>
      <c r="S183" s="9" t="s">
        <v>1537</v>
      </c>
    </row>
    <row r="184" spans="1:19" x14ac:dyDescent="0.25">
      <c r="A184" s="9">
        <v>183</v>
      </c>
      <c r="B184" s="9" t="s">
        <v>423</v>
      </c>
      <c r="C184" s="9" t="s">
        <v>2187</v>
      </c>
      <c r="D184" s="9" t="s">
        <v>424</v>
      </c>
      <c r="E184" s="9" t="s">
        <v>186</v>
      </c>
      <c r="F184" s="9">
        <v>96746</v>
      </c>
      <c r="G184" s="9">
        <v>22.079093</v>
      </c>
      <c r="H184" s="9">
        <v>-159.35138900000001</v>
      </c>
      <c r="I184" s="9" t="s">
        <v>1487</v>
      </c>
      <c r="J184" s="9">
        <v>110010731262</v>
      </c>
      <c r="K184" s="9" t="s">
        <v>1542</v>
      </c>
      <c r="L184" s="9" t="s">
        <v>1860</v>
      </c>
      <c r="M184" s="9">
        <v>4952</v>
      </c>
      <c r="N184" s="9" t="s">
        <v>1544</v>
      </c>
      <c r="O184" s="9"/>
      <c r="P184" s="9" t="s">
        <v>1545</v>
      </c>
      <c r="Q184" s="9" t="s">
        <v>1546</v>
      </c>
      <c r="R184" s="9">
        <v>365</v>
      </c>
      <c r="S184" s="9" t="s">
        <v>1537</v>
      </c>
    </row>
    <row r="185" spans="1:19" x14ac:dyDescent="0.25">
      <c r="A185" s="9">
        <v>184</v>
      </c>
      <c r="B185" s="9" t="s">
        <v>255</v>
      </c>
      <c r="C185" s="9" t="s">
        <v>2188</v>
      </c>
      <c r="D185" s="9" t="s">
        <v>256</v>
      </c>
      <c r="E185" s="9" t="s">
        <v>141</v>
      </c>
      <c r="F185" s="9">
        <v>61953</v>
      </c>
      <c r="G185" s="9">
        <v>39.795810000000003</v>
      </c>
      <c r="H185" s="9">
        <v>-88.347949999999997</v>
      </c>
      <c r="I185" s="9" t="s">
        <v>2189</v>
      </c>
      <c r="J185" s="9">
        <v>110000746211</v>
      </c>
      <c r="K185" s="9" t="s">
        <v>1553</v>
      </c>
      <c r="L185" s="9" t="s">
        <v>2121</v>
      </c>
      <c r="M185" s="9">
        <v>2869</v>
      </c>
      <c r="N185" s="9" t="s">
        <v>1577</v>
      </c>
      <c r="O185" s="9"/>
      <c r="P185" s="9" t="s">
        <v>1545</v>
      </c>
      <c r="Q185" s="9" t="s">
        <v>1546</v>
      </c>
      <c r="R185" s="9">
        <v>350</v>
      </c>
      <c r="S185" s="9" t="s">
        <v>1537</v>
      </c>
    </row>
    <row r="186" spans="1:19" x14ac:dyDescent="0.25">
      <c r="A186" s="9">
        <v>185</v>
      </c>
      <c r="B186" s="9" t="s">
        <v>349</v>
      </c>
      <c r="C186" s="9" t="s">
        <v>2190</v>
      </c>
      <c r="D186" s="9" t="s">
        <v>350</v>
      </c>
      <c r="E186" s="9" t="s">
        <v>138</v>
      </c>
      <c r="F186" s="9">
        <v>41501</v>
      </c>
      <c r="G186" s="9">
        <v>37.491857000000003</v>
      </c>
      <c r="H186" s="9">
        <v>-82.539703000000003</v>
      </c>
      <c r="I186" s="9" t="s">
        <v>1487</v>
      </c>
      <c r="J186" s="9">
        <v>110006644872</v>
      </c>
      <c r="K186" s="9" t="s">
        <v>1542</v>
      </c>
      <c r="L186" s="9" t="s">
        <v>1860</v>
      </c>
      <c r="M186" s="9">
        <v>4952</v>
      </c>
      <c r="N186" s="9" t="s">
        <v>1544</v>
      </c>
      <c r="O186" s="9"/>
      <c r="P186" s="9" t="s">
        <v>1545</v>
      </c>
      <c r="Q186" s="9" t="s">
        <v>1546</v>
      </c>
      <c r="R186" s="9">
        <v>365</v>
      </c>
      <c r="S186" s="9" t="s">
        <v>1537</v>
      </c>
    </row>
    <row r="187" spans="1:19" x14ac:dyDescent="0.25">
      <c r="A187" s="9">
        <v>186</v>
      </c>
      <c r="B187" s="9" t="s">
        <v>373</v>
      </c>
      <c r="C187" s="9" t="s">
        <v>2191</v>
      </c>
      <c r="D187" s="9" t="s">
        <v>374</v>
      </c>
      <c r="E187" s="9" t="s">
        <v>138</v>
      </c>
      <c r="F187" s="9">
        <v>40336</v>
      </c>
      <c r="G187" s="9">
        <v>37.700833000000003</v>
      </c>
      <c r="H187" s="9">
        <v>-83.984443999999996</v>
      </c>
      <c r="I187" s="9" t="s">
        <v>1487</v>
      </c>
      <c r="J187" s="9">
        <v>110006749162</v>
      </c>
      <c r="K187" s="9" t="s">
        <v>1542</v>
      </c>
      <c r="L187" s="9" t="s">
        <v>1860</v>
      </c>
      <c r="M187" s="9">
        <v>8711</v>
      </c>
      <c r="N187" s="9" t="s">
        <v>2192</v>
      </c>
      <c r="O187" s="9"/>
      <c r="P187" s="9" t="s">
        <v>1545</v>
      </c>
      <c r="Q187" s="9" t="s">
        <v>1546</v>
      </c>
      <c r="R187" s="9">
        <v>365</v>
      </c>
      <c r="S187" s="9" t="s">
        <v>1537</v>
      </c>
    </row>
    <row r="188" spans="1:19" x14ac:dyDescent="0.25">
      <c r="A188" s="9">
        <v>187</v>
      </c>
      <c r="B188" s="9" t="s">
        <v>317</v>
      </c>
      <c r="C188" s="9" t="s">
        <v>2193</v>
      </c>
      <c r="D188" s="9" t="s">
        <v>318</v>
      </c>
      <c r="E188" s="9" t="s">
        <v>138</v>
      </c>
      <c r="F188" s="9">
        <v>40769</v>
      </c>
      <c r="G188" s="9">
        <v>36.747222000000001</v>
      </c>
      <c r="H188" s="9">
        <v>-84.171943999999996</v>
      </c>
      <c r="I188" s="9" t="s">
        <v>1487</v>
      </c>
      <c r="J188" s="9">
        <v>110006751737</v>
      </c>
      <c r="K188" s="9" t="s">
        <v>1542</v>
      </c>
      <c r="L188" s="9" t="s">
        <v>1860</v>
      </c>
      <c r="M188" s="9">
        <v>4952</v>
      </c>
      <c r="N188" s="9" t="s">
        <v>1544</v>
      </c>
      <c r="O188" s="9"/>
      <c r="P188" s="9" t="s">
        <v>1545</v>
      </c>
      <c r="Q188" s="9" t="s">
        <v>1546</v>
      </c>
      <c r="R188" s="9">
        <v>365</v>
      </c>
      <c r="S188" s="9" t="s">
        <v>1537</v>
      </c>
    </row>
    <row r="189" spans="1:19" x14ac:dyDescent="0.25">
      <c r="A189" s="9">
        <v>188</v>
      </c>
      <c r="B189" s="9" t="s">
        <v>381</v>
      </c>
      <c r="C189" s="9" t="s">
        <v>2194</v>
      </c>
      <c r="D189" s="9" t="s">
        <v>382</v>
      </c>
      <c r="E189" s="9" t="s">
        <v>138</v>
      </c>
      <c r="F189" s="9">
        <v>40031</v>
      </c>
      <c r="G189" s="9">
        <v>38.391995999999999</v>
      </c>
      <c r="H189" s="9">
        <v>-85.416021999999998</v>
      </c>
      <c r="I189" s="9" t="s">
        <v>1487</v>
      </c>
      <c r="J189" s="9">
        <v>110002108059</v>
      </c>
      <c r="K189" s="9" t="s">
        <v>1542</v>
      </c>
      <c r="L189" s="9" t="s">
        <v>1860</v>
      </c>
      <c r="M189" s="9">
        <v>9223</v>
      </c>
      <c r="N189" s="9" t="s">
        <v>2195</v>
      </c>
      <c r="O189" s="9"/>
      <c r="P189" s="9" t="s">
        <v>1545</v>
      </c>
      <c r="Q189" s="9" t="s">
        <v>1546</v>
      </c>
      <c r="R189" s="9">
        <v>365</v>
      </c>
      <c r="S189" s="9" t="s">
        <v>1537</v>
      </c>
    </row>
    <row r="190" spans="1:19" x14ac:dyDescent="0.25">
      <c r="A190" s="9">
        <v>189</v>
      </c>
      <c r="B190" s="9" t="s">
        <v>293</v>
      </c>
      <c r="C190" s="9" t="s">
        <v>2196</v>
      </c>
      <c r="D190" s="9" t="s">
        <v>294</v>
      </c>
      <c r="E190" s="9" t="s">
        <v>138</v>
      </c>
      <c r="F190" s="9">
        <v>40351</v>
      </c>
      <c r="G190" s="9">
        <v>38.151904999999999</v>
      </c>
      <c r="H190" s="9">
        <v>-83.513848999999993</v>
      </c>
      <c r="I190" s="9" t="s">
        <v>1487</v>
      </c>
      <c r="J190" s="9">
        <v>110045085457</v>
      </c>
      <c r="K190" s="9" t="s">
        <v>1542</v>
      </c>
      <c r="L190" s="9" t="s">
        <v>1860</v>
      </c>
      <c r="M190" s="9">
        <v>4952</v>
      </c>
      <c r="N190" s="9" t="s">
        <v>1544</v>
      </c>
      <c r="O190" s="9"/>
      <c r="P190" s="9" t="s">
        <v>1545</v>
      </c>
      <c r="Q190" s="9" t="s">
        <v>1546</v>
      </c>
      <c r="R190" s="9">
        <v>365</v>
      </c>
      <c r="S190" s="9" t="s">
        <v>1537</v>
      </c>
    </row>
    <row r="191" spans="1:19" x14ac:dyDescent="0.25">
      <c r="A191" s="9">
        <v>190</v>
      </c>
      <c r="B191" s="9" t="s">
        <v>251</v>
      </c>
      <c r="C191" s="9" t="s">
        <v>2197</v>
      </c>
      <c r="D191" s="9" t="s">
        <v>252</v>
      </c>
      <c r="E191" s="9" t="s">
        <v>138</v>
      </c>
      <c r="F191" s="9">
        <v>42629</v>
      </c>
      <c r="G191" s="9">
        <v>36.946111000000002</v>
      </c>
      <c r="H191" s="9">
        <v>-85.020832999999996</v>
      </c>
      <c r="I191" s="9" t="s">
        <v>1487</v>
      </c>
      <c r="J191" s="9">
        <v>110000719045</v>
      </c>
      <c r="K191" s="9" t="s">
        <v>1542</v>
      </c>
      <c r="L191" s="9" t="s">
        <v>1860</v>
      </c>
      <c r="M191" s="9">
        <v>4952</v>
      </c>
      <c r="N191" s="9" t="s">
        <v>1544</v>
      </c>
      <c r="O191" s="9"/>
      <c r="P191" s="9" t="s">
        <v>1545</v>
      </c>
      <c r="Q191" s="9" t="s">
        <v>1546</v>
      </c>
      <c r="R191" s="9">
        <v>365</v>
      </c>
      <c r="S191" s="9" t="s">
        <v>1537</v>
      </c>
    </row>
    <row r="192" spans="1:19" x14ac:dyDescent="0.25">
      <c r="A192" s="9">
        <v>191</v>
      </c>
      <c r="B192" s="9" t="s">
        <v>259</v>
      </c>
      <c r="C192" s="9" t="s">
        <v>2198</v>
      </c>
      <c r="D192" s="9" t="s">
        <v>260</v>
      </c>
      <c r="E192" s="9" t="s">
        <v>138</v>
      </c>
      <c r="F192" s="9">
        <v>42240</v>
      </c>
      <c r="G192" s="9">
        <v>36.803610999999997</v>
      </c>
      <c r="H192" s="9">
        <v>-87.516389000000004</v>
      </c>
      <c r="I192" s="9" t="s">
        <v>1487</v>
      </c>
      <c r="J192" s="9">
        <v>110039994897</v>
      </c>
      <c r="K192" s="9" t="s">
        <v>1542</v>
      </c>
      <c r="L192" s="9" t="s">
        <v>1860</v>
      </c>
      <c r="M192" s="9">
        <v>4952</v>
      </c>
      <c r="N192" s="9" t="s">
        <v>1544</v>
      </c>
      <c r="O192" s="9"/>
      <c r="P192" s="9" t="s">
        <v>1545</v>
      </c>
      <c r="Q192" s="9" t="s">
        <v>1546</v>
      </c>
      <c r="R192" s="9">
        <v>365</v>
      </c>
      <c r="S192" s="9" t="s">
        <v>1537</v>
      </c>
    </row>
    <row r="193" spans="1:19" x14ac:dyDescent="0.25">
      <c r="A193" s="9">
        <v>192</v>
      </c>
      <c r="B193" s="9" t="s">
        <v>2199</v>
      </c>
      <c r="C193" s="9" t="s">
        <v>2200</v>
      </c>
      <c r="D193" s="9" t="s">
        <v>2201</v>
      </c>
      <c r="E193" s="9" t="s">
        <v>138</v>
      </c>
      <c r="F193" s="9">
        <v>40831</v>
      </c>
      <c r="G193" s="9">
        <v>36.844166999999999</v>
      </c>
      <c r="H193" s="9">
        <v>-83.371667000000002</v>
      </c>
      <c r="I193" s="9" t="s">
        <v>1487</v>
      </c>
      <c r="J193" s="9">
        <v>110009287841</v>
      </c>
      <c r="K193" s="9" t="s">
        <v>1514</v>
      </c>
      <c r="L193" s="9" t="s">
        <v>2202</v>
      </c>
      <c r="M193" s="9">
        <v>3621</v>
      </c>
      <c r="N193" s="9" t="s">
        <v>2203</v>
      </c>
      <c r="O193" s="9"/>
      <c r="P193" s="9" t="s">
        <v>1545</v>
      </c>
      <c r="Q193" s="9" t="s">
        <v>1546</v>
      </c>
      <c r="R193" s="9">
        <v>365</v>
      </c>
      <c r="S193" s="9" t="s">
        <v>1537</v>
      </c>
    </row>
    <row r="194" spans="1:19" x14ac:dyDescent="0.25">
      <c r="A194" s="9">
        <v>193</v>
      </c>
      <c r="B194" s="9" t="s">
        <v>277</v>
      </c>
      <c r="C194" s="9" t="s">
        <v>2204</v>
      </c>
      <c r="D194" s="9" t="s">
        <v>235</v>
      </c>
      <c r="E194" s="9" t="s">
        <v>138</v>
      </c>
      <c r="F194" s="9">
        <v>40245</v>
      </c>
      <c r="G194" s="9">
        <v>38.236699999999999</v>
      </c>
      <c r="H194" s="9">
        <v>-85.466710000000006</v>
      </c>
      <c r="I194" s="9" t="s">
        <v>1487</v>
      </c>
      <c r="J194" s="9">
        <v>110043486457</v>
      </c>
      <c r="K194" s="9" t="s">
        <v>1542</v>
      </c>
      <c r="L194" s="9" t="s">
        <v>1860</v>
      </c>
      <c r="M194" s="9">
        <v>4952</v>
      </c>
      <c r="N194" s="9" t="s">
        <v>1544</v>
      </c>
      <c r="O194" s="9"/>
      <c r="P194" s="9" t="s">
        <v>1545</v>
      </c>
      <c r="Q194" s="9" t="s">
        <v>1546</v>
      </c>
      <c r="R194" s="9">
        <v>365</v>
      </c>
      <c r="S194" s="9" t="s">
        <v>1537</v>
      </c>
    </row>
    <row r="195" spans="1:19" x14ac:dyDescent="0.25">
      <c r="A195" s="9">
        <v>194</v>
      </c>
      <c r="B195" s="9" t="s">
        <v>1461</v>
      </c>
      <c r="C195" s="9" t="s">
        <v>2205</v>
      </c>
      <c r="D195" s="9" t="s">
        <v>1462</v>
      </c>
      <c r="E195" s="9" t="s">
        <v>138</v>
      </c>
      <c r="F195" s="9">
        <v>41001</v>
      </c>
      <c r="G195" s="9">
        <v>38.947969999999998</v>
      </c>
      <c r="H195" s="9">
        <v>-84.370490000000004</v>
      </c>
      <c r="I195" s="9" t="s">
        <v>1487</v>
      </c>
      <c r="J195" s="9">
        <v>110013680837</v>
      </c>
      <c r="K195" s="9" t="s">
        <v>1542</v>
      </c>
      <c r="L195" s="9" t="s">
        <v>1860</v>
      </c>
      <c r="M195" s="9">
        <v>4952</v>
      </c>
      <c r="N195" s="9" t="s">
        <v>1544</v>
      </c>
      <c r="O195" s="9"/>
      <c r="P195" s="9" t="s">
        <v>1545</v>
      </c>
      <c r="Q195" s="9" t="s">
        <v>1546</v>
      </c>
      <c r="R195" s="9">
        <v>365</v>
      </c>
      <c r="S195" s="9" t="s">
        <v>1537</v>
      </c>
    </row>
    <row r="196" spans="1:19" x14ac:dyDescent="0.25">
      <c r="A196" s="9">
        <v>195</v>
      </c>
      <c r="B196" s="9" t="s">
        <v>413</v>
      </c>
      <c r="C196" s="9" t="s">
        <v>2206</v>
      </c>
      <c r="D196" s="9" t="s">
        <v>414</v>
      </c>
      <c r="E196" s="9" t="s">
        <v>138</v>
      </c>
      <c r="F196" s="9">
        <v>41080</v>
      </c>
      <c r="G196" s="9">
        <v>39.00703</v>
      </c>
      <c r="H196" s="9">
        <v>-84.841210000000004</v>
      </c>
      <c r="I196" s="9" t="s">
        <v>1487</v>
      </c>
      <c r="J196" s="9">
        <v>110055043705</v>
      </c>
      <c r="K196" s="9" t="s">
        <v>1542</v>
      </c>
      <c r="L196" s="9" t="s">
        <v>1860</v>
      </c>
      <c r="M196" s="9">
        <v>4952</v>
      </c>
      <c r="N196" s="9" t="s">
        <v>1544</v>
      </c>
      <c r="O196" s="9"/>
      <c r="P196" s="9" t="s">
        <v>1545</v>
      </c>
      <c r="Q196" s="9" t="s">
        <v>1546</v>
      </c>
      <c r="R196" s="9">
        <v>365</v>
      </c>
      <c r="S196" s="9" t="s">
        <v>1537</v>
      </c>
    </row>
    <row r="197" spans="1:19" x14ac:dyDescent="0.25">
      <c r="A197" s="9">
        <v>196</v>
      </c>
      <c r="B197" s="9" t="s">
        <v>2207</v>
      </c>
      <c r="C197" s="9" t="s">
        <v>2208</v>
      </c>
      <c r="D197" s="9" t="s">
        <v>2209</v>
      </c>
      <c r="E197" s="9" t="s">
        <v>364</v>
      </c>
      <c r="F197" s="9" t="s">
        <v>2210</v>
      </c>
      <c r="G197" s="9">
        <v>38.082917000000002</v>
      </c>
      <c r="H197" s="9">
        <v>-75.602999999999994</v>
      </c>
      <c r="I197" s="9" t="s">
        <v>1487</v>
      </c>
      <c r="J197" s="9">
        <v>110008479397</v>
      </c>
      <c r="K197" s="9" t="s">
        <v>72</v>
      </c>
      <c r="L197" s="9" t="s">
        <v>2211</v>
      </c>
      <c r="M197" s="9">
        <v>5149</v>
      </c>
      <c r="N197" s="9" t="s">
        <v>2212</v>
      </c>
      <c r="O197" s="9"/>
      <c r="P197" s="9" t="s">
        <v>1545</v>
      </c>
      <c r="Q197" s="9" t="s">
        <v>1546</v>
      </c>
      <c r="R197" s="9">
        <v>250</v>
      </c>
      <c r="S197" s="9" t="s">
        <v>1537</v>
      </c>
    </row>
    <row r="198" spans="1:19" x14ac:dyDescent="0.25">
      <c r="A198" s="9">
        <v>197</v>
      </c>
      <c r="B198" s="9" t="s">
        <v>2213</v>
      </c>
      <c r="C198" s="9" t="s">
        <v>2214</v>
      </c>
      <c r="D198" s="9" t="s">
        <v>2215</v>
      </c>
      <c r="E198" s="9" t="s">
        <v>1507</v>
      </c>
      <c r="F198" s="9">
        <v>4474</v>
      </c>
      <c r="G198" s="9">
        <v>44.740049999999997</v>
      </c>
      <c r="H198" s="9">
        <v>-68.824690000000004</v>
      </c>
      <c r="I198" s="9" t="s">
        <v>1487</v>
      </c>
      <c r="J198" s="9">
        <v>110000314598</v>
      </c>
      <c r="K198" s="9" t="s">
        <v>1553</v>
      </c>
      <c r="L198" s="9" t="s">
        <v>1936</v>
      </c>
      <c r="M198" s="9">
        <v>2812</v>
      </c>
      <c r="N198" s="9" t="s">
        <v>2216</v>
      </c>
      <c r="O198" s="9"/>
      <c r="P198" s="9" t="s">
        <v>1545</v>
      </c>
      <c r="Q198" s="9" t="s">
        <v>1546</v>
      </c>
      <c r="R198" s="9">
        <v>350</v>
      </c>
      <c r="S198" s="9" t="s">
        <v>1537</v>
      </c>
    </row>
    <row r="199" spans="1:19" x14ac:dyDescent="0.25">
      <c r="A199" s="9">
        <v>198</v>
      </c>
      <c r="B199" s="9" t="s">
        <v>2217</v>
      </c>
      <c r="C199" s="9" t="s">
        <v>2218</v>
      </c>
      <c r="D199" s="9" t="s">
        <v>2219</v>
      </c>
      <c r="E199" s="9" t="s">
        <v>118</v>
      </c>
      <c r="F199" s="9">
        <v>49058</v>
      </c>
      <c r="G199" s="9">
        <v>42.681199999999997</v>
      </c>
      <c r="H199" s="9">
        <v>-85.296899999999994</v>
      </c>
      <c r="I199" s="9" t="s">
        <v>1487</v>
      </c>
      <c r="J199" s="9">
        <v>110034151450</v>
      </c>
      <c r="K199" s="9" t="s">
        <v>1703</v>
      </c>
      <c r="L199" s="9" t="s">
        <v>2046</v>
      </c>
      <c r="M199" s="9">
        <v>4953</v>
      </c>
      <c r="N199" s="9" t="s">
        <v>1954</v>
      </c>
      <c r="O199" s="9"/>
      <c r="P199" s="9" t="s">
        <v>1545</v>
      </c>
      <c r="Q199" s="9" t="s">
        <v>1546</v>
      </c>
      <c r="R199" s="9">
        <v>250</v>
      </c>
      <c r="S199" s="9" t="s">
        <v>1537</v>
      </c>
    </row>
    <row r="200" spans="1:19" x14ac:dyDescent="0.25">
      <c r="A200" s="9">
        <v>199</v>
      </c>
      <c r="B200" s="9" t="s">
        <v>2220</v>
      </c>
      <c r="C200" s="9" t="s">
        <v>2221</v>
      </c>
      <c r="D200" s="9" t="s">
        <v>258</v>
      </c>
      <c r="E200" s="9" t="s">
        <v>170</v>
      </c>
      <c r="F200" s="9">
        <v>63401</v>
      </c>
      <c r="G200" s="9">
        <v>39.679130000000001</v>
      </c>
      <c r="H200" s="9">
        <v>-91.314239999999998</v>
      </c>
      <c r="I200" s="9" t="s">
        <v>2222</v>
      </c>
      <c r="J200" s="9">
        <v>110000595981</v>
      </c>
      <c r="K200" s="9" t="s">
        <v>1514</v>
      </c>
      <c r="L200" s="9" t="s">
        <v>2223</v>
      </c>
      <c r="M200" s="9">
        <v>3241</v>
      </c>
      <c r="N200" s="9" t="s">
        <v>2224</v>
      </c>
      <c r="O200" s="9"/>
      <c r="P200" s="9" t="s">
        <v>1545</v>
      </c>
      <c r="Q200" s="9" t="s">
        <v>1546</v>
      </c>
      <c r="R200" s="9">
        <v>365</v>
      </c>
      <c r="S200" s="9" t="s">
        <v>1537</v>
      </c>
    </row>
    <row r="201" spans="1:19" x14ac:dyDescent="0.25">
      <c r="A201" s="9">
        <v>200</v>
      </c>
      <c r="B201" s="9" t="s">
        <v>1423</v>
      </c>
      <c r="C201" s="9" t="s">
        <v>2225</v>
      </c>
      <c r="D201" s="9" t="s">
        <v>1424</v>
      </c>
      <c r="E201" s="9" t="s">
        <v>153</v>
      </c>
      <c r="F201" s="9" t="s">
        <v>2226</v>
      </c>
      <c r="G201" s="9">
        <v>39.766944000000002</v>
      </c>
      <c r="H201" s="9">
        <v>-75.421361000000005</v>
      </c>
      <c r="I201" s="9" t="s">
        <v>2227</v>
      </c>
      <c r="J201" s="9">
        <v>110041022274</v>
      </c>
      <c r="K201" s="9" t="s">
        <v>1553</v>
      </c>
      <c r="L201" s="9" t="s">
        <v>1939</v>
      </c>
      <c r="M201" s="9">
        <v>2821</v>
      </c>
      <c r="N201" s="9" t="s">
        <v>1560</v>
      </c>
      <c r="O201" s="9"/>
      <c r="P201" s="9" t="s">
        <v>1545</v>
      </c>
      <c r="Q201" s="9" t="s">
        <v>1546</v>
      </c>
      <c r="R201" s="9">
        <v>350</v>
      </c>
      <c r="S201" s="9" t="s">
        <v>1537</v>
      </c>
    </row>
    <row r="202" spans="1:19" x14ac:dyDescent="0.25">
      <c r="A202" s="9">
        <v>201</v>
      </c>
      <c r="B202" s="9" t="s">
        <v>191</v>
      </c>
      <c r="C202" s="9" t="s">
        <v>2228</v>
      </c>
      <c r="D202" s="9" t="s">
        <v>192</v>
      </c>
      <c r="E202" s="9" t="s">
        <v>153</v>
      </c>
      <c r="F202" s="9">
        <v>80271164</v>
      </c>
      <c r="G202" s="9">
        <v>39.827696000000003</v>
      </c>
      <c r="H202" s="9">
        <v>-75.277782000000002</v>
      </c>
      <c r="I202" s="9" t="s">
        <v>1487</v>
      </c>
      <c r="J202" s="9">
        <v>110070210457</v>
      </c>
      <c r="K202" s="9" t="s">
        <v>1514</v>
      </c>
      <c r="L202" s="9" t="s">
        <v>2229</v>
      </c>
      <c r="M202" s="9">
        <v>2869</v>
      </c>
      <c r="N202" s="9" t="s">
        <v>1577</v>
      </c>
      <c r="O202" s="9"/>
      <c r="P202" s="9" t="s">
        <v>1545</v>
      </c>
      <c r="Q202" s="9" t="s">
        <v>1546</v>
      </c>
      <c r="R202" s="9">
        <v>365</v>
      </c>
      <c r="S202" s="9" t="s">
        <v>1537</v>
      </c>
    </row>
    <row r="203" spans="1:19" x14ac:dyDescent="0.25">
      <c r="A203" s="9">
        <v>202</v>
      </c>
      <c r="B203" s="9" t="s">
        <v>2230</v>
      </c>
      <c r="C203" s="9" t="s">
        <v>2231</v>
      </c>
      <c r="D203" s="9" t="s">
        <v>152</v>
      </c>
      <c r="E203" s="9" t="s">
        <v>153</v>
      </c>
      <c r="F203" s="9">
        <v>8014</v>
      </c>
      <c r="G203" s="9">
        <v>39.799250000000001</v>
      </c>
      <c r="H203" s="9">
        <v>-75.33296</v>
      </c>
      <c r="I203" s="9" t="s">
        <v>1487</v>
      </c>
      <c r="J203" s="9">
        <v>110009721836</v>
      </c>
      <c r="K203" s="9" t="s">
        <v>1514</v>
      </c>
      <c r="L203" s="9" t="s">
        <v>2232</v>
      </c>
      <c r="M203" s="9">
        <v>4213</v>
      </c>
      <c r="N203" s="9" t="s">
        <v>2233</v>
      </c>
      <c r="O203" s="9"/>
      <c r="P203" s="9" t="s">
        <v>1545</v>
      </c>
      <c r="Q203" s="9" t="s">
        <v>1546</v>
      </c>
      <c r="R203" s="9">
        <v>365</v>
      </c>
      <c r="S203" s="9" t="s">
        <v>1537</v>
      </c>
    </row>
    <row r="204" spans="1:19" x14ac:dyDescent="0.25">
      <c r="A204" s="9">
        <v>203</v>
      </c>
      <c r="B204" s="9" t="s">
        <v>2234</v>
      </c>
      <c r="C204" s="9" t="s">
        <v>2235</v>
      </c>
      <c r="D204" s="9" t="s">
        <v>2236</v>
      </c>
      <c r="E204" s="9" t="s">
        <v>367</v>
      </c>
      <c r="F204" s="9">
        <v>86033</v>
      </c>
      <c r="G204" s="9">
        <v>36.733111000000001</v>
      </c>
      <c r="H204" s="9">
        <v>-110.230611</v>
      </c>
      <c r="I204" s="9" t="s">
        <v>1487</v>
      </c>
      <c r="J204" s="9">
        <v>110010062699</v>
      </c>
      <c r="K204" s="9" t="s">
        <v>1542</v>
      </c>
      <c r="L204" s="9" t="s">
        <v>1860</v>
      </c>
      <c r="M204" s="9">
        <v>4952</v>
      </c>
      <c r="N204" s="9" t="s">
        <v>1544</v>
      </c>
      <c r="O204" s="9"/>
      <c r="P204" s="9" t="s">
        <v>1545</v>
      </c>
      <c r="Q204" s="9" t="s">
        <v>1546</v>
      </c>
      <c r="R204" s="9">
        <v>365</v>
      </c>
      <c r="S204" s="9" t="s">
        <v>1537</v>
      </c>
    </row>
    <row r="205" spans="1:19" x14ac:dyDescent="0.25">
      <c r="A205" s="9">
        <v>204</v>
      </c>
      <c r="B205" s="9" t="s">
        <v>2237</v>
      </c>
      <c r="C205" s="9" t="s">
        <v>2238</v>
      </c>
      <c r="D205" s="9" t="s">
        <v>1868</v>
      </c>
      <c r="E205" s="9" t="s">
        <v>367</v>
      </c>
      <c r="F205" s="9">
        <v>86004</v>
      </c>
      <c r="G205" s="9">
        <v>35.167265999999998</v>
      </c>
      <c r="H205" s="9">
        <v>-111.258888</v>
      </c>
      <c r="I205" s="9" t="s">
        <v>1487</v>
      </c>
      <c r="J205" s="9">
        <v>110059716776</v>
      </c>
      <c r="K205" s="9" t="s">
        <v>1542</v>
      </c>
      <c r="L205" s="9" t="s">
        <v>1860</v>
      </c>
      <c r="M205" s="9">
        <v>4952</v>
      </c>
      <c r="N205" s="9" t="s">
        <v>1544</v>
      </c>
      <c r="O205" s="9"/>
      <c r="P205" s="9" t="s">
        <v>1545</v>
      </c>
      <c r="Q205" s="9" t="s">
        <v>1546</v>
      </c>
      <c r="R205" s="9">
        <v>365</v>
      </c>
      <c r="S205" s="9" t="s">
        <v>1537</v>
      </c>
    </row>
    <row r="206" spans="1:19" x14ac:dyDescent="0.25">
      <c r="A206" s="9">
        <v>205</v>
      </c>
      <c r="B206" s="9" t="s">
        <v>1421</v>
      </c>
      <c r="C206" s="9" t="s">
        <v>2239</v>
      </c>
      <c r="D206" s="9" t="s">
        <v>157</v>
      </c>
      <c r="E206" s="9" t="s">
        <v>158</v>
      </c>
      <c r="F206" s="9">
        <v>89119</v>
      </c>
      <c r="G206" s="9">
        <v>36.074100000000001</v>
      </c>
      <c r="H206" s="9">
        <v>-115.17274</v>
      </c>
      <c r="I206" s="9" t="s">
        <v>1487</v>
      </c>
      <c r="J206" s="9">
        <v>110041903223</v>
      </c>
      <c r="K206" s="9" t="s">
        <v>72</v>
      </c>
      <c r="L206" s="9">
        <v>0</v>
      </c>
      <c r="M206" s="9">
        <v>5541</v>
      </c>
      <c r="N206" s="9" t="s">
        <v>2079</v>
      </c>
      <c r="O206" s="9"/>
      <c r="P206" s="9" t="s">
        <v>1545</v>
      </c>
      <c r="Q206" s="9" t="s">
        <v>1546</v>
      </c>
      <c r="R206" s="9">
        <v>250</v>
      </c>
      <c r="S206" s="9" t="s">
        <v>1537</v>
      </c>
    </row>
    <row r="207" spans="1:19" x14ac:dyDescent="0.25">
      <c r="A207" s="9">
        <v>206</v>
      </c>
      <c r="B207" s="9" t="s">
        <v>2240</v>
      </c>
      <c r="C207" s="9" t="s">
        <v>2241</v>
      </c>
      <c r="D207" s="9" t="s">
        <v>1719</v>
      </c>
      <c r="E207" s="9" t="s">
        <v>250</v>
      </c>
      <c r="F207" s="9">
        <v>13502</v>
      </c>
      <c r="G207" s="9">
        <v>43.089840000000002</v>
      </c>
      <c r="H207" s="9">
        <v>-75.280265</v>
      </c>
      <c r="I207" s="9" t="s">
        <v>2242</v>
      </c>
      <c r="J207" s="9">
        <v>110000738916</v>
      </c>
      <c r="K207" s="9" t="s">
        <v>1514</v>
      </c>
      <c r="L207" s="9" t="s">
        <v>2243</v>
      </c>
      <c r="M207" s="9">
        <v>3369</v>
      </c>
      <c r="N207" s="9" t="s">
        <v>2244</v>
      </c>
      <c r="O207" s="9"/>
      <c r="P207" s="9" t="s">
        <v>1545</v>
      </c>
      <c r="Q207" s="9" t="s">
        <v>1546</v>
      </c>
      <c r="R207" s="9">
        <v>365</v>
      </c>
      <c r="S207" s="9" t="s">
        <v>1537</v>
      </c>
    </row>
    <row r="208" spans="1:19" x14ac:dyDescent="0.25">
      <c r="A208" s="9">
        <v>207</v>
      </c>
      <c r="B208" s="9" t="s">
        <v>2245</v>
      </c>
      <c r="C208" s="9" t="s">
        <v>2246</v>
      </c>
      <c r="D208" s="9" t="s">
        <v>2247</v>
      </c>
      <c r="E208" s="9" t="s">
        <v>268</v>
      </c>
      <c r="F208" s="9">
        <v>19067</v>
      </c>
      <c r="G208" s="9">
        <v>40.159343999999997</v>
      </c>
      <c r="H208" s="9">
        <v>-74.776695000000004</v>
      </c>
      <c r="I208" s="9" t="s">
        <v>1487</v>
      </c>
      <c r="J208" s="9">
        <v>110000817439</v>
      </c>
      <c r="K208" s="9" t="s">
        <v>1703</v>
      </c>
      <c r="L208" s="9" t="s">
        <v>1953</v>
      </c>
      <c r="M208" s="9">
        <v>4953</v>
      </c>
      <c r="N208" s="9" t="s">
        <v>1954</v>
      </c>
      <c r="O208" s="9"/>
      <c r="P208" s="9" t="s">
        <v>1545</v>
      </c>
      <c r="Q208" s="9" t="s">
        <v>1546</v>
      </c>
      <c r="R208" s="9">
        <v>250</v>
      </c>
      <c r="S208" s="9" t="s">
        <v>1537</v>
      </c>
    </row>
    <row r="209" spans="1:19" x14ac:dyDescent="0.25">
      <c r="A209" s="9">
        <v>208</v>
      </c>
      <c r="B209" s="9" t="s">
        <v>2248</v>
      </c>
      <c r="C209" s="9" t="s">
        <v>2249</v>
      </c>
      <c r="D209" s="9" t="s">
        <v>2250</v>
      </c>
      <c r="E209" s="9" t="s">
        <v>110</v>
      </c>
      <c r="F209" s="9">
        <v>22203</v>
      </c>
      <c r="G209" s="9">
        <v>38.861800000000002</v>
      </c>
      <c r="H209" s="9">
        <v>-77.086969999999994</v>
      </c>
      <c r="I209" s="9" t="s">
        <v>1487</v>
      </c>
      <c r="J209" s="9">
        <v>110070546877</v>
      </c>
      <c r="K209" s="9" t="s">
        <v>72</v>
      </c>
      <c r="L209" s="9" t="s">
        <v>2251</v>
      </c>
      <c r="M209" s="9">
        <v>1794</v>
      </c>
      <c r="N209" s="9" t="s">
        <v>2252</v>
      </c>
      <c r="O209" s="9"/>
      <c r="P209" s="9" t="s">
        <v>1545</v>
      </c>
      <c r="Q209" s="9" t="s">
        <v>1546</v>
      </c>
      <c r="R209" s="9">
        <v>250</v>
      </c>
      <c r="S209" s="9" t="s">
        <v>1537</v>
      </c>
    </row>
    <row r="210" spans="1:19" x14ac:dyDescent="0.25">
      <c r="A210" s="9">
        <v>209</v>
      </c>
      <c r="B210" s="9" t="s">
        <v>2253</v>
      </c>
      <c r="C210" s="9" t="s">
        <v>2254</v>
      </c>
      <c r="D210" s="9" t="s">
        <v>2255</v>
      </c>
      <c r="E210" s="9" t="s">
        <v>110</v>
      </c>
      <c r="F210" s="9">
        <v>22801</v>
      </c>
      <c r="G210" s="9">
        <v>38.399251</v>
      </c>
      <c r="H210" s="9">
        <v>-78.895669999999996</v>
      </c>
      <c r="I210" s="9" t="s">
        <v>1487</v>
      </c>
      <c r="J210" s="9">
        <v>110070544905</v>
      </c>
      <c r="K210" s="9" t="s">
        <v>1703</v>
      </c>
      <c r="L210" s="9" t="s">
        <v>1953</v>
      </c>
      <c r="M210" s="9">
        <v>4953</v>
      </c>
      <c r="N210" s="9" t="s">
        <v>1954</v>
      </c>
      <c r="O210" s="9"/>
      <c r="P210" s="9" t="s">
        <v>1545</v>
      </c>
      <c r="Q210" s="9" t="s">
        <v>1546</v>
      </c>
      <c r="R210" s="9">
        <v>250</v>
      </c>
      <c r="S210" s="9" t="s">
        <v>1537</v>
      </c>
    </row>
    <row r="211" spans="1:19" x14ac:dyDescent="0.25">
      <c r="A211" s="9">
        <v>210</v>
      </c>
      <c r="B211" s="9" t="s">
        <v>2256</v>
      </c>
      <c r="C211" s="9" t="s">
        <v>2257</v>
      </c>
      <c r="D211" s="9" t="s">
        <v>2250</v>
      </c>
      <c r="E211" s="9" t="s">
        <v>110</v>
      </c>
      <c r="F211" s="9">
        <v>22203</v>
      </c>
      <c r="G211" s="9">
        <v>38.882449999999999</v>
      </c>
      <c r="H211" s="9">
        <v>-77.108000000000004</v>
      </c>
      <c r="I211" s="9" t="s">
        <v>1487</v>
      </c>
      <c r="J211" s="9">
        <v>110070549382</v>
      </c>
      <c r="K211" s="9" t="s">
        <v>72</v>
      </c>
      <c r="L211" s="9" t="s">
        <v>2258</v>
      </c>
      <c r="M211" s="9">
        <v>1794</v>
      </c>
      <c r="N211" s="9" t="s">
        <v>2252</v>
      </c>
      <c r="O211" s="9"/>
      <c r="P211" s="9" t="s">
        <v>1545</v>
      </c>
      <c r="Q211" s="9" t="s">
        <v>1546</v>
      </c>
      <c r="R211" s="9">
        <v>250</v>
      </c>
      <c r="S211" s="9" t="s">
        <v>1537</v>
      </c>
    </row>
    <row r="212" spans="1:19" x14ac:dyDescent="0.25">
      <c r="A212" s="9">
        <v>211</v>
      </c>
      <c r="B212" s="9" t="s">
        <v>144</v>
      </c>
      <c r="C212" s="9" t="s">
        <v>2259</v>
      </c>
      <c r="D212" s="9" t="s">
        <v>145</v>
      </c>
      <c r="E212" s="9" t="s">
        <v>146</v>
      </c>
      <c r="F212" s="9">
        <v>96021</v>
      </c>
      <c r="G212" s="9">
        <v>39.916111000000001</v>
      </c>
      <c r="H212" s="9">
        <v>-122.104444</v>
      </c>
      <c r="I212" s="9" t="s">
        <v>1487</v>
      </c>
      <c r="J212" s="9">
        <v>110000730451</v>
      </c>
      <c r="K212" s="9" t="s">
        <v>1542</v>
      </c>
      <c r="L212" s="9" t="s">
        <v>1860</v>
      </c>
      <c r="M212" s="9">
        <v>4952</v>
      </c>
      <c r="N212" s="9" t="s">
        <v>1544</v>
      </c>
      <c r="O212" s="9"/>
      <c r="P212" s="9" t="s">
        <v>1545</v>
      </c>
      <c r="Q212" s="9" t="s">
        <v>1546</v>
      </c>
      <c r="R212" s="9">
        <v>365</v>
      </c>
      <c r="S212" s="9" t="s">
        <v>1537</v>
      </c>
    </row>
    <row r="213" spans="1:19" x14ac:dyDescent="0.25">
      <c r="A213" s="9">
        <v>212</v>
      </c>
      <c r="B213" s="9" t="s">
        <v>176</v>
      </c>
      <c r="C213" s="9" t="s">
        <v>2260</v>
      </c>
      <c r="D213" s="9" t="s">
        <v>177</v>
      </c>
      <c r="E213" s="9" t="s">
        <v>146</v>
      </c>
      <c r="F213" s="9" t="s">
        <v>2261</v>
      </c>
      <c r="G213" s="9">
        <v>38.368760000000002</v>
      </c>
      <c r="H213" s="9">
        <v>-122.76860000000001</v>
      </c>
      <c r="I213" s="9" t="s">
        <v>1487</v>
      </c>
      <c r="J213" s="9">
        <v>110000730460</v>
      </c>
      <c r="K213" s="9" t="s">
        <v>1542</v>
      </c>
      <c r="L213" s="9" t="s">
        <v>1860</v>
      </c>
      <c r="M213" s="9">
        <v>4952</v>
      </c>
      <c r="N213" s="9" t="s">
        <v>1544</v>
      </c>
      <c r="O213" s="9"/>
      <c r="P213" s="9" t="s">
        <v>1545</v>
      </c>
      <c r="Q213" s="9" t="s">
        <v>1546</v>
      </c>
      <c r="R213" s="9">
        <v>365</v>
      </c>
      <c r="S213" s="9" t="s">
        <v>1537</v>
      </c>
    </row>
    <row r="214" spans="1:19" x14ac:dyDescent="0.25">
      <c r="A214" s="9">
        <v>213</v>
      </c>
      <c r="B214" s="9" t="s">
        <v>2262</v>
      </c>
      <c r="C214" s="9" t="s">
        <v>2263</v>
      </c>
      <c r="D214" s="9" t="s">
        <v>1409</v>
      </c>
      <c r="E214" s="9" t="s">
        <v>146</v>
      </c>
      <c r="F214" s="9" t="s">
        <v>2264</v>
      </c>
      <c r="G214" s="9">
        <v>37.499200000000002</v>
      </c>
      <c r="H214" s="9">
        <v>-122.411</v>
      </c>
      <c r="I214" s="9" t="s">
        <v>1487</v>
      </c>
      <c r="J214" s="9">
        <v>110005972965</v>
      </c>
      <c r="K214" s="9" t="s">
        <v>1703</v>
      </c>
      <c r="L214" s="9" t="s">
        <v>1953</v>
      </c>
      <c r="M214" s="9">
        <v>4953</v>
      </c>
      <c r="N214" s="9" t="s">
        <v>1954</v>
      </c>
      <c r="O214" s="9"/>
      <c r="P214" s="9" t="s">
        <v>1545</v>
      </c>
      <c r="Q214" s="9" t="s">
        <v>1546</v>
      </c>
      <c r="R214" s="9">
        <v>250</v>
      </c>
      <c r="S214" s="9" t="s">
        <v>1537</v>
      </c>
    </row>
    <row r="215" spans="1:19" x14ac:dyDescent="0.25">
      <c r="A215" s="9">
        <v>214</v>
      </c>
      <c r="B215" s="9" t="s">
        <v>284</v>
      </c>
      <c r="C215" s="9" t="s">
        <v>2265</v>
      </c>
      <c r="D215" s="9" t="s">
        <v>285</v>
      </c>
      <c r="E215" s="9" t="s">
        <v>146</v>
      </c>
      <c r="F215" s="9">
        <v>94128</v>
      </c>
      <c r="G215" s="9">
        <v>37.636249999999997</v>
      </c>
      <c r="H215" s="9">
        <v>-122.38583</v>
      </c>
      <c r="I215" s="9" t="s">
        <v>1487</v>
      </c>
      <c r="J215" s="9">
        <v>110064622519</v>
      </c>
      <c r="K215" s="9" t="s">
        <v>1542</v>
      </c>
      <c r="L215" s="9" t="s">
        <v>1860</v>
      </c>
      <c r="M215" s="9">
        <v>4952</v>
      </c>
      <c r="N215" s="9" t="s">
        <v>1544</v>
      </c>
      <c r="O215" s="9"/>
      <c r="P215" s="9" t="s">
        <v>1545</v>
      </c>
      <c r="Q215" s="9" t="s">
        <v>1546</v>
      </c>
      <c r="R215" s="9">
        <v>365</v>
      </c>
      <c r="S215" s="9" t="s">
        <v>1537</v>
      </c>
    </row>
    <row r="216" spans="1:19" x14ac:dyDescent="0.25">
      <c r="A216" s="9">
        <v>215</v>
      </c>
      <c r="B216" s="9" t="s">
        <v>306</v>
      </c>
      <c r="C216" s="9" t="s">
        <v>2266</v>
      </c>
      <c r="D216" s="9" t="s">
        <v>183</v>
      </c>
      <c r="E216" s="9" t="s">
        <v>146</v>
      </c>
      <c r="F216" s="9">
        <v>94806</v>
      </c>
      <c r="G216" s="9">
        <v>37.977150000000002</v>
      </c>
      <c r="H216" s="9">
        <v>-122.33269</v>
      </c>
      <c r="I216" s="9" t="s">
        <v>1487</v>
      </c>
      <c r="J216" s="9">
        <v>110064252419</v>
      </c>
      <c r="K216" s="9" t="s">
        <v>1542</v>
      </c>
      <c r="L216" s="9" t="s">
        <v>1860</v>
      </c>
      <c r="M216" s="9">
        <v>4952</v>
      </c>
      <c r="N216" s="9" t="s">
        <v>1544</v>
      </c>
      <c r="O216" s="9"/>
      <c r="P216" s="9" t="s">
        <v>1545</v>
      </c>
      <c r="Q216" s="9" t="s">
        <v>1546</v>
      </c>
      <c r="R216" s="9">
        <v>365</v>
      </c>
      <c r="S216" s="9" t="s">
        <v>1537</v>
      </c>
    </row>
    <row r="217" spans="1:19" x14ac:dyDescent="0.25">
      <c r="A217" s="9">
        <v>216</v>
      </c>
      <c r="B217" s="9" t="s">
        <v>337</v>
      </c>
      <c r="C217" s="9" t="s">
        <v>2267</v>
      </c>
      <c r="D217" s="9" t="s">
        <v>338</v>
      </c>
      <c r="E217" s="9" t="s">
        <v>146</v>
      </c>
      <c r="F217" s="9">
        <v>956409626</v>
      </c>
      <c r="G217" s="9">
        <v>38.273180000000004</v>
      </c>
      <c r="H217" s="9">
        <v>-120.91082</v>
      </c>
      <c r="I217" s="9" t="s">
        <v>1487</v>
      </c>
      <c r="J217" s="9">
        <v>110064616296</v>
      </c>
      <c r="K217" s="9" t="s">
        <v>1542</v>
      </c>
      <c r="L217" s="9" t="s">
        <v>1860</v>
      </c>
      <c r="M217" s="9">
        <v>4952</v>
      </c>
      <c r="N217" s="9" t="s">
        <v>1544</v>
      </c>
      <c r="O217" s="9"/>
      <c r="P217" s="9" t="s">
        <v>1545</v>
      </c>
      <c r="Q217" s="9" t="s">
        <v>1546</v>
      </c>
      <c r="R217" s="9">
        <v>365</v>
      </c>
      <c r="S217" s="9" t="s">
        <v>1537</v>
      </c>
    </row>
    <row r="218" spans="1:19" x14ac:dyDescent="0.25">
      <c r="A218" s="9">
        <v>217</v>
      </c>
      <c r="B218" s="9" t="s">
        <v>2268</v>
      </c>
      <c r="C218" s="9" t="s">
        <v>2269</v>
      </c>
      <c r="D218" s="9" t="s">
        <v>2270</v>
      </c>
      <c r="E218" s="9" t="s">
        <v>146</v>
      </c>
      <c r="F218" s="9" t="s">
        <v>2271</v>
      </c>
      <c r="G218" s="9">
        <v>33.801231000000001</v>
      </c>
      <c r="H218" s="9">
        <v>-118.25785999999999</v>
      </c>
      <c r="I218" s="9" t="s">
        <v>1487</v>
      </c>
      <c r="J218" s="9">
        <v>110000746649</v>
      </c>
      <c r="K218" s="9" t="s">
        <v>1630</v>
      </c>
      <c r="L218" s="9" t="s">
        <v>2272</v>
      </c>
      <c r="M218" s="9">
        <v>5171</v>
      </c>
      <c r="N218" s="9" t="s">
        <v>2273</v>
      </c>
      <c r="O218" s="9"/>
      <c r="P218" s="9" t="s">
        <v>1545</v>
      </c>
      <c r="Q218" s="9" t="s">
        <v>1546</v>
      </c>
      <c r="R218" s="9">
        <v>0</v>
      </c>
      <c r="S218" s="9" t="s">
        <v>1537</v>
      </c>
    </row>
    <row r="219" spans="1:19" x14ac:dyDescent="0.25">
      <c r="A219" s="9">
        <v>218</v>
      </c>
      <c r="B219" s="9" t="s">
        <v>360</v>
      </c>
      <c r="C219" s="9" t="s">
        <v>2274</v>
      </c>
      <c r="D219" s="9" t="s">
        <v>361</v>
      </c>
      <c r="E219" s="9" t="s">
        <v>146</v>
      </c>
      <c r="F219" s="9">
        <v>90744</v>
      </c>
      <c r="G219" s="9">
        <v>33.791108999999999</v>
      </c>
      <c r="H219" s="9">
        <v>-118.244609</v>
      </c>
      <c r="I219" s="9" t="s">
        <v>1487</v>
      </c>
      <c r="J219" s="9">
        <v>110028243791</v>
      </c>
      <c r="K219" s="9" t="s">
        <v>1630</v>
      </c>
      <c r="L219" s="9" t="s">
        <v>2275</v>
      </c>
      <c r="M219" s="9">
        <v>5171</v>
      </c>
      <c r="N219" s="9" t="s">
        <v>2273</v>
      </c>
      <c r="O219" s="9"/>
      <c r="P219" s="9" t="s">
        <v>1545</v>
      </c>
      <c r="Q219" s="9" t="s">
        <v>1546</v>
      </c>
      <c r="R219" s="9">
        <v>0</v>
      </c>
      <c r="S219" s="9" t="s">
        <v>1537</v>
      </c>
    </row>
    <row r="220" spans="1:19" x14ac:dyDescent="0.25">
      <c r="A220" s="9">
        <v>219</v>
      </c>
      <c r="B220" s="9" t="s">
        <v>210</v>
      </c>
      <c r="C220" s="9" t="s">
        <v>2276</v>
      </c>
      <c r="D220" s="9" t="s">
        <v>211</v>
      </c>
      <c r="E220" s="9" t="s">
        <v>146</v>
      </c>
      <c r="F220" s="9" t="s">
        <v>2277</v>
      </c>
      <c r="G220" s="9">
        <v>33.762349999999998</v>
      </c>
      <c r="H220" s="9">
        <v>-118.241775</v>
      </c>
      <c r="I220" s="9" t="s">
        <v>1487</v>
      </c>
      <c r="J220" s="9">
        <v>110017217545</v>
      </c>
      <c r="K220" s="9" t="s">
        <v>1630</v>
      </c>
      <c r="L220" s="9" t="s">
        <v>2278</v>
      </c>
      <c r="M220" s="9">
        <v>5171</v>
      </c>
      <c r="N220" s="9" t="s">
        <v>2273</v>
      </c>
      <c r="O220" s="9"/>
      <c r="P220" s="9" t="s">
        <v>1545</v>
      </c>
      <c r="Q220" s="9" t="s">
        <v>1546</v>
      </c>
      <c r="R220" s="9">
        <v>0</v>
      </c>
      <c r="S220" s="9" t="s">
        <v>1537</v>
      </c>
    </row>
    <row r="221" spans="1:19" x14ac:dyDescent="0.25">
      <c r="A221" s="9">
        <v>220</v>
      </c>
      <c r="B221" s="9" t="s">
        <v>2279</v>
      </c>
      <c r="C221" s="9" t="s">
        <v>2280</v>
      </c>
      <c r="D221" s="9" t="s">
        <v>2281</v>
      </c>
      <c r="E221" s="9" t="s">
        <v>146</v>
      </c>
      <c r="F221" s="9">
        <v>91320</v>
      </c>
      <c r="G221" s="9">
        <v>34.189751999999999</v>
      </c>
      <c r="H221" s="9">
        <v>-118.94147599999999</v>
      </c>
      <c r="I221" s="9" t="s">
        <v>1487</v>
      </c>
      <c r="J221" s="9">
        <v>110040078279</v>
      </c>
      <c r="K221" s="9" t="s">
        <v>1514</v>
      </c>
      <c r="L221" s="9" t="s">
        <v>2282</v>
      </c>
      <c r="M221" s="9">
        <v>9999</v>
      </c>
      <c r="N221" s="9" t="s">
        <v>1668</v>
      </c>
      <c r="O221" s="9"/>
      <c r="P221" s="9" t="s">
        <v>1545</v>
      </c>
      <c r="Q221" s="9" t="s">
        <v>1546</v>
      </c>
      <c r="R221" s="9">
        <v>365</v>
      </c>
      <c r="S221" s="9" t="s">
        <v>1537</v>
      </c>
    </row>
    <row r="222" spans="1:19" x14ac:dyDescent="0.25">
      <c r="A222" s="9">
        <v>221</v>
      </c>
      <c r="B222" s="9" t="s">
        <v>319</v>
      </c>
      <c r="C222" s="9" t="s">
        <v>2283</v>
      </c>
      <c r="D222" s="9" t="s">
        <v>320</v>
      </c>
      <c r="E222" s="9" t="s">
        <v>146</v>
      </c>
      <c r="F222" s="9">
        <v>96122</v>
      </c>
      <c r="G222" s="9">
        <v>39.805480000000003</v>
      </c>
      <c r="H222" s="9">
        <v>-120.47149</v>
      </c>
      <c r="I222" s="9" t="s">
        <v>1487</v>
      </c>
      <c r="J222" s="9">
        <v>110010058757</v>
      </c>
      <c r="K222" s="9" t="s">
        <v>1542</v>
      </c>
      <c r="L222" s="9" t="s">
        <v>1860</v>
      </c>
      <c r="M222" s="9">
        <v>4952</v>
      </c>
      <c r="N222" s="9" t="s">
        <v>1544</v>
      </c>
      <c r="O222" s="9"/>
      <c r="P222" s="9" t="s">
        <v>1545</v>
      </c>
      <c r="Q222" s="9" t="s">
        <v>1546</v>
      </c>
      <c r="R222" s="9">
        <v>365</v>
      </c>
      <c r="S222" s="9" t="s">
        <v>1537</v>
      </c>
    </row>
    <row r="223" spans="1:19" x14ac:dyDescent="0.25">
      <c r="A223" s="9">
        <v>222</v>
      </c>
      <c r="B223" s="9" t="s">
        <v>1441</v>
      </c>
      <c r="C223" s="9" t="s">
        <v>2284</v>
      </c>
      <c r="D223" s="9" t="s">
        <v>386</v>
      </c>
      <c r="E223" s="9" t="s">
        <v>146</v>
      </c>
      <c r="F223" s="9">
        <v>95959</v>
      </c>
      <c r="G223" s="9">
        <v>39.368808999999999</v>
      </c>
      <c r="H223" s="9">
        <v>-120.898977</v>
      </c>
      <c r="I223" s="9" t="s">
        <v>1487</v>
      </c>
      <c r="J223" s="9">
        <v>110066354359</v>
      </c>
      <c r="K223" s="9" t="s">
        <v>1514</v>
      </c>
      <c r="L223" s="9" t="s">
        <v>2285</v>
      </c>
      <c r="M223" s="9">
        <v>1041</v>
      </c>
      <c r="N223" s="9" t="s">
        <v>2286</v>
      </c>
      <c r="O223" s="9"/>
      <c r="P223" s="9" t="s">
        <v>1545</v>
      </c>
      <c r="Q223" s="9" t="s">
        <v>1546</v>
      </c>
      <c r="R223" s="9">
        <v>365</v>
      </c>
      <c r="S223" s="9" t="s">
        <v>1537</v>
      </c>
    </row>
    <row r="224" spans="1:19" x14ac:dyDescent="0.25">
      <c r="A224" s="9">
        <v>223</v>
      </c>
      <c r="B224" s="9" t="s">
        <v>238</v>
      </c>
      <c r="C224" s="9" t="s">
        <v>2287</v>
      </c>
      <c r="D224" s="9" t="s">
        <v>239</v>
      </c>
      <c r="E224" s="9" t="s">
        <v>146</v>
      </c>
      <c r="F224" s="9">
        <v>92257</v>
      </c>
      <c r="G224" s="9">
        <v>33.227348999999997</v>
      </c>
      <c r="H224" s="9">
        <v>-115.528569</v>
      </c>
      <c r="I224" s="9" t="s">
        <v>1487</v>
      </c>
      <c r="J224" s="9">
        <v>110001177958</v>
      </c>
      <c r="K224" s="9" t="s">
        <v>1542</v>
      </c>
      <c r="L224" s="9" t="s">
        <v>1860</v>
      </c>
      <c r="M224" s="9">
        <v>4952</v>
      </c>
      <c r="N224" s="9" t="s">
        <v>1544</v>
      </c>
      <c r="O224" s="9"/>
      <c r="P224" s="9" t="s">
        <v>1545</v>
      </c>
      <c r="Q224" s="9" t="s">
        <v>1546</v>
      </c>
      <c r="R224" s="9">
        <v>365</v>
      </c>
      <c r="S224" s="9" t="s">
        <v>1537</v>
      </c>
    </row>
    <row r="225" spans="1:19" x14ac:dyDescent="0.25">
      <c r="A225" s="9">
        <v>224</v>
      </c>
      <c r="B225" s="9" t="s">
        <v>2288</v>
      </c>
      <c r="C225" s="9" t="s">
        <v>2289</v>
      </c>
      <c r="D225" s="9" t="s">
        <v>213</v>
      </c>
      <c r="E225" s="9" t="s">
        <v>141</v>
      </c>
      <c r="F225" s="9">
        <v>60439</v>
      </c>
      <c r="G225" s="9">
        <v>41.692782000000001</v>
      </c>
      <c r="H225" s="9">
        <v>-87.951100999999994</v>
      </c>
      <c r="I225" s="9" t="s">
        <v>1487</v>
      </c>
      <c r="J225" s="9">
        <v>110018199377</v>
      </c>
      <c r="K225" s="9" t="s">
        <v>61</v>
      </c>
      <c r="L225" s="9" t="s">
        <v>2127</v>
      </c>
      <c r="M225" s="9">
        <v>4226</v>
      </c>
      <c r="N225" s="9" t="s">
        <v>1745</v>
      </c>
      <c r="O225" s="9"/>
      <c r="P225" s="9" t="s">
        <v>1545</v>
      </c>
      <c r="Q225" s="9" t="s">
        <v>1546</v>
      </c>
      <c r="R225" s="9">
        <v>350</v>
      </c>
      <c r="S225" s="9" t="s">
        <v>1537</v>
      </c>
    </row>
    <row r="226" spans="1:19" x14ac:dyDescent="0.25">
      <c r="A226" s="9">
        <v>225</v>
      </c>
      <c r="B226" s="9" t="s">
        <v>2290</v>
      </c>
      <c r="C226" s="9" t="s">
        <v>2291</v>
      </c>
      <c r="D226" s="9" t="s">
        <v>235</v>
      </c>
      <c r="E226" s="9" t="s">
        <v>138</v>
      </c>
      <c r="F226" s="9">
        <v>402162137</v>
      </c>
      <c r="G226" s="9">
        <v>38.195278000000002</v>
      </c>
      <c r="H226" s="9">
        <v>-85.872221999999994</v>
      </c>
      <c r="I226" s="9" t="s">
        <v>2292</v>
      </c>
      <c r="J226" s="9">
        <v>110000378467</v>
      </c>
      <c r="K226" s="9" t="s">
        <v>1553</v>
      </c>
      <c r="L226" s="9" t="s">
        <v>1928</v>
      </c>
      <c r="M226" s="9">
        <v>2869</v>
      </c>
      <c r="N226" s="9" t="s">
        <v>1577</v>
      </c>
      <c r="O226" s="9"/>
      <c r="P226" s="9" t="s">
        <v>1545</v>
      </c>
      <c r="Q226" s="9" t="s">
        <v>1546</v>
      </c>
      <c r="R226" s="9">
        <v>350</v>
      </c>
      <c r="S226" s="9" t="s">
        <v>1537</v>
      </c>
    </row>
    <row r="227" spans="1:19" x14ac:dyDescent="0.25">
      <c r="A227" s="9">
        <v>226</v>
      </c>
      <c r="B227" s="9" t="s">
        <v>242</v>
      </c>
      <c r="C227" s="9" t="s">
        <v>2293</v>
      </c>
      <c r="D227" s="9" t="s">
        <v>243</v>
      </c>
      <c r="E227" s="9" t="s">
        <v>138</v>
      </c>
      <c r="F227" s="9">
        <v>42276</v>
      </c>
      <c r="G227" s="9">
        <v>36.856732000000001</v>
      </c>
      <c r="H227" s="9">
        <v>-86.889048000000003</v>
      </c>
      <c r="I227" s="9" t="s">
        <v>1487</v>
      </c>
      <c r="J227" s="9">
        <v>110000736730</v>
      </c>
      <c r="K227" s="9" t="s">
        <v>1542</v>
      </c>
      <c r="L227" s="9" t="s">
        <v>1860</v>
      </c>
      <c r="M227" s="9">
        <v>4952</v>
      </c>
      <c r="N227" s="9" t="s">
        <v>1544</v>
      </c>
      <c r="O227" s="9"/>
      <c r="P227" s="9" t="s">
        <v>1545</v>
      </c>
      <c r="Q227" s="9" t="s">
        <v>1546</v>
      </c>
      <c r="R227" s="9">
        <v>365</v>
      </c>
      <c r="S227" s="9" t="s">
        <v>1537</v>
      </c>
    </row>
    <row r="228" spans="1:19" x14ac:dyDescent="0.25">
      <c r="A228" s="9">
        <v>227</v>
      </c>
      <c r="B228" s="9" t="s">
        <v>236</v>
      </c>
      <c r="C228" s="9" t="s">
        <v>2294</v>
      </c>
      <c r="D228" s="9" t="s">
        <v>237</v>
      </c>
      <c r="E228" s="9" t="s">
        <v>138</v>
      </c>
      <c r="F228" s="9">
        <v>42141</v>
      </c>
      <c r="G228" s="9">
        <v>36.983809999999998</v>
      </c>
      <c r="H228" s="9">
        <v>-85.957089999999994</v>
      </c>
      <c r="I228" s="9" t="s">
        <v>1487</v>
      </c>
      <c r="J228" s="9">
        <v>110001123276</v>
      </c>
      <c r="K228" s="9" t="s">
        <v>1542</v>
      </c>
      <c r="L228" s="9" t="s">
        <v>1860</v>
      </c>
      <c r="M228" s="9">
        <v>4952</v>
      </c>
      <c r="N228" s="9" t="s">
        <v>1544</v>
      </c>
      <c r="O228" s="9"/>
      <c r="P228" s="9" t="s">
        <v>1545</v>
      </c>
      <c r="Q228" s="9" t="s">
        <v>1546</v>
      </c>
      <c r="R228" s="9">
        <v>365</v>
      </c>
      <c r="S228" s="9" t="s">
        <v>1537</v>
      </c>
    </row>
    <row r="229" spans="1:19" x14ac:dyDescent="0.25">
      <c r="A229" s="9">
        <v>228</v>
      </c>
      <c r="B229" s="9" t="s">
        <v>253</v>
      </c>
      <c r="C229" s="9" t="s">
        <v>2295</v>
      </c>
      <c r="D229" s="9" t="s">
        <v>254</v>
      </c>
      <c r="E229" s="9" t="s">
        <v>138</v>
      </c>
      <c r="F229" s="9">
        <v>42206</v>
      </c>
      <c r="G229" s="9">
        <v>36.864350000000002</v>
      </c>
      <c r="H229" s="9">
        <v>-86.705910000000003</v>
      </c>
      <c r="I229" s="9" t="s">
        <v>1487</v>
      </c>
      <c r="J229" s="9">
        <v>110003250277</v>
      </c>
      <c r="K229" s="9" t="s">
        <v>1542</v>
      </c>
      <c r="L229" s="9" t="s">
        <v>1860</v>
      </c>
      <c r="M229" s="9">
        <v>4952</v>
      </c>
      <c r="N229" s="9" t="s">
        <v>1544</v>
      </c>
      <c r="O229" s="9"/>
      <c r="P229" s="9" t="s">
        <v>1545</v>
      </c>
      <c r="Q229" s="9" t="s">
        <v>1546</v>
      </c>
      <c r="R229" s="9">
        <v>365</v>
      </c>
      <c r="S229" s="9" t="s">
        <v>1537</v>
      </c>
    </row>
    <row r="230" spans="1:19" x14ac:dyDescent="0.25">
      <c r="A230" s="9">
        <v>229</v>
      </c>
      <c r="B230" s="9" t="s">
        <v>154</v>
      </c>
      <c r="C230" s="9" t="s">
        <v>2296</v>
      </c>
      <c r="D230" s="9" t="s">
        <v>155</v>
      </c>
      <c r="E230" s="9" t="s">
        <v>138</v>
      </c>
      <c r="F230" s="9">
        <v>41041</v>
      </c>
      <c r="G230" s="9">
        <v>38.421495999999998</v>
      </c>
      <c r="H230" s="9">
        <v>-83.734424000000004</v>
      </c>
      <c r="I230" s="9" t="s">
        <v>1487</v>
      </c>
      <c r="J230" s="9">
        <v>110003251427</v>
      </c>
      <c r="K230" s="9" t="s">
        <v>1542</v>
      </c>
      <c r="L230" s="9" t="s">
        <v>1860</v>
      </c>
      <c r="M230" s="9">
        <v>4952</v>
      </c>
      <c r="N230" s="9" t="s">
        <v>1544</v>
      </c>
      <c r="O230" s="9"/>
      <c r="P230" s="9" t="s">
        <v>1545</v>
      </c>
      <c r="Q230" s="9" t="s">
        <v>1546</v>
      </c>
      <c r="R230" s="9">
        <v>365</v>
      </c>
      <c r="S230" s="9" t="s">
        <v>1537</v>
      </c>
    </row>
    <row r="231" spans="1:19" x14ac:dyDescent="0.25">
      <c r="A231" s="9">
        <v>230</v>
      </c>
      <c r="B231" s="9" t="s">
        <v>271</v>
      </c>
      <c r="C231" s="9" t="s">
        <v>2297</v>
      </c>
      <c r="D231" s="9" t="s">
        <v>272</v>
      </c>
      <c r="E231" s="9" t="s">
        <v>138</v>
      </c>
      <c r="F231" s="9">
        <v>41101</v>
      </c>
      <c r="G231" s="9">
        <v>38.474601999999997</v>
      </c>
      <c r="H231" s="9">
        <v>-82.623778999999999</v>
      </c>
      <c r="I231" s="9" t="s">
        <v>1487</v>
      </c>
      <c r="J231" s="9">
        <v>110000732244</v>
      </c>
      <c r="K231" s="9" t="s">
        <v>1542</v>
      </c>
      <c r="L231" s="9" t="s">
        <v>1860</v>
      </c>
      <c r="M231" s="9">
        <v>4952</v>
      </c>
      <c r="N231" s="9" t="s">
        <v>1544</v>
      </c>
      <c r="O231" s="9"/>
      <c r="P231" s="9" t="s">
        <v>1545</v>
      </c>
      <c r="Q231" s="9" t="s">
        <v>1546</v>
      </c>
      <c r="R231" s="9">
        <v>365</v>
      </c>
      <c r="S231" s="9" t="s">
        <v>1537</v>
      </c>
    </row>
    <row r="232" spans="1:19" x14ac:dyDescent="0.25">
      <c r="A232" s="9">
        <v>231</v>
      </c>
      <c r="B232" s="9" t="s">
        <v>147</v>
      </c>
      <c r="C232" s="9" t="s">
        <v>2298</v>
      </c>
      <c r="D232" s="9" t="s">
        <v>148</v>
      </c>
      <c r="E232" s="9" t="s">
        <v>138</v>
      </c>
      <c r="F232" s="9">
        <v>40160</v>
      </c>
      <c r="G232" s="9">
        <v>37.845027999999999</v>
      </c>
      <c r="H232" s="9">
        <v>-85.940962999999996</v>
      </c>
      <c r="I232" s="9" t="s">
        <v>1487</v>
      </c>
      <c r="J232" s="9">
        <v>110000732253</v>
      </c>
      <c r="K232" s="9" t="s">
        <v>1542</v>
      </c>
      <c r="L232" s="9" t="s">
        <v>1860</v>
      </c>
      <c r="M232" s="9">
        <v>4952</v>
      </c>
      <c r="N232" s="9" t="s">
        <v>1544</v>
      </c>
      <c r="O232" s="9"/>
      <c r="P232" s="9" t="s">
        <v>1545</v>
      </c>
      <c r="Q232" s="9" t="s">
        <v>1546</v>
      </c>
      <c r="R232" s="9">
        <v>365</v>
      </c>
      <c r="S232" s="9" t="s">
        <v>1537</v>
      </c>
    </row>
    <row r="233" spans="1:19" x14ac:dyDescent="0.25">
      <c r="A233" s="9">
        <v>232</v>
      </c>
      <c r="B233" s="9" t="s">
        <v>327</v>
      </c>
      <c r="C233" s="9" t="s">
        <v>2299</v>
      </c>
      <c r="D233" s="9" t="s">
        <v>235</v>
      </c>
      <c r="E233" s="9" t="s">
        <v>138</v>
      </c>
      <c r="F233" s="9" t="s">
        <v>2300</v>
      </c>
      <c r="G233" s="9">
        <v>38.322221999999996</v>
      </c>
      <c r="H233" s="9">
        <v>-85.555000000000007</v>
      </c>
      <c r="I233" s="9" t="s">
        <v>1487</v>
      </c>
      <c r="J233" s="9">
        <v>110000732271</v>
      </c>
      <c r="K233" s="9" t="s">
        <v>1542</v>
      </c>
      <c r="L233" s="9" t="s">
        <v>1860</v>
      </c>
      <c r="M233" s="9">
        <v>4952</v>
      </c>
      <c r="N233" s="9" t="s">
        <v>1544</v>
      </c>
      <c r="O233" s="9"/>
      <c r="P233" s="9" t="s">
        <v>1545</v>
      </c>
      <c r="Q233" s="9" t="s">
        <v>1546</v>
      </c>
      <c r="R233" s="9">
        <v>365</v>
      </c>
      <c r="S233" s="9" t="s">
        <v>1537</v>
      </c>
    </row>
    <row r="234" spans="1:19" x14ac:dyDescent="0.25">
      <c r="A234" s="9">
        <v>233</v>
      </c>
      <c r="B234" s="9" t="s">
        <v>323</v>
      </c>
      <c r="C234" s="9" t="s">
        <v>2301</v>
      </c>
      <c r="D234" s="9" t="s">
        <v>324</v>
      </c>
      <c r="E234" s="9" t="s">
        <v>138</v>
      </c>
      <c r="F234" s="9">
        <v>42728</v>
      </c>
      <c r="G234" s="9">
        <v>37.105556</v>
      </c>
      <c r="H234" s="9">
        <v>-85.304167000000007</v>
      </c>
      <c r="I234" s="9" t="s">
        <v>1487</v>
      </c>
      <c r="J234" s="9">
        <v>110009696356</v>
      </c>
      <c r="K234" s="9" t="s">
        <v>1542</v>
      </c>
      <c r="L234" s="9" t="s">
        <v>1860</v>
      </c>
      <c r="M234" s="9">
        <v>4952</v>
      </c>
      <c r="N234" s="9" t="s">
        <v>1544</v>
      </c>
      <c r="O234" s="9"/>
      <c r="P234" s="9" t="s">
        <v>1545</v>
      </c>
      <c r="Q234" s="9" t="s">
        <v>1546</v>
      </c>
      <c r="R234" s="9">
        <v>365</v>
      </c>
      <c r="S234" s="9" t="s">
        <v>1537</v>
      </c>
    </row>
    <row r="235" spans="1:19" x14ac:dyDescent="0.25">
      <c r="A235" s="9">
        <v>234</v>
      </c>
      <c r="B235" s="9" t="s">
        <v>159</v>
      </c>
      <c r="C235" s="9" t="s">
        <v>2302</v>
      </c>
      <c r="D235" s="9" t="s">
        <v>160</v>
      </c>
      <c r="E235" s="9" t="s">
        <v>138</v>
      </c>
      <c r="F235" s="9">
        <v>40165</v>
      </c>
      <c r="G235" s="9">
        <v>37.985444000000001</v>
      </c>
      <c r="H235" s="9">
        <v>-85.720056</v>
      </c>
      <c r="I235" s="9" t="s">
        <v>1487</v>
      </c>
      <c r="J235" s="9">
        <v>110020941383</v>
      </c>
      <c r="K235" s="9" t="s">
        <v>1542</v>
      </c>
      <c r="L235" s="9" t="s">
        <v>1860</v>
      </c>
      <c r="M235" s="9">
        <v>4952</v>
      </c>
      <c r="N235" s="9" t="s">
        <v>1544</v>
      </c>
      <c r="O235" s="9"/>
      <c r="P235" s="9" t="s">
        <v>1545</v>
      </c>
      <c r="Q235" s="9" t="s">
        <v>1546</v>
      </c>
      <c r="R235" s="9">
        <v>365</v>
      </c>
      <c r="S235" s="9" t="s">
        <v>1537</v>
      </c>
    </row>
    <row r="236" spans="1:19" x14ac:dyDescent="0.25">
      <c r="A236" s="9">
        <v>235</v>
      </c>
      <c r="B236" s="9" t="s">
        <v>219</v>
      </c>
      <c r="C236" s="9" t="s">
        <v>2303</v>
      </c>
      <c r="D236" s="9" t="s">
        <v>220</v>
      </c>
      <c r="E236" s="9" t="s">
        <v>138</v>
      </c>
      <c r="F236" s="9">
        <v>40330</v>
      </c>
      <c r="G236" s="9">
        <v>37.776316000000001</v>
      </c>
      <c r="H236" s="9">
        <v>-84.867384999999999</v>
      </c>
      <c r="I236" s="9" t="s">
        <v>1487</v>
      </c>
      <c r="J236" s="9">
        <v>110000732324</v>
      </c>
      <c r="K236" s="9" t="s">
        <v>1542</v>
      </c>
      <c r="L236" s="9" t="s">
        <v>1860</v>
      </c>
      <c r="M236" s="9">
        <v>4952</v>
      </c>
      <c r="N236" s="9" t="s">
        <v>1544</v>
      </c>
      <c r="O236" s="9"/>
      <c r="P236" s="9" t="s">
        <v>1545</v>
      </c>
      <c r="Q236" s="9" t="s">
        <v>1546</v>
      </c>
      <c r="R236" s="9">
        <v>365</v>
      </c>
      <c r="S236" s="9" t="s">
        <v>1537</v>
      </c>
    </row>
    <row r="237" spans="1:19" x14ac:dyDescent="0.25">
      <c r="A237" s="9">
        <v>236</v>
      </c>
      <c r="B237" s="9" t="s">
        <v>321</v>
      </c>
      <c r="C237" s="9" t="s">
        <v>2304</v>
      </c>
      <c r="D237" s="9" t="s">
        <v>322</v>
      </c>
      <c r="E237" s="9" t="s">
        <v>138</v>
      </c>
      <c r="F237" s="9">
        <v>40359</v>
      </c>
      <c r="G237" s="9">
        <v>38.540579999999999</v>
      </c>
      <c r="H237" s="9">
        <v>-84.835340000000002</v>
      </c>
      <c r="I237" s="9" t="s">
        <v>1487</v>
      </c>
      <c r="J237" s="9">
        <v>110009938737</v>
      </c>
      <c r="K237" s="9" t="s">
        <v>1542</v>
      </c>
      <c r="L237" s="9" t="s">
        <v>2305</v>
      </c>
      <c r="M237" s="9">
        <v>4952</v>
      </c>
      <c r="N237" s="9" t="s">
        <v>1544</v>
      </c>
      <c r="O237" s="9"/>
      <c r="P237" s="9" t="s">
        <v>1545</v>
      </c>
      <c r="Q237" s="9" t="s">
        <v>1546</v>
      </c>
      <c r="R237" s="9">
        <v>365</v>
      </c>
      <c r="S237" s="9" t="s">
        <v>1537</v>
      </c>
    </row>
    <row r="238" spans="1:19" x14ac:dyDescent="0.25">
      <c r="A238" s="9">
        <v>237</v>
      </c>
      <c r="B238" s="9" t="s">
        <v>358</v>
      </c>
      <c r="C238" s="9" t="s">
        <v>2306</v>
      </c>
      <c r="D238" s="9" t="s">
        <v>359</v>
      </c>
      <c r="E238" s="9" t="s">
        <v>138</v>
      </c>
      <c r="F238" s="9">
        <v>40962</v>
      </c>
      <c r="G238" s="9">
        <v>37.177222</v>
      </c>
      <c r="H238" s="9">
        <v>-83.761388999999994</v>
      </c>
      <c r="I238" s="9" t="s">
        <v>1487</v>
      </c>
      <c r="J238" s="9">
        <v>110009938808</v>
      </c>
      <c r="K238" s="9" t="s">
        <v>1542</v>
      </c>
      <c r="L238" s="9" t="s">
        <v>1860</v>
      </c>
      <c r="M238" s="9">
        <v>4952</v>
      </c>
      <c r="N238" s="9" t="s">
        <v>1544</v>
      </c>
      <c r="O238" s="9"/>
      <c r="P238" s="9" t="s">
        <v>1545</v>
      </c>
      <c r="Q238" s="9" t="s">
        <v>1546</v>
      </c>
      <c r="R238" s="9">
        <v>365</v>
      </c>
      <c r="S238" s="9" t="s">
        <v>1537</v>
      </c>
    </row>
    <row r="239" spans="1:19" x14ac:dyDescent="0.25">
      <c r="A239" s="9">
        <v>238</v>
      </c>
      <c r="B239" s="9" t="s">
        <v>199</v>
      </c>
      <c r="C239" s="9" t="s">
        <v>2307</v>
      </c>
      <c r="D239" s="9" t="s">
        <v>200</v>
      </c>
      <c r="E239" s="9" t="s">
        <v>138</v>
      </c>
      <c r="F239" s="9">
        <v>42717</v>
      </c>
      <c r="G239" s="9">
        <v>36.787260000000003</v>
      </c>
      <c r="H239" s="9">
        <v>-85.369240000000005</v>
      </c>
      <c r="I239" s="9" t="s">
        <v>1487</v>
      </c>
      <c r="J239" s="9">
        <v>110009938265</v>
      </c>
      <c r="K239" s="9" t="s">
        <v>1542</v>
      </c>
      <c r="L239" s="9" t="s">
        <v>1860</v>
      </c>
      <c r="M239" s="9">
        <v>4952</v>
      </c>
      <c r="N239" s="9" t="s">
        <v>1544</v>
      </c>
      <c r="O239" s="9"/>
      <c r="P239" s="9" t="s">
        <v>1545</v>
      </c>
      <c r="Q239" s="9" t="s">
        <v>1546</v>
      </c>
      <c r="R239" s="9">
        <v>365</v>
      </c>
      <c r="S239" s="9" t="s">
        <v>1537</v>
      </c>
    </row>
    <row r="240" spans="1:19" x14ac:dyDescent="0.25">
      <c r="A240" s="9">
        <v>239</v>
      </c>
      <c r="B240" s="9" t="s">
        <v>227</v>
      </c>
      <c r="C240" s="9" t="s">
        <v>2308</v>
      </c>
      <c r="D240" s="9" t="s">
        <v>228</v>
      </c>
      <c r="E240" s="9" t="s">
        <v>138</v>
      </c>
      <c r="F240" s="9">
        <v>42234</v>
      </c>
      <c r="G240" s="9">
        <v>36.644849999999998</v>
      </c>
      <c r="H240" s="9">
        <v>-87.187950000000001</v>
      </c>
      <c r="I240" s="9" t="s">
        <v>1487</v>
      </c>
      <c r="J240" s="9">
        <v>110009937499</v>
      </c>
      <c r="K240" s="9" t="s">
        <v>1542</v>
      </c>
      <c r="L240" s="9" t="s">
        <v>1860</v>
      </c>
      <c r="M240" s="9">
        <v>4952</v>
      </c>
      <c r="N240" s="9" t="s">
        <v>1544</v>
      </c>
      <c r="O240" s="9"/>
      <c r="P240" s="9" t="s">
        <v>1545</v>
      </c>
      <c r="Q240" s="9" t="s">
        <v>1546</v>
      </c>
      <c r="R240" s="9">
        <v>365</v>
      </c>
      <c r="S240" s="9" t="s">
        <v>1537</v>
      </c>
    </row>
    <row r="241" spans="1:19" x14ac:dyDescent="0.25">
      <c r="A241" s="9">
        <v>240</v>
      </c>
      <c r="B241" s="9" t="s">
        <v>295</v>
      </c>
      <c r="C241" s="9" t="s">
        <v>2309</v>
      </c>
      <c r="D241" s="9" t="s">
        <v>235</v>
      </c>
      <c r="E241" s="9" t="s">
        <v>138</v>
      </c>
      <c r="F241" s="9">
        <v>40272</v>
      </c>
      <c r="G241" s="9">
        <v>38.08614</v>
      </c>
      <c r="H241" s="9">
        <v>-85.898780000000002</v>
      </c>
      <c r="I241" s="9" t="s">
        <v>1487</v>
      </c>
      <c r="J241" s="9">
        <v>110000732379</v>
      </c>
      <c r="K241" s="9" t="s">
        <v>1542</v>
      </c>
      <c r="L241" s="9" t="s">
        <v>1860</v>
      </c>
      <c r="M241" s="9">
        <v>4952</v>
      </c>
      <c r="N241" s="9" t="s">
        <v>1544</v>
      </c>
      <c r="O241" s="9"/>
      <c r="P241" s="9" t="s">
        <v>1545</v>
      </c>
      <c r="Q241" s="9" t="s">
        <v>1546</v>
      </c>
      <c r="R241" s="9">
        <v>365</v>
      </c>
      <c r="S241" s="9" t="s">
        <v>1537</v>
      </c>
    </row>
    <row r="242" spans="1:19" x14ac:dyDescent="0.25">
      <c r="A242" s="9">
        <v>241</v>
      </c>
      <c r="B242" s="9" t="s">
        <v>345</v>
      </c>
      <c r="C242" s="9" t="s">
        <v>2310</v>
      </c>
      <c r="D242" s="9" t="s">
        <v>346</v>
      </c>
      <c r="E242" s="9" t="s">
        <v>138</v>
      </c>
      <c r="F242" s="9" t="s">
        <v>2311</v>
      </c>
      <c r="G242" s="9">
        <v>38.223610999999998</v>
      </c>
      <c r="H242" s="9">
        <v>-84.252778000000006</v>
      </c>
      <c r="I242" s="9" t="s">
        <v>1487</v>
      </c>
      <c r="J242" s="9">
        <v>110000551082</v>
      </c>
      <c r="K242" s="9" t="s">
        <v>1542</v>
      </c>
      <c r="L242" s="9" t="s">
        <v>1860</v>
      </c>
      <c r="M242" s="9">
        <v>4952</v>
      </c>
      <c r="N242" s="9" t="s">
        <v>1544</v>
      </c>
      <c r="O242" s="9"/>
      <c r="P242" s="9" t="s">
        <v>1545</v>
      </c>
      <c r="Q242" s="9" t="s">
        <v>1546</v>
      </c>
      <c r="R242" s="9">
        <v>365</v>
      </c>
      <c r="S242" s="9" t="s">
        <v>1537</v>
      </c>
    </row>
    <row r="243" spans="1:19" x14ac:dyDescent="0.25">
      <c r="A243" s="9">
        <v>242</v>
      </c>
      <c r="B243" s="9" t="s">
        <v>247</v>
      </c>
      <c r="C243" s="9" t="s">
        <v>2312</v>
      </c>
      <c r="D243" s="9" t="s">
        <v>235</v>
      </c>
      <c r="E243" s="9" t="s">
        <v>138</v>
      </c>
      <c r="F243" s="9">
        <v>40291</v>
      </c>
      <c r="G243" s="9">
        <v>38.122354000000001</v>
      </c>
      <c r="H243" s="9">
        <v>-85.587648000000002</v>
      </c>
      <c r="I243" s="9" t="s">
        <v>1487</v>
      </c>
      <c r="J243" s="9">
        <v>110043485421</v>
      </c>
      <c r="K243" s="9" t="s">
        <v>1542</v>
      </c>
      <c r="L243" s="9" t="s">
        <v>1860</v>
      </c>
      <c r="M243" s="9">
        <v>4952</v>
      </c>
      <c r="N243" s="9" t="s">
        <v>1544</v>
      </c>
      <c r="O243" s="9"/>
      <c r="P243" s="9" t="s">
        <v>1545</v>
      </c>
      <c r="Q243" s="9" t="s">
        <v>1546</v>
      </c>
      <c r="R243" s="9">
        <v>365</v>
      </c>
      <c r="S243" s="9" t="s">
        <v>1537</v>
      </c>
    </row>
    <row r="244" spans="1:19" x14ac:dyDescent="0.25">
      <c r="A244" s="9">
        <v>243</v>
      </c>
      <c r="B244" s="9" t="s">
        <v>178</v>
      </c>
      <c r="C244" s="9" t="s">
        <v>2313</v>
      </c>
      <c r="D244" s="9" t="s">
        <v>179</v>
      </c>
      <c r="E244" s="9" t="s">
        <v>138</v>
      </c>
      <c r="F244" s="9">
        <v>40353</v>
      </c>
      <c r="G244" s="9">
        <v>38.101582000000001</v>
      </c>
      <c r="H244" s="9">
        <v>-83.919770999999997</v>
      </c>
      <c r="I244" s="9" t="s">
        <v>1487</v>
      </c>
      <c r="J244" s="9">
        <v>110039705361</v>
      </c>
      <c r="K244" s="9" t="s">
        <v>1542</v>
      </c>
      <c r="L244" s="9" t="s">
        <v>1860</v>
      </c>
      <c r="M244" s="9">
        <v>4952</v>
      </c>
      <c r="N244" s="9" t="s">
        <v>1544</v>
      </c>
      <c r="O244" s="9"/>
      <c r="P244" s="9" t="s">
        <v>1545</v>
      </c>
      <c r="Q244" s="9" t="s">
        <v>1546</v>
      </c>
      <c r="R244" s="9">
        <v>365</v>
      </c>
      <c r="S244" s="9" t="s">
        <v>1537</v>
      </c>
    </row>
    <row r="245" spans="1:19" x14ac:dyDescent="0.25">
      <c r="A245" s="9">
        <v>244</v>
      </c>
      <c r="B245" s="9" t="s">
        <v>142</v>
      </c>
      <c r="C245" s="9" t="s">
        <v>2314</v>
      </c>
      <c r="D245" s="9" t="s">
        <v>143</v>
      </c>
      <c r="E245" s="9" t="s">
        <v>138</v>
      </c>
      <c r="F245" s="9">
        <v>41008</v>
      </c>
      <c r="G245" s="9">
        <v>38.627777999999999</v>
      </c>
      <c r="H245" s="9">
        <v>-85.115832999999995</v>
      </c>
      <c r="I245" s="9" t="s">
        <v>1487</v>
      </c>
      <c r="J245" s="9">
        <v>110015632216</v>
      </c>
      <c r="K245" s="9" t="s">
        <v>1542</v>
      </c>
      <c r="L245" s="9" t="s">
        <v>1860</v>
      </c>
      <c r="M245" s="9">
        <v>4952</v>
      </c>
      <c r="N245" s="9" t="s">
        <v>1544</v>
      </c>
      <c r="O245" s="9"/>
      <c r="P245" s="9" t="s">
        <v>1545</v>
      </c>
      <c r="Q245" s="9" t="s">
        <v>1546</v>
      </c>
      <c r="R245" s="9">
        <v>365</v>
      </c>
      <c r="S245" s="9" t="s">
        <v>1537</v>
      </c>
    </row>
    <row r="246" spans="1:19" x14ac:dyDescent="0.25">
      <c r="A246" s="9">
        <v>245</v>
      </c>
      <c r="B246" s="9" t="s">
        <v>182</v>
      </c>
      <c r="C246" s="9" t="s">
        <v>2315</v>
      </c>
      <c r="D246" s="9" t="s">
        <v>183</v>
      </c>
      <c r="E246" s="9" t="s">
        <v>138</v>
      </c>
      <c r="F246" s="9">
        <v>40475</v>
      </c>
      <c r="G246" s="9">
        <v>37.852220000000003</v>
      </c>
      <c r="H246" s="9">
        <v>-84.363079999999997</v>
      </c>
      <c r="I246" s="9" t="s">
        <v>1487</v>
      </c>
      <c r="J246" s="9">
        <v>110016759444</v>
      </c>
      <c r="K246" s="9" t="s">
        <v>1542</v>
      </c>
      <c r="L246" s="9" t="s">
        <v>1860</v>
      </c>
      <c r="M246" s="9">
        <v>4952</v>
      </c>
      <c r="N246" s="9" t="s">
        <v>1544</v>
      </c>
      <c r="O246" s="9"/>
      <c r="P246" s="9" t="s">
        <v>1545</v>
      </c>
      <c r="Q246" s="9" t="s">
        <v>1546</v>
      </c>
      <c r="R246" s="9">
        <v>365</v>
      </c>
      <c r="S246" s="9" t="s">
        <v>1537</v>
      </c>
    </row>
    <row r="247" spans="1:19" x14ac:dyDescent="0.25">
      <c r="A247" s="9">
        <v>246</v>
      </c>
      <c r="B247" s="9" t="s">
        <v>2316</v>
      </c>
      <c r="C247" s="9" t="s">
        <v>2317</v>
      </c>
      <c r="D247" s="9" t="s">
        <v>181</v>
      </c>
      <c r="E247" s="9" t="s">
        <v>106</v>
      </c>
      <c r="F247" s="9">
        <v>70726</v>
      </c>
      <c r="G247" s="9">
        <v>30.486767</v>
      </c>
      <c r="H247" s="9">
        <v>-90.925479999999993</v>
      </c>
      <c r="I247" s="9" t="s">
        <v>2318</v>
      </c>
      <c r="J247" s="9">
        <v>110000597355</v>
      </c>
      <c r="K247" s="9" t="s">
        <v>1553</v>
      </c>
      <c r="L247" s="9" t="s">
        <v>2319</v>
      </c>
      <c r="M247" s="9">
        <v>2899</v>
      </c>
      <c r="N247" s="9" t="s">
        <v>1617</v>
      </c>
      <c r="O247" s="9"/>
      <c r="P247" s="9" t="s">
        <v>1545</v>
      </c>
      <c r="Q247" s="9" t="s">
        <v>1546</v>
      </c>
      <c r="R247" s="9">
        <v>350</v>
      </c>
      <c r="S247" s="9" t="s">
        <v>1537</v>
      </c>
    </row>
    <row r="248" spans="1:19" x14ac:dyDescent="0.25">
      <c r="A248" s="9">
        <v>247</v>
      </c>
      <c r="B248" s="9" t="s">
        <v>2320</v>
      </c>
      <c r="C248" s="9" t="s">
        <v>2321</v>
      </c>
      <c r="D248" s="9" t="s">
        <v>2322</v>
      </c>
      <c r="E248" s="9" t="s">
        <v>106</v>
      </c>
      <c r="F248" s="9" t="s">
        <v>2323</v>
      </c>
      <c r="G248" s="9">
        <v>29.924576999999999</v>
      </c>
      <c r="H248" s="9">
        <v>-90.145308</v>
      </c>
      <c r="I248" s="9" t="s">
        <v>1487</v>
      </c>
      <c r="J248" s="9">
        <v>110000834688</v>
      </c>
      <c r="K248" s="9" t="s">
        <v>61</v>
      </c>
      <c r="L248" s="9" t="s">
        <v>2127</v>
      </c>
      <c r="M248" s="9">
        <v>4226</v>
      </c>
      <c r="N248" s="9" t="s">
        <v>1745</v>
      </c>
      <c r="O248" s="9"/>
      <c r="P248" s="9" t="s">
        <v>1545</v>
      </c>
      <c r="Q248" s="9" t="s">
        <v>1546</v>
      </c>
      <c r="R248" s="9">
        <v>350</v>
      </c>
      <c r="S248" s="9" t="s">
        <v>1537</v>
      </c>
    </row>
    <row r="249" spans="1:19" x14ac:dyDescent="0.25">
      <c r="A249" s="9">
        <v>248</v>
      </c>
      <c r="B249" s="9" t="s">
        <v>265</v>
      </c>
      <c r="C249" s="9" t="s">
        <v>2324</v>
      </c>
      <c r="D249" s="9" t="s">
        <v>175</v>
      </c>
      <c r="E249" s="9" t="s">
        <v>106</v>
      </c>
      <c r="F249" s="9">
        <v>70669</v>
      </c>
      <c r="G249" s="9">
        <v>30.23771</v>
      </c>
      <c r="H249" s="9">
        <v>-93.258650000000003</v>
      </c>
      <c r="I249" s="9" t="s">
        <v>1487</v>
      </c>
      <c r="J249" s="9">
        <v>110064611969</v>
      </c>
      <c r="K249" s="9" t="s">
        <v>1553</v>
      </c>
      <c r="L249" s="9" t="s">
        <v>2325</v>
      </c>
      <c r="M249" s="9">
        <v>2819</v>
      </c>
      <c r="N249" s="9" t="s">
        <v>1555</v>
      </c>
      <c r="O249" s="9"/>
      <c r="P249" s="9" t="s">
        <v>1545</v>
      </c>
      <c r="Q249" s="9" t="s">
        <v>1546</v>
      </c>
      <c r="R249" s="9">
        <v>350</v>
      </c>
      <c r="S249" s="9" t="s">
        <v>1537</v>
      </c>
    </row>
    <row r="250" spans="1:19" x14ac:dyDescent="0.25">
      <c r="A250" s="9">
        <v>249</v>
      </c>
      <c r="B250" s="9" t="s">
        <v>2326</v>
      </c>
      <c r="C250" s="9" t="s">
        <v>2327</v>
      </c>
      <c r="D250" s="9" t="s">
        <v>175</v>
      </c>
      <c r="E250" s="9" t="s">
        <v>106</v>
      </c>
      <c r="F250" s="9">
        <v>70669</v>
      </c>
      <c r="G250" s="9">
        <v>30.214192000000001</v>
      </c>
      <c r="H250" s="9">
        <v>-93.308589999999995</v>
      </c>
      <c r="I250" s="9" t="s">
        <v>1487</v>
      </c>
      <c r="J250" s="9">
        <v>110070227146</v>
      </c>
      <c r="K250" s="9" t="s">
        <v>1553</v>
      </c>
      <c r="L250" s="9" t="s">
        <v>1917</v>
      </c>
      <c r="M250" s="9">
        <v>2869</v>
      </c>
      <c r="N250" s="9" t="s">
        <v>1577</v>
      </c>
      <c r="O250" s="9"/>
      <c r="P250" s="9" t="s">
        <v>1545</v>
      </c>
      <c r="Q250" s="9" t="s">
        <v>1546</v>
      </c>
      <c r="R250" s="9">
        <v>350</v>
      </c>
      <c r="S250" s="9" t="s">
        <v>1537</v>
      </c>
    </row>
    <row r="251" spans="1:19" x14ac:dyDescent="0.25">
      <c r="A251" s="9">
        <v>250</v>
      </c>
      <c r="B251" s="9" t="s">
        <v>2328</v>
      </c>
      <c r="C251" s="9" t="s">
        <v>2329</v>
      </c>
      <c r="D251" s="9" t="s">
        <v>2330</v>
      </c>
      <c r="E251" s="9" t="s">
        <v>520</v>
      </c>
      <c r="F251" s="9">
        <v>2135</v>
      </c>
      <c r="G251" s="9">
        <v>42.356434999999998</v>
      </c>
      <c r="H251" s="9">
        <v>-71.145904000000002</v>
      </c>
      <c r="I251" s="9" t="s">
        <v>1487</v>
      </c>
      <c r="J251" s="9">
        <v>110002014677</v>
      </c>
      <c r="K251" s="9" t="s">
        <v>1514</v>
      </c>
      <c r="L251" s="9" t="s">
        <v>2331</v>
      </c>
      <c r="M251" s="9" t="s">
        <v>1487</v>
      </c>
      <c r="N251" s="9" t="s">
        <v>1861</v>
      </c>
      <c r="O251" s="9"/>
      <c r="P251" s="9" t="s">
        <v>1545</v>
      </c>
      <c r="Q251" s="9" t="s">
        <v>1546</v>
      </c>
      <c r="R251" s="9">
        <v>365</v>
      </c>
      <c r="S251" s="9" t="s">
        <v>1537</v>
      </c>
    </row>
    <row r="252" spans="1:19" x14ac:dyDescent="0.25">
      <c r="A252" s="9">
        <v>251</v>
      </c>
      <c r="B252" s="9" t="s">
        <v>2332</v>
      </c>
      <c r="C252" s="9" t="s">
        <v>2333</v>
      </c>
      <c r="D252" s="9" t="s">
        <v>2334</v>
      </c>
      <c r="E252" s="9" t="s">
        <v>520</v>
      </c>
      <c r="F252" s="9">
        <v>1760</v>
      </c>
      <c r="G252" s="9">
        <v>42.30348</v>
      </c>
      <c r="H252" s="9">
        <v>-70.360669999999999</v>
      </c>
      <c r="I252" s="9" t="s">
        <v>1487</v>
      </c>
      <c r="J252" s="9">
        <v>110070670433</v>
      </c>
      <c r="K252" s="9" t="s">
        <v>1514</v>
      </c>
      <c r="L252" s="9" t="s">
        <v>2335</v>
      </c>
      <c r="M252" s="9" t="s">
        <v>1487</v>
      </c>
      <c r="N252" s="9" t="s">
        <v>1861</v>
      </c>
      <c r="O252" s="9"/>
      <c r="P252" s="9" t="s">
        <v>1545</v>
      </c>
      <c r="Q252" s="9" t="s">
        <v>1546</v>
      </c>
      <c r="R252" s="9">
        <v>365</v>
      </c>
      <c r="S252" s="9" t="s">
        <v>1537</v>
      </c>
    </row>
    <row r="253" spans="1:19" x14ac:dyDescent="0.25">
      <c r="A253" s="9">
        <v>252</v>
      </c>
      <c r="B253" s="9" t="s">
        <v>2336</v>
      </c>
      <c r="C253" s="9" t="s">
        <v>2337</v>
      </c>
      <c r="D253" s="9" t="s">
        <v>533</v>
      </c>
      <c r="E253" s="9" t="s">
        <v>520</v>
      </c>
      <c r="F253" s="9">
        <v>2119</v>
      </c>
      <c r="G253" s="9">
        <v>42.335999999999999</v>
      </c>
      <c r="H253" s="9">
        <v>-71.105670000000003</v>
      </c>
      <c r="I253" s="9" t="s">
        <v>1487</v>
      </c>
      <c r="J253" s="9">
        <v>110070256538</v>
      </c>
      <c r="K253" s="9" t="s">
        <v>1514</v>
      </c>
      <c r="L253" s="9" t="s">
        <v>2338</v>
      </c>
      <c r="M253" s="9" t="s">
        <v>1487</v>
      </c>
      <c r="N253" s="9" t="s">
        <v>1861</v>
      </c>
      <c r="O253" s="9"/>
      <c r="P253" s="9" t="s">
        <v>1545</v>
      </c>
      <c r="Q253" s="9" t="s">
        <v>1546</v>
      </c>
      <c r="R253" s="9">
        <v>365</v>
      </c>
      <c r="S253" s="9" t="s">
        <v>1537</v>
      </c>
    </row>
    <row r="254" spans="1:19" x14ac:dyDescent="0.25">
      <c r="A254" s="9">
        <v>253</v>
      </c>
      <c r="B254" s="9" t="s">
        <v>208</v>
      </c>
      <c r="C254" s="9" t="s">
        <v>2339</v>
      </c>
      <c r="D254" s="9" t="s">
        <v>209</v>
      </c>
      <c r="E254" s="9" t="s">
        <v>170</v>
      </c>
      <c r="F254" s="9">
        <v>64068</v>
      </c>
      <c r="G254" s="9">
        <v>39.248012000000003</v>
      </c>
      <c r="H254" s="9">
        <v>-94.299363999999997</v>
      </c>
      <c r="I254" s="9" t="s">
        <v>1487</v>
      </c>
      <c r="J254" s="9">
        <v>110000614746</v>
      </c>
      <c r="K254" s="9" t="s">
        <v>1703</v>
      </c>
      <c r="L254" s="9" t="s">
        <v>2340</v>
      </c>
      <c r="M254" s="9">
        <v>4953</v>
      </c>
      <c r="N254" s="9" t="s">
        <v>1954</v>
      </c>
      <c r="O254" s="9"/>
      <c r="P254" s="9" t="s">
        <v>1545</v>
      </c>
      <c r="Q254" s="9" t="s">
        <v>1546</v>
      </c>
      <c r="R254" s="9">
        <v>250</v>
      </c>
      <c r="S254" s="9" t="s">
        <v>1537</v>
      </c>
    </row>
    <row r="255" spans="1:19" x14ac:dyDescent="0.25">
      <c r="A255" s="9">
        <v>254</v>
      </c>
      <c r="B255" s="9" t="s">
        <v>2341</v>
      </c>
      <c r="C255" s="9" t="s">
        <v>2342</v>
      </c>
      <c r="D255" s="9" t="s">
        <v>335</v>
      </c>
      <c r="E255" s="9" t="s">
        <v>336</v>
      </c>
      <c r="F255" s="9">
        <v>68601</v>
      </c>
      <c r="G255" s="9">
        <v>41.424084999999998</v>
      </c>
      <c r="H255" s="9">
        <v>-97.286036999999993</v>
      </c>
      <c r="I255" s="9" t="s">
        <v>1487</v>
      </c>
      <c r="J255" s="9">
        <v>110070246981</v>
      </c>
      <c r="K255" s="9" t="s">
        <v>1553</v>
      </c>
      <c r="L255" s="9" t="s">
        <v>1936</v>
      </c>
      <c r="M255" s="9">
        <v>2899</v>
      </c>
      <c r="N255" s="9" t="s">
        <v>1617</v>
      </c>
      <c r="O255" s="9"/>
      <c r="P255" s="9" t="s">
        <v>1545</v>
      </c>
      <c r="Q255" s="9" t="s">
        <v>1546</v>
      </c>
      <c r="R255" s="9">
        <v>350</v>
      </c>
      <c r="S255" s="9" t="s">
        <v>1537</v>
      </c>
    </row>
    <row r="256" spans="1:19" x14ac:dyDescent="0.25">
      <c r="A256" s="9">
        <v>255</v>
      </c>
      <c r="B256" s="9" t="s">
        <v>2343</v>
      </c>
      <c r="C256" s="9" t="s">
        <v>2344</v>
      </c>
      <c r="D256" s="9" t="s">
        <v>2345</v>
      </c>
      <c r="E256" s="9" t="s">
        <v>1508</v>
      </c>
      <c r="F256" s="9" t="s">
        <v>2346</v>
      </c>
      <c r="G256" s="9">
        <v>43.270670000000003</v>
      </c>
      <c r="H256" s="9">
        <v>-71.590410000000006</v>
      </c>
      <c r="I256" s="9" t="s">
        <v>1487</v>
      </c>
      <c r="J256" s="9">
        <v>110004087880</v>
      </c>
      <c r="K256" s="9" t="s">
        <v>72</v>
      </c>
      <c r="L256" s="9" t="s">
        <v>2347</v>
      </c>
      <c r="M256" s="9" t="s">
        <v>1487</v>
      </c>
      <c r="N256" s="9" t="s">
        <v>1861</v>
      </c>
      <c r="O256" s="9"/>
      <c r="P256" s="9" t="s">
        <v>1545</v>
      </c>
      <c r="Q256" s="9" t="s">
        <v>1546</v>
      </c>
      <c r="R256" s="9">
        <v>250</v>
      </c>
      <c r="S256" s="9" t="s">
        <v>1537</v>
      </c>
    </row>
    <row r="257" spans="1:19" x14ac:dyDescent="0.25">
      <c r="A257" s="9">
        <v>256</v>
      </c>
      <c r="B257" s="9" t="s">
        <v>2348</v>
      </c>
      <c r="C257" s="9" t="s">
        <v>2349</v>
      </c>
      <c r="D257" s="9" t="s">
        <v>2161</v>
      </c>
      <c r="E257" s="9" t="s">
        <v>1508</v>
      </c>
      <c r="F257" s="9" t="s">
        <v>2350</v>
      </c>
      <c r="G257" s="9">
        <v>43.585476</v>
      </c>
      <c r="H257" s="9">
        <v>-71.750524999999996</v>
      </c>
      <c r="I257" s="9" t="s">
        <v>2351</v>
      </c>
      <c r="J257" s="9">
        <v>110007681758</v>
      </c>
      <c r="K257" s="9" t="s">
        <v>1514</v>
      </c>
      <c r="L257" s="9" t="s">
        <v>2352</v>
      </c>
      <c r="M257" s="9" t="s">
        <v>1487</v>
      </c>
      <c r="N257" s="9" t="s">
        <v>1861</v>
      </c>
      <c r="O257" s="9"/>
      <c r="P257" s="9" t="s">
        <v>1545</v>
      </c>
      <c r="Q257" s="9" t="s">
        <v>1546</v>
      </c>
      <c r="R257" s="9">
        <v>365</v>
      </c>
      <c r="S257" s="9" t="s">
        <v>1537</v>
      </c>
    </row>
    <row r="258" spans="1:19" x14ac:dyDescent="0.25">
      <c r="A258" s="9">
        <v>257</v>
      </c>
      <c r="B258" s="9" t="s">
        <v>2353</v>
      </c>
      <c r="C258" s="9" t="s">
        <v>2354</v>
      </c>
      <c r="D258" s="9" t="s">
        <v>2355</v>
      </c>
      <c r="E258" s="9" t="s">
        <v>250</v>
      </c>
      <c r="F258" s="9" t="s">
        <v>2356</v>
      </c>
      <c r="G258" s="9">
        <v>42.976531000000001</v>
      </c>
      <c r="H258" s="9">
        <v>-77.845561000000004</v>
      </c>
      <c r="I258" s="9" t="s">
        <v>2357</v>
      </c>
      <c r="J258" s="9">
        <v>110000327566</v>
      </c>
      <c r="K258" s="9" t="s">
        <v>1553</v>
      </c>
      <c r="L258" s="9" t="s">
        <v>1917</v>
      </c>
      <c r="M258" s="9">
        <v>2819</v>
      </c>
      <c r="N258" s="9" t="s">
        <v>1555</v>
      </c>
      <c r="O258" s="9"/>
      <c r="P258" s="9" t="s">
        <v>1545</v>
      </c>
      <c r="Q258" s="9" t="s">
        <v>1546</v>
      </c>
      <c r="R258" s="9">
        <v>350</v>
      </c>
      <c r="S258" s="9" t="s">
        <v>1537</v>
      </c>
    </row>
    <row r="259" spans="1:19" x14ac:dyDescent="0.25">
      <c r="A259" s="9">
        <v>258</v>
      </c>
      <c r="B259" s="9" t="s">
        <v>2358</v>
      </c>
      <c r="C259" s="9" t="s">
        <v>2359</v>
      </c>
      <c r="D259" s="9" t="s">
        <v>333</v>
      </c>
      <c r="E259" s="9" t="s">
        <v>268</v>
      </c>
      <c r="F259" s="9">
        <v>15061</v>
      </c>
      <c r="G259" s="9">
        <v>40.655278000000003</v>
      </c>
      <c r="H259" s="9">
        <v>-80.356388999999993</v>
      </c>
      <c r="I259" s="9" t="s">
        <v>2360</v>
      </c>
      <c r="J259" s="9">
        <v>110059344473</v>
      </c>
      <c r="K259" s="9" t="s">
        <v>1553</v>
      </c>
      <c r="L259" s="9" t="s">
        <v>2361</v>
      </c>
      <c r="M259" s="9">
        <v>2821</v>
      </c>
      <c r="N259" s="9" t="s">
        <v>1560</v>
      </c>
      <c r="O259" s="9"/>
      <c r="P259" s="9" t="s">
        <v>1545</v>
      </c>
      <c r="Q259" s="9" t="s">
        <v>1546</v>
      </c>
      <c r="R259" s="9">
        <v>350</v>
      </c>
      <c r="S259" s="9" t="s">
        <v>1537</v>
      </c>
    </row>
    <row r="260" spans="1:19" x14ac:dyDescent="0.25">
      <c r="A260" s="9">
        <v>259</v>
      </c>
      <c r="B260" s="9" t="s">
        <v>299</v>
      </c>
      <c r="C260" s="9" t="s">
        <v>2362</v>
      </c>
      <c r="D260" s="9" t="s">
        <v>300</v>
      </c>
      <c r="E260" s="9" t="s">
        <v>268</v>
      </c>
      <c r="F260" s="9">
        <v>18042</v>
      </c>
      <c r="G260" s="9">
        <v>40.700989999999997</v>
      </c>
      <c r="H260" s="9">
        <v>-75.214780000000005</v>
      </c>
      <c r="I260" s="9" t="s">
        <v>1487</v>
      </c>
      <c r="J260" s="9">
        <v>110001075345</v>
      </c>
      <c r="K260" s="9" t="s">
        <v>1703</v>
      </c>
      <c r="L260" s="9" t="s">
        <v>1953</v>
      </c>
      <c r="M260" s="9">
        <v>4953</v>
      </c>
      <c r="N260" s="9" t="s">
        <v>1954</v>
      </c>
      <c r="O260" s="9"/>
      <c r="P260" s="9" t="s">
        <v>1545</v>
      </c>
      <c r="Q260" s="9" t="s">
        <v>1546</v>
      </c>
      <c r="R260" s="9">
        <v>250</v>
      </c>
      <c r="S260" s="9" t="s">
        <v>1537</v>
      </c>
    </row>
    <row r="261" spans="1:19" x14ac:dyDescent="0.25">
      <c r="A261" s="9">
        <v>260</v>
      </c>
      <c r="B261" s="9" t="s">
        <v>2363</v>
      </c>
      <c r="C261" s="9" t="s">
        <v>2364</v>
      </c>
      <c r="D261" s="9" t="s">
        <v>324</v>
      </c>
      <c r="E261" s="9" t="s">
        <v>452</v>
      </c>
      <c r="F261" s="9">
        <v>29212</v>
      </c>
      <c r="G261" s="9">
        <v>34.053438200000002</v>
      </c>
      <c r="H261" s="9">
        <v>-81.160028999999994</v>
      </c>
      <c r="I261" s="9" t="s">
        <v>1487</v>
      </c>
      <c r="J261" s="9">
        <v>110015314088</v>
      </c>
      <c r="K261" s="9" t="s">
        <v>72</v>
      </c>
      <c r="L261" s="9">
        <v>0</v>
      </c>
      <c r="M261" s="9">
        <v>3675</v>
      </c>
      <c r="N261" s="9" t="s">
        <v>2365</v>
      </c>
      <c r="O261" s="9"/>
      <c r="P261" s="9" t="s">
        <v>1545</v>
      </c>
      <c r="Q261" s="9" t="s">
        <v>1546</v>
      </c>
      <c r="R261" s="9">
        <v>250</v>
      </c>
      <c r="S261" s="9" t="s">
        <v>1537</v>
      </c>
    </row>
    <row r="262" spans="1:19" x14ac:dyDescent="0.25">
      <c r="A262" s="9">
        <v>261</v>
      </c>
      <c r="B262" s="9" t="s">
        <v>307</v>
      </c>
      <c r="C262" s="9" t="s">
        <v>2366</v>
      </c>
      <c r="D262" s="9" t="s">
        <v>308</v>
      </c>
      <c r="E262" s="9" t="s">
        <v>309</v>
      </c>
      <c r="F262" s="9">
        <v>37660</v>
      </c>
      <c r="G262" s="9">
        <v>36.519722000000002</v>
      </c>
      <c r="H262" s="9">
        <v>-82.540555999999995</v>
      </c>
      <c r="I262" s="9" t="s">
        <v>2367</v>
      </c>
      <c r="J262" s="9">
        <v>110000574423</v>
      </c>
      <c r="K262" s="9" t="s">
        <v>1553</v>
      </c>
      <c r="L262" s="9" t="s">
        <v>1917</v>
      </c>
      <c r="M262" s="9">
        <v>2869</v>
      </c>
      <c r="N262" s="9" t="s">
        <v>1577</v>
      </c>
      <c r="O262" s="9"/>
      <c r="P262" s="9" t="s">
        <v>1545</v>
      </c>
      <c r="Q262" s="9" t="s">
        <v>1546</v>
      </c>
      <c r="R262" s="9">
        <v>350</v>
      </c>
      <c r="S262" s="9" t="s">
        <v>1537</v>
      </c>
    </row>
    <row r="263" spans="1:19" x14ac:dyDescent="0.25">
      <c r="A263" s="9">
        <v>262</v>
      </c>
      <c r="B263" s="9" t="s">
        <v>328</v>
      </c>
      <c r="C263" s="9" t="s">
        <v>2368</v>
      </c>
      <c r="D263" s="9" t="s">
        <v>308</v>
      </c>
      <c r="E263" s="9" t="s">
        <v>309</v>
      </c>
      <c r="F263" s="9">
        <v>37660</v>
      </c>
      <c r="G263" s="9">
        <v>36.550454999999999</v>
      </c>
      <c r="H263" s="9">
        <v>-82.634793999999999</v>
      </c>
      <c r="I263" s="9" t="s">
        <v>1487</v>
      </c>
      <c r="J263" s="9">
        <v>110070828339</v>
      </c>
      <c r="K263" s="9" t="s">
        <v>1553</v>
      </c>
      <c r="L263" s="9" t="s">
        <v>2369</v>
      </c>
      <c r="M263" s="9">
        <v>2892</v>
      </c>
      <c r="N263" s="9" t="s">
        <v>2370</v>
      </c>
      <c r="O263" s="9"/>
      <c r="P263" s="9" t="s">
        <v>1545</v>
      </c>
      <c r="Q263" s="9" t="s">
        <v>1546</v>
      </c>
      <c r="R263" s="9">
        <v>350</v>
      </c>
      <c r="S263" s="9" t="s">
        <v>1537</v>
      </c>
    </row>
    <row r="264" spans="1:19" x14ac:dyDescent="0.25">
      <c r="A264" s="9">
        <v>263</v>
      </c>
      <c r="B264" s="9" t="s">
        <v>502</v>
      </c>
      <c r="C264" s="9" t="s">
        <v>2371</v>
      </c>
      <c r="D264" s="9" t="s">
        <v>372</v>
      </c>
      <c r="E264" s="9" t="s">
        <v>114</v>
      </c>
      <c r="F264" s="9">
        <v>77571</v>
      </c>
      <c r="G264" s="9">
        <v>29.726065999999999</v>
      </c>
      <c r="H264" s="9">
        <v>-95.079583999999997</v>
      </c>
      <c r="I264" s="9" t="s">
        <v>2372</v>
      </c>
      <c r="J264" s="9">
        <v>110000463677</v>
      </c>
      <c r="K264" s="9" t="s">
        <v>1553</v>
      </c>
      <c r="L264" s="9" t="s">
        <v>1936</v>
      </c>
      <c r="M264" s="9">
        <v>2821</v>
      </c>
      <c r="N264" s="9" t="s">
        <v>1560</v>
      </c>
      <c r="O264" s="9"/>
      <c r="P264" s="9" t="s">
        <v>1545</v>
      </c>
      <c r="Q264" s="9" t="s">
        <v>1546</v>
      </c>
      <c r="R264" s="9">
        <v>350</v>
      </c>
      <c r="S264" s="9" t="s">
        <v>1537</v>
      </c>
    </row>
    <row r="265" spans="1:19" x14ac:dyDescent="0.25">
      <c r="A265" s="9">
        <v>264</v>
      </c>
      <c r="B265" s="9" t="s">
        <v>2373</v>
      </c>
      <c r="C265" s="9" t="s">
        <v>2374</v>
      </c>
      <c r="D265" s="9" t="s">
        <v>2375</v>
      </c>
      <c r="E265" s="9" t="s">
        <v>110</v>
      </c>
      <c r="F265" s="9">
        <v>22610</v>
      </c>
      <c r="G265" s="9">
        <v>38.814979999999998</v>
      </c>
      <c r="H265" s="9">
        <v>-78.2834</v>
      </c>
      <c r="I265" s="9" t="s">
        <v>1487</v>
      </c>
      <c r="J265" s="9">
        <v>110054919406</v>
      </c>
      <c r="K265" s="9" t="s">
        <v>1703</v>
      </c>
      <c r="L265" s="9" t="s">
        <v>1953</v>
      </c>
      <c r="M265" s="9">
        <v>4953</v>
      </c>
      <c r="N265" s="9" t="s">
        <v>1954</v>
      </c>
      <c r="O265" s="9"/>
      <c r="P265" s="9" t="s">
        <v>1545</v>
      </c>
      <c r="Q265" s="9" t="s">
        <v>1546</v>
      </c>
      <c r="R265" s="9">
        <v>250</v>
      </c>
      <c r="S265" s="9" t="s">
        <v>1537</v>
      </c>
    </row>
    <row r="266" spans="1:19" x14ac:dyDescent="0.25">
      <c r="A266" s="9">
        <v>265</v>
      </c>
      <c r="B266" s="9" t="s">
        <v>2376</v>
      </c>
      <c r="C266" s="9" t="s">
        <v>2377</v>
      </c>
      <c r="D266" s="9" t="s">
        <v>2378</v>
      </c>
      <c r="E266" s="9" t="s">
        <v>110</v>
      </c>
      <c r="F266" s="9">
        <v>22046</v>
      </c>
      <c r="G266" s="9">
        <v>38.890925000000003</v>
      </c>
      <c r="H266" s="9">
        <v>-77.184034999999994</v>
      </c>
      <c r="I266" s="9" t="s">
        <v>1487</v>
      </c>
      <c r="J266" s="9">
        <v>110070548118</v>
      </c>
      <c r="K266" s="9" t="s">
        <v>72</v>
      </c>
      <c r="L266" s="9" t="s">
        <v>2251</v>
      </c>
      <c r="M266" s="9">
        <v>1794</v>
      </c>
      <c r="N266" s="9" t="s">
        <v>2252</v>
      </c>
      <c r="O266" s="9"/>
      <c r="P266" s="9" t="s">
        <v>1545</v>
      </c>
      <c r="Q266" s="9" t="s">
        <v>1546</v>
      </c>
      <c r="R266" s="9">
        <v>250</v>
      </c>
      <c r="S266" s="9" t="s">
        <v>1537</v>
      </c>
    </row>
    <row r="267" spans="1:19" x14ac:dyDescent="0.25">
      <c r="A267" s="9">
        <v>266</v>
      </c>
      <c r="B267" s="9" t="s">
        <v>2379</v>
      </c>
      <c r="C267" s="9" t="s">
        <v>2380</v>
      </c>
      <c r="D267" s="9" t="s">
        <v>2250</v>
      </c>
      <c r="E267" s="9" t="s">
        <v>110</v>
      </c>
      <c r="F267" s="9">
        <v>22205</v>
      </c>
      <c r="G267" s="9">
        <v>38.845162999999999</v>
      </c>
      <c r="H267" s="9">
        <v>-77.050687999999994</v>
      </c>
      <c r="I267" s="9" t="s">
        <v>1487</v>
      </c>
      <c r="J267" s="9">
        <v>110070545578</v>
      </c>
      <c r="K267" s="9" t="s">
        <v>72</v>
      </c>
      <c r="L267" s="9" t="s">
        <v>2251</v>
      </c>
      <c r="M267" s="9">
        <v>1794</v>
      </c>
      <c r="N267" s="9" t="s">
        <v>2252</v>
      </c>
      <c r="O267" s="9"/>
      <c r="P267" s="9" t="s">
        <v>1545</v>
      </c>
      <c r="Q267" s="9" t="s">
        <v>1546</v>
      </c>
      <c r="R267" s="9">
        <v>250</v>
      </c>
      <c r="S267" s="9" t="s">
        <v>1537</v>
      </c>
    </row>
    <row r="268" spans="1:19" x14ac:dyDescent="0.25">
      <c r="A268" s="9">
        <v>267</v>
      </c>
      <c r="B268" s="9" t="s">
        <v>385</v>
      </c>
      <c r="C268" s="9" t="s">
        <v>2381</v>
      </c>
      <c r="D268" s="9" t="s">
        <v>386</v>
      </c>
      <c r="E268" s="9" t="s">
        <v>146</v>
      </c>
      <c r="F268" s="9">
        <v>95959</v>
      </c>
      <c r="G268" s="9">
        <v>39.259749999999997</v>
      </c>
      <c r="H268" s="9">
        <v>-121.03075</v>
      </c>
      <c r="I268" s="9" t="s">
        <v>1487</v>
      </c>
      <c r="J268" s="9">
        <v>110000519920</v>
      </c>
      <c r="K268" s="9" t="s">
        <v>1542</v>
      </c>
      <c r="L268" s="9" t="s">
        <v>1860</v>
      </c>
      <c r="M268" s="9">
        <v>4952</v>
      </c>
      <c r="N268" s="9" t="s">
        <v>1544</v>
      </c>
      <c r="O268" s="9"/>
      <c r="P268" s="9" t="s">
        <v>1545</v>
      </c>
      <c r="Q268" s="9" t="s">
        <v>1546</v>
      </c>
      <c r="R268" s="9">
        <v>365</v>
      </c>
      <c r="S268" s="9" t="s">
        <v>1537</v>
      </c>
    </row>
    <row r="269" spans="1:19" x14ac:dyDescent="0.25">
      <c r="A269" s="9">
        <v>268</v>
      </c>
      <c r="B269" s="9" t="s">
        <v>416</v>
      </c>
      <c r="C269" s="9" t="s">
        <v>2382</v>
      </c>
      <c r="D269" s="9" t="s">
        <v>417</v>
      </c>
      <c r="E269" s="9" t="s">
        <v>146</v>
      </c>
      <c r="F269" s="9">
        <v>92223</v>
      </c>
      <c r="G269" s="9">
        <v>33.926245999999999</v>
      </c>
      <c r="H269" s="9">
        <v>-116.992552</v>
      </c>
      <c r="I269" s="9" t="s">
        <v>1487</v>
      </c>
      <c r="J269" s="9">
        <v>110055992993</v>
      </c>
      <c r="K269" s="9" t="s">
        <v>1542</v>
      </c>
      <c r="L269" s="9" t="s">
        <v>1860</v>
      </c>
      <c r="M269" s="9">
        <v>4952</v>
      </c>
      <c r="N269" s="9" t="s">
        <v>1544</v>
      </c>
      <c r="O269" s="9"/>
      <c r="P269" s="9" t="s">
        <v>1545</v>
      </c>
      <c r="Q269" s="9" t="s">
        <v>1546</v>
      </c>
      <c r="R269" s="9">
        <v>365</v>
      </c>
      <c r="S269" s="9" t="s">
        <v>1537</v>
      </c>
    </row>
    <row r="270" spans="1:19" x14ac:dyDescent="0.25">
      <c r="A270" s="9">
        <v>269</v>
      </c>
      <c r="B270" s="9" t="s">
        <v>189</v>
      </c>
      <c r="C270" s="9" t="s">
        <v>2383</v>
      </c>
      <c r="D270" s="9" t="s">
        <v>190</v>
      </c>
      <c r="E270" s="9" t="s">
        <v>146</v>
      </c>
      <c r="F270" s="9">
        <v>92243</v>
      </c>
      <c r="G270" s="9">
        <v>32.802199999999999</v>
      </c>
      <c r="H270" s="9">
        <v>-115.54</v>
      </c>
      <c r="I270" s="9" t="s">
        <v>1487</v>
      </c>
      <c r="J270" s="9">
        <v>110002672484</v>
      </c>
      <c r="K270" s="9" t="s">
        <v>1630</v>
      </c>
      <c r="L270" s="9" t="s">
        <v>2384</v>
      </c>
      <c r="M270" s="9">
        <v>921</v>
      </c>
      <c r="N270" s="9" t="s">
        <v>2385</v>
      </c>
      <c r="O270" s="9"/>
      <c r="P270" s="9" t="s">
        <v>1545</v>
      </c>
      <c r="Q270" s="9" t="s">
        <v>1546</v>
      </c>
      <c r="R270" s="9">
        <v>0</v>
      </c>
      <c r="S270" s="9" t="s">
        <v>1537</v>
      </c>
    </row>
    <row r="271" spans="1:19" x14ac:dyDescent="0.25">
      <c r="A271" s="9">
        <v>270</v>
      </c>
      <c r="B271" s="9" t="s">
        <v>393</v>
      </c>
      <c r="C271" s="9" t="s">
        <v>2386</v>
      </c>
      <c r="D271" s="9" t="s">
        <v>394</v>
      </c>
      <c r="E271" s="9" t="s">
        <v>146</v>
      </c>
      <c r="F271" s="9">
        <v>95682</v>
      </c>
      <c r="G271" s="9">
        <v>38.627777999999999</v>
      </c>
      <c r="H271" s="9">
        <v>-120.984167</v>
      </c>
      <c r="I271" s="9" t="s">
        <v>1487</v>
      </c>
      <c r="J271" s="9">
        <v>110070619860</v>
      </c>
      <c r="K271" s="9" t="s">
        <v>1542</v>
      </c>
      <c r="L271" s="9" t="s">
        <v>1892</v>
      </c>
      <c r="M271" s="9">
        <v>4952</v>
      </c>
      <c r="N271" s="9" t="s">
        <v>1544</v>
      </c>
      <c r="O271" s="9"/>
      <c r="P271" s="9" t="s">
        <v>1545</v>
      </c>
      <c r="Q271" s="9" t="s">
        <v>1546</v>
      </c>
      <c r="R271" s="9">
        <v>365</v>
      </c>
      <c r="S271" s="9" t="s">
        <v>1537</v>
      </c>
    </row>
    <row r="272" spans="1:19" x14ac:dyDescent="0.25">
      <c r="A272" s="9">
        <v>271</v>
      </c>
      <c r="B272" s="9" t="s">
        <v>2387</v>
      </c>
      <c r="C272" s="9" t="s">
        <v>2388</v>
      </c>
      <c r="D272" s="9" t="s">
        <v>185</v>
      </c>
      <c r="E272" s="9" t="s">
        <v>186</v>
      </c>
      <c r="F272" s="9" t="s">
        <v>2389</v>
      </c>
      <c r="G272" s="9">
        <v>21.304500000000001</v>
      </c>
      <c r="H272" s="9">
        <v>-157.88205600000001</v>
      </c>
      <c r="I272" s="9" t="s">
        <v>1487</v>
      </c>
      <c r="J272" s="9">
        <v>110005726802</v>
      </c>
      <c r="K272" s="9" t="s">
        <v>1542</v>
      </c>
      <c r="L272" s="9" t="s">
        <v>1860</v>
      </c>
      <c r="M272" s="9">
        <v>4952</v>
      </c>
      <c r="N272" s="9" t="s">
        <v>1544</v>
      </c>
      <c r="O272" s="9"/>
      <c r="P272" s="9" t="s">
        <v>1545</v>
      </c>
      <c r="Q272" s="9" t="s">
        <v>1546</v>
      </c>
      <c r="R272" s="9">
        <v>365</v>
      </c>
      <c r="S272" s="9" t="s">
        <v>1537</v>
      </c>
    </row>
    <row r="273" spans="1:19" x14ac:dyDescent="0.25">
      <c r="A273" s="9">
        <v>272</v>
      </c>
      <c r="B273" s="9" t="s">
        <v>395</v>
      </c>
      <c r="C273" s="9" t="s">
        <v>2390</v>
      </c>
      <c r="D273" s="9" t="s">
        <v>396</v>
      </c>
      <c r="E273" s="9" t="s">
        <v>186</v>
      </c>
      <c r="F273" s="9">
        <v>968633062</v>
      </c>
      <c r="G273" s="9">
        <v>21.438638999999998</v>
      </c>
      <c r="H273" s="9">
        <v>-157.75847200000001</v>
      </c>
      <c r="I273" s="9" t="s">
        <v>1487</v>
      </c>
      <c r="J273" s="9">
        <v>110041973460</v>
      </c>
      <c r="K273" s="9" t="s">
        <v>1542</v>
      </c>
      <c r="L273" s="9" t="s">
        <v>1892</v>
      </c>
      <c r="M273" s="9">
        <v>4952</v>
      </c>
      <c r="N273" s="9" t="s">
        <v>1544</v>
      </c>
      <c r="O273" s="9"/>
      <c r="P273" s="9" t="s">
        <v>1545</v>
      </c>
      <c r="Q273" s="9" t="s">
        <v>1546</v>
      </c>
      <c r="R273" s="9">
        <v>365</v>
      </c>
      <c r="S273" s="9" t="s">
        <v>1537</v>
      </c>
    </row>
    <row r="274" spans="1:19" x14ac:dyDescent="0.25">
      <c r="A274" s="9">
        <v>273</v>
      </c>
      <c r="B274" s="9" t="s">
        <v>411</v>
      </c>
      <c r="C274" s="9" t="s">
        <v>2391</v>
      </c>
      <c r="D274" s="9" t="s">
        <v>412</v>
      </c>
      <c r="E274" s="9" t="s">
        <v>186</v>
      </c>
      <c r="F274" s="9" t="s">
        <v>2392</v>
      </c>
      <c r="G274" s="9">
        <v>21.348493999999999</v>
      </c>
      <c r="H274" s="9">
        <v>-157.94398899999999</v>
      </c>
      <c r="I274" s="9" t="s">
        <v>1487</v>
      </c>
      <c r="J274" s="9">
        <v>110022302417</v>
      </c>
      <c r="K274" s="9" t="s">
        <v>1542</v>
      </c>
      <c r="L274" s="9" t="s">
        <v>1892</v>
      </c>
      <c r="M274" s="9">
        <v>4952</v>
      </c>
      <c r="N274" s="9" t="s">
        <v>1544</v>
      </c>
      <c r="O274" s="9"/>
      <c r="P274" s="9" t="s">
        <v>1545</v>
      </c>
      <c r="Q274" s="9" t="s">
        <v>1546</v>
      </c>
      <c r="R274" s="9">
        <v>365</v>
      </c>
      <c r="S274" s="9" t="s">
        <v>1537</v>
      </c>
    </row>
    <row r="275" spans="1:19" x14ac:dyDescent="0.25">
      <c r="A275" s="9">
        <v>274</v>
      </c>
      <c r="B275" s="9" t="s">
        <v>231</v>
      </c>
      <c r="C275" s="9" t="s">
        <v>2393</v>
      </c>
      <c r="D275" s="9" t="s">
        <v>232</v>
      </c>
      <c r="E275" s="9" t="s">
        <v>141</v>
      </c>
      <c r="F275" s="9" t="s">
        <v>2394</v>
      </c>
      <c r="G275" s="9">
        <v>38.2774</v>
      </c>
      <c r="H275" s="9">
        <v>-89.666899999999998</v>
      </c>
      <c r="I275" s="9" t="s">
        <v>2395</v>
      </c>
      <c r="J275" s="9">
        <v>110044852068</v>
      </c>
      <c r="K275" s="9" t="s">
        <v>2396</v>
      </c>
      <c r="L275" s="9" t="s">
        <v>2397</v>
      </c>
      <c r="M275" s="9">
        <v>4911</v>
      </c>
      <c r="N275" s="9" t="s">
        <v>2398</v>
      </c>
      <c r="O275" s="9"/>
      <c r="P275" s="9" t="s">
        <v>1545</v>
      </c>
      <c r="Q275" s="9" t="s">
        <v>1546</v>
      </c>
      <c r="R275" s="9">
        <v>0</v>
      </c>
      <c r="S275" s="9" t="s">
        <v>1537</v>
      </c>
    </row>
    <row r="276" spans="1:19" x14ac:dyDescent="0.25">
      <c r="A276" s="9">
        <v>275</v>
      </c>
      <c r="B276" s="9" t="s">
        <v>296</v>
      </c>
      <c r="C276" s="9" t="s">
        <v>2399</v>
      </c>
      <c r="D276" s="9" t="s">
        <v>224</v>
      </c>
      <c r="E276" s="9" t="s">
        <v>141</v>
      </c>
      <c r="F276" s="9" t="s">
        <v>2400</v>
      </c>
      <c r="G276" s="9">
        <v>41.304952</v>
      </c>
      <c r="H276" s="9">
        <v>-88.561650999999998</v>
      </c>
      <c r="I276" s="9" t="s">
        <v>2401</v>
      </c>
      <c r="J276" s="9">
        <v>110000433022</v>
      </c>
      <c r="K276" s="9" t="s">
        <v>1553</v>
      </c>
      <c r="L276" s="9" t="s">
        <v>1913</v>
      </c>
      <c r="M276" s="9">
        <v>2821</v>
      </c>
      <c r="N276" s="9" t="s">
        <v>1560</v>
      </c>
      <c r="O276" s="9"/>
      <c r="P276" s="9" t="s">
        <v>1545</v>
      </c>
      <c r="Q276" s="9" t="s">
        <v>1546</v>
      </c>
      <c r="R276" s="9">
        <v>350</v>
      </c>
      <c r="S276" s="9" t="s">
        <v>1537</v>
      </c>
    </row>
    <row r="277" spans="1:19" x14ac:dyDescent="0.25">
      <c r="A277" s="9">
        <v>276</v>
      </c>
      <c r="B277" s="9" t="s">
        <v>2402</v>
      </c>
      <c r="C277" s="9" t="s">
        <v>2403</v>
      </c>
      <c r="D277" s="9" t="s">
        <v>150</v>
      </c>
      <c r="E277" s="9" t="s">
        <v>138</v>
      </c>
      <c r="F277" s="9">
        <v>42303</v>
      </c>
      <c r="G277" s="9">
        <v>37.8125</v>
      </c>
      <c r="H277" s="9">
        <v>-87.05</v>
      </c>
      <c r="I277" s="9" t="s">
        <v>2404</v>
      </c>
      <c r="J277" s="9">
        <v>110000747835</v>
      </c>
      <c r="K277" s="9" t="s">
        <v>1553</v>
      </c>
      <c r="L277" s="9" t="s">
        <v>1913</v>
      </c>
      <c r="M277" s="9">
        <v>2821</v>
      </c>
      <c r="N277" s="9" t="s">
        <v>1560</v>
      </c>
      <c r="O277" s="9"/>
      <c r="P277" s="9" t="s">
        <v>1545</v>
      </c>
      <c r="Q277" s="9" t="s">
        <v>1546</v>
      </c>
      <c r="R277" s="9">
        <v>350</v>
      </c>
      <c r="S277" s="9" t="s">
        <v>1537</v>
      </c>
    </row>
    <row r="278" spans="1:19" x14ac:dyDescent="0.25">
      <c r="A278" s="9">
        <v>277</v>
      </c>
      <c r="B278" s="9" t="s">
        <v>2405</v>
      </c>
      <c r="C278" s="9" t="s">
        <v>2406</v>
      </c>
      <c r="D278" s="9" t="s">
        <v>276</v>
      </c>
      <c r="E278" s="9" t="s">
        <v>138</v>
      </c>
      <c r="F278" s="9">
        <v>420290037</v>
      </c>
      <c r="G278" s="9">
        <v>37.047736999999998</v>
      </c>
      <c r="H278" s="9">
        <v>-88.35866</v>
      </c>
      <c r="I278" s="9" t="s">
        <v>2407</v>
      </c>
      <c r="J278" s="9">
        <v>110000741608</v>
      </c>
      <c r="K278" s="9" t="s">
        <v>1553</v>
      </c>
      <c r="L278" s="9" t="s">
        <v>1928</v>
      </c>
      <c r="M278" s="9">
        <v>2869</v>
      </c>
      <c r="N278" s="9" t="s">
        <v>1577</v>
      </c>
      <c r="O278" s="9"/>
      <c r="P278" s="9" t="s">
        <v>1545</v>
      </c>
      <c r="Q278" s="9" t="s">
        <v>1546</v>
      </c>
      <c r="R278" s="9">
        <v>350</v>
      </c>
      <c r="S278" s="9" t="s">
        <v>1537</v>
      </c>
    </row>
    <row r="279" spans="1:19" x14ac:dyDescent="0.25">
      <c r="A279" s="9">
        <v>278</v>
      </c>
      <c r="B279" s="9" t="s">
        <v>316</v>
      </c>
      <c r="C279" s="9" t="s">
        <v>2408</v>
      </c>
      <c r="D279" s="9" t="s">
        <v>150</v>
      </c>
      <c r="E279" s="9" t="s">
        <v>138</v>
      </c>
      <c r="F279" s="9">
        <v>42301</v>
      </c>
      <c r="G279" s="9">
        <v>37.790278000000001</v>
      </c>
      <c r="H279" s="9">
        <v>-87.140277999999995</v>
      </c>
      <c r="I279" s="9" t="s">
        <v>1487</v>
      </c>
      <c r="J279" s="9">
        <v>110039998214</v>
      </c>
      <c r="K279" s="9" t="s">
        <v>1542</v>
      </c>
      <c r="L279" s="9" t="s">
        <v>1860</v>
      </c>
      <c r="M279" s="9">
        <v>4952</v>
      </c>
      <c r="N279" s="9" t="s">
        <v>1544</v>
      </c>
      <c r="O279" s="9"/>
      <c r="P279" s="9" t="s">
        <v>1545</v>
      </c>
      <c r="Q279" s="9" t="s">
        <v>1546</v>
      </c>
      <c r="R279" s="9">
        <v>365</v>
      </c>
      <c r="S279" s="9" t="s">
        <v>1537</v>
      </c>
    </row>
    <row r="280" spans="1:19" x14ac:dyDescent="0.25">
      <c r="A280" s="9">
        <v>279</v>
      </c>
      <c r="B280" s="9" t="s">
        <v>391</v>
      </c>
      <c r="C280" s="9" t="s">
        <v>2409</v>
      </c>
      <c r="D280" s="9" t="s">
        <v>392</v>
      </c>
      <c r="E280" s="9" t="s">
        <v>138</v>
      </c>
      <c r="F280" s="9">
        <v>40383</v>
      </c>
      <c r="G280" s="9">
        <v>38.057499999999997</v>
      </c>
      <c r="H280" s="9">
        <v>-84.742778000000001</v>
      </c>
      <c r="I280" s="9" t="s">
        <v>1487</v>
      </c>
      <c r="J280" s="9">
        <v>110000732226</v>
      </c>
      <c r="K280" s="9" t="s">
        <v>1542</v>
      </c>
      <c r="L280" s="9" t="s">
        <v>1860</v>
      </c>
      <c r="M280" s="9">
        <v>4952</v>
      </c>
      <c r="N280" s="9" t="s">
        <v>1544</v>
      </c>
      <c r="O280" s="9"/>
      <c r="P280" s="9" t="s">
        <v>1545</v>
      </c>
      <c r="Q280" s="9" t="s">
        <v>1546</v>
      </c>
      <c r="R280" s="9">
        <v>365</v>
      </c>
      <c r="S280" s="9" t="s">
        <v>1537</v>
      </c>
    </row>
    <row r="281" spans="1:19" x14ac:dyDescent="0.25">
      <c r="A281" s="9">
        <v>280</v>
      </c>
      <c r="B281" s="9" t="s">
        <v>397</v>
      </c>
      <c r="C281" s="9" t="s">
        <v>2410</v>
      </c>
      <c r="D281" s="9" t="s">
        <v>398</v>
      </c>
      <c r="E281" s="9" t="s">
        <v>138</v>
      </c>
      <c r="F281" s="9">
        <v>42025</v>
      </c>
      <c r="G281" s="9">
        <v>36.866140000000001</v>
      </c>
      <c r="H281" s="9">
        <v>-88.342470000000006</v>
      </c>
      <c r="I281" s="9" t="s">
        <v>1487</v>
      </c>
      <c r="J281" s="9">
        <v>110001855635</v>
      </c>
      <c r="K281" s="9" t="s">
        <v>1542</v>
      </c>
      <c r="L281" s="9" t="s">
        <v>1860</v>
      </c>
      <c r="M281" s="9">
        <v>4952</v>
      </c>
      <c r="N281" s="9" t="s">
        <v>1544</v>
      </c>
      <c r="O281" s="9"/>
      <c r="P281" s="9" t="s">
        <v>1545</v>
      </c>
      <c r="Q281" s="9" t="s">
        <v>1546</v>
      </c>
      <c r="R281" s="9">
        <v>365</v>
      </c>
      <c r="S281" s="9" t="s">
        <v>1537</v>
      </c>
    </row>
    <row r="282" spans="1:19" x14ac:dyDescent="0.25">
      <c r="A282" s="9">
        <v>281</v>
      </c>
      <c r="B282" s="9" t="s">
        <v>421</v>
      </c>
      <c r="C282" s="9" t="s">
        <v>2411</v>
      </c>
      <c r="D282" s="9" t="s">
        <v>422</v>
      </c>
      <c r="E282" s="9" t="s">
        <v>138</v>
      </c>
      <c r="F282" s="9" t="s">
        <v>2412</v>
      </c>
      <c r="G282" s="9">
        <v>37.106380000000001</v>
      </c>
      <c r="H282" s="9">
        <v>-84.066829999999996</v>
      </c>
      <c r="I282" s="9" t="s">
        <v>1487</v>
      </c>
      <c r="J282" s="9">
        <v>110000557013</v>
      </c>
      <c r="K282" s="9" t="s">
        <v>1542</v>
      </c>
      <c r="L282" s="9" t="s">
        <v>1860</v>
      </c>
      <c r="M282" s="9">
        <v>4952</v>
      </c>
      <c r="N282" s="9" t="s">
        <v>1544</v>
      </c>
      <c r="O282" s="9"/>
      <c r="P282" s="9" t="s">
        <v>1545</v>
      </c>
      <c r="Q282" s="9" t="s">
        <v>1546</v>
      </c>
      <c r="R282" s="9">
        <v>365</v>
      </c>
      <c r="S282" s="9" t="s">
        <v>1537</v>
      </c>
    </row>
    <row r="283" spans="1:19" x14ac:dyDescent="0.25">
      <c r="A283" s="9">
        <v>282</v>
      </c>
      <c r="B283" s="9" t="s">
        <v>399</v>
      </c>
      <c r="C283" s="9" t="s">
        <v>2413</v>
      </c>
      <c r="D283" s="9" t="s">
        <v>400</v>
      </c>
      <c r="E283" s="9" t="s">
        <v>138</v>
      </c>
      <c r="F283" s="9">
        <v>42437</v>
      </c>
      <c r="G283" s="9">
        <v>37.6875</v>
      </c>
      <c r="H283" s="9">
        <v>-87.913332999999994</v>
      </c>
      <c r="I283" s="9" t="s">
        <v>1487</v>
      </c>
      <c r="J283" s="9">
        <v>110064612557</v>
      </c>
      <c r="K283" s="9" t="s">
        <v>1542</v>
      </c>
      <c r="L283" s="9" t="s">
        <v>1860</v>
      </c>
      <c r="M283" s="9">
        <v>4952</v>
      </c>
      <c r="N283" s="9" t="s">
        <v>1544</v>
      </c>
      <c r="O283" s="9"/>
      <c r="P283" s="9" t="s">
        <v>1545</v>
      </c>
      <c r="Q283" s="9" t="s">
        <v>1546</v>
      </c>
      <c r="R283" s="9">
        <v>365</v>
      </c>
      <c r="S283" s="9" t="s">
        <v>1537</v>
      </c>
    </row>
    <row r="284" spans="1:19" x14ac:dyDescent="0.25">
      <c r="A284" s="9">
        <v>283</v>
      </c>
      <c r="B284" s="9" t="s">
        <v>383</v>
      </c>
      <c r="C284" s="9" t="s">
        <v>2414</v>
      </c>
      <c r="D284" s="9" t="s">
        <v>384</v>
      </c>
      <c r="E284" s="9" t="s">
        <v>138</v>
      </c>
      <c r="F284" s="9">
        <v>41018</v>
      </c>
      <c r="G284" s="9">
        <v>39.058610999999999</v>
      </c>
      <c r="H284" s="9">
        <v>-84.618055999999996</v>
      </c>
      <c r="I284" s="9" t="s">
        <v>1487</v>
      </c>
      <c r="J284" s="9">
        <v>110039639736</v>
      </c>
      <c r="K284" s="9" t="s">
        <v>1542</v>
      </c>
      <c r="L284" s="9" t="s">
        <v>1860</v>
      </c>
      <c r="M284" s="9">
        <v>4952</v>
      </c>
      <c r="N284" s="9" t="s">
        <v>1544</v>
      </c>
      <c r="O284" s="9"/>
      <c r="P284" s="9" t="s">
        <v>1545</v>
      </c>
      <c r="Q284" s="9" t="s">
        <v>1546</v>
      </c>
      <c r="R284" s="9">
        <v>365</v>
      </c>
      <c r="S284" s="9" t="s">
        <v>1537</v>
      </c>
    </row>
    <row r="285" spans="1:19" x14ac:dyDescent="0.25">
      <c r="A285" s="9">
        <v>284</v>
      </c>
      <c r="B285" s="9" t="s">
        <v>136</v>
      </c>
      <c r="C285" s="9" t="s">
        <v>2415</v>
      </c>
      <c r="D285" s="9" t="s">
        <v>137</v>
      </c>
      <c r="E285" s="9" t="s">
        <v>138</v>
      </c>
      <c r="F285" s="9" t="s">
        <v>2416</v>
      </c>
      <c r="G285" s="9">
        <v>37.642310000000002</v>
      </c>
      <c r="H285" s="9">
        <v>-85.903570000000002</v>
      </c>
      <c r="I285" s="9" t="s">
        <v>1487</v>
      </c>
      <c r="J285" s="9">
        <v>110000571373</v>
      </c>
      <c r="K285" s="9" t="s">
        <v>1542</v>
      </c>
      <c r="L285" s="9" t="s">
        <v>1860</v>
      </c>
      <c r="M285" s="9">
        <v>4952</v>
      </c>
      <c r="N285" s="9" t="s">
        <v>1544</v>
      </c>
      <c r="O285" s="9"/>
      <c r="P285" s="9" t="s">
        <v>1545</v>
      </c>
      <c r="Q285" s="9" t="s">
        <v>1546</v>
      </c>
      <c r="R285" s="9">
        <v>365</v>
      </c>
      <c r="S285" s="9" t="s">
        <v>1537</v>
      </c>
    </row>
    <row r="286" spans="1:19" x14ac:dyDescent="0.25">
      <c r="A286" s="9">
        <v>285</v>
      </c>
      <c r="B286" s="9" t="s">
        <v>387</v>
      </c>
      <c r="C286" s="9" t="s">
        <v>2417</v>
      </c>
      <c r="D286" s="9" t="s">
        <v>388</v>
      </c>
      <c r="E286" s="9" t="s">
        <v>138</v>
      </c>
      <c r="F286" s="9">
        <v>42001</v>
      </c>
      <c r="G286" s="9">
        <v>37.021974</v>
      </c>
      <c r="H286" s="9">
        <v>-88.512833000000001</v>
      </c>
      <c r="I286" s="9" t="s">
        <v>1487</v>
      </c>
      <c r="J286" s="9">
        <v>110006367136</v>
      </c>
      <c r="K286" s="9" t="s">
        <v>1542</v>
      </c>
      <c r="L286" s="9" t="s">
        <v>1860</v>
      </c>
      <c r="M286" s="9">
        <v>4952</v>
      </c>
      <c r="N286" s="9" t="s">
        <v>1544</v>
      </c>
      <c r="O286" s="9"/>
      <c r="P286" s="9" t="s">
        <v>1545</v>
      </c>
      <c r="Q286" s="9" t="s">
        <v>1546</v>
      </c>
      <c r="R286" s="9">
        <v>365</v>
      </c>
      <c r="S286" s="9" t="s">
        <v>1537</v>
      </c>
    </row>
    <row r="287" spans="1:19" x14ac:dyDescent="0.25">
      <c r="A287" s="9">
        <v>286</v>
      </c>
      <c r="B287" s="9" t="s">
        <v>437</v>
      </c>
      <c r="C287" s="9" t="s">
        <v>2418</v>
      </c>
      <c r="D287" s="9" t="s">
        <v>438</v>
      </c>
      <c r="E287" s="9" t="s">
        <v>138</v>
      </c>
      <c r="F287" s="9">
        <v>41144</v>
      </c>
      <c r="G287" s="9">
        <v>38.551630000000003</v>
      </c>
      <c r="H287" s="9">
        <v>-82.778199999999998</v>
      </c>
      <c r="I287" s="9" t="s">
        <v>1487</v>
      </c>
      <c r="J287" s="9">
        <v>110000759723</v>
      </c>
      <c r="K287" s="9" t="s">
        <v>1542</v>
      </c>
      <c r="L287" s="9" t="s">
        <v>1860</v>
      </c>
      <c r="M287" s="9">
        <v>4952</v>
      </c>
      <c r="N287" s="9" t="s">
        <v>1544</v>
      </c>
      <c r="O287" s="9"/>
      <c r="P287" s="9" t="s">
        <v>1545</v>
      </c>
      <c r="Q287" s="9" t="s">
        <v>1546</v>
      </c>
      <c r="R287" s="9">
        <v>365</v>
      </c>
      <c r="S287" s="9" t="s">
        <v>1537</v>
      </c>
    </row>
    <row r="288" spans="1:19" x14ac:dyDescent="0.25">
      <c r="A288" s="9">
        <v>287</v>
      </c>
      <c r="B288" s="9" t="s">
        <v>375</v>
      </c>
      <c r="C288" s="9" t="s">
        <v>2419</v>
      </c>
      <c r="D288" s="9" t="s">
        <v>376</v>
      </c>
      <c r="E288" s="9" t="s">
        <v>138</v>
      </c>
      <c r="F288" s="9">
        <v>42718</v>
      </c>
      <c r="G288" s="9">
        <v>37.349167000000001</v>
      </c>
      <c r="H288" s="9">
        <v>-85.379444000000007</v>
      </c>
      <c r="I288" s="9" t="s">
        <v>1487</v>
      </c>
      <c r="J288" s="9">
        <v>110000736776</v>
      </c>
      <c r="K288" s="9" t="s">
        <v>1542</v>
      </c>
      <c r="L288" s="9" t="s">
        <v>1860</v>
      </c>
      <c r="M288" s="9">
        <v>4952</v>
      </c>
      <c r="N288" s="9" t="s">
        <v>1544</v>
      </c>
      <c r="O288" s="9"/>
      <c r="P288" s="9" t="s">
        <v>1545</v>
      </c>
      <c r="Q288" s="9" t="s">
        <v>1546</v>
      </c>
      <c r="R288" s="9">
        <v>365</v>
      </c>
      <c r="S288" s="9" t="s">
        <v>1537</v>
      </c>
    </row>
    <row r="289" spans="1:19" x14ac:dyDescent="0.25">
      <c r="A289" s="9">
        <v>288</v>
      </c>
      <c r="B289" s="9" t="s">
        <v>286</v>
      </c>
      <c r="C289" s="9" t="s">
        <v>2420</v>
      </c>
      <c r="D289" s="9" t="s">
        <v>150</v>
      </c>
      <c r="E289" s="9" t="s">
        <v>138</v>
      </c>
      <c r="F289" s="9">
        <v>42303</v>
      </c>
      <c r="G289" s="9">
        <v>37.770769999999999</v>
      </c>
      <c r="H289" s="9">
        <v>-87.065669999999997</v>
      </c>
      <c r="I289" s="9" t="s">
        <v>1487</v>
      </c>
      <c r="J289" s="9">
        <v>110043734983</v>
      </c>
      <c r="K289" s="9" t="s">
        <v>1542</v>
      </c>
      <c r="L289" s="9" t="s">
        <v>1860</v>
      </c>
      <c r="M289" s="9">
        <v>4952</v>
      </c>
      <c r="N289" s="9" t="s">
        <v>1544</v>
      </c>
      <c r="O289" s="9"/>
      <c r="P289" s="9" t="s">
        <v>1545</v>
      </c>
      <c r="Q289" s="9" t="s">
        <v>1546</v>
      </c>
      <c r="R289" s="9">
        <v>365</v>
      </c>
      <c r="S289" s="9" t="s">
        <v>1537</v>
      </c>
    </row>
    <row r="290" spans="1:19" x14ac:dyDescent="0.25">
      <c r="A290" s="9">
        <v>289</v>
      </c>
      <c r="B290" s="9" t="s">
        <v>407</v>
      </c>
      <c r="C290" s="9" t="s">
        <v>2421</v>
      </c>
      <c r="D290" s="9" t="s">
        <v>298</v>
      </c>
      <c r="E290" s="9" t="s">
        <v>138</v>
      </c>
      <c r="F290" s="9">
        <v>40403</v>
      </c>
      <c r="G290" s="9">
        <v>37.608496000000002</v>
      </c>
      <c r="H290" s="9">
        <v>-84.287074000000004</v>
      </c>
      <c r="I290" s="9" t="s">
        <v>1487</v>
      </c>
      <c r="J290" s="9">
        <v>110040000398</v>
      </c>
      <c r="K290" s="9" t="s">
        <v>1542</v>
      </c>
      <c r="L290" s="9" t="s">
        <v>1860</v>
      </c>
      <c r="M290" s="9">
        <v>4952</v>
      </c>
      <c r="N290" s="9" t="s">
        <v>1544</v>
      </c>
      <c r="O290" s="9"/>
      <c r="P290" s="9" t="s">
        <v>1545</v>
      </c>
      <c r="Q290" s="9" t="s">
        <v>1546</v>
      </c>
      <c r="R290" s="9">
        <v>365</v>
      </c>
      <c r="S290" s="9" t="s">
        <v>1537</v>
      </c>
    </row>
    <row r="291" spans="1:19" x14ac:dyDescent="0.25">
      <c r="A291" s="9">
        <v>290</v>
      </c>
      <c r="B291" s="9" t="s">
        <v>487</v>
      </c>
      <c r="C291" s="9" t="s">
        <v>2422</v>
      </c>
      <c r="D291" s="9" t="s">
        <v>488</v>
      </c>
      <c r="E291" s="9" t="s">
        <v>138</v>
      </c>
      <c r="F291" s="9">
        <v>40324</v>
      </c>
      <c r="G291" s="9">
        <v>38.267437999999999</v>
      </c>
      <c r="H291" s="9">
        <v>-84.527996000000002</v>
      </c>
      <c r="I291" s="9" t="s">
        <v>1487</v>
      </c>
      <c r="J291" s="9">
        <v>110000759741</v>
      </c>
      <c r="K291" s="9" t="s">
        <v>1542</v>
      </c>
      <c r="L291" s="9" t="s">
        <v>1860</v>
      </c>
      <c r="M291" s="9">
        <v>4952</v>
      </c>
      <c r="N291" s="9" t="s">
        <v>1544</v>
      </c>
      <c r="O291" s="9"/>
      <c r="P291" s="9" t="s">
        <v>1545</v>
      </c>
      <c r="Q291" s="9" t="s">
        <v>1546</v>
      </c>
      <c r="R291" s="9">
        <v>365</v>
      </c>
      <c r="S291" s="9" t="s">
        <v>1537</v>
      </c>
    </row>
    <row r="292" spans="1:19" x14ac:dyDescent="0.25">
      <c r="A292" s="9">
        <v>291</v>
      </c>
      <c r="B292" s="9" t="s">
        <v>433</v>
      </c>
      <c r="C292" s="9" t="s">
        <v>2423</v>
      </c>
      <c r="D292" s="9" t="s">
        <v>434</v>
      </c>
      <c r="E292" s="9" t="s">
        <v>138</v>
      </c>
      <c r="F292" s="9">
        <v>42431</v>
      </c>
      <c r="G292" s="9">
        <v>37.318492999999997</v>
      </c>
      <c r="H292" s="9">
        <v>-87.549857000000003</v>
      </c>
      <c r="I292" s="9" t="s">
        <v>1487</v>
      </c>
      <c r="J292" s="9">
        <v>110002041380</v>
      </c>
      <c r="K292" s="9" t="s">
        <v>1542</v>
      </c>
      <c r="L292" s="9" t="s">
        <v>1860</v>
      </c>
      <c r="M292" s="9">
        <v>4952</v>
      </c>
      <c r="N292" s="9" t="s">
        <v>1544</v>
      </c>
      <c r="O292" s="9"/>
      <c r="P292" s="9" t="s">
        <v>1545</v>
      </c>
      <c r="Q292" s="9" t="s">
        <v>1546</v>
      </c>
      <c r="R292" s="9">
        <v>365</v>
      </c>
      <c r="S292" s="9" t="s">
        <v>1537</v>
      </c>
    </row>
    <row r="293" spans="1:19" x14ac:dyDescent="0.25">
      <c r="A293" s="9">
        <v>292</v>
      </c>
      <c r="B293" s="9" t="s">
        <v>435</v>
      </c>
      <c r="C293" s="9" t="s">
        <v>2424</v>
      </c>
      <c r="D293" s="9" t="s">
        <v>436</v>
      </c>
      <c r="E293" s="9" t="s">
        <v>138</v>
      </c>
      <c r="F293" s="9">
        <v>40004</v>
      </c>
      <c r="G293" s="9">
        <v>37.780760000000001</v>
      </c>
      <c r="H293" s="9">
        <v>-85.510740999999996</v>
      </c>
      <c r="I293" s="9" t="s">
        <v>1487</v>
      </c>
      <c r="J293" s="9">
        <v>110009933402</v>
      </c>
      <c r="K293" s="9" t="s">
        <v>1542</v>
      </c>
      <c r="L293" s="9" t="s">
        <v>1860</v>
      </c>
      <c r="M293" s="9">
        <v>4952</v>
      </c>
      <c r="N293" s="9" t="s">
        <v>1544</v>
      </c>
      <c r="O293" s="9"/>
      <c r="P293" s="9" t="s">
        <v>1545</v>
      </c>
      <c r="Q293" s="9" t="s">
        <v>1546</v>
      </c>
      <c r="R293" s="9">
        <v>365</v>
      </c>
      <c r="S293" s="9" t="s">
        <v>1537</v>
      </c>
    </row>
    <row r="294" spans="1:19" x14ac:dyDescent="0.25">
      <c r="A294" s="9">
        <v>293</v>
      </c>
      <c r="B294" s="9" t="s">
        <v>408</v>
      </c>
      <c r="C294" s="9" t="s">
        <v>2425</v>
      </c>
      <c r="D294" s="9" t="s">
        <v>409</v>
      </c>
      <c r="E294" s="9" t="s">
        <v>138</v>
      </c>
      <c r="F294" s="9">
        <v>40026</v>
      </c>
      <c r="G294" s="9">
        <v>38.417499999999997</v>
      </c>
      <c r="H294" s="9">
        <v>-85.611109999999996</v>
      </c>
      <c r="I294" s="9" t="s">
        <v>1487</v>
      </c>
      <c r="J294" s="9">
        <v>110022905588</v>
      </c>
      <c r="K294" s="9" t="s">
        <v>1542</v>
      </c>
      <c r="L294" s="9" t="s">
        <v>1860</v>
      </c>
      <c r="M294" s="9">
        <v>4952</v>
      </c>
      <c r="N294" s="9" t="s">
        <v>1544</v>
      </c>
      <c r="O294" s="9"/>
      <c r="P294" s="9" t="s">
        <v>1545</v>
      </c>
      <c r="Q294" s="9" t="s">
        <v>1546</v>
      </c>
      <c r="R294" s="9">
        <v>365</v>
      </c>
      <c r="S294" s="9" t="s">
        <v>1537</v>
      </c>
    </row>
    <row r="295" spans="1:19" x14ac:dyDescent="0.25">
      <c r="A295" s="9">
        <v>294</v>
      </c>
      <c r="B295" s="9" t="s">
        <v>389</v>
      </c>
      <c r="C295" s="9" t="s">
        <v>2426</v>
      </c>
      <c r="D295" s="9" t="s">
        <v>390</v>
      </c>
      <c r="E295" s="9" t="s">
        <v>138</v>
      </c>
      <c r="F295" s="9">
        <v>40360</v>
      </c>
      <c r="G295" s="9">
        <v>38.127222000000003</v>
      </c>
      <c r="H295" s="9">
        <v>-83.769443999999993</v>
      </c>
      <c r="I295" s="9" t="s">
        <v>1487</v>
      </c>
      <c r="J295" s="9">
        <v>110030443544</v>
      </c>
      <c r="K295" s="9" t="s">
        <v>1542</v>
      </c>
      <c r="L295" s="9" t="s">
        <v>1860</v>
      </c>
      <c r="M295" s="9">
        <v>4952</v>
      </c>
      <c r="N295" s="9" t="s">
        <v>1544</v>
      </c>
      <c r="O295" s="9"/>
      <c r="P295" s="9" t="s">
        <v>1545</v>
      </c>
      <c r="Q295" s="9" t="s">
        <v>1546</v>
      </c>
      <c r="R295" s="9">
        <v>365</v>
      </c>
      <c r="S295" s="9" t="s">
        <v>1537</v>
      </c>
    </row>
    <row r="296" spans="1:19" x14ac:dyDescent="0.25">
      <c r="A296" s="9">
        <v>295</v>
      </c>
      <c r="B296" s="9" t="s">
        <v>314</v>
      </c>
      <c r="C296" s="9" t="s">
        <v>2427</v>
      </c>
      <c r="D296" s="9" t="s">
        <v>315</v>
      </c>
      <c r="E296" s="9" t="s">
        <v>138</v>
      </c>
      <c r="F296" s="9">
        <v>40392</v>
      </c>
      <c r="G296" s="9">
        <v>37.915556000000002</v>
      </c>
      <c r="H296" s="9">
        <v>-84.268332999999998</v>
      </c>
      <c r="I296" s="9" t="s">
        <v>1487</v>
      </c>
      <c r="J296" s="9">
        <v>110064596361</v>
      </c>
      <c r="K296" s="9" t="s">
        <v>1542</v>
      </c>
      <c r="L296" s="9" t="s">
        <v>1860</v>
      </c>
      <c r="M296" s="9">
        <v>4952</v>
      </c>
      <c r="N296" s="9" t="s">
        <v>1544</v>
      </c>
      <c r="O296" s="9"/>
      <c r="P296" s="9" t="s">
        <v>1545</v>
      </c>
      <c r="Q296" s="9" t="s">
        <v>1546</v>
      </c>
      <c r="R296" s="9">
        <v>365</v>
      </c>
      <c r="S296" s="9" t="s">
        <v>1537</v>
      </c>
    </row>
    <row r="297" spans="1:19" x14ac:dyDescent="0.25">
      <c r="A297" s="9">
        <v>296</v>
      </c>
      <c r="B297" s="9" t="s">
        <v>427</v>
      </c>
      <c r="C297" s="9" t="s">
        <v>2428</v>
      </c>
      <c r="D297" s="9" t="s">
        <v>428</v>
      </c>
      <c r="E297" s="9" t="s">
        <v>138</v>
      </c>
      <c r="F297" s="9">
        <v>41097</v>
      </c>
      <c r="G297" s="9">
        <v>38.631208000000001</v>
      </c>
      <c r="H297" s="9">
        <v>-84.618809999999996</v>
      </c>
      <c r="I297" s="9" t="s">
        <v>1487</v>
      </c>
      <c r="J297" s="9">
        <v>110045091379</v>
      </c>
      <c r="K297" s="9" t="s">
        <v>1542</v>
      </c>
      <c r="L297" s="9" t="s">
        <v>1860</v>
      </c>
      <c r="M297" s="9">
        <v>4952</v>
      </c>
      <c r="N297" s="9" t="s">
        <v>1544</v>
      </c>
      <c r="O297" s="9"/>
      <c r="P297" s="9" t="s">
        <v>1545</v>
      </c>
      <c r="Q297" s="9" t="s">
        <v>1546</v>
      </c>
      <c r="R297" s="9">
        <v>365</v>
      </c>
      <c r="S297" s="9" t="s">
        <v>1537</v>
      </c>
    </row>
    <row r="298" spans="1:19" x14ac:dyDescent="0.25">
      <c r="A298" s="9">
        <v>297</v>
      </c>
      <c r="B298" s="9" t="s">
        <v>2429</v>
      </c>
      <c r="C298" s="9" t="s">
        <v>2430</v>
      </c>
      <c r="D298" s="9" t="s">
        <v>202</v>
      </c>
      <c r="E298" s="9" t="s">
        <v>106</v>
      </c>
      <c r="F298" s="9">
        <v>707340000</v>
      </c>
      <c r="G298" s="9">
        <v>30.23349</v>
      </c>
      <c r="H298" s="9">
        <v>-91.019739999999999</v>
      </c>
      <c r="I298" s="9" t="s">
        <v>1487</v>
      </c>
      <c r="J298" s="9">
        <v>110000911309</v>
      </c>
      <c r="K298" s="9" t="s">
        <v>72</v>
      </c>
      <c r="L298" s="9" t="s">
        <v>2431</v>
      </c>
      <c r="M298" s="9">
        <v>4789</v>
      </c>
      <c r="N298" s="9" t="s">
        <v>1770</v>
      </c>
      <c r="O298" s="9"/>
      <c r="P298" s="9" t="s">
        <v>1545</v>
      </c>
      <c r="Q298" s="9" t="s">
        <v>1546</v>
      </c>
      <c r="R298" s="9">
        <v>250</v>
      </c>
      <c r="S298" s="9" t="s">
        <v>1537</v>
      </c>
    </row>
    <row r="299" spans="1:19" x14ac:dyDescent="0.25">
      <c r="A299" s="9">
        <v>298</v>
      </c>
      <c r="B299" s="9" t="s">
        <v>2432</v>
      </c>
      <c r="C299" s="9" t="s">
        <v>2433</v>
      </c>
      <c r="D299" s="9" t="s">
        <v>2434</v>
      </c>
      <c r="E299" s="9" t="s">
        <v>520</v>
      </c>
      <c r="F299" s="9">
        <v>2048</v>
      </c>
      <c r="G299" s="9">
        <v>42.020510000000002</v>
      </c>
      <c r="H299" s="9">
        <v>-71.267250000000004</v>
      </c>
      <c r="I299" s="9" t="s">
        <v>1487</v>
      </c>
      <c r="J299" s="9">
        <v>110070602569</v>
      </c>
      <c r="K299" s="9" t="s">
        <v>1514</v>
      </c>
      <c r="L299" s="9" t="s">
        <v>2435</v>
      </c>
      <c r="M299" s="9" t="s">
        <v>1487</v>
      </c>
      <c r="N299" s="9" t="s">
        <v>1861</v>
      </c>
      <c r="O299" s="9"/>
      <c r="P299" s="9" t="s">
        <v>1545</v>
      </c>
      <c r="Q299" s="9" t="s">
        <v>1546</v>
      </c>
      <c r="R299" s="9">
        <v>365</v>
      </c>
      <c r="S299" s="9" t="s">
        <v>1537</v>
      </c>
    </row>
    <row r="300" spans="1:19" x14ac:dyDescent="0.25">
      <c r="A300" s="9">
        <v>299</v>
      </c>
      <c r="B300" s="9" t="s">
        <v>2436</v>
      </c>
      <c r="C300" s="9" t="s">
        <v>2437</v>
      </c>
      <c r="D300" s="9" t="s">
        <v>361</v>
      </c>
      <c r="E300" s="9" t="s">
        <v>520</v>
      </c>
      <c r="F300" s="9">
        <v>1887</v>
      </c>
      <c r="G300" s="9">
        <v>42.528055999999999</v>
      </c>
      <c r="H300" s="9">
        <v>-71.153889000000007</v>
      </c>
      <c r="I300" s="9" t="s">
        <v>1487</v>
      </c>
      <c r="J300" s="9">
        <v>110000759796</v>
      </c>
      <c r="K300" s="9" t="s">
        <v>1514</v>
      </c>
      <c r="L300" s="9" t="s">
        <v>5465</v>
      </c>
      <c r="M300" s="9" t="s">
        <v>1487</v>
      </c>
      <c r="N300" s="9" t="s">
        <v>1861</v>
      </c>
      <c r="O300" s="9"/>
      <c r="P300" s="9" t="s">
        <v>1545</v>
      </c>
      <c r="Q300" s="9" t="s">
        <v>1546</v>
      </c>
      <c r="R300" s="9">
        <v>365</v>
      </c>
      <c r="S300" s="9" t="s">
        <v>1537</v>
      </c>
    </row>
    <row r="301" spans="1:19" x14ac:dyDescent="0.25">
      <c r="A301" s="9">
        <v>300</v>
      </c>
      <c r="B301" s="9" t="s">
        <v>2438</v>
      </c>
      <c r="C301" s="9" t="s">
        <v>2439</v>
      </c>
      <c r="D301" s="9" t="s">
        <v>2330</v>
      </c>
      <c r="E301" s="9" t="s">
        <v>520</v>
      </c>
      <c r="F301" s="9">
        <v>2135</v>
      </c>
      <c r="G301" s="9">
        <v>42.356434999999998</v>
      </c>
      <c r="H301" s="9">
        <v>-71.145904000000002</v>
      </c>
      <c r="I301" s="9" t="s">
        <v>1487</v>
      </c>
      <c r="J301" s="9">
        <v>110070669117</v>
      </c>
      <c r="K301" s="9" t="s">
        <v>1514</v>
      </c>
      <c r="L301" s="9" t="s">
        <v>2440</v>
      </c>
      <c r="M301" s="9" t="s">
        <v>1487</v>
      </c>
      <c r="N301" s="9" t="s">
        <v>1861</v>
      </c>
      <c r="O301" s="9"/>
      <c r="P301" s="9" t="s">
        <v>1545</v>
      </c>
      <c r="Q301" s="9" t="s">
        <v>1546</v>
      </c>
      <c r="R301" s="9">
        <v>365</v>
      </c>
      <c r="S301" s="9" t="s">
        <v>1537</v>
      </c>
    </row>
    <row r="302" spans="1:19" x14ac:dyDescent="0.25">
      <c r="A302" s="9">
        <v>301</v>
      </c>
      <c r="B302" s="9" t="s">
        <v>2441</v>
      </c>
      <c r="C302" s="9" t="s">
        <v>2442</v>
      </c>
      <c r="D302" s="9" t="s">
        <v>2443</v>
      </c>
      <c r="E302" s="9" t="s">
        <v>520</v>
      </c>
      <c r="F302" s="9">
        <v>1862</v>
      </c>
      <c r="G302" s="9">
        <v>42.584327999999999</v>
      </c>
      <c r="H302" s="9">
        <v>-71.269339000000002</v>
      </c>
      <c r="I302" s="9" t="s">
        <v>1487</v>
      </c>
      <c r="J302" s="9">
        <v>110070622218</v>
      </c>
      <c r="K302" s="9" t="s">
        <v>1514</v>
      </c>
      <c r="L302" s="9" t="s">
        <v>5467</v>
      </c>
      <c r="M302" s="9" t="s">
        <v>1487</v>
      </c>
      <c r="N302" s="9" t="s">
        <v>1861</v>
      </c>
      <c r="O302" s="9"/>
      <c r="P302" s="9" t="s">
        <v>1545</v>
      </c>
      <c r="Q302" s="9" t="s">
        <v>1546</v>
      </c>
      <c r="R302" s="9">
        <v>365</v>
      </c>
      <c r="S302" s="9" t="s">
        <v>1537</v>
      </c>
    </row>
    <row r="303" spans="1:19" x14ac:dyDescent="0.25">
      <c r="A303" s="9">
        <v>302</v>
      </c>
      <c r="B303" s="9" t="s">
        <v>362</v>
      </c>
      <c r="C303" s="9" t="s">
        <v>2444</v>
      </c>
      <c r="D303" s="9" t="s">
        <v>363</v>
      </c>
      <c r="E303" s="9" t="s">
        <v>364</v>
      </c>
      <c r="F303" s="9">
        <v>20910</v>
      </c>
      <c r="G303" s="9">
        <v>38.987340000000003</v>
      </c>
      <c r="H303" s="9">
        <v>-77.026660000000007</v>
      </c>
      <c r="I303" s="9" t="s">
        <v>1487</v>
      </c>
      <c r="J303" s="9">
        <v>110037096674</v>
      </c>
      <c r="K303" s="9" t="s">
        <v>72</v>
      </c>
      <c r="L303" s="9">
        <v>0</v>
      </c>
      <c r="M303" s="9">
        <v>1522</v>
      </c>
      <c r="N303" s="9" t="s">
        <v>2445</v>
      </c>
      <c r="O303" s="9"/>
      <c r="P303" s="9" t="s">
        <v>1545</v>
      </c>
      <c r="Q303" s="9" t="s">
        <v>1546</v>
      </c>
      <c r="R303" s="9">
        <v>250</v>
      </c>
      <c r="S303" s="9" t="s">
        <v>1537</v>
      </c>
    </row>
    <row r="304" spans="1:19" x14ac:dyDescent="0.25">
      <c r="A304" s="9">
        <v>303</v>
      </c>
      <c r="B304" s="9" t="s">
        <v>2446</v>
      </c>
      <c r="C304" s="9" t="s">
        <v>2447</v>
      </c>
      <c r="D304" s="9" t="s">
        <v>2448</v>
      </c>
      <c r="E304" s="9" t="s">
        <v>118</v>
      </c>
      <c r="F304" s="9" t="s">
        <v>2449</v>
      </c>
      <c r="G304" s="9">
        <v>43.215029999999999</v>
      </c>
      <c r="H304" s="9">
        <v>-86.245689999999996</v>
      </c>
      <c r="I304" s="9" t="s">
        <v>1487</v>
      </c>
      <c r="J304" s="9">
        <v>110000410957</v>
      </c>
      <c r="K304" s="9" t="s">
        <v>72</v>
      </c>
      <c r="L304" s="9">
        <v>0</v>
      </c>
      <c r="M304" s="9">
        <v>3714</v>
      </c>
      <c r="N304" s="9" t="s">
        <v>2146</v>
      </c>
      <c r="O304" s="9"/>
      <c r="P304" s="9" t="s">
        <v>1545</v>
      </c>
      <c r="Q304" s="9" t="s">
        <v>1546</v>
      </c>
      <c r="R304" s="9">
        <v>250</v>
      </c>
      <c r="S304" s="9" t="s">
        <v>1537</v>
      </c>
    </row>
    <row r="305" spans="1:19" x14ac:dyDescent="0.25">
      <c r="A305" s="9">
        <v>304</v>
      </c>
      <c r="B305" s="9" t="s">
        <v>2450</v>
      </c>
      <c r="C305" s="9" t="s">
        <v>2451</v>
      </c>
      <c r="D305" s="9" t="s">
        <v>1447</v>
      </c>
      <c r="E305" s="9" t="s">
        <v>118</v>
      </c>
      <c r="F305" s="9">
        <v>49221</v>
      </c>
      <c r="G305" s="9">
        <v>41.948850999999998</v>
      </c>
      <c r="H305" s="9">
        <v>-83.958619999999996</v>
      </c>
      <c r="I305" s="9" t="s">
        <v>2452</v>
      </c>
      <c r="J305" s="9">
        <v>110056966699</v>
      </c>
      <c r="K305" s="9" t="s">
        <v>1553</v>
      </c>
      <c r="L305" s="9" t="s">
        <v>1936</v>
      </c>
      <c r="M305" s="9">
        <v>2821</v>
      </c>
      <c r="N305" s="9" t="s">
        <v>1560</v>
      </c>
      <c r="O305" s="9"/>
      <c r="P305" s="9" t="s">
        <v>1545</v>
      </c>
      <c r="Q305" s="9" t="s">
        <v>1546</v>
      </c>
      <c r="R305" s="9">
        <v>350</v>
      </c>
      <c r="S305" s="9" t="s">
        <v>1537</v>
      </c>
    </row>
    <row r="306" spans="1:19" x14ac:dyDescent="0.25">
      <c r="A306" s="9">
        <v>305</v>
      </c>
      <c r="B306" s="9" t="s">
        <v>2453</v>
      </c>
      <c r="C306" s="9" t="s">
        <v>2454</v>
      </c>
      <c r="D306" s="9" t="s">
        <v>1827</v>
      </c>
      <c r="E306" s="9" t="s">
        <v>118</v>
      </c>
      <c r="F306" s="9" t="s">
        <v>2455</v>
      </c>
      <c r="G306" s="9">
        <v>42.338805999999998</v>
      </c>
      <c r="H306" s="9">
        <v>-85.144028000000006</v>
      </c>
      <c r="I306" s="9" t="s">
        <v>1487</v>
      </c>
      <c r="J306" s="9">
        <v>110006040989</v>
      </c>
      <c r="K306" s="9" t="s">
        <v>1514</v>
      </c>
      <c r="L306" s="9" t="s">
        <v>2456</v>
      </c>
      <c r="M306" s="9">
        <v>9999</v>
      </c>
      <c r="N306" s="9" t="s">
        <v>1668</v>
      </c>
      <c r="O306" s="9"/>
      <c r="P306" s="9" t="s">
        <v>1545</v>
      </c>
      <c r="Q306" s="9" t="s">
        <v>1546</v>
      </c>
      <c r="R306" s="9">
        <v>365</v>
      </c>
      <c r="S306" s="9" t="s">
        <v>1537</v>
      </c>
    </row>
    <row r="307" spans="1:19" x14ac:dyDescent="0.25">
      <c r="A307" s="9">
        <v>306</v>
      </c>
      <c r="B307" s="9" t="s">
        <v>263</v>
      </c>
      <c r="C307" s="9" t="s">
        <v>2457</v>
      </c>
      <c r="D307" s="9" t="s">
        <v>264</v>
      </c>
      <c r="E307" s="9" t="s">
        <v>118</v>
      </c>
      <c r="F307" s="9">
        <v>49128</v>
      </c>
      <c r="G307" s="9">
        <v>41.775967999999999</v>
      </c>
      <c r="H307" s="9">
        <v>-86.654864000000003</v>
      </c>
      <c r="I307" s="9" t="s">
        <v>1487</v>
      </c>
      <c r="J307" s="9">
        <v>110001847761</v>
      </c>
      <c r="K307" s="9" t="s">
        <v>1703</v>
      </c>
      <c r="L307" s="9" t="s">
        <v>2046</v>
      </c>
      <c r="M307" s="9">
        <v>4953</v>
      </c>
      <c r="N307" s="9" t="s">
        <v>1954</v>
      </c>
      <c r="O307" s="9"/>
      <c r="P307" s="9" t="s">
        <v>1545</v>
      </c>
      <c r="Q307" s="9" t="s">
        <v>1546</v>
      </c>
      <c r="R307" s="9">
        <v>250</v>
      </c>
      <c r="S307" s="9" t="s">
        <v>1537</v>
      </c>
    </row>
    <row r="308" spans="1:19" x14ac:dyDescent="0.25">
      <c r="A308" s="9">
        <v>307</v>
      </c>
      <c r="B308" s="9" t="s">
        <v>2458</v>
      </c>
      <c r="C308" s="9" t="s">
        <v>2459</v>
      </c>
      <c r="D308" s="9" t="s">
        <v>2460</v>
      </c>
      <c r="E308" s="9" t="s">
        <v>118</v>
      </c>
      <c r="F308" s="9">
        <v>49304</v>
      </c>
      <c r="G308" s="9">
        <v>43.905769999999997</v>
      </c>
      <c r="H308" s="9">
        <v>-85.801850000000002</v>
      </c>
      <c r="I308" s="9" t="s">
        <v>1487</v>
      </c>
      <c r="J308" s="9">
        <v>110009899967</v>
      </c>
      <c r="K308" s="9" t="s">
        <v>1514</v>
      </c>
      <c r="L308" s="9" t="s">
        <v>2461</v>
      </c>
      <c r="M308" s="9">
        <v>3498</v>
      </c>
      <c r="N308" s="9" t="s">
        <v>2462</v>
      </c>
      <c r="O308" s="9"/>
      <c r="P308" s="9" t="s">
        <v>1545</v>
      </c>
      <c r="Q308" s="9" t="s">
        <v>1546</v>
      </c>
      <c r="R308" s="9">
        <v>365</v>
      </c>
      <c r="S308" s="9" t="s">
        <v>1537</v>
      </c>
    </row>
    <row r="309" spans="1:19" x14ac:dyDescent="0.25">
      <c r="A309" s="9">
        <v>308</v>
      </c>
      <c r="B309" s="9" t="s">
        <v>2463</v>
      </c>
      <c r="C309" s="9" t="s">
        <v>2464</v>
      </c>
      <c r="D309" s="9" t="s">
        <v>2465</v>
      </c>
      <c r="E309" s="9" t="s">
        <v>336</v>
      </c>
      <c r="F309" s="9" t="s">
        <v>2466</v>
      </c>
      <c r="G309" s="9">
        <v>40.869165000000002</v>
      </c>
      <c r="H309" s="9">
        <v>-96.617369999999994</v>
      </c>
      <c r="I309" s="9" t="s">
        <v>1487</v>
      </c>
      <c r="J309" s="9">
        <v>110000701081</v>
      </c>
      <c r="K309" s="9" t="s">
        <v>1542</v>
      </c>
      <c r="L309" s="9" t="s">
        <v>1892</v>
      </c>
      <c r="M309" s="9">
        <v>4952</v>
      </c>
      <c r="N309" s="9" t="s">
        <v>1544</v>
      </c>
      <c r="O309" s="9"/>
      <c r="P309" s="9" t="s">
        <v>1545</v>
      </c>
      <c r="Q309" s="9" t="s">
        <v>1546</v>
      </c>
      <c r="R309" s="9">
        <v>365</v>
      </c>
      <c r="S309" s="9" t="s">
        <v>1537</v>
      </c>
    </row>
    <row r="310" spans="1:19" x14ac:dyDescent="0.25">
      <c r="A310" s="9">
        <v>309</v>
      </c>
      <c r="B310" s="9" t="s">
        <v>310</v>
      </c>
      <c r="C310" s="9" t="s">
        <v>2467</v>
      </c>
      <c r="D310" s="9" t="s">
        <v>311</v>
      </c>
      <c r="E310" s="9" t="s">
        <v>153</v>
      </c>
      <c r="F310" s="9">
        <v>7036</v>
      </c>
      <c r="G310" s="9">
        <v>40.636499999999998</v>
      </c>
      <c r="H310" s="9">
        <v>-74.219899999999996</v>
      </c>
      <c r="I310" s="9" t="s">
        <v>2468</v>
      </c>
      <c r="J310" s="9">
        <v>110041133163</v>
      </c>
      <c r="K310" s="9" t="s">
        <v>1630</v>
      </c>
      <c r="L310" s="9" t="s">
        <v>2469</v>
      </c>
      <c r="M310" s="9">
        <v>2911</v>
      </c>
      <c r="N310" s="9" t="s">
        <v>2107</v>
      </c>
      <c r="O310" s="9"/>
      <c r="P310" s="9" t="s">
        <v>1545</v>
      </c>
      <c r="Q310" s="9" t="s">
        <v>1546</v>
      </c>
      <c r="R310" s="9">
        <v>0</v>
      </c>
      <c r="S310" s="9" t="s">
        <v>1537</v>
      </c>
    </row>
    <row r="311" spans="1:19" x14ac:dyDescent="0.25">
      <c r="A311" s="9">
        <v>310</v>
      </c>
      <c r="B311" s="9" t="s">
        <v>2470</v>
      </c>
      <c r="C311" s="9" t="s">
        <v>2471</v>
      </c>
      <c r="D311" s="9" t="s">
        <v>2472</v>
      </c>
      <c r="E311" s="9" t="s">
        <v>153</v>
      </c>
      <c r="F311" s="9">
        <v>8540</v>
      </c>
      <c r="G311" s="9">
        <v>40.331944</v>
      </c>
      <c r="H311" s="9">
        <v>-74.619721999999996</v>
      </c>
      <c r="I311" s="9" t="s">
        <v>1487</v>
      </c>
      <c r="J311" s="9">
        <v>110000321651</v>
      </c>
      <c r="K311" s="9" t="s">
        <v>1553</v>
      </c>
      <c r="L311" s="9" t="s">
        <v>2057</v>
      </c>
      <c r="M311" s="9">
        <v>2869</v>
      </c>
      <c r="N311" s="9" t="s">
        <v>1577</v>
      </c>
      <c r="O311" s="9"/>
      <c r="P311" s="9" t="s">
        <v>1545</v>
      </c>
      <c r="Q311" s="9" t="s">
        <v>1546</v>
      </c>
      <c r="R311" s="9">
        <v>350</v>
      </c>
      <c r="S311" s="9" t="s">
        <v>1537</v>
      </c>
    </row>
    <row r="312" spans="1:19" x14ac:dyDescent="0.25">
      <c r="A312" s="9">
        <v>311</v>
      </c>
      <c r="B312" s="9" t="s">
        <v>2473</v>
      </c>
      <c r="C312" s="9" t="s">
        <v>2474</v>
      </c>
      <c r="D312" s="9" t="s">
        <v>2475</v>
      </c>
      <c r="E312" s="9" t="s">
        <v>153</v>
      </c>
      <c r="F312" s="9">
        <v>8086</v>
      </c>
      <c r="G312" s="9">
        <v>39.819949999999999</v>
      </c>
      <c r="H312" s="9">
        <v>-75.201369999999997</v>
      </c>
      <c r="I312" s="9" t="s">
        <v>1487</v>
      </c>
      <c r="J312" s="9">
        <v>110070709706</v>
      </c>
      <c r="K312" s="9" t="s">
        <v>1514</v>
      </c>
      <c r="L312" s="9" t="s">
        <v>2476</v>
      </c>
      <c r="M312" s="9" t="s">
        <v>1487</v>
      </c>
      <c r="N312" s="9" t="s">
        <v>1861</v>
      </c>
      <c r="O312" s="9"/>
      <c r="P312" s="9" t="s">
        <v>1545</v>
      </c>
      <c r="Q312" s="9" t="s">
        <v>1546</v>
      </c>
      <c r="R312" s="9">
        <v>365</v>
      </c>
      <c r="S312" s="9" t="s">
        <v>1537</v>
      </c>
    </row>
    <row r="313" spans="1:19" x14ac:dyDescent="0.25">
      <c r="A313" s="9">
        <v>312</v>
      </c>
      <c r="B313" s="9" t="s">
        <v>2477</v>
      </c>
      <c r="C313" s="9" t="s">
        <v>2478</v>
      </c>
      <c r="D313" s="9" t="s">
        <v>2479</v>
      </c>
      <c r="E313" s="9" t="s">
        <v>153</v>
      </c>
      <c r="F313" s="9">
        <v>8525</v>
      </c>
      <c r="G313" s="9">
        <v>40.393389999999997</v>
      </c>
      <c r="H313" s="9">
        <v>-74.758080000000007</v>
      </c>
      <c r="I313" s="9" t="s">
        <v>1487</v>
      </c>
      <c r="J313" s="9">
        <v>110070219521</v>
      </c>
      <c r="K313" s="9" t="s">
        <v>1514</v>
      </c>
      <c r="L313" s="9" t="s">
        <v>2229</v>
      </c>
      <c r="M313" s="9" t="s">
        <v>1487</v>
      </c>
      <c r="N313" s="9" t="s">
        <v>1861</v>
      </c>
      <c r="O313" s="9"/>
      <c r="P313" s="9" t="s">
        <v>1545</v>
      </c>
      <c r="Q313" s="9" t="s">
        <v>1546</v>
      </c>
      <c r="R313" s="9">
        <v>365</v>
      </c>
      <c r="S313" s="9" t="s">
        <v>1537</v>
      </c>
    </row>
    <row r="314" spans="1:19" x14ac:dyDescent="0.25">
      <c r="A314" s="9">
        <v>313</v>
      </c>
      <c r="B314" s="9" t="s">
        <v>167</v>
      </c>
      <c r="C314" s="9" t="s">
        <v>2480</v>
      </c>
      <c r="D314" s="9" t="s">
        <v>157</v>
      </c>
      <c r="E314" s="9" t="s">
        <v>158</v>
      </c>
      <c r="F314" s="9">
        <v>89109</v>
      </c>
      <c r="G314" s="9">
        <v>36.116160999999998</v>
      </c>
      <c r="H314" s="9">
        <v>-115.172741</v>
      </c>
      <c r="I314" s="9" t="s">
        <v>1487</v>
      </c>
      <c r="J314" s="9">
        <v>110015972562</v>
      </c>
      <c r="K314" s="9" t="s">
        <v>72</v>
      </c>
      <c r="L314" s="9" t="s">
        <v>2481</v>
      </c>
      <c r="M314" s="9">
        <v>7011</v>
      </c>
      <c r="N314" s="9" t="s">
        <v>1596</v>
      </c>
      <c r="O314" s="9"/>
      <c r="P314" s="9" t="s">
        <v>1545</v>
      </c>
      <c r="Q314" s="9" t="s">
        <v>1546</v>
      </c>
      <c r="R314" s="9">
        <v>250</v>
      </c>
      <c r="S314" s="9" t="s">
        <v>1537</v>
      </c>
    </row>
    <row r="315" spans="1:19" x14ac:dyDescent="0.25">
      <c r="A315" s="9">
        <v>314</v>
      </c>
      <c r="B315" s="9" t="s">
        <v>432</v>
      </c>
      <c r="C315" s="9" t="s">
        <v>2482</v>
      </c>
      <c r="D315" s="9" t="s">
        <v>157</v>
      </c>
      <c r="E315" s="9" t="s">
        <v>158</v>
      </c>
      <c r="F315" s="9">
        <v>89101</v>
      </c>
      <c r="G315" s="9">
        <v>36.16478</v>
      </c>
      <c r="H315" s="9">
        <v>-115.14067</v>
      </c>
      <c r="I315" s="9" t="s">
        <v>1487</v>
      </c>
      <c r="J315" s="9">
        <v>110017237373</v>
      </c>
      <c r="K315" s="9" t="s">
        <v>72</v>
      </c>
      <c r="L315" s="9" t="s">
        <v>5468</v>
      </c>
      <c r="M315" s="9">
        <v>8211</v>
      </c>
      <c r="N315" s="9" t="s">
        <v>2483</v>
      </c>
      <c r="O315" s="9"/>
      <c r="P315" s="9" t="s">
        <v>1545</v>
      </c>
      <c r="Q315" s="9" t="s">
        <v>1546</v>
      </c>
      <c r="R315" s="9">
        <v>250</v>
      </c>
      <c r="S315" s="9" t="s">
        <v>1537</v>
      </c>
    </row>
    <row r="316" spans="1:19" x14ac:dyDescent="0.25">
      <c r="A316" s="9">
        <v>315</v>
      </c>
      <c r="B316" s="9" t="s">
        <v>1453</v>
      </c>
      <c r="C316" s="9" t="s">
        <v>2484</v>
      </c>
      <c r="D316" s="9" t="s">
        <v>157</v>
      </c>
      <c r="E316" s="9" t="s">
        <v>158</v>
      </c>
      <c r="F316" s="9">
        <v>89103</v>
      </c>
      <c r="G316" s="9">
        <v>36.108890000000002</v>
      </c>
      <c r="H316" s="9">
        <v>-115.18118</v>
      </c>
      <c r="I316" s="9" t="s">
        <v>1487</v>
      </c>
      <c r="J316" s="9">
        <v>110059861065</v>
      </c>
      <c r="K316" s="9" t="s">
        <v>72</v>
      </c>
      <c r="L316" s="9" t="s">
        <v>2485</v>
      </c>
      <c r="M316" s="9">
        <v>6531</v>
      </c>
      <c r="N316" s="9" t="s">
        <v>2486</v>
      </c>
      <c r="O316" s="9"/>
      <c r="P316" s="9" t="s">
        <v>1545</v>
      </c>
      <c r="Q316" s="9" t="s">
        <v>1546</v>
      </c>
      <c r="R316" s="9">
        <v>250</v>
      </c>
      <c r="S316" s="9" t="s">
        <v>1537</v>
      </c>
    </row>
    <row r="317" spans="1:19" x14ac:dyDescent="0.25">
      <c r="A317" s="9">
        <v>316</v>
      </c>
      <c r="B317" s="9" t="s">
        <v>1456</v>
      </c>
      <c r="C317" s="9" t="s">
        <v>2487</v>
      </c>
      <c r="D317" s="9" t="s">
        <v>157</v>
      </c>
      <c r="E317" s="9" t="s">
        <v>158</v>
      </c>
      <c r="F317" s="9">
        <v>89169</v>
      </c>
      <c r="G317" s="9">
        <v>36.119079999999997</v>
      </c>
      <c r="H317" s="9">
        <v>-115.15727</v>
      </c>
      <c r="I317" s="9" t="s">
        <v>1487</v>
      </c>
      <c r="J317" s="9">
        <v>110037274133</v>
      </c>
      <c r="K317" s="9" t="s">
        <v>72</v>
      </c>
      <c r="L317" s="9" t="s">
        <v>2488</v>
      </c>
      <c r="M317" s="9">
        <v>6512</v>
      </c>
      <c r="N317" s="9" t="s">
        <v>2489</v>
      </c>
      <c r="O317" s="9"/>
      <c r="P317" s="9" t="s">
        <v>1545</v>
      </c>
      <c r="Q317" s="9" t="s">
        <v>1546</v>
      </c>
      <c r="R317" s="9">
        <v>250</v>
      </c>
      <c r="S317" s="9" t="s">
        <v>1537</v>
      </c>
    </row>
    <row r="318" spans="1:19" x14ac:dyDescent="0.25">
      <c r="A318" s="9">
        <v>317</v>
      </c>
      <c r="B318" s="9" t="s">
        <v>171</v>
      </c>
      <c r="C318" s="9" t="s">
        <v>2490</v>
      </c>
      <c r="D318" s="9" t="s">
        <v>157</v>
      </c>
      <c r="E318" s="9" t="s">
        <v>158</v>
      </c>
      <c r="F318" s="9">
        <v>89109</v>
      </c>
      <c r="G318" s="9">
        <v>36.132570000000001</v>
      </c>
      <c r="H318" s="9">
        <v>-115.16477</v>
      </c>
      <c r="I318" s="9" t="s">
        <v>1487</v>
      </c>
      <c r="J318" s="9">
        <v>110041253256</v>
      </c>
      <c r="K318" s="9" t="s">
        <v>72</v>
      </c>
      <c r="L318" s="9" t="s">
        <v>2481</v>
      </c>
      <c r="M318" s="9">
        <v>7011</v>
      </c>
      <c r="N318" s="9" t="s">
        <v>1596</v>
      </c>
      <c r="O318" s="9"/>
      <c r="P318" s="9" t="s">
        <v>1545</v>
      </c>
      <c r="Q318" s="9" t="s">
        <v>1546</v>
      </c>
      <c r="R318" s="9">
        <v>250</v>
      </c>
      <c r="S318" s="9" t="s">
        <v>1537</v>
      </c>
    </row>
    <row r="319" spans="1:19" x14ac:dyDescent="0.25">
      <c r="A319" s="9">
        <v>318</v>
      </c>
      <c r="B319" s="9" t="s">
        <v>415</v>
      </c>
      <c r="C319" s="9" t="s">
        <v>2491</v>
      </c>
      <c r="D319" s="9" t="s">
        <v>157</v>
      </c>
      <c r="E319" s="9" t="s">
        <v>158</v>
      </c>
      <c r="F319" s="9">
        <v>89109</v>
      </c>
      <c r="G319" s="9">
        <v>36.131489999999999</v>
      </c>
      <c r="H319" s="9">
        <v>-115.15483</v>
      </c>
      <c r="I319" s="9" t="s">
        <v>1487</v>
      </c>
      <c r="J319" s="9">
        <v>110059844156</v>
      </c>
      <c r="K319" s="9" t="s">
        <v>72</v>
      </c>
      <c r="L319" s="9">
        <v>0</v>
      </c>
      <c r="M319" s="9">
        <v>1799</v>
      </c>
      <c r="N319" s="9" t="s">
        <v>1593</v>
      </c>
      <c r="O319" s="9"/>
      <c r="P319" s="9" t="s">
        <v>1545</v>
      </c>
      <c r="Q319" s="9" t="s">
        <v>1546</v>
      </c>
      <c r="R319" s="9">
        <v>250</v>
      </c>
      <c r="S319" s="9" t="s">
        <v>1537</v>
      </c>
    </row>
    <row r="320" spans="1:19" x14ac:dyDescent="0.25">
      <c r="A320" s="9">
        <v>319</v>
      </c>
      <c r="B320" s="9" t="s">
        <v>2492</v>
      </c>
      <c r="C320" s="9" t="s">
        <v>2493</v>
      </c>
      <c r="D320" s="9" t="s">
        <v>2494</v>
      </c>
      <c r="E320" s="9" t="s">
        <v>250</v>
      </c>
      <c r="F320" s="9">
        <v>12158</v>
      </c>
      <c r="G320" s="9">
        <v>42.575415999999997</v>
      </c>
      <c r="H320" s="9">
        <v>-73.853562999999994</v>
      </c>
      <c r="I320" s="9" t="s">
        <v>2495</v>
      </c>
      <c r="J320" s="9">
        <v>110000324391</v>
      </c>
      <c r="K320" s="9" t="s">
        <v>1553</v>
      </c>
      <c r="L320" s="9" t="s">
        <v>1936</v>
      </c>
      <c r="M320" s="9">
        <v>2821</v>
      </c>
      <c r="N320" s="9" t="s">
        <v>1560</v>
      </c>
      <c r="O320" s="9"/>
      <c r="P320" s="9" t="s">
        <v>1545</v>
      </c>
      <c r="Q320" s="9" t="s">
        <v>1546</v>
      </c>
      <c r="R320" s="9">
        <v>350</v>
      </c>
      <c r="S320" s="9" t="s">
        <v>1537</v>
      </c>
    </row>
    <row r="321" spans="1:19" x14ac:dyDescent="0.25">
      <c r="A321" s="9">
        <v>320</v>
      </c>
      <c r="B321" s="9" t="s">
        <v>273</v>
      </c>
      <c r="C321" s="9" t="s">
        <v>2496</v>
      </c>
      <c r="D321" s="9" t="s">
        <v>274</v>
      </c>
      <c r="E321" s="9" t="s">
        <v>268</v>
      </c>
      <c r="F321" s="9">
        <v>19021</v>
      </c>
      <c r="G321" s="9">
        <v>40.094276999999998</v>
      </c>
      <c r="H321" s="9">
        <v>-74.865442000000002</v>
      </c>
      <c r="I321" s="9" t="s">
        <v>1487</v>
      </c>
      <c r="J321" s="9">
        <v>110064634686</v>
      </c>
      <c r="K321" s="9" t="s">
        <v>1553</v>
      </c>
      <c r="L321" s="9" t="s">
        <v>1913</v>
      </c>
      <c r="M321" s="9">
        <v>2821</v>
      </c>
      <c r="N321" s="9" t="s">
        <v>1560</v>
      </c>
      <c r="O321" s="9"/>
      <c r="P321" s="9" t="s">
        <v>1545</v>
      </c>
      <c r="Q321" s="9" t="s">
        <v>1546</v>
      </c>
      <c r="R321" s="9">
        <v>350</v>
      </c>
      <c r="S321" s="9" t="s">
        <v>1537</v>
      </c>
    </row>
    <row r="322" spans="1:19" x14ac:dyDescent="0.25">
      <c r="A322" s="9">
        <v>321</v>
      </c>
      <c r="B322" s="9" t="s">
        <v>2497</v>
      </c>
      <c r="C322" s="9" t="s">
        <v>2498</v>
      </c>
      <c r="D322" s="9" t="s">
        <v>1462</v>
      </c>
      <c r="E322" s="9" t="s">
        <v>110</v>
      </c>
      <c r="F322" s="9">
        <v>22305</v>
      </c>
      <c r="G322" s="9">
        <v>38.840600000000002</v>
      </c>
      <c r="H322" s="9">
        <v>-77.068200000000004</v>
      </c>
      <c r="I322" s="9" t="s">
        <v>1487</v>
      </c>
      <c r="J322" s="9">
        <v>110070598729</v>
      </c>
      <c r="K322" s="9" t="s">
        <v>72</v>
      </c>
      <c r="L322" s="9" t="s">
        <v>2251</v>
      </c>
      <c r="M322" s="9">
        <v>1794</v>
      </c>
      <c r="N322" s="9" t="s">
        <v>2252</v>
      </c>
      <c r="O322" s="9"/>
      <c r="P322" s="9" t="s">
        <v>1545</v>
      </c>
      <c r="Q322" s="9" t="s">
        <v>1546</v>
      </c>
      <c r="R322" s="9">
        <v>250</v>
      </c>
      <c r="S322" s="9" t="s">
        <v>1537</v>
      </c>
    </row>
    <row r="323" spans="1:19" x14ac:dyDescent="0.25">
      <c r="A323" s="9">
        <v>322</v>
      </c>
      <c r="B323" s="9" t="s">
        <v>2499</v>
      </c>
      <c r="C323" s="9" t="s">
        <v>2500</v>
      </c>
      <c r="D323" s="9" t="s">
        <v>2501</v>
      </c>
      <c r="E323" s="9" t="s">
        <v>110</v>
      </c>
      <c r="F323" s="9">
        <v>221822454</v>
      </c>
      <c r="G323" s="9">
        <v>38.920442999999999</v>
      </c>
      <c r="H323" s="9">
        <v>-77.231847000000002</v>
      </c>
      <c r="I323" s="9" t="s">
        <v>1487</v>
      </c>
      <c r="J323" s="9">
        <v>110070684897</v>
      </c>
      <c r="K323" s="9" t="s">
        <v>72</v>
      </c>
      <c r="L323" s="9" t="s">
        <v>2251</v>
      </c>
      <c r="M323" s="9">
        <v>1794</v>
      </c>
      <c r="N323" s="9" t="s">
        <v>2252</v>
      </c>
      <c r="O323" s="9"/>
      <c r="P323" s="9" t="s">
        <v>1545</v>
      </c>
      <c r="Q323" s="9" t="s">
        <v>1546</v>
      </c>
      <c r="R323" s="9">
        <v>250</v>
      </c>
      <c r="S323" s="9" t="s">
        <v>1537</v>
      </c>
    </row>
    <row r="324" spans="1:19" x14ac:dyDescent="0.25">
      <c r="A324" s="9">
        <v>323</v>
      </c>
      <c r="B324" s="9" t="s">
        <v>2502</v>
      </c>
      <c r="C324" s="9" t="s">
        <v>2503</v>
      </c>
      <c r="D324" s="9" t="s">
        <v>1462</v>
      </c>
      <c r="E324" s="9" t="s">
        <v>110</v>
      </c>
      <c r="F324" s="9">
        <v>22314</v>
      </c>
      <c r="G324" s="9">
        <v>38.810879999999997</v>
      </c>
      <c r="H324" s="9">
        <v>-77.042289999999994</v>
      </c>
      <c r="I324" s="9" t="s">
        <v>1487</v>
      </c>
      <c r="J324" s="9">
        <v>110070885683</v>
      </c>
      <c r="K324" s="9" t="s">
        <v>72</v>
      </c>
      <c r="L324" s="9" t="s">
        <v>2251</v>
      </c>
      <c r="M324" s="9">
        <v>1794</v>
      </c>
      <c r="N324" s="9" t="s">
        <v>2252</v>
      </c>
      <c r="O324" s="9"/>
      <c r="P324" s="9" t="s">
        <v>1545</v>
      </c>
      <c r="Q324" s="9" t="s">
        <v>1546</v>
      </c>
      <c r="R324" s="9">
        <v>250</v>
      </c>
      <c r="S324" s="9" t="s">
        <v>1537</v>
      </c>
    </row>
    <row r="325" spans="1:19" x14ac:dyDescent="0.25">
      <c r="A325" s="9">
        <v>324</v>
      </c>
      <c r="B325" s="9" t="s">
        <v>2504</v>
      </c>
      <c r="C325" s="9" t="s">
        <v>2505</v>
      </c>
      <c r="D325" s="9" t="s">
        <v>1462</v>
      </c>
      <c r="E325" s="9" t="s">
        <v>110</v>
      </c>
      <c r="F325" s="9">
        <v>22314</v>
      </c>
      <c r="G325" s="9">
        <v>38.803499000000002</v>
      </c>
      <c r="H325" s="9">
        <v>-77.069463999999996</v>
      </c>
      <c r="I325" s="9" t="s">
        <v>1487</v>
      </c>
      <c r="J325" s="9">
        <v>110070884090</v>
      </c>
      <c r="K325" s="9" t="s">
        <v>72</v>
      </c>
      <c r="L325" s="9" t="s">
        <v>2251</v>
      </c>
      <c r="M325" s="9">
        <v>1794</v>
      </c>
      <c r="N325" s="9" t="s">
        <v>2252</v>
      </c>
      <c r="O325" s="9"/>
      <c r="P325" s="9" t="s">
        <v>1545</v>
      </c>
      <c r="Q325" s="9" t="s">
        <v>1546</v>
      </c>
      <c r="R325" s="9">
        <v>250</v>
      </c>
      <c r="S325" s="9" t="s">
        <v>1537</v>
      </c>
    </row>
    <row r="326" spans="1:19" x14ac:dyDescent="0.25">
      <c r="A326" s="9">
        <v>325</v>
      </c>
      <c r="B326" s="9" t="s">
        <v>2506</v>
      </c>
      <c r="C326" s="9" t="s">
        <v>2507</v>
      </c>
      <c r="D326" s="9" t="s">
        <v>2250</v>
      </c>
      <c r="E326" s="9" t="s">
        <v>110</v>
      </c>
      <c r="F326" s="9">
        <v>22202</v>
      </c>
      <c r="G326" s="9">
        <v>38.861469</v>
      </c>
      <c r="H326" s="9">
        <v>-77.054677999999996</v>
      </c>
      <c r="I326" s="9" t="s">
        <v>1487</v>
      </c>
      <c r="J326" s="9">
        <v>110070882213</v>
      </c>
      <c r="K326" s="9" t="s">
        <v>72</v>
      </c>
      <c r="L326" s="9" t="s">
        <v>2251</v>
      </c>
      <c r="M326" s="9">
        <v>1794</v>
      </c>
      <c r="N326" s="9" t="s">
        <v>2252</v>
      </c>
      <c r="O326" s="9"/>
      <c r="P326" s="9" t="s">
        <v>1545</v>
      </c>
      <c r="Q326" s="9" t="s">
        <v>1546</v>
      </c>
      <c r="R326" s="9">
        <v>250</v>
      </c>
      <c r="S326" s="9" t="s">
        <v>1537</v>
      </c>
    </row>
    <row r="327" spans="1:19" x14ac:dyDescent="0.25">
      <c r="A327" s="9">
        <v>326</v>
      </c>
      <c r="B327" s="9" t="s">
        <v>2508</v>
      </c>
      <c r="C327" s="9" t="s">
        <v>2509</v>
      </c>
      <c r="D327" s="9" t="s">
        <v>1462</v>
      </c>
      <c r="E327" s="9" t="s">
        <v>110</v>
      </c>
      <c r="F327" s="9">
        <v>22301</v>
      </c>
      <c r="G327" s="9">
        <v>38.829017999999998</v>
      </c>
      <c r="H327" s="9">
        <v>-77.049244999999999</v>
      </c>
      <c r="I327" s="9" t="s">
        <v>1487</v>
      </c>
      <c r="J327" s="9">
        <v>110070884091</v>
      </c>
      <c r="K327" s="9" t="s">
        <v>72</v>
      </c>
      <c r="L327" s="9" t="s">
        <v>2251</v>
      </c>
      <c r="M327" s="9">
        <v>1794</v>
      </c>
      <c r="N327" s="9" t="s">
        <v>2252</v>
      </c>
      <c r="O327" s="9"/>
      <c r="P327" s="9" t="s">
        <v>1545</v>
      </c>
      <c r="Q327" s="9" t="s">
        <v>1546</v>
      </c>
      <c r="R327" s="9">
        <v>250</v>
      </c>
      <c r="S327" s="9" t="s">
        <v>1537</v>
      </c>
    </row>
  </sheetData>
  <sheetProtection sheet="1" objects="1" scenarios="1" formatCells="0" formatColumns="0" formatRows="0" sort="0" autoFilter="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EAD96-2CBB-448D-B232-E4D2AD720239}">
  <sheetPr codeName="Sheet15">
    <tabColor rgb="FF9933FF"/>
  </sheetPr>
  <dimension ref="A1:D25"/>
  <sheetViews>
    <sheetView workbookViewId="0"/>
  </sheetViews>
  <sheetFormatPr defaultRowHeight="15" x14ac:dyDescent="0.25"/>
  <cols>
    <col min="1" max="1" width="11.85546875" bestFit="1" customWidth="1"/>
    <col min="2" max="2" width="75.42578125" bestFit="1" customWidth="1"/>
    <col min="3" max="3" width="48.7109375" bestFit="1" customWidth="1"/>
    <col min="4" max="4" width="36.85546875" customWidth="1"/>
  </cols>
  <sheetData>
    <row r="1" spans="1:4" x14ac:dyDescent="0.25">
      <c r="A1" s="232" t="s">
        <v>2510</v>
      </c>
      <c r="B1" s="233" t="s">
        <v>2511</v>
      </c>
      <c r="C1" s="234" t="s">
        <v>51</v>
      </c>
      <c r="D1" s="234" t="s">
        <v>2512</v>
      </c>
    </row>
    <row r="2" spans="1:4" x14ac:dyDescent="0.25">
      <c r="A2" s="9">
        <v>112511</v>
      </c>
      <c r="B2" s="9" t="str">
        <f>INDEX('2017 - 2022 NAICS'!$D:$D,MATCH('NAICS OES crosswalk'!A2,'2017 - 2022 NAICS'!$C:$C, 0))</f>
        <v>Finfish Farming and Fish Hatcheries</v>
      </c>
      <c r="C2" s="9" t="s">
        <v>1515</v>
      </c>
      <c r="D2" s="9"/>
    </row>
    <row r="3" spans="1:4" x14ac:dyDescent="0.25">
      <c r="A3" s="9">
        <v>213115</v>
      </c>
      <c r="B3" s="9" t="str">
        <f>INDEX('2017 - 2022 NAICS'!$D:$D,MATCH('NAICS OES crosswalk'!A3,'2017 - 2022 NAICS'!$C:$C, 0))</f>
        <v>Support Activities for Nonmetallic Minerals (except Fuels) Mining</v>
      </c>
      <c r="C3" s="9" t="s">
        <v>1515</v>
      </c>
      <c r="D3" s="9"/>
    </row>
    <row r="4" spans="1:4" x14ac:dyDescent="0.25">
      <c r="A4" s="9">
        <v>237990</v>
      </c>
      <c r="B4" s="9" t="str">
        <f>INDEX('2017 - 2022 NAICS'!$D:$D,MATCH('NAICS OES crosswalk'!A4,'2017 - 2022 NAICS'!$C:$C, 0))</f>
        <v>Other Heavy and Civil Engineering Construction</v>
      </c>
      <c r="C4" s="9" t="s">
        <v>1515</v>
      </c>
      <c r="D4" s="9"/>
    </row>
    <row r="5" spans="1:4" x14ac:dyDescent="0.25">
      <c r="A5" s="9">
        <v>238990</v>
      </c>
      <c r="B5" s="9" t="str">
        <f>INDEX('2017 - 2022 NAICS'!$D:$D,MATCH('NAICS OES crosswalk'!A5,'2017 - 2022 NAICS'!$C:$C, 0))</f>
        <v>All Other Specialty Trade Contractors</v>
      </c>
      <c r="C5" s="9" t="s">
        <v>1515</v>
      </c>
      <c r="D5" s="9"/>
    </row>
    <row r="6" spans="1:4" x14ac:dyDescent="0.25">
      <c r="A6" s="9">
        <v>313310</v>
      </c>
      <c r="B6" s="9" t="str">
        <f>INDEX('2017 - 2022 NAICS'!$D:$D,MATCH('NAICS OES crosswalk'!A6,'2017 - 2022 NAICS'!$C:$C, 0))</f>
        <v>Textile and Fabric Finishing Mills</v>
      </c>
      <c r="C6" s="9" t="s">
        <v>1515</v>
      </c>
      <c r="D6" s="9"/>
    </row>
    <row r="7" spans="1:4" x14ac:dyDescent="0.25">
      <c r="A7" s="9">
        <v>323120</v>
      </c>
      <c r="B7" s="9" t="str">
        <f>INDEX('2017 - 2022 NAICS'!$D:$D,MATCH('NAICS OES crosswalk'!A7,'2017 - 2022 NAICS'!$C:$C, 0))</f>
        <v>Support Activities for Printing</v>
      </c>
      <c r="C7" s="9" t="s">
        <v>1515</v>
      </c>
      <c r="D7" s="9"/>
    </row>
    <row r="8" spans="1:4" x14ac:dyDescent="0.25">
      <c r="A8" s="9">
        <v>325180</v>
      </c>
      <c r="B8" s="9" t="str">
        <f>INDEX('2017 - 2022 NAICS'!$D:$D,MATCH('NAICS OES crosswalk'!A8,'2017 - 2022 NAICS'!$C:$C, 0))</f>
        <v>Other Basic Inorganic Chemical Manufacturing</v>
      </c>
      <c r="C8" s="9" t="s">
        <v>62</v>
      </c>
      <c r="D8" s="9" t="s">
        <v>5472</v>
      </c>
    </row>
    <row r="9" spans="1:4" x14ac:dyDescent="0.25">
      <c r="A9" s="9">
        <v>325320</v>
      </c>
      <c r="B9" s="9" t="str">
        <f>INDEX('2017 - 2022 NAICS'!$D:$D,MATCH('NAICS OES crosswalk'!A9,'2017 - 2022 NAICS'!$C:$C, 0))</f>
        <v>Pesticide and Other Agricultural Chemical Manufacturing</v>
      </c>
      <c r="C9" s="9" t="s">
        <v>1515</v>
      </c>
      <c r="D9" s="9"/>
    </row>
    <row r="10" spans="1:4" x14ac:dyDescent="0.25">
      <c r="A10" s="9">
        <v>325620</v>
      </c>
      <c r="B10" s="9" t="str">
        <f>INDEX('2017 - 2022 NAICS'!$D:$D,MATCH('NAICS OES crosswalk'!A10,'2017 - 2022 NAICS'!$C:$C, 0))</f>
        <v>Toilet Preparation Manufacturing</v>
      </c>
      <c r="C10" s="9" t="s">
        <v>1512</v>
      </c>
      <c r="D10" s="9"/>
    </row>
    <row r="11" spans="1:4" x14ac:dyDescent="0.25">
      <c r="A11" s="9">
        <v>325920</v>
      </c>
      <c r="B11" s="9" t="str">
        <f>INDEX('2017 - 2022 NAICS'!$D:$D,MATCH('NAICS OES crosswalk'!A11,'2017 - 2022 NAICS'!$C:$C, 0))</f>
        <v>Explosives Manufacturing</v>
      </c>
      <c r="C11" s="9" t="s">
        <v>1515</v>
      </c>
      <c r="D11" s="9"/>
    </row>
    <row r="12" spans="1:4" x14ac:dyDescent="0.25">
      <c r="A12" s="9">
        <v>325991</v>
      </c>
      <c r="B12" s="9" t="str">
        <f>INDEX('2017 - 2022 NAICS'!$D:$D,MATCH('NAICS OES crosswalk'!A12,'2017 - 2022 NAICS'!$C:$C, 0))</f>
        <v>Custom Compounding of Purchased Resins</v>
      </c>
      <c r="C12" s="9" t="s">
        <v>1515</v>
      </c>
      <c r="D12" s="9"/>
    </row>
    <row r="13" spans="1:4" x14ac:dyDescent="0.25">
      <c r="A13" s="9">
        <v>326299</v>
      </c>
      <c r="B13" s="9" t="str">
        <f>INDEX('2017 - 2022 NAICS'!$D:$D,MATCH('NAICS OES crosswalk'!A13,'2017 - 2022 NAICS'!$C:$C, 0))</f>
        <v>All Other Rubber Product Manufacturing</v>
      </c>
      <c r="C13" s="9" t="s">
        <v>1515</v>
      </c>
      <c r="D13" s="9"/>
    </row>
    <row r="14" spans="1:4" x14ac:dyDescent="0.25">
      <c r="A14" s="9">
        <v>339940</v>
      </c>
      <c r="B14" s="9" t="str">
        <f>INDEX('2017 - 2022 NAICS'!$D:$D,MATCH('NAICS OES crosswalk'!A14,'2017 - 2022 NAICS'!$C:$C, 0))</f>
        <v>Office Supplies (except Paper) Manufacturing</v>
      </c>
      <c r="C14" s="9" t="s">
        <v>1515</v>
      </c>
      <c r="D14" s="9"/>
    </row>
    <row r="15" spans="1:4" x14ac:dyDescent="0.25">
      <c r="A15" s="9">
        <v>339999</v>
      </c>
      <c r="B15" s="9" t="str">
        <f>INDEX('2017 - 2022 NAICS'!$D:$D,MATCH('NAICS OES crosswalk'!A15,'2017 - 2022 NAICS'!$C:$C, 0))</f>
        <v>All Other Miscellaneous Manufacturing</v>
      </c>
      <c r="C15" s="9" t="s">
        <v>1515</v>
      </c>
      <c r="D15" s="9"/>
    </row>
    <row r="16" spans="1:4" x14ac:dyDescent="0.25">
      <c r="A16" s="9">
        <v>425120</v>
      </c>
      <c r="B16" s="9" t="str">
        <f>INDEX('2017 - 2022 NAICS'!$D:$D,MATCH('NAICS OES crosswalk'!A16,'2017 - 2022 NAICS'!$C:$C, 0))</f>
        <v>Wholesale Trade Agents and Brokers</v>
      </c>
      <c r="C16" s="9" t="s">
        <v>1515</v>
      </c>
      <c r="D16" s="9"/>
    </row>
    <row r="17" spans="1:4" x14ac:dyDescent="0.25">
      <c r="A17" s="9">
        <v>445250</v>
      </c>
      <c r="B17" s="9" t="str">
        <f>INDEX('2017 - 2022 NAICS'!$D:$D,MATCH('NAICS OES crosswalk'!A17,'2017 - 2022 NAICS'!$C:$C, 0))</f>
        <v>Fish and Seafood Retailers</v>
      </c>
      <c r="C17" s="9" t="s">
        <v>1515</v>
      </c>
      <c r="D17" s="9"/>
    </row>
    <row r="18" spans="1:4" x14ac:dyDescent="0.25">
      <c r="A18" s="9">
        <v>517810</v>
      </c>
      <c r="B18" s="9" t="str">
        <f>INDEX('2017 - 2022 NAICS'!$D:$D,MATCH('NAICS OES crosswalk'!A18,'2017 - 2022 NAICS'!$C:$C, 0))</f>
        <v>All Other Telecommunications</v>
      </c>
      <c r="C18" s="9" t="s">
        <v>1515</v>
      </c>
      <c r="D18" s="9"/>
    </row>
    <row r="19" spans="1:4" x14ac:dyDescent="0.25">
      <c r="A19" s="9">
        <v>611511</v>
      </c>
      <c r="B19" s="9" t="str">
        <f>INDEX('2017 - 2022 NAICS'!$D:$D,MATCH('NAICS OES crosswalk'!A19,'2017 - 2022 NAICS'!$C:$C, 0))</f>
        <v>Cosmetology and Barber Schools</v>
      </c>
      <c r="C19" s="9" t="s">
        <v>1513</v>
      </c>
      <c r="D19" s="9"/>
    </row>
    <row r="20" spans="1:4" x14ac:dyDescent="0.25">
      <c r="A20" s="9">
        <v>611610</v>
      </c>
      <c r="B20" s="9" t="str">
        <f>INDEX('2017 - 2022 NAICS'!$D:$D,MATCH('NAICS OES crosswalk'!A20,'2017 - 2022 NAICS'!$C:$C, 0))</f>
        <v>Fine Arts Schools</v>
      </c>
      <c r="C20" s="9" t="s">
        <v>1513</v>
      </c>
      <c r="D20" s="9"/>
    </row>
    <row r="21" spans="1:4" x14ac:dyDescent="0.25">
      <c r="A21" s="9">
        <v>812990</v>
      </c>
      <c r="B21" s="9" t="str">
        <f>INDEX('2017 - 2022 NAICS'!$D:$D,MATCH('NAICS OES crosswalk'!A21,'2017 - 2022 NAICS'!$C:$C, 0))</f>
        <v>All Other Personal Services</v>
      </c>
      <c r="C21" s="9" t="s">
        <v>1515</v>
      </c>
      <c r="D21" s="9"/>
    </row>
    <row r="22" spans="1:4" x14ac:dyDescent="0.25">
      <c r="A22" s="9">
        <v>921150</v>
      </c>
      <c r="B22" s="9" t="str">
        <f>INDEX('2017 - 2022 NAICS'!$D:$D,MATCH('NAICS OES crosswalk'!A22,'2017 - 2022 NAICS'!$C:$C, 0))</f>
        <v>American Indian and Alaska Native Tribal Governments</v>
      </c>
      <c r="C22" s="9" t="s">
        <v>1515</v>
      </c>
      <c r="D22" s="9"/>
    </row>
    <row r="23" spans="1:4" x14ac:dyDescent="0.25">
      <c r="A23" s="9">
        <v>922150</v>
      </c>
      <c r="B23" s="9" t="str">
        <f>INDEX('2017 - 2022 NAICS'!$D:$D,MATCH('NAICS OES crosswalk'!A23,'2017 - 2022 NAICS'!$C:$C, 0))</f>
        <v>Parole Offices and Probation Offices</v>
      </c>
      <c r="C23" s="9" t="s">
        <v>1515</v>
      </c>
      <c r="D23" s="9"/>
    </row>
    <row r="24" spans="1:4" x14ac:dyDescent="0.25">
      <c r="A24" s="9">
        <v>924110</v>
      </c>
      <c r="B24" s="9" t="str">
        <f>INDEX('2017 - 2022 NAICS'!$D:$D,MATCH('NAICS OES crosswalk'!A24,'2017 - 2022 NAICS'!$C:$C, 0))</f>
        <v>Administration of Air and Water Resource and Solid Waste Management Programs</v>
      </c>
      <c r="C24" s="9" t="s">
        <v>1515</v>
      </c>
      <c r="D24" s="9"/>
    </row>
    <row r="25" spans="1:4" x14ac:dyDescent="0.25">
      <c r="A25" s="9">
        <v>928110</v>
      </c>
      <c r="B25" s="9" t="str">
        <f>INDEX('2017 - 2022 NAICS'!$D:$D,MATCH('NAICS OES crosswalk'!A25,'2017 - 2022 NAICS'!$C:$C, 0))</f>
        <v>National Security</v>
      </c>
      <c r="C25" s="9" t="s">
        <v>1515</v>
      </c>
      <c r="D25" s="9"/>
    </row>
  </sheetData>
  <sheetProtection sheet="1" objects="1" scenarios="1" formatCells="0" formatColumns="0" formatRows="0" sort="0" autoFilter="0"/>
  <autoFilter ref="A1:D25" xr:uid="{989EAD96-2CBB-448D-B232-E4D2AD720239}">
    <sortState xmlns:xlrd2="http://schemas.microsoft.com/office/spreadsheetml/2017/richdata2" ref="A2:D25">
      <sortCondition ref="A1"/>
    </sortState>
  </autoFilter>
  <sortState xmlns:xlrd2="http://schemas.microsoft.com/office/spreadsheetml/2017/richdata2" ref="A2:A25">
    <sortCondition ref="A2:A25"/>
  </sortState>
  <dataValidations count="1">
    <dataValidation type="list" allowBlank="1" showInputMessage="1" showErrorMessage="1" sqref="C2:C25" xr:uid="{5CC100D5-CE10-4073-A369-B7FC17637806}">
      <formula1>#REF!</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A50BA-80C9-4E2C-8911-C10D36A6C062}">
  <sheetPr codeName="Sheet16">
    <tabColor rgb="FF9933FF"/>
  </sheetPr>
  <dimension ref="A1:K1153"/>
  <sheetViews>
    <sheetView workbookViewId="0">
      <selection sqref="A1:D1"/>
    </sheetView>
  </sheetViews>
  <sheetFormatPr defaultRowHeight="15" x14ac:dyDescent="0.25"/>
  <cols>
    <col min="2" max="2" width="35.5703125" customWidth="1"/>
    <col min="4" max="4" width="35.5703125" customWidth="1"/>
  </cols>
  <sheetData>
    <row r="1" spans="1:4" ht="18" x14ac:dyDescent="0.25">
      <c r="A1" s="319" t="s">
        <v>2513</v>
      </c>
      <c r="B1" s="320"/>
      <c r="C1" s="320"/>
      <c r="D1" s="320"/>
    </row>
    <row r="2" spans="1:4" ht="40.5" customHeight="1" x14ac:dyDescent="0.25">
      <c r="A2" s="321" t="s">
        <v>2514</v>
      </c>
      <c r="B2" s="322"/>
      <c r="C2" s="322"/>
      <c r="D2" s="322"/>
    </row>
    <row r="3" spans="1:4" ht="42.75" customHeight="1" x14ac:dyDescent="0.25">
      <c r="A3" s="2" t="s">
        <v>2515</v>
      </c>
      <c r="B3" s="27" t="s">
        <v>2516</v>
      </c>
      <c r="C3" s="2" t="s">
        <v>2517</v>
      </c>
      <c r="D3" s="2" t="s">
        <v>2518</v>
      </c>
    </row>
    <row r="4" spans="1:4" x14ac:dyDescent="0.25">
      <c r="A4" s="3">
        <v>111110</v>
      </c>
      <c r="B4" s="3" t="s">
        <v>2519</v>
      </c>
      <c r="C4" s="3">
        <v>111110</v>
      </c>
      <c r="D4" s="3" t="s">
        <v>2519</v>
      </c>
    </row>
    <row r="5" spans="1:4" x14ac:dyDescent="0.25">
      <c r="A5" s="3">
        <v>111120</v>
      </c>
      <c r="B5" s="3" t="s">
        <v>2520</v>
      </c>
      <c r="C5" s="3">
        <v>111120</v>
      </c>
      <c r="D5" s="3" t="s">
        <v>2520</v>
      </c>
    </row>
    <row r="6" spans="1:4" x14ac:dyDescent="0.25">
      <c r="A6" s="3">
        <v>111130</v>
      </c>
      <c r="B6" s="3" t="s">
        <v>2521</v>
      </c>
      <c r="C6" s="3">
        <v>111130</v>
      </c>
      <c r="D6" s="3" t="s">
        <v>2521</v>
      </c>
    </row>
    <row r="7" spans="1:4" x14ac:dyDescent="0.25">
      <c r="A7" s="3">
        <v>111140</v>
      </c>
      <c r="B7" s="3" t="s">
        <v>2522</v>
      </c>
      <c r="C7" s="3">
        <v>111140</v>
      </c>
      <c r="D7" s="3" t="s">
        <v>2522</v>
      </c>
    </row>
    <row r="8" spans="1:4" x14ac:dyDescent="0.25">
      <c r="A8" s="3">
        <v>111150</v>
      </c>
      <c r="B8" s="3" t="s">
        <v>2523</v>
      </c>
      <c r="C8" s="3">
        <v>111150</v>
      </c>
      <c r="D8" s="3" t="s">
        <v>2523</v>
      </c>
    </row>
    <row r="9" spans="1:4" x14ac:dyDescent="0.25">
      <c r="A9" s="3">
        <v>111160</v>
      </c>
      <c r="B9" s="3" t="s">
        <v>2524</v>
      </c>
      <c r="C9" s="3">
        <v>111160</v>
      </c>
      <c r="D9" s="3" t="s">
        <v>2524</v>
      </c>
    </row>
    <row r="10" spans="1:4" x14ac:dyDescent="0.25">
      <c r="A10" s="3">
        <v>111191</v>
      </c>
      <c r="B10" s="3" t="s">
        <v>2525</v>
      </c>
      <c r="C10" s="3">
        <v>111191</v>
      </c>
      <c r="D10" s="3" t="s">
        <v>2525</v>
      </c>
    </row>
    <row r="11" spans="1:4" x14ac:dyDescent="0.25">
      <c r="A11" s="3">
        <v>111199</v>
      </c>
      <c r="B11" s="3" t="s">
        <v>2526</v>
      </c>
      <c r="C11" s="3">
        <v>111199</v>
      </c>
      <c r="D11" s="3" t="s">
        <v>2526</v>
      </c>
    </row>
    <row r="12" spans="1:4" x14ac:dyDescent="0.25">
      <c r="A12" s="3">
        <v>111211</v>
      </c>
      <c r="B12" s="3" t="s">
        <v>2527</v>
      </c>
      <c r="C12" s="3">
        <v>111211</v>
      </c>
      <c r="D12" s="3" t="s">
        <v>2527</v>
      </c>
    </row>
    <row r="13" spans="1:4" ht="25.5" x14ac:dyDescent="0.25">
      <c r="A13" s="3">
        <v>111219</v>
      </c>
      <c r="B13" s="3" t="s">
        <v>2528</v>
      </c>
      <c r="C13" s="3">
        <v>111219</v>
      </c>
      <c r="D13" s="3" t="s">
        <v>2528</v>
      </c>
    </row>
    <row r="14" spans="1:4" x14ac:dyDescent="0.25">
      <c r="A14" s="3">
        <v>111310</v>
      </c>
      <c r="B14" s="3" t="s">
        <v>2529</v>
      </c>
      <c r="C14" s="3">
        <v>111310</v>
      </c>
      <c r="D14" s="3" t="s">
        <v>2529</v>
      </c>
    </row>
    <row r="15" spans="1:4" x14ac:dyDescent="0.25">
      <c r="A15" s="3">
        <v>111320</v>
      </c>
      <c r="B15" s="3" t="s">
        <v>2530</v>
      </c>
      <c r="C15" s="3">
        <v>111320</v>
      </c>
      <c r="D15" s="3" t="s">
        <v>2530</v>
      </c>
    </row>
    <row r="16" spans="1:4" x14ac:dyDescent="0.25">
      <c r="A16" s="3">
        <v>111331</v>
      </c>
      <c r="B16" s="3" t="s">
        <v>2531</v>
      </c>
      <c r="C16" s="3">
        <v>111331</v>
      </c>
      <c r="D16" s="3" t="s">
        <v>2531</v>
      </c>
    </row>
    <row r="17" spans="1:6" x14ac:dyDescent="0.25">
      <c r="A17" s="3">
        <v>111332</v>
      </c>
      <c r="B17" s="3" t="s">
        <v>2532</v>
      </c>
      <c r="C17" s="3">
        <v>111332</v>
      </c>
      <c r="D17" s="3" t="s">
        <v>2532</v>
      </c>
      <c r="E17" s="63"/>
    </row>
    <row r="18" spans="1:6" x14ac:dyDescent="0.25">
      <c r="A18" s="3">
        <v>111333</v>
      </c>
      <c r="B18" s="3" t="s">
        <v>2533</v>
      </c>
      <c r="C18" s="3">
        <v>111333</v>
      </c>
      <c r="D18" s="3" t="s">
        <v>2533</v>
      </c>
      <c r="E18" s="63"/>
    </row>
    <row r="19" spans="1:6" x14ac:dyDescent="0.25">
      <c r="A19" s="3">
        <v>111334</v>
      </c>
      <c r="B19" s="3" t="s">
        <v>2534</v>
      </c>
      <c r="C19" s="3">
        <v>111334</v>
      </c>
      <c r="D19" s="3" t="s">
        <v>2534</v>
      </c>
      <c r="E19" s="63"/>
    </row>
    <row r="20" spans="1:6" x14ac:dyDescent="0.25">
      <c r="A20" s="3">
        <v>111335</v>
      </c>
      <c r="B20" s="3" t="s">
        <v>2535</v>
      </c>
      <c r="C20" s="3">
        <v>111335</v>
      </c>
      <c r="D20" s="3" t="s">
        <v>2535</v>
      </c>
      <c r="E20" s="63"/>
    </row>
    <row r="21" spans="1:6" x14ac:dyDescent="0.25">
      <c r="A21" s="3">
        <v>111336</v>
      </c>
      <c r="B21" s="3" t="s">
        <v>2536</v>
      </c>
      <c r="C21" s="3">
        <v>111336</v>
      </c>
      <c r="D21" s="3" t="s">
        <v>2536</v>
      </c>
      <c r="E21" s="63"/>
    </row>
    <row r="22" spans="1:6" x14ac:dyDescent="0.25">
      <c r="A22" s="3">
        <v>111339</v>
      </c>
      <c r="B22" s="3" t="s">
        <v>2537</v>
      </c>
      <c r="C22" s="3">
        <v>111339</v>
      </c>
      <c r="D22" s="3" t="s">
        <v>2537</v>
      </c>
      <c r="E22" s="63"/>
    </row>
    <row r="23" spans="1:6" x14ac:dyDescent="0.25">
      <c r="A23" s="3">
        <v>111411</v>
      </c>
      <c r="B23" s="3" t="s">
        <v>2538</v>
      </c>
      <c r="C23" s="3">
        <v>111411</v>
      </c>
      <c r="D23" s="3" t="s">
        <v>2538</v>
      </c>
      <c r="E23" s="63"/>
    </row>
    <row r="24" spans="1:6" x14ac:dyDescent="0.25">
      <c r="A24" s="3">
        <v>111419</v>
      </c>
      <c r="B24" s="3" t="s">
        <v>2539</v>
      </c>
      <c r="C24" s="3">
        <v>111419</v>
      </c>
      <c r="D24" s="3" t="s">
        <v>2539</v>
      </c>
      <c r="E24" s="63"/>
    </row>
    <row r="25" spans="1:6" x14ac:dyDescent="0.25">
      <c r="A25" s="3">
        <v>111421</v>
      </c>
      <c r="B25" s="3" t="s">
        <v>2540</v>
      </c>
      <c r="C25" s="3">
        <v>111421</v>
      </c>
      <c r="D25" s="3" t="s">
        <v>2540</v>
      </c>
      <c r="E25" s="63"/>
    </row>
    <row r="26" spans="1:6" x14ac:dyDescent="0.25">
      <c r="A26" s="3">
        <v>111422</v>
      </c>
      <c r="B26" s="3" t="s">
        <v>2541</v>
      </c>
      <c r="C26" s="3">
        <v>111422</v>
      </c>
      <c r="D26" s="3" t="s">
        <v>2541</v>
      </c>
      <c r="E26" s="63"/>
    </row>
    <row r="27" spans="1:6" x14ac:dyDescent="0.25">
      <c r="A27" s="3">
        <v>111910</v>
      </c>
      <c r="B27" s="3" t="s">
        <v>2542</v>
      </c>
      <c r="C27" s="3">
        <v>111910</v>
      </c>
      <c r="D27" s="3" t="s">
        <v>2542</v>
      </c>
      <c r="E27" s="63"/>
      <c r="F27" t="s">
        <v>2</v>
      </c>
    </row>
    <row r="28" spans="1:6" x14ac:dyDescent="0.25">
      <c r="A28" s="3">
        <v>111920</v>
      </c>
      <c r="B28" s="3" t="s">
        <v>2543</v>
      </c>
      <c r="C28" s="3">
        <v>111920</v>
      </c>
      <c r="D28" s="3" t="s">
        <v>2543</v>
      </c>
      <c r="E28" s="63"/>
    </row>
    <row r="29" spans="1:6" x14ac:dyDescent="0.25">
      <c r="A29" s="3">
        <v>111930</v>
      </c>
      <c r="B29" s="3" t="s">
        <v>2544</v>
      </c>
      <c r="C29" s="3">
        <v>111930</v>
      </c>
      <c r="D29" s="3" t="s">
        <v>2544</v>
      </c>
      <c r="E29" s="63"/>
    </row>
    <row r="30" spans="1:6" x14ac:dyDescent="0.25">
      <c r="A30" s="3">
        <v>111940</v>
      </c>
      <c r="B30" s="3" t="s">
        <v>2545</v>
      </c>
      <c r="C30" s="3">
        <v>111940</v>
      </c>
      <c r="D30" s="3" t="s">
        <v>2545</v>
      </c>
      <c r="E30" s="63"/>
    </row>
    <row r="31" spans="1:6" x14ac:dyDescent="0.25">
      <c r="A31" s="3">
        <v>111991</v>
      </c>
      <c r="B31" s="3" t="s">
        <v>2546</v>
      </c>
      <c r="C31" s="3">
        <v>111991</v>
      </c>
      <c r="D31" s="3" t="s">
        <v>2546</v>
      </c>
      <c r="E31" s="63"/>
    </row>
    <row r="32" spans="1:6" x14ac:dyDescent="0.25">
      <c r="A32" s="3">
        <v>111992</v>
      </c>
      <c r="B32" s="3" t="s">
        <v>2547</v>
      </c>
      <c r="C32" s="3">
        <v>111992</v>
      </c>
      <c r="D32" s="3" t="s">
        <v>2547</v>
      </c>
      <c r="E32" s="63"/>
    </row>
    <row r="33" spans="1:4" x14ac:dyDescent="0.25">
      <c r="A33" s="3">
        <v>111998</v>
      </c>
      <c r="B33" s="3" t="s">
        <v>2548</v>
      </c>
      <c r="C33" s="3">
        <v>111998</v>
      </c>
      <c r="D33" s="3" t="s">
        <v>2548</v>
      </c>
    </row>
    <row r="34" spans="1:4" x14ac:dyDescent="0.25">
      <c r="A34" s="3">
        <v>112111</v>
      </c>
      <c r="B34" s="3" t="s">
        <v>2549</v>
      </c>
      <c r="C34" s="3">
        <v>112111</v>
      </c>
      <c r="D34" s="3" t="s">
        <v>2549</v>
      </c>
    </row>
    <row r="35" spans="1:4" x14ac:dyDescent="0.25">
      <c r="A35" s="3">
        <v>112112</v>
      </c>
      <c r="B35" s="3" t="s">
        <v>2550</v>
      </c>
      <c r="C35" s="3">
        <v>112112</v>
      </c>
      <c r="D35" s="3" t="s">
        <v>2550</v>
      </c>
    </row>
    <row r="36" spans="1:4" x14ac:dyDescent="0.25">
      <c r="A36" s="3">
        <v>112120</v>
      </c>
      <c r="B36" s="3" t="s">
        <v>2551</v>
      </c>
      <c r="C36" s="3">
        <v>112120</v>
      </c>
      <c r="D36" s="3" t="s">
        <v>2551</v>
      </c>
    </row>
    <row r="37" spans="1:4" ht="25.5" x14ac:dyDescent="0.25">
      <c r="A37" s="3">
        <v>112130</v>
      </c>
      <c r="B37" s="3" t="s">
        <v>2552</v>
      </c>
      <c r="C37" s="3">
        <v>112130</v>
      </c>
      <c r="D37" s="3" t="s">
        <v>2552</v>
      </c>
    </row>
    <row r="38" spans="1:4" x14ac:dyDescent="0.25">
      <c r="A38" s="3">
        <v>112210</v>
      </c>
      <c r="B38" s="3" t="s">
        <v>2553</v>
      </c>
      <c r="C38" s="3">
        <v>112210</v>
      </c>
      <c r="D38" s="3" t="s">
        <v>2553</v>
      </c>
    </row>
    <row r="39" spans="1:4" x14ac:dyDescent="0.25">
      <c r="A39" s="3">
        <v>112310</v>
      </c>
      <c r="B39" s="3" t="s">
        <v>2554</v>
      </c>
      <c r="C39" s="3">
        <v>112310</v>
      </c>
      <c r="D39" s="3" t="s">
        <v>2554</v>
      </c>
    </row>
    <row r="40" spans="1:4" ht="25.5" x14ac:dyDescent="0.25">
      <c r="A40" s="3">
        <v>112320</v>
      </c>
      <c r="B40" s="3" t="s">
        <v>2555</v>
      </c>
      <c r="C40" s="3">
        <v>112320</v>
      </c>
      <c r="D40" s="3" t="s">
        <v>2555</v>
      </c>
    </row>
    <row r="41" spans="1:4" x14ac:dyDescent="0.25">
      <c r="A41" s="3">
        <v>112330</v>
      </c>
      <c r="B41" s="3" t="s">
        <v>2556</v>
      </c>
      <c r="C41" s="3">
        <v>112330</v>
      </c>
      <c r="D41" s="3" t="s">
        <v>2556</v>
      </c>
    </row>
    <row r="42" spans="1:4" x14ac:dyDescent="0.25">
      <c r="A42" s="3">
        <v>112340</v>
      </c>
      <c r="B42" s="3" t="s">
        <v>2557</v>
      </c>
      <c r="C42" s="3">
        <v>112340</v>
      </c>
      <c r="D42" s="3" t="s">
        <v>2557</v>
      </c>
    </row>
    <row r="43" spans="1:4" x14ac:dyDescent="0.25">
      <c r="A43" s="3">
        <v>112390</v>
      </c>
      <c r="B43" s="3" t="s">
        <v>2558</v>
      </c>
      <c r="C43" s="3">
        <v>112390</v>
      </c>
      <c r="D43" s="3" t="s">
        <v>2558</v>
      </c>
    </row>
    <row r="44" spans="1:4" x14ac:dyDescent="0.25">
      <c r="A44" s="3">
        <v>112410</v>
      </c>
      <c r="B44" s="3" t="s">
        <v>2559</v>
      </c>
      <c r="C44" s="3">
        <v>112410</v>
      </c>
      <c r="D44" s="3" t="s">
        <v>2559</v>
      </c>
    </row>
    <row r="45" spans="1:4" x14ac:dyDescent="0.25">
      <c r="A45" s="3">
        <v>112420</v>
      </c>
      <c r="B45" s="3" t="s">
        <v>2560</v>
      </c>
      <c r="C45" s="3">
        <v>112420</v>
      </c>
      <c r="D45" s="3" t="s">
        <v>2560</v>
      </c>
    </row>
    <row r="46" spans="1:4" x14ac:dyDescent="0.25">
      <c r="A46" s="3">
        <v>112511</v>
      </c>
      <c r="B46" s="3" t="s">
        <v>2561</v>
      </c>
      <c r="C46" s="3">
        <v>112511</v>
      </c>
      <c r="D46" s="3" t="s">
        <v>2561</v>
      </c>
    </row>
    <row r="47" spans="1:4" x14ac:dyDescent="0.25">
      <c r="A47" s="3">
        <v>112512</v>
      </c>
      <c r="B47" s="3" t="s">
        <v>2562</v>
      </c>
      <c r="C47" s="3">
        <v>112512</v>
      </c>
      <c r="D47" s="3" t="s">
        <v>2562</v>
      </c>
    </row>
    <row r="48" spans="1:4" x14ac:dyDescent="0.25">
      <c r="A48" s="3">
        <v>112519</v>
      </c>
      <c r="B48" s="3" t="s">
        <v>2563</v>
      </c>
      <c r="C48" s="3">
        <v>112519</v>
      </c>
      <c r="D48" s="3" t="s">
        <v>2563</v>
      </c>
    </row>
    <row r="49" spans="1:6" x14ac:dyDescent="0.25">
      <c r="A49" s="3">
        <v>112910</v>
      </c>
      <c r="B49" s="3" t="s">
        <v>2564</v>
      </c>
      <c r="C49" s="3">
        <v>112910</v>
      </c>
      <c r="D49" s="3" t="s">
        <v>2564</v>
      </c>
      <c r="E49" s="63"/>
    </row>
    <row r="50" spans="1:6" x14ac:dyDescent="0.25">
      <c r="A50" s="3">
        <v>112920</v>
      </c>
      <c r="B50" s="3" t="s">
        <v>2565</v>
      </c>
      <c r="C50" s="3">
        <v>112920</v>
      </c>
      <c r="D50" s="3" t="s">
        <v>2565</v>
      </c>
      <c r="E50" s="63"/>
    </row>
    <row r="51" spans="1:6" ht="25.5" x14ac:dyDescent="0.25">
      <c r="A51" s="3">
        <v>112930</v>
      </c>
      <c r="B51" s="3" t="s">
        <v>2566</v>
      </c>
      <c r="C51" s="3">
        <v>112930</v>
      </c>
      <c r="D51" s="3" t="s">
        <v>2566</v>
      </c>
      <c r="E51" s="63"/>
    </row>
    <row r="52" spans="1:6" x14ac:dyDescent="0.25">
      <c r="A52" s="3">
        <v>112990</v>
      </c>
      <c r="B52" s="3" t="s">
        <v>2567</v>
      </c>
      <c r="C52" s="3">
        <v>112990</v>
      </c>
      <c r="D52" s="3" t="s">
        <v>2567</v>
      </c>
      <c r="E52" s="63"/>
    </row>
    <row r="53" spans="1:6" x14ac:dyDescent="0.25">
      <c r="A53" s="3">
        <v>113110</v>
      </c>
      <c r="B53" s="3" t="s">
        <v>2568</v>
      </c>
      <c r="C53" s="3">
        <v>113110</v>
      </c>
      <c r="D53" s="3" t="s">
        <v>2568</v>
      </c>
      <c r="E53" s="63"/>
    </row>
    <row r="54" spans="1:6" ht="25.5" x14ac:dyDescent="0.25">
      <c r="A54" s="3">
        <v>113210</v>
      </c>
      <c r="B54" s="3" t="s">
        <v>2569</v>
      </c>
      <c r="C54" s="3">
        <v>113210</v>
      </c>
      <c r="D54" s="3" t="s">
        <v>2569</v>
      </c>
      <c r="E54" s="63"/>
    </row>
    <row r="55" spans="1:6" x14ac:dyDescent="0.25">
      <c r="A55" s="3">
        <v>113310</v>
      </c>
      <c r="B55" s="3" t="s">
        <v>2570</v>
      </c>
      <c r="C55" s="3">
        <v>113310</v>
      </c>
      <c r="D55" s="3" t="s">
        <v>2570</v>
      </c>
      <c r="E55" s="63"/>
    </row>
    <row r="56" spans="1:6" x14ac:dyDescent="0.25">
      <c r="A56" s="3">
        <v>114111</v>
      </c>
      <c r="B56" s="3" t="s">
        <v>2571</v>
      </c>
      <c r="C56" s="3">
        <v>114111</v>
      </c>
      <c r="D56" s="3" t="s">
        <v>2571</v>
      </c>
      <c r="E56" s="63"/>
    </row>
    <row r="57" spans="1:6" x14ac:dyDescent="0.25">
      <c r="A57" s="3">
        <v>114112</v>
      </c>
      <c r="B57" s="3" t="s">
        <v>2572</v>
      </c>
      <c r="C57" s="3">
        <v>114112</v>
      </c>
      <c r="D57" s="3" t="s">
        <v>2572</v>
      </c>
      <c r="E57" s="63"/>
    </row>
    <row r="58" spans="1:6" x14ac:dyDescent="0.25">
      <c r="A58" s="3">
        <v>114119</v>
      </c>
      <c r="B58" s="3" t="s">
        <v>2573</v>
      </c>
      <c r="C58" s="3">
        <v>114119</v>
      </c>
      <c r="D58" s="3" t="s">
        <v>2573</v>
      </c>
      <c r="E58" s="63"/>
    </row>
    <row r="59" spans="1:6" x14ac:dyDescent="0.25">
      <c r="A59" s="3">
        <v>114210</v>
      </c>
      <c r="B59" s="3" t="s">
        <v>2574</v>
      </c>
      <c r="C59" s="3">
        <v>114210</v>
      </c>
      <c r="D59" s="3" t="s">
        <v>2574</v>
      </c>
      <c r="E59" s="63"/>
    </row>
    <row r="60" spans="1:6" x14ac:dyDescent="0.25">
      <c r="A60" s="3">
        <v>115111</v>
      </c>
      <c r="B60" s="3" t="s">
        <v>2575</v>
      </c>
      <c r="C60" s="3">
        <v>115111</v>
      </c>
      <c r="D60" s="3" t="s">
        <v>2575</v>
      </c>
      <c r="E60" s="63"/>
    </row>
    <row r="61" spans="1:6" ht="25.5" x14ac:dyDescent="0.25">
      <c r="A61" s="3">
        <v>115112</v>
      </c>
      <c r="B61" s="3" t="s">
        <v>2576</v>
      </c>
      <c r="C61" s="3">
        <v>115112</v>
      </c>
      <c r="D61" s="3" t="s">
        <v>2576</v>
      </c>
      <c r="E61" s="63"/>
    </row>
    <row r="62" spans="1:6" x14ac:dyDescent="0.25">
      <c r="A62" s="3">
        <v>115113</v>
      </c>
      <c r="B62" s="3" t="s">
        <v>2577</v>
      </c>
      <c r="C62" s="3">
        <v>115113</v>
      </c>
      <c r="D62" s="3" t="s">
        <v>2577</v>
      </c>
      <c r="E62" s="63"/>
    </row>
    <row r="63" spans="1:6" ht="25.5" x14ac:dyDescent="0.25">
      <c r="A63" s="3">
        <v>115114</v>
      </c>
      <c r="B63" s="3" t="s">
        <v>2578</v>
      </c>
      <c r="C63" s="3">
        <v>115114</v>
      </c>
      <c r="D63" s="3" t="s">
        <v>2578</v>
      </c>
      <c r="E63" s="63"/>
      <c r="F63" s="28" t="s">
        <v>2</v>
      </c>
    </row>
    <row r="64" spans="1:6" ht="25.5" x14ac:dyDescent="0.25">
      <c r="A64" s="3">
        <v>115115</v>
      </c>
      <c r="B64" s="3" t="s">
        <v>2579</v>
      </c>
      <c r="C64" s="3">
        <v>115115</v>
      </c>
      <c r="D64" s="3" t="s">
        <v>2579</v>
      </c>
      <c r="E64" s="63"/>
    </row>
    <row r="65" spans="1:7" x14ac:dyDescent="0.25">
      <c r="A65" s="3">
        <v>115116</v>
      </c>
      <c r="B65" s="3" t="s">
        <v>2580</v>
      </c>
      <c r="C65" s="3">
        <v>115116</v>
      </c>
      <c r="D65" s="3" t="s">
        <v>2580</v>
      </c>
      <c r="E65" s="63"/>
    </row>
    <row r="66" spans="1:7" x14ac:dyDescent="0.25">
      <c r="A66" s="3">
        <v>115210</v>
      </c>
      <c r="B66" s="3" t="s">
        <v>2581</v>
      </c>
      <c r="C66" s="3">
        <v>115210</v>
      </c>
      <c r="D66" s="3" t="s">
        <v>2581</v>
      </c>
      <c r="E66" s="63"/>
    </row>
    <row r="67" spans="1:7" x14ac:dyDescent="0.25">
      <c r="A67" s="3">
        <v>115310</v>
      </c>
      <c r="B67" s="3" t="s">
        <v>2582</v>
      </c>
      <c r="C67" s="3">
        <v>115310</v>
      </c>
      <c r="D67" s="3" t="s">
        <v>2582</v>
      </c>
      <c r="E67" s="63"/>
    </row>
    <row r="68" spans="1:7" x14ac:dyDescent="0.25">
      <c r="A68" s="3">
        <v>211120</v>
      </c>
      <c r="B68" s="3" t="s">
        <v>2583</v>
      </c>
      <c r="C68" s="3">
        <v>211120</v>
      </c>
      <c r="D68" s="3" t="s">
        <v>2583</v>
      </c>
      <c r="E68" s="63"/>
    </row>
    <row r="69" spans="1:7" x14ac:dyDescent="0.25">
      <c r="A69" s="3">
        <v>211130</v>
      </c>
      <c r="B69" s="3" t="s">
        <v>2584</v>
      </c>
      <c r="C69" s="3">
        <v>211130</v>
      </c>
      <c r="D69" s="3" t="s">
        <v>2584</v>
      </c>
      <c r="E69" s="63"/>
      <c r="F69" s="28" t="s">
        <v>2</v>
      </c>
      <c r="G69" s="28" t="s">
        <v>2</v>
      </c>
    </row>
    <row r="70" spans="1:7" ht="25.5" x14ac:dyDescent="0.25">
      <c r="A70" s="3">
        <v>212111</v>
      </c>
      <c r="B70" s="3" t="s">
        <v>2585</v>
      </c>
      <c r="C70" s="4">
        <v>212114</v>
      </c>
      <c r="D70" s="3" t="s">
        <v>2586</v>
      </c>
      <c r="E70" s="102"/>
    </row>
    <row r="71" spans="1:7" ht="25.5" x14ac:dyDescent="0.25">
      <c r="A71" s="5">
        <v>212113</v>
      </c>
      <c r="B71" s="3" t="s">
        <v>2587</v>
      </c>
      <c r="C71" s="4">
        <v>212114</v>
      </c>
      <c r="D71" s="3" t="s">
        <v>2586</v>
      </c>
      <c r="E71" s="102"/>
    </row>
    <row r="72" spans="1:7" x14ac:dyDescent="0.25">
      <c r="A72" s="3">
        <v>212112</v>
      </c>
      <c r="B72" s="3" t="s">
        <v>2588</v>
      </c>
      <c r="C72" s="4">
        <v>212115</v>
      </c>
      <c r="D72" s="3" t="s">
        <v>2589</v>
      </c>
      <c r="E72" s="102"/>
    </row>
    <row r="73" spans="1:7" ht="25.5" x14ac:dyDescent="0.25">
      <c r="A73" s="5">
        <v>212113</v>
      </c>
      <c r="B73" s="3" t="s">
        <v>2590</v>
      </c>
      <c r="C73" s="4">
        <v>212115</v>
      </c>
      <c r="D73" s="3" t="s">
        <v>2589</v>
      </c>
      <c r="E73" s="102"/>
    </row>
    <row r="74" spans="1:7" x14ac:dyDescent="0.25">
      <c r="A74" s="3">
        <v>212210</v>
      </c>
      <c r="B74" s="3" t="s">
        <v>2591</v>
      </c>
      <c r="C74" s="3">
        <v>212210</v>
      </c>
      <c r="D74" s="3" t="s">
        <v>2591</v>
      </c>
      <c r="E74" s="63"/>
    </row>
    <row r="75" spans="1:7" x14ac:dyDescent="0.25">
      <c r="A75" s="3">
        <v>212221</v>
      </c>
      <c r="B75" s="3" t="s">
        <v>2592</v>
      </c>
      <c r="C75" s="4">
        <v>212220</v>
      </c>
      <c r="D75" s="3" t="s">
        <v>2593</v>
      </c>
      <c r="E75" s="102"/>
    </row>
    <row r="76" spans="1:7" x14ac:dyDescent="0.25">
      <c r="A76" s="3">
        <v>212222</v>
      </c>
      <c r="B76" s="3" t="s">
        <v>2594</v>
      </c>
      <c r="C76" s="4">
        <v>212220</v>
      </c>
      <c r="D76" s="3" t="s">
        <v>2593</v>
      </c>
      <c r="E76" s="102"/>
    </row>
    <row r="77" spans="1:7" x14ac:dyDescent="0.25">
      <c r="A77" s="3">
        <v>212230</v>
      </c>
      <c r="B77" s="3" t="s">
        <v>2595</v>
      </c>
      <c r="C77" s="3">
        <v>212230</v>
      </c>
      <c r="D77" s="3" t="s">
        <v>2595</v>
      </c>
      <c r="E77" s="63"/>
    </row>
    <row r="78" spans="1:7" x14ac:dyDescent="0.25">
      <c r="A78" s="3">
        <v>212291</v>
      </c>
      <c r="B78" s="3" t="s">
        <v>2596</v>
      </c>
      <c r="C78" s="4">
        <v>212290</v>
      </c>
      <c r="D78" s="3" t="s">
        <v>2597</v>
      </c>
      <c r="E78" s="102"/>
    </row>
    <row r="79" spans="1:7" x14ac:dyDescent="0.25">
      <c r="A79" s="3">
        <v>212299</v>
      </c>
      <c r="B79" s="3" t="s">
        <v>2598</v>
      </c>
      <c r="C79" s="4">
        <v>212290</v>
      </c>
      <c r="D79" s="3" t="s">
        <v>2597</v>
      </c>
      <c r="E79" s="102"/>
    </row>
    <row r="80" spans="1:7" x14ac:dyDescent="0.25">
      <c r="A80" s="3">
        <v>212311</v>
      </c>
      <c r="B80" s="3" t="s">
        <v>2599</v>
      </c>
      <c r="C80" s="3">
        <v>212311</v>
      </c>
      <c r="D80" s="3" t="s">
        <v>2599</v>
      </c>
      <c r="E80" s="63"/>
    </row>
    <row r="81" spans="1:4" ht="25.5" x14ac:dyDescent="0.25">
      <c r="A81" s="3">
        <v>212312</v>
      </c>
      <c r="B81" s="3" t="s">
        <v>2600</v>
      </c>
      <c r="C81" s="3">
        <v>212312</v>
      </c>
      <c r="D81" s="3" t="s">
        <v>2600</v>
      </c>
    </row>
    <row r="82" spans="1:4" ht="25.5" x14ac:dyDescent="0.25">
      <c r="A82" s="3">
        <v>212313</v>
      </c>
      <c r="B82" s="3" t="s">
        <v>2601</v>
      </c>
      <c r="C82" s="3">
        <v>212313</v>
      </c>
      <c r="D82" s="3" t="s">
        <v>2601</v>
      </c>
    </row>
    <row r="83" spans="1:4" ht="25.5" x14ac:dyDescent="0.25">
      <c r="A83" s="3">
        <v>212319</v>
      </c>
      <c r="B83" s="3" t="s">
        <v>2602</v>
      </c>
      <c r="C83" s="3">
        <v>212319</v>
      </c>
      <c r="D83" s="3" t="s">
        <v>2602</v>
      </c>
    </row>
    <row r="84" spans="1:4" x14ac:dyDescent="0.25">
      <c r="A84" s="3">
        <v>212321</v>
      </c>
      <c r="B84" s="3" t="s">
        <v>2603</v>
      </c>
      <c r="C84" s="3">
        <v>212321</v>
      </c>
      <c r="D84" s="3" t="s">
        <v>2603</v>
      </c>
    </row>
    <row r="85" spans="1:4" x14ac:dyDescent="0.25">
      <c r="A85" s="3">
        <v>212322</v>
      </c>
      <c r="B85" s="3" t="s">
        <v>2604</v>
      </c>
      <c r="C85" s="3">
        <v>212322</v>
      </c>
      <c r="D85" s="3" t="s">
        <v>2604</v>
      </c>
    </row>
    <row r="86" spans="1:4" ht="25.5" x14ac:dyDescent="0.25">
      <c r="A86" s="3">
        <v>212324</v>
      </c>
      <c r="B86" s="3" t="s">
        <v>2605</v>
      </c>
      <c r="C86" s="4">
        <v>212323</v>
      </c>
      <c r="D86" s="3" t="s">
        <v>2606</v>
      </c>
    </row>
    <row r="87" spans="1:4" ht="25.5" x14ac:dyDescent="0.25">
      <c r="A87" s="3">
        <v>212325</v>
      </c>
      <c r="B87" s="3" t="s">
        <v>2607</v>
      </c>
      <c r="C87" s="4">
        <v>212323</v>
      </c>
      <c r="D87" s="3" t="s">
        <v>2606</v>
      </c>
    </row>
    <row r="88" spans="1:4" ht="25.5" x14ac:dyDescent="0.25">
      <c r="A88" s="3">
        <v>212391</v>
      </c>
      <c r="B88" s="3" t="s">
        <v>2608</v>
      </c>
      <c r="C88" s="4">
        <v>212390</v>
      </c>
      <c r="D88" s="3" t="s">
        <v>2609</v>
      </c>
    </row>
    <row r="89" spans="1:4" ht="25.5" x14ac:dyDescent="0.25">
      <c r="A89" s="3">
        <v>212392</v>
      </c>
      <c r="B89" s="3" t="s">
        <v>2610</v>
      </c>
      <c r="C89" s="4">
        <v>212390</v>
      </c>
      <c r="D89" s="3" t="s">
        <v>2609</v>
      </c>
    </row>
    <row r="90" spans="1:4" ht="25.5" x14ac:dyDescent="0.25">
      <c r="A90" s="3">
        <v>212393</v>
      </c>
      <c r="B90" s="3" t="s">
        <v>2611</v>
      </c>
      <c r="C90" s="4">
        <v>212390</v>
      </c>
      <c r="D90" s="3" t="s">
        <v>2609</v>
      </c>
    </row>
    <row r="91" spans="1:4" ht="25.5" x14ac:dyDescent="0.25">
      <c r="A91" s="3">
        <v>212399</v>
      </c>
      <c r="B91" s="3" t="s">
        <v>2612</v>
      </c>
      <c r="C91" s="4">
        <v>212390</v>
      </c>
      <c r="D91" s="3" t="s">
        <v>2609</v>
      </c>
    </row>
    <row r="92" spans="1:4" x14ac:dyDescent="0.25">
      <c r="A92" s="3">
        <v>213111</v>
      </c>
      <c r="B92" s="3" t="s">
        <v>2613</v>
      </c>
      <c r="C92" s="3">
        <v>213111</v>
      </c>
      <c r="D92" s="3" t="s">
        <v>2613</v>
      </c>
    </row>
    <row r="93" spans="1:4" ht="25.5" x14ac:dyDescent="0.25">
      <c r="A93" s="3">
        <v>213112</v>
      </c>
      <c r="B93" s="3" t="s">
        <v>2614</v>
      </c>
      <c r="C93" s="3">
        <v>213112</v>
      </c>
      <c r="D93" s="3" t="s">
        <v>2614</v>
      </c>
    </row>
    <row r="94" spans="1:4" x14ac:dyDescent="0.25">
      <c r="A94" s="3">
        <v>213113</v>
      </c>
      <c r="B94" s="3" t="s">
        <v>2615</v>
      </c>
      <c r="C94" s="3">
        <v>213113</v>
      </c>
      <c r="D94" s="3" t="s">
        <v>2615</v>
      </c>
    </row>
    <row r="95" spans="1:4" x14ac:dyDescent="0.25">
      <c r="A95" s="3">
        <v>213114</v>
      </c>
      <c r="B95" s="3" t="s">
        <v>2616</v>
      </c>
      <c r="C95" s="3">
        <v>213114</v>
      </c>
      <c r="D95" s="3" t="s">
        <v>2616</v>
      </c>
    </row>
    <row r="96" spans="1:4" ht="25.5" x14ac:dyDescent="0.25">
      <c r="A96" s="3">
        <v>213115</v>
      </c>
      <c r="B96" s="3" t="s">
        <v>2617</v>
      </c>
      <c r="C96" s="3">
        <v>213115</v>
      </c>
      <c r="D96" s="3" t="s">
        <v>2617</v>
      </c>
    </row>
    <row r="97" spans="1:7" x14ac:dyDescent="0.25">
      <c r="A97" s="3">
        <v>221111</v>
      </c>
      <c r="B97" s="3" t="s">
        <v>2618</v>
      </c>
      <c r="C97" s="3">
        <v>221111</v>
      </c>
      <c r="D97" s="3" t="s">
        <v>2618</v>
      </c>
      <c r="E97" s="63"/>
    </row>
    <row r="98" spans="1:7" x14ac:dyDescent="0.25">
      <c r="A98" s="3">
        <v>221112</v>
      </c>
      <c r="B98" s="3" t="s">
        <v>2619</v>
      </c>
      <c r="C98" s="3">
        <v>221112</v>
      </c>
      <c r="D98" s="3" t="s">
        <v>2619</v>
      </c>
      <c r="E98" s="63"/>
    </row>
    <row r="99" spans="1:7" x14ac:dyDescent="0.25">
      <c r="A99" s="3">
        <v>221113</v>
      </c>
      <c r="B99" s="3" t="s">
        <v>2620</v>
      </c>
      <c r="C99" s="3">
        <v>221113</v>
      </c>
      <c r="D99" s="3" t="s">
        <v>2620</v>
      </c>
      <c r="E99" s="63"/>
    </row>
    <row r="100" spans="1:7" x14ac:dyDescent="0.25">
      <c r="A100" s="3">
        <v>221114</v>
      </c>
      <c r="B100" s="3" t="s">
        <v>2621</v>
      </c>
      <c r="C100" s="3">
        <v>221114</v>
      </c>
      <c r="D100" s="3" t="s">
        <v>2621</v>
      </c>
      <c r="E100" s="63"/>
    </row>
    <row r="101" spans="1:7" x14ac:dyDescent="0.25">
      <c r="A101" s="3">
        <v>221115</v>
      </c>
      <c r="B101" s="3" t="s">
        <v>2622</v>
      </c>
      <c r="C101" s="3">
        <v>221115</v>
      </c>
      <c r="D101" s="3" t="s">
        <v>2622</v>
      </c>
      <c r="E101" s="63"/>
    </row>
    <row r="102" spans="1:7" x14ac:dyDescent="0.25">
      <c r="A102" s="3">
        <v>221116</v>
      </c>
      <c r="B102" s="3" t="s">
        <v>2623</v>
      </c>
      <c r="C102" s="3">
        <v>221116</v>
      </c>
      <c r="D102" s="3" t="s">
        <v>2623</v>
      </c>
      <c r="E102" s="63"/>
    </row>
    <row r="103" spans="1:7" x14ac:dyDescent="0.25">
      <c r="A103" s="3">
        <v>221117</v>
      </c>
      <c r="B103" s="3" t="s">
        <v>2624</v>
      </c>
      <c r="C103" s="3">
        <v>221117</v>
      </c>
      <c r="D103" s="3" t="s">
        <v>2624</v>
      </c>
      <c r="E103" s="63"/>
    </row>
    <row r="104" spans="1:7" x14ac:dyDescent="0.25">
      <c r="A104" s="3">
        <v>221118</v>
      </c>
      <c r="B104" s="3" t="s">
        <v>2625</v>
      </c>
      <c r="C104" s="3">
        <v>221118</v>
      </c>
      <c r="D104" s="3" t="s">
        <v>2625</v>
      </c>
      <c r="E104" s="63"/>
    </row>
    <row r="105" spans="1:7" ht="25.5" x14ac:dyDescent="0.25">
      <c r="A105" s="3">
        <v>221121</v>
      </c>
      <c r="B105" s="3" t="s">
        <v>2626</v>
      </c>
      <c r="C105" s="3">
        <v>221121</v>
      </c>
      <c r="D105" s="3" t="s">
        <v>2626</v>
      </c>
      <c r="E105" s="63"/>
    </row>
    <row r="106" spans="1:7" x14ac:dyDescent="0.25">
      <c r="A106" s="3">
        <v>221122</v>
      </c>
      <c r="B106" s="3" t="s">
        <v>2627</v>
      </c>
      <c r="C106" s="3">
        <v>221122</v>
      </c>
      <c r="D106" s="3" t="s">
        <v>2627</v>
      </c>
      <c r="E106" s="63"/>
      <c r="G106" s="28" t="s">
        <v>2</v>
      </c>
    </row>
    <row r="107" spans="1:7" x14ac:dyDescent="0.25">
      <c r="A107" s="3">
        <v>221210</v>
      </c>
      <c r="B107" s="3" t="s">
        <v>2628</v>
      </c>
      <c r="C107" s="3">
        <v>221210</v>
      </c>
      <c r="D107" s="3" t="s">
        <v>2628</v>
      </c>
      <c r="E107" s="63"/>
    </row>
    <row r="108" spans="1:7" x14ac:dyDescent="0.25">
      <c r="A108" s="3">
        <v>221310</v>
      </c>
      <c r="B108" s="3" t="s">
        <v>2629</v>
      </c>
      <c r="C108" s="3">
        <v>221310</v>
      </c>
      <c r="D108" s="3" t="s">
        <v>2629</v>
      </c>
      <c r="E108" s="63"/>
    </row>
    <row r="109" spans="1:7" x14ac:dyDescent="0.25">
      <c r="A109" s="3">
        <v>221320</v>
      </c>
      <c r="B109" s="3" t="s">
        <v>2630</v>
      </c>
      <c r="C109" s="3">
        <v>221320</v>
      </c>
      <c r="D109" s="3" t="s">
        <v>2630</v>
      </c>
      <c r="E109" s="63"/>
    </row>
    <row r="110" spans="1:7" x14ac:dyDescent="0.25">
      <c r="A110" s="3">
        <v>221330</v>
      </c>
      <c r="B110" s="3" t="s">
        <v>2631</v>
      </c>
      <c r="C110" s="3">
        <v>221330</v>
      </c>
      <c r="D110" s="3" t="s">
        <v>2631</v>
      </c>
      <c r="E110" s="63"/>
    </row>
    <row r="111" spans="1:7" ht="25.5" x14ac:dyDescent="0.25">
      <c r="A111" s="3">
        <v>236115</v>
      </c>
      <c r="B111" s="3" t="s">
        <v>2632</v>
      </c>
      <c r="C111" s="3">
        <v>236115</v>
      </c>
      <c r="D111" s="3" t="s">
        <v>2632</v>
      </c>
      <c r="E111" s="63"/>
    </row>
    <row r="112" spans="1:7" ht="25.5" x14ac:dyDescent="0.25">
      <c r="A112" s="3">
        <v>236116</v>
      </c>
      <c r="B112" s="3" t="s">
        <v>2633</v>
      </c>
      <c r="C112" s="3">
        <v>236116</v>
      </c>
      <c r="D112" s="3" t="s">
        <v>2633</v>
      </c>
      <c r="E112" s="63"/>
    </row>
    <row r="113" spans="1:4" x14ac:dyDescent="0.25">
      <c r="A113" s="3">
        <v>236117</v>
      </c>
      <c r="B113" s="3" t="s">
        <v>2634</v>
      </c>
      <c r="C113" s="3">
        <v>236117</v>
      </c>
      <c r="D113" s="3" t="s">
        <v>2634</v>
      </c>
    </row>
    <row r="114" spans="1:4" x14ac:dyDescent="0.25">
      <c r="A114" s="3">
        <v>236118</v>
      </c>
      <c r="B114" s="3" t="s">
        <v>2635</v>
      </c>
      <c r="C114" s="3">
        <v>236118</v>
      </c>
      <c r="D114" s="3" t="s">
        <v>2635</v>
      </c>
    </row>
    <row r="115" spans="1:4" x14ac:dyDescent="0.25">
      <c r="A115" s="3">
        <v>236210</v>
      </c>
      <c r="B115" s="3" t="s">
        <v>2636</v>
      </c>
      <c r="C115" s="3">
        <v>236210</v>
      </c>
      <c r="D115" s="3" t="s">
        <v>2636</v>
      </c>
    </row>
    <row r="116" spans="1:4" ht="25.5" x14ac:dyDescent="0.25">
      <c r="A116" s="3">
        <v>236220</v>
      </c>
      <c r="B116" s="3" t="s">
        <v>2637</v>
      </c>
      <c r="C116" s="3">
        <v>236220</v>
      </c>
      <c r="D116" s="3" t="s">
        <v>2637</v>
      </c>
    </row>
    <row r="117" spans="1:4" ht="25.5" x14ac:dyDescent="0.25">
      <c r="A117" s="3">
        <v>237110</v>
      </c>
      <c r="B117" s="3" t="s">
        <v>2638</v>
      </c>
      <c r="C117" s="3">
        <v>237110</v>
      </c>
      <c r="D117" s="3" t="s">
        <v>2638</v>
      </c>
    </row>
    <row r="118" spans="1:4" ht="25.5" x14ac:dyDescent="0.25">
      <c r="A118" s="3">
        <v>237120</v>
      </c>
      <c r="B118" s="3" t="s">
        <v>2639</v>
      </c>
      <c r="C118" s="3">
        <v>237120</v>
      </c>
      <c r="D118" s="3" t="s">
        <v>2639</v>
      </c>
    </row>
    <row r="119" spans="1:4" ht="25.5" x14ac:dyDescent="0.25">
      <c r="A119" s="3">
        <v>237130</v>
      </c>
      <c r="B119" s="3" t="s">
        <v>2640</v>
      </c>
      <c r="C119" s="3">
        <v>237130</v>
      </c>
      <c r="D119" s="3" t="s">
        <v>2640</v>
      </c>
    </row>
    <row r="120" spans="1:4" x14ac:dyDescent="0.25">
      <c r="A120" s="3">
        <v>237210</v>
      </c>
      <c r="B120" s="3" t="s">
        <v>2641</v>
      </c>
      <c r="C120" s="3">
        <v>237210</v>
      </c>
      <c r="D120" s="3" t="s">
        <v>2641</v>
      </c>
    </row>
    <row r="121" spans="1:4" ht="25.5" x14ac:dyDescent="0.25">
      <c r="A121" s="3">
        <v>237310</v>
      </c>
      <c r="B121" s="3" t="s">
        <v>2642</v>
      </c>
      <c r="C121" s="3">
        <v>237310</v>
      </c>
      <c r="D121" s="3" t="s">
        <v>2642</v>
      </c>
    </row>
    <row r="122" spans="1:4" ht="25.5" x14ac:dyDescent="0.25">
      <c r="A122" s="3">
        <v>237990</v>
      </c>
      <c r="B122" s="3" t="s">
        <v>2643</v>
      </c>
      <c r="C122" s="3">
        <v>237990</v>
      </c>
      <c r="D122" s="3" t="s">
        <v>2643</v>
      </c>
    </row>
    <row r="123" spans="1:4" ht="25.5" x14ac:dyDescent="0.25">
      <c r="A123" s="3">
        <v>238110</v>
      </c>
      <c r="B123" s="3" t="s">
        <v>2644</v>
      </c>
      <c r="C123" s="3">
        <v>238110</v>
      </c>
      <c r="D123" s="3" t="s">
        <v>2644</v>
      </c>
    </row>
    <row r="124" spans="1:4" ht="25.5" x14ac:dyDescent="0.25">
      <c r="A124" s="3">
        <v>238120</v>
      </c>
      <c r="B124" s="3" t="s">
        <v>2645</v>
      </c>
      <c r="C124" s="3">
        <v>238120</v>
      </c>
      <c r="D124" s="3" t="s">
        <v>2645</v>
      </c>
    </row>
    <row r="125" spans="1:4" x14ac:dyDescent="0.25">
      <c r="A125" s="3">
        <v>238130</v>
      </c>
      <c r="B125" s="3" t="s">
        <v>2646</v>
      </c>
      <c r="C125" s="3">
        <v>238130</v>
      </c>
      <c r="D125" s="3" t="s">
        <v>2646</v>
      </c>
    </row>
    <row r="126" spans="1:4" x14ac:dyDescent="0.25">
      <c r="A126" s="3">
        <v>238140</v>
      </c>
      <c r="B126" s="3" t="s">
        <v>2647</v>
      </c>
      <c r="C126" s="3">
        <v>238140</v>
      </c>
      <c r="D126" s="3" t="s">
        <v>2647</v>
      </c>
    </row>
    <row r="127" spans="1:4" x14ac:dyDescent="0.25">
      <c r="A127" s="3">
        <v>238150</v>
      </c>
      <c r="B127" s="3" t="s">
        <v>2648</v>
      </c>
      <c r="C127" s="3">
        <v>238150</v>
      </c>
      <c r="D127" s="3" t="s">
        <v>2648</v>
      </c>
    </row>
    <row r="128" spans="1:4" x14ac:dyDescent="0.25">
      <c r="A128" s="3">
        <v>238160</v>
      </c>
      <c r="B128" s="3" t="s">
        <v>2649</v>
      </c>
      <c r="C128" s="3">
        <v>238160</v>
      </c>
      <c r="D128" s="3" t="s">
        <v>2649</v>
      </c>
    </row>
    <row r="129" spans="1:4" x14ac:dyDescent="0.25">
      <c r="A129" s="3">
        <v>238170</v>
      </c>
      <c r="B129" s="3" t="s">
        <v>2650</v>
      </c>
      <c r="C129" s="3">
        <v>238170</v>
      </c>
      <c r="D129" s="3" t="s">
        <v>2650</v>
      </c>
    </row>
    <row r="130" spans="1:4" ht="25.5" x14ac:dyDescent="0.25">
      <c r="A130" s="3">
        <v>238190</v>
      </c>
      <c r="B130" s="3" t="s">
        <v>2651</v>
      </c>
      <c r="C130" s="3">
        <v>238190</v>
      </c>
      <c r="D130" s="3" t="s">
        <v>2651</v>
      </c>
    </row>
    <row r="131" spans="1:4" ht="25.5" x14ac:dyDescent="0.25">
      <c r="A131" s="3">
        <v>238210</v>
      </c>
      <c r="B131" s="3" t="s">
        <v>2652</v>
      </c>
      <c r="C131" s="3">
        <v>238210</v>
      </c>
      <c r="D131" s="3" t="s">
        <v>2652</v>
      </c>
    </row>
    <row r="132" spans="1:4" ht="25.5" x14ac:dyDescent="0.25">
      <c r="A132" s="3">
        <v>238220</v>
      </c>
      <c r="B132" s="3" t="s">
        <v>2653</v>
      </c>
      <c r="C132" s="3">
        <v>238220</v>
      </c>
      <c r="D132" s="3" t="s">
        <v>2653</v>
      </c>
    </row>
    <row r="133" spans="1:4" x14ac:dyDescent="0.25">
      <c r="A133" s="3">
        <v>238290</v>
      </c>
      <c r="B133" s="3" t="s">
        <v>2654</v>
      </c>
      <c r="C133" s="3">
        <v>238290</v>
      </c>
      <c r="D133" s="3" t="s">
        <v>2654</v>
      </c>
    </row>
    <row r="134" spans="1:4" x14ac:dyDescent="0.25">
      <c r="A134" s="3">
        <v>238310</v>
      </c>
      <c r="B134" s="3" t="s">
        <v>2655</v>
      </c>
      <c r="C134" s="3">
        <v>238310</v>
      </c>
      <c r="D134" s="3" t="s">
        <v>2655</v>
      </c>
    </row>
    <row r="135" spans="1:4" x14ac:dyDescent="0.25">
      <c r="A135" s="3">
        <v>238320</v>
      </c>
      <c r="B135" s="3" t="s">
        <v>2656</v>
      </c>
      <c r="C135" s="3">
        <v>238320</v>
      </c>
      <c r="D135" s="3" t="s">
        <v>2656</v>
      </c>
    </row>
    <row r="136" spans="1:4" x14ac:dyDescent="0.25">
      <c r="A136" s="3">
        <v>238330</v>
      </c>
      <c r="B136" s="3" t="s">
        <v>2657</v>
      </c>
      <c r="C136" s="3">
        <v>238330</v>
      </c>
      <c r="D136" s="3" t="s">
        <v>2657</v>
      </c>
    </row>
    <row r="137" spans="1:4" x14ac:dyDescent="0.25">
      <c r="A137" s="3">
        <v>238340</v>
      </c>
      <c r="B137" s="3" t="s">
        <v>2658</v>
      </c>
      <c r="C137" s="3">
        <v>238340</v>
      </c>
      <c r="D137" s="3" t="s">
        <v>2658</v>
      </c>
    </row>
    <row r="138" spans="1:4" x14ac:dyDescent="0.25">
      <c r="A138" s="3">
        <v>238350</v>
      </c>
      <c r="B138" s="3" t="s">
        <v>2659</v>
      </c>
      <c r="C138" s="3">
        <v>238350</v>
      </c>
      <c r="D138" s="3" t="s">
        <v>2659</v>
      </c>
    </row>
    <row r="139" spans="1:4" x14ac:dyDescent="0.25">
      <c r="A139" s="3">
        <v>238390</v>
      </c>
      <c r="B139" s="3" t="s">
        <v>2660</v>
      </c>
      <c r="C139" s="3">
        <v>238390</v>
      </c>
      <c r="D139" s="3" t="s">
        <v>2660</v>
      </c>
    </row>
    <row r="140" spans="1:4" x14ac:dyDescent="0.25">
      <c r="A140" s="3">
        <v>238910</v>
      </c>
      <c r="B140" s="3" t="s">
        <v>2661</v>
      </c>
      <c r="C140" s="3">
        <v>238910</v>
      </c>
      <c r="D140" s="3" t="s">
        <v>2661</v>
      </c>
    </row>
    <row r="141" spans="1:4" x14ac:dyDescent="0.25">
      <c r="A141" s="3">
        <v>238990</v>
      </c>
      <c r="B141" s="3" t="s">
        <v>2662</v>
      </c>
      <c r="C141" s="3">
        <v>238990</v>
      </c>
      <c r="D141" s="3" t="s">
        <v>2662</v>
      </c>
    </row>
    <row r="142" spans="1:4" x14ac:dyDescent="0.25">
      <c r="A142" s="3">
        <v>311111</v>
      </c>
      <c r="B142" s="3" t="s">
        <v>2663</v>
      </c>
      <c r="C142" s="3">
        <v>311111</v>
      </c>
      <c r="D142" s="3" t="s">
        <v>2663</v>
      </c>
    </row>
    <row r="143" spans="1:4" x14ac:dyDescent="0.25">
      <c r="A143" s="3">
        <v>311119</v>
      </c>
      <c r="B143" s="3" t="s">
        <v>2664</v>
      </c>
      <c r="C143" s="3">
        <v>311119</v>
      </c>
      <c r="D143" s="3" t="s">
        <v>2664</v>
      </c>
    </row>
    <row r="144" spans="1:4" x14ac:dyDescent="0.25">
      <c r="A144" s="3">
        <v>311211</v>
      </c>
      <c r="B144" s="3" t="s">
        <v>2665</v>
      </c>
      <c r="C144" s="3">
        <v>311211</v>
      </c>
      <c r="D144" s="3" t="s">
        <v>2665</v>
      </c>
    </row>
    <row r="145" spans="1:8" x14ac:dyDescent="0.25">
      <c r="A145" s="3">
        <v>311212</v>
      </c>
      <c r="B145" s="3" t="s">
        <v>2666</v>
      </c>
      <c r="C145" s="3">
        <v>311212</v>
      </c>
      <c r="D145" s="3" t="s">
        <v>2666</v>
      </c>
      <c r="E145" s="63"/>
    </row>
    <row r="146" spans="1:8" x14ac:dyDescent="0.25">
      <c r="A146" s="3">
        <v>311213</v>
      </c>
      <c r="B146" s="3" t="s">
        <v>2667</v>
      </c>
      <c r="C146" s="3">
        <v>311213</v>
      </c>
      <c r="D146" s="3" t="s">
        <v>2667</v>
      </c>
      <c r="E146" s="63"/>
    </row>
    <row r="147" spans="1:8" ht="25.5" x14ac:dyDescent="0.25">
      <c r="A147" s="3">
        <v>311221</v>
      </c>
      <c r="B147" s="3" t="s">
        <v>2668</v>
      </c>
      <c r="C147" s="3">
        <v>311221</v>
      </c>
      <c r="D147" s="3" t="s">
        <v>2669</v>
      </c>
      <c r="E147" s="63"/>
    </row>
    <row r="148" spans="1:8" x14ac:dyDescent="0.25">
      <c r="A148" s="3">
        <v>311224</v>
      </c>
      <c r="B148" s="3" t="s">
        <v>2670</v>
      </c>
      <c r="C148" s="3">
        <v>311224</v>
      </c>
      <c r="D148" s="3" t="s">
        <v>2670</v>
      </c>
      <c r="E148" s="63"/>
    </row>
    <row r="149" spans="1:8" x14ac:dyDescent="0.25">
      <c r="A149" s="3">
        <v>311225</v>
      </c>
      <c r="B149" s="3" t="s">
        <v>2671</v>
      </c>
      <c r="C149" s="3">
        <v>311225</v>
      </c>
      <c r="D149" s="3" t="s">
        <v>2671</v>
      </c>
      <c r="E149" s="63"/>
    </row>
    <row r="150" spans="1:8" x14ac:dyDescent="0.25">
      <c r="A150" s="3">
        <v>311230</v>
      </c>
      <c r="B150" s="3" t="s">
        <v>2672</v>
      </c>
      <c r="C150" s="3">
        <v>311230</v>
      </c>
      <c r="D150" s="3" t="s">
        <v>2672</v>
      </c>
      <c r="E150" s="63"/>
    </row>
    <row r="151" spans="1:8" x14ac:dyDescent="0.25">
      <c r="A151" s="3">
        <v>311313</v>
      </c>
      <c r="B151" s="3" t="s">
        <v>2673</v>
      </c>
      <c r="C151" s="3">
        <v>311313</v>
      </c>
      <c r="D151" s="3" t="s">
        <v>2673</v>
      </c>
      <c r="E151" s="63"/>
    </row>
    <row r="152" spans="1:8" x14ac:dyDescent="0.25">
      <c r="A152" s="29">
        <v>311314</v>
      </c>
      <c r="B152" s="29" t="s">
        <v>2674</v>
      </c>
      <c r="C152" s="29">
        <v>311314</v>
      </c>
      <c r="D152" s="29" t="s">
        <v>2674</v>
      </c>
      <c r="E152" s="103"/>
    </row>
    <row r="153" spans="1:8" ht="25.5" x14ac:dyDescent="0.25">
      <c r="A153" s="3">
        <v>311340</v>
      </c>
      <c r="B153" s="3" t="s">
        <v>2675</v>
      </c>
      <c r="C153" s="3">
        <v>311340</v>
      </c>
      <c r="D153" s="3" t="s">
        <v>2675</v>
      </c>
      <c r="E153" s="63"/>
    </row>
    <row r="154" spans="1:8" ht="25.5" x14ac:dyDescent="0.25">
      <c r="A154" s="30">
        <v>311351</v>
      </c>
      <c r="B154" s="3" t="s">
        <v>2676</v>
      </c>
      <c r="C154" s="30">
        <v>311351</v>
      </c>
      <c r="D154" s="3" t="s">
        <v>2676</v>
      </c>
      <c r="E154" s="104"/>
    </row>
    <row r="155" spans="1:8" ht="25.5" x14ac:dyDescent="0.25">
      <c r="A155" s="30">
        <v>311352</v>
      </c>
      <c r="B155" s="3" t="s">
        <v>2677</v>
      </c>
      <c r="C155" s="30">
        <v>311352</v>
      </c>
      <c r="D155" s="3" t="s">
        <v>2677</v>
      </c>
      <c r="E155" s="104"/>
      <c r="H155" s="28" t="s">
        <v>2</v>
      </c>
    </row>
    <row r="156" spans="1:8" ht="25.5" x14ac:dyDescent="0.25">
      <c r="A156" s="3">
        <v>311411</v>
      </c>
      <c r="B156" s="3" t="s">
        <v>2678</v>
      </c>
      <c r="C156" s="3">
        <v>311411</v>
      </c>
      <c r="D156" s="3" t="s">
        <v>2678</v>
      </c>
      <c r="E156" s="63"/>
    </row>
    <row r="157" spans="1:8" x14ac:dyDescent="0.25">
      <c r="A157" s="3">
        <v>311412</v>
      </c>
      <c r="B157" s="3" t="s">
        <v>2679</v>
      </c>
      <c r="C157" s="3">
        <v>311412</v>
      </c>
      <c r="D157" s="3" t="s">
        <v>2679</v>
      </c>
      <c r="E157" s="63"/>
    </row>
    <row r="158" spans="1:8" x14ac:dyDescent="0.25">
      <c r="A158" s="3">
        <v>311421</v>
      </c>
      <c r="B158" s="3" t="s">
        <v>2680</v>
      </c>
      <c r="C158" s="3">
        <v>311421</v>
      </c>
      <c r="D158" s="3" t="s">
        <v>2680</v>
      </c>
      <c r="E158" s="63"/>
    </row>
    <row r="159" spans="1:8" x14ac:dyDescent="0.25">
      <c r="A159" s="3">
        <v>311422</v>
      </c>
      <c r="B159" s="3" t="s">
        <v>2681</v>
      </c>
      <c r="C159" s="3">
        <v>311422</v>
      </c>
      <c r="D159" s="3" t="s">
        <v>2681</v>
      </c>
      <c r="E159" s="63"/>
    </row>
    <row r="160" spans="1:8" ht="25.5" x14ac:dyDescent="0.25">
      <c r="A160" s="3">
        <v>311423</v>
      </c>
      <c r="B160" s="3" t="s">
        <v>2682</v>
      </c>
      <c r="C160" s="3">
        <v>311423</v>
      </c>
      <c r="D160" s="3" t="s">
        <v>2682</v>
      </c>
      <c r="E160" s="63"/>
    </row>
    <row r="161" spans="1:4" x14ac:dyDescent="0.25">
      <c r="A161" s="3">
        <v>311511</v>
      </c>
      <c r="B161" s="3" t="s">
        <v>2683</v>
      </c>
      <c r="C161" s="3">
        <v>311511</v>
      </c>
      <c r="D161" s="3" t="s">
        <v>2683</v>
      </c>
    </row>
    <row r="162" spans="1:4" x14ac:dyDescent="0.25">
      <c r="A162" s="3">
        <v>311512</v>
      </c>
      <c r="B162" s="3" t="s">
        <v>2684</v>
      </c>
      <c r="C162" s="3">
        <v>311512</v>
      </c>
      <c r="D162" s="3" t="s">
        <v>2684</v>
      </c>
    </row>
    <row r="163" spans="1:4" x14ac:dyDescent="0.25">
      <c r="A163" s="3">
        <v>311513</v>
      </c>
      <c r="B163" s="3" t="s">
        <v>2685</v>
      </c>
      <c r="C163" s="3">
        <v>311513</v>
      </c>
      <c r="D163" s="3" t="s">
        <v>2685</v>
      </c>
    </row>
    <row r="164" spans="1:4" ht="25.5" x14ac:dyDescent="0.25">
      <c r="A164" s="3">
        <v>311514</v>
      </c>
      <c r="B164" s="3" t="s">
        <v>2686</v>
      </c>
      <c r="C164" s="3">
        <v>311514</v>
      </c>
      <c r="D164" s="3" t="s">
        <v>2686</v>
      </c>
    </row>
    <row r="165" spans="1:4" ht="25.5" x14ac:dyDescent="0.25">
      <c r="A165" s="3">
        <v>311520</v>
      </c>
      <c r="B165" s="3" t="s">
        <v>2687</v>
      </c>
      <c r="C165" s="3">
        <v>311520</v>
      </c>
      <c r="D165" s="3" t="s">
        <v>2687</v>
      </c>
    </row>
    <row r="166" spans="1:4" x14ac:dyDescent="0.25">
      <c r="A166" s="3">
        <v>311611</v>
      </c>
      <c r="B166" s="3" t="s">
        <v>2688</v>
      </c>
      <c r="C166" s="3">
        <v>311611</v>
      </c>
      <c r="D166" s="3" t="s">
        <v>2688</v>
      </c>
    </row>
    <row r="167" spans="1:4" x14ac:dyDescent="0.25">
      <c r="A167" s="3">
        <v>311612</v>
      </c>
      <c r="B167" s="3" t="s">
        <v>2689</v>
      </c>
      <c r="C167" s="3">
        <v>311612</v>
      </c>
      <c r="D167" s="3" t="s">
        <v>2689</v>
      </c>
    </row>
    <row r="168" spans="1:4" ht="25.5" x14ac:dyDescent="0.25">
      <c r="A168" s="3">
        <v>311613</v>
      </c>
      <c r="B168" s="3" t="s">
        <v>2690</v>
      </c>
      <c r="C168" s="3">
        <v>311613</v>
      </c>
      <c r="D168" s="3" t="s">
        <v>2690</v>
      </c>
    </row>
    <row r="169" spans="1:4" x14ac:dyDescent="0.25">
      <c r="A169" s="3">
        <v>311615</v>
      </c>
      <c r="B169" s="3" t="s">
        <v>2691</v>
      </c>
      <c r="C169" s="3">
        <v>311615</v>
      </c>
      <c r="D169" s="3" t="s">
        <v>2691</v>
      </c>
    </row>
    <row r="170" spans="1:4" ht="25.5" x14ac:dyDescent="0.25">
      <c r="A170" s="31">
        <v>311710</v>
      </c>
      <c r="B170" s="31" t="s">
        <v>2692</v>
      </c>
      <c r="C170" s="31">
        <v>311710</v>
      </c>
      <c r="D170" s="31" t="s">
        <v>2692</v>
      </c>
    </row>
    <row r="171" spans="1:4" x14ac:dyDescent="0.25">
      <c r="A171" s="3">
        <v>311811</v>
      </c>
      <c r="B171" s="3" t="s">
        <v>2693</v>
      </c>
      <c r="C171" s="3">
        <v>311811</v>
      </c>
      <c r="D171" s="3" t="s">
        <v>2693</v>
      </c>
    </row>
    <row r="172" spans="1:4" x14ac:dyDescent="0.25">
      <c r="A172" s="3">
        <v>311812</v>
      </c>
      <c r="B172" s="3" t="s">
        <v>2694</v>
      </c>
      <c r="C172" s="3">
        <v>311812</v>
      </c>
      <c r="D172" s="3" t="s">
        <v>2694</v>
      </c>
    </row>
    <row r="173" spans="1:4" ht="25.5" x14ac:dyDescent="0.25">
      <c r="A173" s="3">
        <v>311813</v>
      </c>
      <c r="B173" s="3" t="s">
        <v>2695</v>
      </c>
      <c r="C173" s="3">
        <v>311813</v>
      </c>
      <c r="D173" s="3" t="s">
        <v>2695</v>
      </c>
    </row>
    <row r="174" spans="1:4" x14ac:dyDescent="0.25">
      <c r="A174" s="3">
        <v>311821</v>
      </c>
      <c r="B174" s="3" t="s">
        <v>2696</v>
      </c>
      <c r="C174" s="3">
        <v>311821</v>
      </c>
      <c r="D174" s="3" t="s">
        <v>2696</v>
      </c>
    </row>
    <row r="175" spans="1:4" ht="25.5" x14ac:dyDescent="0.25">
      <c r="A175" s="32">
        <v>311824</v>
      </c>
      <c r="B175" s="32" t="s">
        <v>2697</v>
      </c>
      <c r="C175" s="32">
        <v>311824</v>
      </c>
      <c r="D175" s="32" t="s">
        <v>2697</v>
      </c>
    </row>
    <row r="176" spans="1:4" x14ac:dyDescent="0.25">
      <c r="A176" s="3">
        <v>311830</v>
      </c>
      <c r="B176" s="3" t="s">
        <v>2698</v>
      </c>
      <c r="C176" s="3">
        <v>311830</v>
      </c>
      <c r="D176" s="3" t="s">
        <v>2698</v>
      </c>
    </row>
    <row r="177" spans="1:7" ht="25.5" x14ac:dyDescent="0.25">
      <c r="A177" s="3">
        <v>311911</v>
      </c>
      <c r="B177" s="3" t="s">
        <v>2699</v>
      </c>
      <c r="C177" s="3">
        <v>311911</v>
      </c>
      <c r="D177" s="3" t="s">
        <v>2699</v>
      </c>
      <c r="E177" s="63"/>
    </row>
    <row r="178" spans="1:7" x14ac:dyDescent="0.25">
      <c r="A178" s="3">
        <v>311919</v>
      </c>
      <c r="B178" s="3" t="s">
        <v>2700</v>
      </c>
      <c r="C178" s="3">
        <v>311919</v>
      </c>
      <c r="D178" s="3" t="s">
        <v>2700</v>
      </c>
      <c r="E178" s="63"/>
    </row>
    <row r="179" spans="1:7" x14ac:dyDescent="0.25">
      <c r="A179" s="3">
        <v>311920</v>
      </c>
      <c r="B179" s="3" t="s">
        <v>2701</v>
      </c>
      <c r="C179" s="3">
        <v>311920</v>
      </c>
      <c r="D179" s="3" t="s">
        <v>2701</v>
      </c>
      <c r="E179" s="63"/>
    </row>
    <row r="180" spans="1:7" ht="25.5" x14ac:dyDescent="0.25">
      <c r="A180" s="3">
        <v>311930</v>
      </c>
      <c r="B180" s="3" t="s">
        <v>2702</v>
      </c>
      <c r="C180" s="3">
        <v>311930</v>
      </c>
      <c r="D180" s="3" t="s">
        <v>2702</v>
      </c>
      <c r="E180" s="63"/>
    </row>
    <row r="181" spans="1:7" ht="25.5" x14ac:dyDescent="0.25">
      <c r="A181" s="3">
        <v>311941</v>
      </c>
      <c r="B181" s="3" t="s">
        <v>2703</v>
      </c>
      <c r="C181" s="3">
        <v>311941</v>
      </c>
      <c r="D181" s="3" t="s">
        <v>2703</v>
      </c>
      <c r="E181" s="63"/>
    </row>
    <row r="182" spans="1:7" x14ac:dyDescent="0.25">
      <c r="A182" s="3">
        <v>311942</v>
      </c>
      <c r="B182" s="3" t="s">
        <v>2704</v>
      </c>
      <c r="C182" s="3">
        <v>311942</v>
      </c>
      <c r="D182" s="3" t="s">
        <v>2704</v>
      </c>
      <c r="E182" s="63"/>
    </row>
    <row r="183" spans="1:7" x14ac:dyDescent="0.25">
      <c r="A183" s="3">
        <v>311991</v>
      </c>
      <c r="B183" s="3" t="s">
        <v>2705</v>
      </c>
      <c r="C183" s="3">
        <v>311991</v>
      </c>
      <c r="D183" s="3" t="s">
        <v>2705</v>
      </c>
      <c r="E183" s="63"/>
    </row>
    <row r="184" spans="1:7" ht="25.5" x14ac:dyDescent="0.25">
      <c r="A184" s="3">
        <v>311999</v>
      </c>
      <c r="B184" s="3" t="s">
        <v>2706</v>
      </c>
      <c r="C184" s="3">
        <v>311999</v>
      </c>
      <c r="D184" s="3" t="s">
        <v>2706</v>
      </c>
      <c r="E184" s="63"/>
    </row>
    <row r="185" spans="1:7" x14ac:dyDescent="0.25">
      <c r="A185" s="3">
        <v>312111</v>
      </c>
      <c r="B185" s="3" t="s">
        <v>2707</v>
      </c>
      <c r="C185" s="3">
        <v>312111</v>
      </c>
      <c r="D185" s="3" t="s">
        <v>2707</v>
      </c>
      <c r="E185" s="63"/>
      <c r="G185" s="28" t="s">
        <v>2</v>
      </c>
    </row>
    <row r="186" spans="1:7" x14ac:dyDescent="0.25">
      <c r="A186" s="3">
        <v>312112</v>
      </c>
      <c r="B186" s="3" t="s">
        <v>2708</v>
      </c>
      <c r="C186" s="3">
        <v>312112</v>
      </c>
      <c r="D186" s="3" t="s">
        <v>2708</v>
      </c>
      <c r="E186" s="63"/>
    </row>
    <row r="187" spans="1:7" x14ac:dyDescent="0.25">
      <c r="A187" s="3">
        <v>312113</v>
      </c>
      <c r="B187" s="3" t="s">
        <v>2709</v>
      </c>
      <c r="C187" s="3">
        <v>312113</v>
      </c>
      <c r="D187" s="3" t="s">
        <v>2709</v>
      </c>
      <c r="E187" s="63"/>
    </row>
    <row r="188" spans="1:7" x14ac:dyDescent="0.25">
      <c r="A188" s="3">
        <v>312120</v>
      </c>
      <c r="B188" s="3" t="s">
        <v>2710</v>
      </c>
      <c r="C188" s="3">
        <v>312120</v>
      </c>
      <c r="D188" s="3" t="s">
        <v>2710</v>
      </c>
      <c r="E188" s="63"/>
    </row>
    <row r="189" spans="1:7" x14ac:dyDescent="0.25">
      <c r="A189" s="3">
        <v>312130</v>
      </c>
      <c r="B189" s="3" t="s">
        <v>2711</v>
      </c>
      <c r="C189" s="3">
        <v>312130</v>
      </c>
      <c r="D189" s="3" t="s">
        <v>2711</v>
      </c>
      <c r="E189" s="63"/>
    </row>
    <row r="190" spans="1:7" x14ac:dyDescent="0.25">
      <c r="A190" s="3">
        <v>312140</v>
      </c>
      <c r="B190" s="3" t="s">
        <v>2712</v>
      </c>
      <c r="C190" s="3">
        <v>312140</v>
      </c>
      <c r="D190" s="3" t="s">
        <v>2712</v>
      </c>
      <c r="E190" s="63"/>
    </row>
    <row r="191" spans="1:7" x14ac:dyDescent="0.25">
      <c r="A191" s="33">
        <v>312230</v>
      </c>
      <c r="B191" s="33" t="s">
        <v>2713</v>
      </c>
      <c r="C191" s="33">
        <v>312230</v>
      </c>
      <c r="D191" s="33" t="s">
        <v>2713</v>
      </c>
      <c r="E191" s="105"/>
    </row>
    <row r="192" spans="1:7" x14ac:dyDescent="0.25">
      <c r="A192" s="34">
        <v>313110</v>
      </c>
      <c r="B192" s="34" t="s">
        <v>2714</v>
      </c>
      <c r="C192" s="34">
        <v>313110</v>
      </c>
      <c r="D192" s="34" t="s">
        <v>2714</v>
      </c>
      <c r="E192" s="106"/>
    </row>
    <row r="193" spans="1:4" x14ac:dyDescent="0.25">
      <c r="A193" s="3">
        <v>313210</v>
      </c>
      <c r="B193" s="3" t="s">
        <v>2715</v>
      </c>
      <c r="C193" s="3">
        <v>313210</v>
      </c>
      <c r="D193" s="3" t="s">
        <v>2715</v>
      </c>
    </row>
    <row r="194" spans="1:4" ht="25.5" x14ac:dyDescent="0.25">
      <c r="A194" s="35">
        <v>313220</v>
      </c>
      <c r="B194" s="35" t="s">
        <v>2716</v>
      </c>
      <c r="C194" s="35">
        <v>313220</v>
      </c>
      <c r="D194" s="35" t="s">
        <v>2716</v>
      </c>
    </row>
    <row r="195" spans="1:4" x14ac:dyDescent="0.25">
      <c r="A195" s="3">
        <v>313230</v>
      </c>
      <c r="B195" s="3" t="s">
        <v>2717</v>
      </c>
      <c r="C195" s="3">
        <v>313230</v>
      </c>
      <c r="D195" s="3" t="s">
        <v>2717</v>
      </c>
    </row>
    <row r="196" spans="1:4" x14ac:dyDescent="0.25">
      <c r="A196" s="36">
        <v>313240</v>
      </c>
      <c r="B196" s="36" t="s">
        <v>2718</v>
      </c>
      <c r="C196" s="36">
        <v>313240</v>
      </c>
      <c r="D196" s="36" t="s">
        <v>2718</v>
      </c>
    </row>
    <row r="197" spans="1:4" x14ac:dyDescent="0.25">
      <c r="A197" s="36">
        <v>313310</v>
      </c>
      <c r="B197" s="36" t="s">
        <v>2719</v>
      </c>
      <c r="C197" s="36">
        <v>313310</v>
      </c>
      <c r="D197" s="36" t="s">
        <v>2719</v>
      </c>
    </row>
    <row r="198" spans="1:4" x14ac:dyDescent="0.25">
      <c r="A198" s="3">
        <v>313320</v>
      </c>
      <c r="B198" s="3" t="s">
        <v>2720</v>
      </c>
      <c r="C198" s="3">
        <v>313320</v>
      </c>
      <c r="D198" s="3" t="s">
        <v>2720</v>
      </c>
    </row>
    <row r="199" spans="1:4" x14ac:dyDescent="0.25">
      <c r="A199" s="3">
        <v>314110</v>
      </c>
      <c r="B199" s="3" t="s">
        <v>2721</v>
      </c>
      <c r="C199" s="3">
        <v>314110</v>
      </c>
      <c r="D199" s="3" t="s">
        <v>2721</v>
      </c>
    </row>
    <row r="200" spans="1:4" x14ac:dyDescent="0.25">
      <c r="A200" s="37">
        <v>314120</v>
      </c>
      <c r="B200" s="37" t="s">
        <v>2722</v>
      </c>
      <c r="C200" s="37">
        <v>314120</v>
      </c>
      <c r="D200" s="37" t="s">
        <v>2722</v>
      </c>
    </row>
    <row r="201" spans="1:4" x14ac:dyDescent="0.25">
      <c r="A201" s="37">
        <v>314910</v>
      </c>
      <c r="B201" s="37" t="s">
        <v>2723</v>
      </c>
      <c r="C201" s="37">
        <v>314910</v>
      </c>
      <c r="D201" s="37" t="s">
        <v>2723</v>
      </c>
    </row>
    <row r="202" spans="1:4" ht="25.5" x14ac:dyDescent="0.25">
      <c r="A202" s="37">
        <v>314994</v>
      </c>
      <c r="B202" s="37" t="s">
        <v>2724</v>
      </c>
      <c r="C202" s="37">
        <v>314994</v>
      </c>
      <c r="D202" s="37" t="s">
        <v>2724</v>
      </c>
    </row>
    <row r="203" spans="1:4" ht="25.5" x14ac:dyDescent="0.25">
      <c r="A203" s="3">
        <v>314999</v>
      </c>
      <c r="B203" s="3" t="s">
        <v>2725</v>
      </c>
      <c r="C203" s="3">
        <v>314999</v>
      </c>
      <c r="D203" s="3" t="s">
        <v>2725</v>
      </c>
    </row>
    <row r="204" spans="1:4" x14ac:dyDescent="0.25">
      <c r="A204" s="38">
        <v>315110</v>
      </c>
      <c r="B204" s="38" t="s">
        <v>2726</v>
      </c>
      <c r="C204" s="39">
        <v>315120</v>
      </c>
      <c r="D204" s="38" t="s">
        <v>2727</v>
      </c>
    </row>
    <row r="205" spans="1:4" x14ac:dyDescent="0.25">
      <c r="A205" s="38">
        <v>315190</v>
      </c>
      <c r="B205" s="38" t="s">
        <v>2728</v>
      </c>
      <c r="C205" s="39">
        <v>315120</v>
      </c>
      <c r="D205" s="38" t="s">
        <v>2727</v>
      </c>
    </row>
    <row r="206" spans="1:4" x14ac:dyDescent="0.25">
      <c r="A206" s="38">
        <v>315210</v>
      </c>
      <c r="B206" s="38" t="s">
        <v>2729</v>
      </c>
      <c r="C206" s="38">
        <v>315210</v>
      </c>
      <c r="D206" s="38" t="s">
        <v>2729</v>
      </c>
    </row>
    <row r="207" spans="1:4" ht="25.5" x14ac:dyDescent="0.25">
      <c r="A207" s="38">
        <v>315220</v>
      </c>
      <c r="B207" s="38" t="s">
        <v>2730</v>
      </c>
      <c r="C207" s="39">
        <v>315250</v>
      </c>
      <c r="D207" s="38" t="s">
        <v>2731</v>
      </c>
    </row>
    <row r="208" spans="1:4" ht="25.5" x14ac:dyDescent="0.25">
      <c r="A208" s="38">
        <v>315240</v>
      </c>
      <c r="B208" s="38" t="s">
        <v>2732</v>
      </c>
      <c r="C208" s="39">
        <v>315250</v>
      </c>
      <c r="D208" s="38" t="s">
        <v>2731</v>
      </c>
    </row>
    <row r="209" spans="1:9" ht="25.5" x14ac:dyDescent="0.25">
      <c r="A209" s="40">
        <v>315280</v>
      </c>
      <c r="B209" s="40" t="s">
        <v>2733</v>
      </c>
      <c r="C209" s="41">
        <v>315250</v>
      </c>
      <c r="D209" s="40" t="s">
        <v>2731</v>
      </c>
      <c r="E209" s="107"/>
    </row>
    <row r="210" spans="1:9" ht="25.5" x14ac:dyDescent="0.25">
      <c r="A210" s="40">
        <v>315990</v>
      </c>
      <c r="B210" s="40" t="s">
        <v>2734</v>
      </c>
      <c r="C210" s="40">
        <v>315990</v>
      </c>
      <c r="D210" s="40" t="s">
        <v>2734</v>
      </c>
      <c r="E210" s="108"/>
    </row>
    <row r="211" spans="1:9" x14ac:dyDescent="0.25">
      <c r="A211" s="3">
        <v>316110</v>
      </c>
      <c r="B211" s="3" t="s">
        <v>2735</v>
      </c>
      <c r="C211" s="3">
        <v>316110</v>
      </c>
      <c r="D211" s="3" t="s">
        <v>2735</v>
      </c>
      <c r="E211" s="63"/>
    </row>
    <row r="212" spans="1:9" x14ac:dyDescent="0.25">
      <c r="A212" s="42">
        <v>316210</v>
      </c>
      <c r="B212" s="42" t="s">
        <v>2736</v>
      </c>
      <c r="C212" s="42">
        <v>316210</v>
      </c>
      <c r="D212" s="42" t="s">
        <v>2736</v>
      </c>
      <c r="E212" s="109"/>
    </row>
    <row r="213" spans="1:9" ht="25.5" x14ac:dyDescent="0.25">
      <c r="A213" s="3">
        <v>316992</v>
      </c>
      <c r="B213" s="3" t="s">
        <v>2737</v>
      </c>
      <c r="C213" s="4">
        <v>316990</v>
      </c>
      <c r="D213" s="3" t="s">
        <v>2738</v>
      </c>
      <c r="E213" s="102"/>
    </row>
    <row r="214" spans="1:9" ht="25.5" x14ac:dyDescent="0.25">
      <c r="A214" s="42">
        <v>316998</v>
      </c>
      <c r="B214" s="42" t="s">
        <v>2739</v>
      </c>
      <c r="C214" s="43">
        <v>316990</v>
      </c>
      <c r="D214" s="42" t="s">
        <v>2738</v>
      </c>
      <c r="E214" s="110"/>
      <c r="I214" s="28" t="s">
        <v>2</v>
      </c>
    </row>
    <row r="215" spans="1:9" x14ac:dyDescent="0.25">
      <c r="A215" s="3">
        <v>321113</v>
      </c>
      <c r="B215" s="3" t="s">
        <v>2740</v>
      </c>
      <c r="C215" s="3">
        <v>321113</v>
      </c>
      <c r="D215" s="3" t="s">
        <v>2740</v>
      </c>
      <c r="E215" s="63"/>
    </row>
    <row r="216" spans="1:9" x14ac:dyDescent="0.25">
      <c r="A216" s="3">
        <v>321114</v>
      </c>
      <c r="B216" s="3" t="s">
        <v>2741</v>
      </c>
      <c r="C216" s="3">
        <v>321114</v>
      </c>
      <c r="D216" s="3" t="s">
        <v>2741</v>
      </c>
      <c r="E216" s="63"/>
    </row>
    <row r="217" spans="1:9" ht="25.5" x14ac:dyDescent="0.25">
      <c r="A217" s="3">
        <v>321211</v>
      </c>
      <c r="B217" s="3" t="s">
        <v>2742</v>
      </c>
      <c r="C217" s="3">
        <v>321211</v>
      </c>
      <c r="D217" s="3" t="s">
        <v>2742</v>
      </c>
      <c r="E217" s="63"/>
    </row>
    <row r="218" spans="1:9" ht="25.5" x14ac:dyDescent="0.25">
      <c r="A218" s="3">
        <v>321212</v>
      </c>
      <c r="B218" s="3" t="s">
        <v>2743</v>
      </c>
      <c r="C218" s="3">
        <v>321212</v>
      </c>
      <c r="D218" s="3" t="s">
        <v>2743</v>
      </c>
      <c r="E218" s="63"/>
    </row>
    <row r="219" spans="1:9" ht="25.5" x14ac:dyDescent="0.25">
      <c r="A219" s="3">
        <v>321213</v>
      </c>
      <c r="B219" s="3" t="s">
        <v>2744</v>
      </c>
      <c r="C219" s="4">
        <v>321215</v>
      </c>
      <c r="D219" s="3" t="s">
        <v>2745</v>
      </c>
      <c r="E219" s="102"/>
    </row>
    <row r="220" spans="1:9" ht="25.5" x14ac:dyDescent="0.25">
      <c r="A220" s="3">
        <v>321214</v>
      </c>
      <c r="B220" s="3" t="s">
        <v>2746</v>
      </c>
      <c r="C220" s="4">
        <v>321215</v>
      </c>
      <c r="D220" s="3" t="s">
        <v>2745</v>
      </c>
      <c r="E220" s="102"/>
    </row>
    <row r="221" spans="1:9" ht="25.5" x14ac:dyDescent="0.25">
      <c r="A221" s="3">
        <v>321219</v>
      </c>
      <c r="B221" s="3" t="s">
        <v>2747</v>
      </c>
      <c r="C221" s="3">
        <v>321219</v>
      </c>
      <c r="D221" s="3" t="s">
        <v>2747</v>
      </c>
      <c r="E221" s="63"/>
    </row>
    <row r="222" spans="1:9" x14ac:dyDescent="0.25">
      <c r="A222" s="3">
        <v>321911</v>
      </c>
      <c r="B222" s="3" t="s">
        <v>2748</v>
      </c>
      <c r="C222" s="3">
        <v>321911</v>
      </c>
      <c r="D222" s="3" t="s">
        <v>2748</v>
      </c>
      <c r="E222" s="63"/>
    </row>
    <row r="223" spans="1:9" ht="25.5" x14ac:dyDescent="0.25">
      <c r="A223" s="3">
        <v>321912</v>
      </c>
      <c r="B223" s="3" t="s">
        <v>2749</v>
      </c>
      <c r="C223" s="3">
        <v>321912</v>
      </c>
      <c r="D223" s="3" t="s">
        <v>2749</v>
      </c>
      <c r="E223" s="63"/>
    </row>
    <row r="224" spans="1:9" x14ac:dyDescent="0.25">
      <c r="A224" s="3">
        <v>321918</v>
      </c>
      <c r="B224" s="3" t="s">
        <v>2750</v>
      </c>
      <c r="C224" s="3">
        <v>321918</v>
      </c>
      <c r="D224" s="3" t="s">
        <v>2750</v>
      </c>
      <c r="E224" s="63"/>
    </row>
    <row r="225" spans="1:8" ht="25.5" x14ac:dyDescent="0.25">
      <c r="A225" s="3">
        <v>321920</v>
      </c>
      <c r="B225" s="3" t="s">
        <v>2751</v>
      </c>
      <c r="C225" s="3">
        <v>321920</v>
      </c>
      <c r="D225" s="3" t="s">
        <v>2751</v>
      </c>
      <c r="E225" s="63"/>
    </row>
    <row r="226" spans="1:8" ht="25.5" x14ac:dyDescent="0.25">
      <c r="A226" s="3">
        <v>321991</v>
      </c>
      <c r="B226" s="3" t="s">
        <v>2752</v>
      </c>
      <c r="C226" s="3">
        <v>321991</v>
      </c>
      <c r="D226" s="3" t="s">
        <v>2752</v>
      </c>
      <c r="E226" s="63"/>
    </row>
    <row r="227" spans="1:8" ht="25.5" x14ac:dyDescent="0.25">
      <c r="A227" s="3">
        <v>321992</v>
      </c>
      <c r="B227" s="3" t="s">
        <v>2753</v>
      </c>
      <c r="C227" s="3">
        <v>321992</v>
      </c>
      <c r="D227" s="3" t="s">
        <v>2753</v>
      </c>
      <c r="E227" s="63"/>
      <c r="H227" s="28" t="s">
        <v>2</v>
      </c>
    </row>
    <row r="228" spans="1:8" ht="25.5" x14ac:dyDescent="0.25">
      <c r="A228" s="3">
        <v>321999</v>
      </c>
      <c r="B228" s="3" t="s">
        <v>2754</v>
      </c>
      <c r="C228" s="3">
        <v>321999</v>
      </c>
      <c r="D228" s="3" t="s">
        <v>2754</v>
      </c>
      <c r="E228" s="63"/>
    </row>
    <row r="229" spans="1:8" x14ac:dyDescent="0.25">
      <c r="A229" s="3">
        <v>322110</v>
      </c>
      <c r="B229" s="3" t="s">
        <v>2755</v>
      </c>
      <c r="C229" s="3">
        <v>322110</v>
      </c>
      <c r="D229" s="3" t="s">
        <v>2755</v>
      </c>
      <c r="E229" s="63"/>
    </row>
    <row r="230" spans="1:8" x14ac:dyDescent="0.25">
      <c r="A230" s="3">
        <v>322121</v>
      </c>
      <c r="B230" s="3" t="s">
        <v>2756</v>
      </c>
      <c r="C230" s="4">
        <v>322120</v>
      </c>
      <c r="D230" s="3" t="s">
        <v>2757</v>
      </c>
      <c r="E230" s="102"/>
    </row>
    <row r="231" spans="1:8" x14ac:dyDescent="0.25">
      <c r="A231" s="3">
        <v>322122</v>
      </c>
      <c r="B231" s="3" t="s">
        <v>2758</v>
      </c>
      <c r="C231" s="4">
        <v>322120</v>
      </c>
      <c r="D231" s="3" t="s">
        <v>2757</v>
      </c>
      <c r="E231" s="102"/>
    </row>
    <row r="232" spans="1:8" x14ac:dyDescent="0.25">
      <c r="A232" s="3">
        <v>322130</v>
      </c>
      <c r="B232" s="3" t="s">
        <v>2759</v>
      </c>
      <c r="C232" s="3">
        <v>322130</v>
      </c>
      <c r="D232" s="3" t="s">
        <v>2759</v>
      </c>
      <c r="E232" s="63"/>
    </row>
    <row r="233" spans="1:8" ht="25.5" x14ac:dyDescent="0.25">
      <c r="A233" s="3">
        <v>322211</v>
      </c>
      <c r="B233" s="3" t="s">
        <v>2760</v>
      </c>
      <c r="C233" s="3">
        <v>322211</v>
      </c>
      <c r="D233" s="3" t="s">
        <v>2760</v>
      </c>
      <c r="E233" s="63"/>
    </row>
    <row r="234" spans="1:8" x14ac:dyDescent="0.25">
      <c r="A234" s="3">
        <v>322212</v>
      </c>
      <c r="B234" s="3" t="s">
        <v>2761</v>
      </c>
      <c r="C234" s="3">
        <v>322212</v>
      </c>
      <c r="D234" s="3" t="s">
        <v>2761</v>
      </c>
      <c r="E234" s="63"/>
    </row>
    <row r="235" spans="1:8" ht="25.5" x14ac:dyDescent="0.25">
      <c r="A235" s="44">
        <v>322219</v>
      </c>
      <c r="B235" s="44" t="s">
        <v>2762</v>
      </c>
      <c r="C235" s="44">
        <v>322219</v>
      </c>
      <c r="D235" s="44" t="s">
        <v>2762</v>
      </c>
      <c r="E235" s="111"/>
    </row>
    <row r="236" spans="1:8" ht="25.5" x14ac:dyDescent="0.25">
      <c r="A236" s="44">
        <v>322220</v>
      </c>
      <c r="B236" s="44" t="s">
        <v>2763</v>
      </c>
      <c r="C236" s="44">
        <v>322220</v>
      </c>
      <c r="D236" s="44" t="s">
        <v>2763</v>
      </c>
      <c r="E236" s="111"/>
    </row>
    <row r="237" spans="1:8" x14ac:dyDescent="0.25">
      <c r="A237" s="44">
        <v>322230</v>
      </c>
      <c r="B237" s="44" t="s">
        <v>2764</v>
      </c>
      <c r="C237" s="44">
        <v>322230</v>
      </c>
      <c r="D237" s="44" t="s">
        <v>2764</v>
      </c>
      <c r="E237" s="111"/>
    </row>
    <row r="238" spans="1:8" x14ac:dyDescent="0.25">
      <c r="A238" s="3">
        <v>322291</v>
      </c>
      <c r="B238" s="3" t="s">
        <v>2765</v>
      </c>
      <c r="C238" s="3">
        <v>322291</v>
      </c>
      <c r="D238" s="3" t="s">
        <v>2765</v>
      </c>
      <c r="E238" s="63"/>
    </row>
    <row r="239" spans="1:8" ht="25.5" x14ac:dyDescent="0.25">
      <c r="A239" s="3">
        <v>322299</v>
      </c>
      <c r="B239" s="3" t="s">
        <v>2766</v>
      </c>
      <c r="C239" s="3">
        <v>322299</v>
      </c>
      <c r="D239" s="3" t="s">
        <v>2766</v>
      </c>
      <c r="E239" s="63"/>
      <c r="F239" s="28" t="s">
        <v>2</v>
      </c>
    </row>
    <row r="240" spans="1:8" ht="25.5" x14ac:dyDescent="0.25">
      <c r="A240" s="45">
        <v>323111</v>
      </c>
      <c r="B240" s="45" t="s">
        <v>2767</v>
      </c>
      <c r="C240" s="45">
        <v>323111</v>
      </c>
      <c r="D240" s="45" t="s">
        <v>2767</v>
      </c>
      <c r="E240" s="112"/>
    </row>
    <row r="241" spans="1:4" x14ac:dyDescent="0.25">
      <c r="A241" s="3">
        <v>323113</v>
      </c>
      <c r="B241" s="3" t="s">
        <v>2768</v>
      </c>
      <c r="C241" s="3">
        <v>323113</v>
      </c>
      <c r="D241" s="3" t="s">
        <v>2768</v>
      </c>
    </row>
    <row r="242" spans="1:4" x14ac:dyDescent="0.25">
      <c r="A242" s="3">
        <v>323117</v>
      </c>
      <c r="B242" s="3" t="s">
        <v>2769</v>
      </c>
      <c r="C242" s="3">
        <v>323117</v>
      </c>
      <c r="D242" s="3" t="s">
        <v>2769</v>
      </c>
    </row>
    <row r="243" spans="1:4" x14ac:dyDescent="0.25">
      <c r="A243" s="46">
        <v>323120</v>
      </c>
      <c r="B243" s="46" t="s">
        <v>4133</v>
      </c>
      <c r="C243" s="46">
        <v>323120</v>
      </c>
      <c r="D243" s="46" t="s">
        <v>4133</v>
      </c>
    </row>
    <row r="244" spans="1:4" x14ac:dyDescent="0.25">
      <c r="A244" s="3">
        <v>324110</v>
      </c>
      <c r="B244" s="3" t="s">
        <v>2770</v>
      </c>
      <c r="C244" s="3">
        <v>324110</v>
      </c>
      <c r="D244" s="3" t="s">
        <v>2770</v>
      </c>
    </row>
    <row r="245" spans="1:4" ht="25.5" x14ac:dyDescent="0.25">
      <c r="A245" s="3">
        <v>324121</v>
      </c>
      <c r="B245" s="3" t="s">
        <v>2771</v>
      </c>
      <c r="C245" s="3">
        <v>324121</v>
      </c>
      <c r="D245" s="3" t="s">
        <v>2771</v>
      </c>
    </row>
    <row r="246" spans="1:4" ht="25.5" x14ac:dyDescent="0.25">
      <c r="A246" s="3">
        <v>324122</v>
      </c>
      <c r="B246" s="3" t="s">
        <v>2772</v>
      </c>
      <c r="C246" s="3">
        <v>324122</v>
      </c>
      <c r="D246" s="3" t="s">
        <v>2772</v>
      </c>
    </row>
    <row r="247" spans="1:4" ht="25.5" x14ac:dyDescent="0.25">
      <c r="A247" s="3">
        <v>324191</v>
      </c>
      <c r="B247" s="3" t="s">
        <v>2773</v>
      </c>
      <c r="C247" s="3">
        <v>324191</v>
      </c>
      <c r="D247" s="3" t="s">
        <v>2773</v>
      </c>
    </row>
    <row r="248" spans="1:4" ht="25.5" x14ac:dyDescent="0.25">
      <c r="A248" s="3">
        <v>324199</v>
      </c>
      <c r="B248" s="3" t="s">
        <v>2774</v>
      </c>
      <c r="C248" s="3">
        <v>324199</v>
      </c>
      <c r="D248" s="3" t="s">
        <v>2774</v>
      </c>
    </row>
    <row r="249" spans="1:4" x14ac:dyDescent="0.25">
      <c r="A249" s="3">
        <v>325110</v>
      </c>
      <c r="B249" s="3" t="s">
        <v>2775</v>
      </c>
      <c r="C249" s="3">
        <v>325110</v>
      </c>
      <c r="D249" s="3" t="s">
        <v>2775</v>
      </c>
    </row>
    <row r="250" spans="1:4" x14ac:dyDescent="0.25">
      <c r="A250" s="3">
        <v>325120</v>
      </c>
      <c r="B250" s="3" t="s">
        <v>2776</v>
      </c>
      <c r="C250" s="3">
        <v>325120</v>
      </c>
      <c r="D250" s="3" t="s">
        <v>2776</v>
      </c>
    </row>
    <row r="251" spans="1:4" ht="17.25" customHeight="1" x14ac:dyDescent="0.25">
      <c r="A251" s="47">
        <v>325130</v>
      </c>
      <c r="B251" s="47" t="s">
        <v>2777</v>
      </c>
      <c r="C251" s="47">
        <v>325130</v>
      </c>
      <c r="D251" s="47" t="s">
        <v>2777</v>
      </c>
    </row>
    <row r="252" spans="1:4" ht="25.5" x14ac:dyDescent="0.25">
      <c r="A252" s="47">
        <v>325180</v>
      </c>
      <c r="B252" s="47" t="s">
        <v>1173</v>
      </c>
      <c r="C252" s="47">
        <v>325180</v>
      </c>
      <c r="D252" s="47" t="s">
        <v>1173</v>
      </c>
    </row>
    <row r="253" spans="1:4" x14ac:dyDescent="0.25">
      <c r="A253" s="3">
        <v>325193</v>
      </c>
      <c r="B253" s="3" t="s">
        <v>2778</v>
      </c>
      <c r="C253" s="3">
        <v>325193</v>
      </c>
      <c r="D253" s="3" t="s">
        <v>2778</v>
      </c>
    </row>
    <row r="254" spans="1:4" ht="25.5" x14ac:dyDescent="0.25">
      <c r="A254" s="47">
        <v>325194</v>
      </c>
      <c r="B254" s="47" t="s">
        <v>2779</v>
      </c>
      <c r="C254" s="47">
        <v>325194</v>
      </c>
      <c r="D254" s="47" t="s">
        <v>2779</v>
      </c>
    </row>
    <row r="255" spans="1:4" ht="25.5" x14ac:dyDescent="0.25">
      <c r="A255" s="3">
        <v>325199</v>
      </c>
      <c r="B255" s="3" t="s">
        <v>1171</v>
      </c>
      <c r="C255" s="3">
        <v>325199</v>
      </c>
      <c r="D255" s="3" t="s">
        <v>1171</v>
      </c>
    </row>
    <row r="256" spans="1:4" ht="15" customHeight="1" x14ac:dyDescent="0.25">
      <c r="A256" s="3">
        <v>325211</v>
      </c>
      <c r="B256" s="3" t="s">
        <v>1180</v>
      </c>
      <c r="C256" s="3">
        <v>325211</v>
      </c>
      <c r="D256" s="3" t="s">
        <v>1180</v>
      </c>
    </row>
    <row r="257" spans="1:4" x14ac:dyDescent="0.25">
      <c r="A257" s="3">
        <v>325212</v>
      </c>
      <c r="B257" s="3" t="s">
        <v>2780</v>
      </c>
      <c r="C257" s="3">
        <v>325212</v>
      </c>
      <c r="D257" s="3" t="s">
        <v>2780</v>
      </c>
    </row>
    <row r="258" spans="1:4" ht="25.5" x14ac:dyDescent="0.25">
      <c r="A258" s="48">
        <v>325220</v>
      </c>
      <c r="B258" s="48" t="s">
        <v>2781</v>
      </c>
      <c r="C258" s="48">
        <v>325220</v>
      </c>
      <c r="D258" s="48" t="s">
        <v>2781</v>
      </c>
    </row>
    <row r="259" spans="1:4" ht="12.75" customHeight="1" x14ac:dyDescent="0.25">
      <c r="A259" s="3">
        <v>325311</v>
      </c>
      <c r="B259" s="3" t="s">
        <v>2782</v>
      </c>
      <c r="C259" s="3">
        <v>325311</v>
      </c>
      <c r="D259" s="3" t="s">
        <v>2782</v>
      </c>
    </row>
    <row r="260" spans="1:4" x14ac:dyDescent="0.25">
      <c r="A260" s="3">
        <v>325312</v>
      </c>
      <c r="B260" s="3" t="s">
        <v>2783</v>
      </c>
      <c r="C260" s="3">
        <v>325312</v>
      </c>
      <c r="D260" s="3" t="s">
        <v>2783</v>
      </c>
    </row>
    <row r="261" spans="1:4" ht="25.5" x14ac:dyDescent="0.25">
      <c r="A261" s="5">
        <v>325314</v>
      </c>
      <c r="B261" s="3" t="s">
        <v>2784</v>
      </c>
      <c r="C261" s="3">
        <v>325314</v>
      </c>
      <c r="D261" s="3" t="s">
        <v>2785</v>
      </c>
    </row>
    <row r="262" spans="1:4" ht="25.5" x14ac:dyDescent="0.25">
      <c r="A262" s="5">
        <v>325314</v>
      </c>
      <c r="B262" s="3" t="s">
        <v>2786</v>
      </c>
      <c r="C262" s="3">
        <v>325315</v>
      </c>
      <c r="D262" s="3" t="s">
        <v>2787</v>
      </c>
    </row>
    <row r="263" spans="1:4" ht="25.5" x14ac:dyDescent="0.25">
      <c r="A263" s="3">
        <v>325320</v>
      </c>
      <c r="B263" s="3" t="s">
        <v>2788</v>
      </c>
      <c r="C263" s="3">
        <v>325320</v>
      </c>
      <c r="D263" s="3" t="s">
        <v>2788</v>
      </c>
    </row>
    <row r="264" spans="1:4" x14ac:dyDescent="0.25">
      <c r="A264" s="3">
        <v>325411</v>
      </c>
      <c r="B264" s="3" t="s">
        <v>2789</v>
      </c>
      <c r="C264" s="3">
        <v>325411</v>
      </c>
      <c r="D264" s="3" t="s">
        <v>2789</v>
      </c>
    </row>
    <row r="265" spans="1:4" ht="25.5" x14ac:dyDescent="0.25">
      <c r="A265" s="3">
        <v>325412</v>
      </c>
      <c r="B265" s="3" t="s">
        <v>2790</v>
      </c>
      <c r="C265" s="3">
        <v>325412</v>
      </c>
      <c r="D265" s="3" t="s">
        <v>2790</v>
      </c>
    </row>
    <row r="266" spans="1:4" ht="25.5" x14ac:dyDescent="0.25">
      <c r="A266" s="3">
        <v>325413</v>
      </c>
      <c r="B266" s="3" t="s">
        <v>2791</v>
      </c>
      <c r="C266" s="3">
        <v>325413</v>
      </c>
      <c r="D266" s="3" t="s">
        <v>2791</v>
      </c>
    </row>
    <row r="267" spans="1:4" ht="25.5" x14ac:dyDescent="0.25">
      <c r="A267" s="3">
        <v>325414</v>
      </c>
      <c r="B267" s="3" t="s">
        <v>2792</v>
      </c>
      <c r="C267" s="3">
        <v>325414</v>
      </c>
      <c r="D267" s="3" t="s">
        <v>2792</v>
      </c>
    </row>
    <row r="268" spans="1:4" x14ac:dyDescent="0.25">
      <c r="A268" s="3">
        <v>325510</v>
      </c>
      <c r="B268" s="3" t="s">
        <v>2793</v>
      </c>
      <c r="C268" s="3">
        <v>325510</v>
      </c>
      <c r="D268" s="3" t="s">
        <v>2793</v>
      </c>
    </row>
    <row r="269" spans="1:4" x14ac:dyDescent="0.25">
      <c r="A269" s="3">
        <v>325520</v>
      </c>
      <c r="B269" s="3" t="s">
        <v>2794</v>
      </c>
      <c r="C269" s="3">
        <v>325520</v>
      </c>
      <c r="D269" s="3" t="s">
        <v>2794</v>
      </c>
    </row>
    <row r="270" spans="1:4" x14ac:dyDescent="0.25">
      <c r="A270" s="3">
        <v>325611</v>
      </c>
      <c r="B270" s="3" t="s">
        <v>2795</v>
      </c>
      <c r="C270" s="3">
        <v>325611</v>
      </c>
      <c r="D270" s="3" t="s">
        <v>2795</v>
      </c>
    </row>
    <row r="271" spans="1:4" ht="25.5" x14ac:dyDescent="0.25">
      <c r="A271" s="3">
        <v>325612</v>
      </c>
      <c r="B271" s="3" t="s">
        <v>2796</v>
      </c>
      <c r="C271" s="3">
        <v>325612</v>
      </c>
      <c r="D271" s="3" t="s">
        <v>2796</v>
      </c>
    </row>
    <row r="272" spans="1:4" x14ac:dyDescent="0.25">
      <c r="A272" s="3">
        <v>325613</v>
      </c>
      <c r="B272" s="3" t="s">
        <v>2797</v>
      </c>
      <c r="C272" s="3">
        <v>325613</v>
      </c>
      <c r="D272" s="3" t="s">
        <v>2797</v>
      </c>
    </row>
    <row r="273" spans="1:8" x14ac:dyDescent="0.25">
      <c r="A273" s="3">
        <v>325620</v>
      </c>
      <c r="B273" s="3" t="s">
        <v>2798</v>
      </c>
      <c r="C273" s="3">
        <v>325620</v>
      </c>
      <c r="D273" s="3" t="s">
        <v>2798</v>
      </c>
      <c r="E273" s="63"/>
      <c r="H273" s="28" t="s">
        <v>2</v>
      </c>
    </row>
    <row r="274" spans="1:8" x14ac:dyDescent="0.25">
      <c r="A274" s="3">
        <v>325910</v>
      </c>
      <c r="B274" s="3" t="s">
        <v>2799</v>
      </c>
      <c r="C274" s="3">
        <v>325910</v>
      </c>
      <c r="D274" s="3" t="s">
        <v>2799</v>
      </c>
      <c r="E274" s="63"/>
    </row>
    <row r="275" spans="1:8" x14ac:dyDescent="0.25">
      <c r="A275" s="3">
        <v>325920</v>
      </c>
      <c r="B275" s="3" t="s">
        <v>2800</v>
      </c>
      <c r="C275" s="3">
        <v>325920</v>
      </c>
      <c r="D275" s="3" t="s">
        <v>2800</v>
      </c>
      <c r="E275" s="63"/>
    </row>
    <row r="276" spans="1:8" ht="25.5" x14ac:dyDescent="0.25">
      <c r="A276" s="3">
        <v>325991</v>
      </c>
      <c r="B276" s="3" t="s">
        <v>2801</v>
      </c>
      <c r="C276" s="3">
        <v>325991</v>
      </c>
      <c r="D276" s="3" t="s">
        <v>2801</v>
      </c>
      <c r="E276" s="63"/>
    </row>
    <row r="277" spans="1:8" ht="38.25" x14ac:dyDescent="0.25">
      <c r="A277" s="3">
        <v>325992</v>
      </c>
      <c r="B277" s="3" t="s">
        <v>2802</v>
      </c>
      <c r="C277" s="3">
        <v>325992</v>
      </c>
      <c r="D277" s="3" t="s">
        <v>2803</v>
      </c>
      <c r="E277" s="63"/>
      <c r="G277" s="28" t="s">
        <v>2</v>
      </c>
    </row>
    <row r="278" spans="1:8" ht="25.5" x14ac:dyDescent="0.25">
      <c r="A278" s="3">
        <v>325998</v>
      </c>
      <c r="B278" s="3" t="s">
        <v>1176</v>
      </c>
      <c r="C278" s="3">
        <v>325998</v>
      </c>
      <c r="D278" s="3" t="s">
        <v>1176</v>
      </c>
      <c r="E278" s="63"/>
    </row>
    <row r="279" spans="1:8" x14ac:dyDescent="0.25">
      <c r="A279" s="3">
        <v>326111</v>
      </c>
      <c r="B279" s="3" t="s">
        <v>2804</v>
      </c>
      <c r="C279" s="3">
        <v>326111</v>
      </c>
      <c r="D279" s="3" t="s">
        <v>2804</v>
      </c>
      <c r="E279" s="63"/>
    </row>
    <row r="280" spans="1:8" ht="25.5" x14ac:dyDescent="0.25">
      <c r="A280" s="3">
        <v>326112</v>
      </c>
      <c r="B280" s="3" t="s">
        <v>2805</v>
      </c>
      <c r="C280" s="3">
        <v>326112</v>
      </c>
      <c r="D280" s="3" t="s">
        <v>2805</v>
      </c>
      <c r="E280" s="63"/>
    </row>
    <row r="281" spans="1:8" ht="25.5" x14ac:dyDescent="0.25">
      <c r="A281" s="3">
        <v>326113</v>
      </c>
      <c r="B281" s="3" t="s">
        <v>2806</v>
      </c>
      <c r="C281" s="3">
        <v>326113</v>
      </c>
      <c r="D281" s="3" t="s">
        <v>2806</v>
      </c>
      <c r="E281" s="63"/>
    </row>
    <row r="282" spans="1:8" ht="25.5" x14ac:dyDescent="0.25">
      <c r="A282" s="3">
        <v>326121</v>
      </c>
      <c r="B282" s="3" t="s">
        <v>2807</v>
      </c>
      <c r="C282" s="3">
        <v>326121</v>
      </c>
      <c r="D282" s="3" t="s">
        <v>2807</v>
      </c>
      <c r="E282" s="63"/>
    </row>
    <row r="283" spans="1:8" ht="25.5" x14ac:dyDescent="0.25">
      <c r="A283" s="3">
        <v>326122</v>
      </c>
      <c r="B283" s="3" t="s">
        <v>2808</v>
      </c>
      <c r="C283" s="3">
        <v>326122</v>
      </c>
      <c r="D283" s="3" t="s">
        <v>2808</v>
      </c>
      <c r="E283" s="63"/>
    </row>
    <row r="284" spans="1:8" ht="25.5" x14ac:dyDescent="0.25">
      <c r="A284" s="3">
        <v>326130</v>
      </c>
      <c r="B284" s="3" t="s">
        <v>2809</v>
      </c>
      <c r="C284" s="3">
        <v>326130</v>
      </c>
      <c r="D284" s="3" t="s">
        <v>2809</v>
      </c>
      <c r="E284" s="63"/>
    </row>
    <row r="285" spans="1:8" ht="25.5" x14ac:dyDescent="0.25">
      <c r="A285" s="3">
        <v>326140</v>
      </c>
      <c r="B285" s="3" t="s">
        <v>2810</v>
      </c>
      <c r="C285" s="3">
        <v>326140</v>
      </c>
      <c r="D285" s="3" t="s">
        <v>2810</v>
      </c>
      <c r="E285" s="63"/>
    </row>
    <row r="286" spans="1:8" ht="25.5" x14ac:dyDescent="0.25">
      <c r="A286" s="3">
        <v>326150</v>
      </c>
      <c r="B286" s="3" t="s">
        <v>2811</v>
      </c>
      <c r="C286" s="3">
        <v>326150</v>
      </c>
      <c r="D286" s="3" t="s">
        <v>2811</v>
      </c>
      <c r="E286" s="63"/>
    </row>
    <row r="287" spans="1:8" x14ac:dyDescent="0.25">
      <c r="A287" s="3">
        <v>326160</v>
      </c>
      <c r="B287" s="3" t="s">
        <v>2812</v>
      </c>
      <c r="C287" s="3">
        <v>326160</v>
      </c>
      <c r="D287" s="3" t="s">
        <v>2812</v>
      </c>
      <c r="E287" s="63"/>
    </row>
    <row r="288" spans="1:8" x14ac:dyDescent="0.25">
      <c r="A288" s="3">
        <v>326191</v>
      </c>
      <c r="B288" s="3" t="s">
        <v>2813</v>
      </c>
      <c r="C288" s="3">
        <v>326191</v>
      </c>
      <c r="D288" s="3" t="s">
        <v>2813</v>
      </c>
      <c r="E288" s="63"/>
    </row>
    <row r="289" spans="1:7" x14ac:dyDescent="0.25">
      <c r="A289" s="49">
        <v>326199</v>
      </c>
      <c r="B289" s="49" t="s">
        <v>2814</v>
      </c>
      <c r="C289" s="49">
        <v>326199</v>
      </c>
      <c r="D289" s="49" t="s">
        <v>2814</v>
      </c>
      <c r="E289" s="113"/>
    </row>
    <row r="290" spans="1:7" x14ac:dyDescent="0.25">
      <c r="A290" s="3">
        <v>326211</v>
      </c>
      <c r="B290" s="3" t="s">
        <v>2815</v>
      </c>
      <c r="C290" s="3">
        <v>326211</v>
      </c>
      <c r="D290" s="3" t="s">
        <v>2815</v>
      </c>
      <c r="E290" s="63"/>
    </row>
    <row r="291" spans="1:7" x14ac:dyDescent="0.25">
      <c r="A291" s="3">
        <v>326212</v>
      </c>
      <c r="B291" s="3" t="s">
        <v>2816</v>
      </c>
      <c r="C291" s="3">
        <v>326212</v>
      </c>
      <c r="D291" s="3" t="s">
        <v>2816</v>
      </c>
      <c r="E291" s="63"/>
    </row>
    <row r="292" spans="1:7" ht="25.5" x14ac:dyDescent="0.25">
      <c r="A292" s="3">
        <v>326220</v>
      </c>
      <c r="B292" s="3" t="s">
        <v>2817</v>
      </c>
      <c r="C292" s="3">
        <v>326220</v>
      </c>
      <c r="D292" s="3" t="s">
        <v>2817</v>
      </c>
      <c r="E292" s="63"/>
    </row>
    <row r="293" spans="1:7" ht="25.5" x14ac:dyDescent="0.25">
      <c r="A293" s="3">
        <v>326291</v>
      </c>
      <c r="B293" s="3" t="s">
        <v>2818</v>
      </c>
      <c r="C293" s="3">
        <v>326291</v>
      </c>
      <c r="D293" s="3" t="s">
        <v>2818</v>
      </c>
      <c r="E293" s="63"/>
    </row>
    <row r="294" spans="1:7" x14ac:dyDescent="0.25">
      <c r="A294" s="3">
        <v>326299</v>
      </c>
      <c r="B294" s="3" t="s">
        <v>2819</v>
      </c>
      <c r="C294" s="3">
        <v>326299</v>
      </c>
      <c r="D294" s="3" t="s">
        <v>2819</v>
      </c>
      <c r="E294" s="63"/>
    </row>
    <row r="295" spans="1:7" ht="25.5" x14ac:dyDescent="0.25">
      <c r="A295" s="50">
        <v>327110</v>
      </c>
      <c r="B295" s="50" t="s">
        <v>2820</v>
      </c>
      <c r="C295" s="50">
        <v>327110</v>
      </c>
      <c r="D295" s="50" t="s">
        <v>2820</v>
      </c>
      <c r="E295" s="114"/>
    </row>
    <row r="296" spans="1:7" ht="25.5" x14ac:dyDescent="0.25">
      <c r="A296" s="50">
        <v>327120</v>
      </c>
      <c r="B296" s="50" t="s">
        <v>2821</v>
      </c>
      <c r="C296" s="50">
        <v>327120</v>
      </c>
      <c r="D296" s="50" t="s">
        <v>2821</v>
      </c>
      <c r="E296" s="114"/>
    </row>
    <row r="297" spans="1:7" x14ac:dyDescent="0.25">
      <c r="A297" s="3">
        <v>327211</v>
      </c>
      <c r="B297" s="3" t="s">
        <v>2822</v>
      </c>
      <c r="C297" s="3">
        <v>327211</v>
      </c>
      <c r="D297" s="3" t="s">
        <v>2822</v>
      </c>
      <c r="E297" s="63"/>
    </row>
    <row r="298" spans="1:7" ht="25.5" x14ac:dyDescent="0.25">
      <c r="A298" s="3">
        <v>327212</v>
      </c>
      <c r="B298" s="3" t="s">
        <v>2823</v>
      </c>
      <c r="C298" s="3">
        <v>327212</v>
      </c>
      <c r="D298" s="3" t="s">
        <v>2823</v>
      </c>
      <c r="E298" s="63"/>
    </row>
    <row r="299" spans="1:7" x14ac:dyDescent="0.25">
      <c r="A299" s="3">
        <v>327213</v>
      </c>
      <c r="B299" s="3" t="s">
        <v>2824</v>
      </c>
      <c r="C299" s="3">
        <v>327213</v>
      </c>
      <c r="D299" s="3" t="s">
        <v>2824</v>
      </c>
      <c r="E299" s="63"/>
    </row>
    <row r="300" spans="1:7" ht="25.5" x14ac:dyDescent="0.25">
      <c r="A300" s="3">
        <v>327215</v>
      </c>
      <c r="B300" s="3" t="s">
        <v>2825</v>
      </c>
      <c r="C300" s="3">
        <v>327215</v>
      </c>
      <c r="D300" s="3" t="s">
        <v>2825</v>
      </c>
      <c r="E300" s="63"/>
    </row>
    <row r="301" spans="1:7" x14ac:dyDescent="0.25">
      <c r="A301" s="3">
        <v>327310</v>
      </c>
      <c r="B301" s="3" t="s">
        <v>1324</v>
      </c>
      <c r="C301" s="3">
        <v>327310</v>
      </c>
      <c r="D301" s="3" t="s">
        <v>1324</v>
      </c>
      <c r="E301" s="63"/>
    </row>
    <row r="302" spans="1:7" x14ac:dyDescent="0.25">
      <c r="A302" s="3">
        <v>327320</v>
      </c>
      <c r="B302" s="3" t="s">
        <v>2826</v>
      </c>
      <c r="C302" s="3">
        <v>327320</v>
      </c>
      <c r="D302" s="3" t="s">
        <v>2826</v>
      </c>
      <c r="E302" s="63"/>
      <c r="G302" s="28" t="s">
        <v>2</v>
      </c>
    </row>
    <row r="303" spans="1:7" x14ac:dyDescent="0.25">
      <c r="A303" s="3">
        <v>327331</v>
      </c>
      <c r="B303" s="3" t="s">
        <v>2827</v>
      </c>
      <c r="C303" s="3">
        <v>327331</v>
      </c>
      <c r="D303" s="3" t="s">
        <v>2827</v>
      </c>
      <c r="E303" s="63"/>
    </row>
    <row r="304" spans="1:7" x14ac:dyDescent="0.25">
      <c r="A304" s="3">
        <v>327332</v>
      </c>
      <c r="B304" s="3" t="s">
        <v>2828</v>
      </c>
      <c r="C304" s="3">
        <v>327332</v>
      </c>
      <c r="D304" s="3" t="s">
        <v>2828</v>
      </c>
      <c r="E304" s="63"/>
    </row>
    <row r="305" spans="1:4" x14ac:dyDescent="0.25">
      <c r="A305" s="3">
        <v>327390</v>
      </c>
      <c r="B305" s="3" t="s">
        <v>2829</v>
      </c>
      <c r="C305" s="3">
        <v>327390</v>
      </c>
      <c r="D305" s="3" t="s">
        <v>2829</v>
      </c>
    </row>
    <row r="306" spans="1:4" x14ac:dyDescent="0.25">
      <c r="A306" s="3">
        <v>327410</v>
      </c>
      <c r="B306" s="3" t="s">
        <v>2830</v>
      </c>
      <c r="C306" s="3">
        <v>327410</v>
      </c>
      <c r="D306" s="3" t="s">
        <v>2830</v>
      </c>
    </row>
    <row r="307" spans="1:4" x14ac:dyDescent="0.25">
      <c r="A307" s="3">
        <v>327420</v>
      </c>
      <c r="B307" s="3" t="s">
        <v>2831</v>
      </c>
      <c r="C307" s="3">
        <v>327420</v>
      </c>
      <c r="D307" s="3" t="s">
        <v>2831</v>
      </c>
    </row>
    <row r="308" spans="1:4" x14ac:dyDescent="0.25">
      <c r="A308" s="3">
        <v>327910</v>
      </c>
      <c r="B308" s="3" t="s">
        <v>2832</v>
      </c>
      <c r="C308" s="3">
        <v>327910</v>
      </c>
      <c r="D308" s="3" t="s">
        <v>2832</v>
      </c>
    </row>
    <row r="309" spans="1:4" ht="25.5" x14ac:dyDescent="0.25">
      <c r="A309" s="3">
        <v>327991</v>
      </c>
      <c r="B309" s="3" t="s">
        <v>2833</v>
      </c>
      <c r="C309" s="3">
        <v>327991</v>
      </c>
      <c r="D309" s="3" t="s">
        <v>2833</v>
      </c>
    </row>
    <row r="310" spans="1:4" ht="25.5" x14ac:dyDescent="0.25">
      <c r="A310" s="3">
        <v>327992</v>
      </c>
      <c r="B310" s="3" t="s">
        <v>1373</v>
      </c>
      <c r="C310" s="3">
        <v>327992</v>
      </c>
      <c r="D310" s="3" t="s">
        <v>1373</v>
      </c>
    </row>
    <row r="311" spans="1:4" x14ac:dyDescent="0.25">
      <c r="A311" s="3">
        <v>327993</v>
      </c>
      <c r="B311" s="3" t="s">
        <v>2834</v>
      </c>
      <c r="C311" s="3">
        <v>327993</v>
      </c>
      <c r="D311" s="3" t="s">
        <v>2834</v>
      </c>
    </row>
    <row r="312" spans="1:4" ht="25.5" x14ac:dyDescent="0.25">
      <c r="A312" s="3">
        <v>327999</v>
      </c>
      <c r="B312" s="3" t="s">
        <v>2835</v>
      </c>
      <c r="C312" s="3">
        <v>327999</v>
      </c>
      <c r="D312" s="3" t="s">
        <v>2835</v>
      </c>
    </row>
    <row r="313" spans="1:4" ht="25.5" x14ac:dyDescent="0.25">
      <c r="A313" s="51">
        <v>331110</v>
      </c>
      <c r="B313" s="51" t="s">
        <v>2836</v>
      </c>
      <c r="C313" s="51">
        <v>331110</v>
      </c>
      <c r="D313" s="51" t="s">
        <v>2836</v>
      </c>
    </row>
    <row r="314" spans="1:4" ht="25.5" x14ac:dyDescent="0.25">
      <c r="A314" s="3">
        <v>331210</v>
      </c>
      <c r="B314" s="3" t="s">
        <v>2837</v>
      </c>
      <c r="C314" s="3">
        <v>331210</v>
      </c>
      <c r="D314" s="3" t="s">
        <v>2837</v>
      </c>
    </row>
    <row r="315" spans="1:4" x14ac:dyDescent="0.25">
      <c r="A315" s="3">
        <v>331221</v>
      </c>
      <c r="B315" s="3" t="s">
        <v>2838</v>
      </c>
      <c r="C315" s="3">
        <v>331221</v>
      </c>
      <c r="D315" s="3" t="s">
        <v>2838</v>
      </c>
    </row>
    <row r="316" spans="1:4" x14ac:dyDescent="0.25">
      <c r="A316" s="3">
        <v>331222</v>
      </c>
      <c r="B316" s="3" t="s">
        <v>2839</v>
      </c>
      <c r="C316" s="3">
        <v>331222</v>
      </c>
      <c r="D316" s="3" t="s">
        <v>2839</v>
      </c>
    </row>
    <row r="317" spans="1:4" ht="25.5" x14ac:dyDescent="0.25">
      <c r="A317" s="52">
        <v>331313</v>
      </c>
      <c r="B317" s="52" t="s">
        <v>2840</v>
      </c>
      <c r="C317" s="52">
        <v>331313</v>
      </c>
      <c r="D317" s="52" t="s">
        <v>2840</v>
      </c>
    </row>
    <row r="318" spans="1:4" ht="25.5" x14ac:dyDescent="0.25">
      <c r="A318" s="3">
        <v>331314</v>
      </c>
      <c r="B318" s="3" t="s">
        <v>2841</v>
      </c>
      <c r="C318" s="3">
        <v>331314</v>
      </c>
      <c r="D318" s="3" t="s">
        <v>2841</v>
      </c>
    </row>
    <row r="319" spans="1:4" ht="25.5" x14ac:dyDescent="0.25">
      <c r="A319" s="3">
        <v>331315</v>
      </c>
      <c r="B319" s="3" t="s">
        <v>2842</v>
      </c>
      <c r="C319" s="3">
        <v>331315</v>
      </c>
      <c r="D319" s="3" t="s">
        <v>2842</v>
      </c>
    </row>
    <row r="320" spans="1:4" ht="25.5" x14ac:dyDescent="0.25">
      <c r="A320" s="53">
        <v>331318</v>
      </c>
      <c r="B320" s="53" t="s">
        <v>2843</v>
      </c>
      <c r="C320" s="53">
        <v>331318</v>
      </c>
      <c r="D320" s="53" t="s">
        <v>2843</v>
      </c>
    </row>
    <row r="321" spans="1:7" ht="25.5" x14ac:dyDescent="0.25">
      <c r="A321" s="53">
        <v>331410</v>
      </c>
      <c r="B321" s="53" t="s">
        <v>2844</v>
      </c>
      <c r="C321" s="53">
        <v>331410</v>
      </c>
      <c r="D321" s="53" t="s">
        <v>2844</v>
      </c>
      <c r="E321" s="115"/>
    </row>
    <row r="322" spans="1:7" ht="25.5" x14ac:dyDescent="0.25">
      <c r="A322" s="53">
        <v>331420</v>
      </c>
      <c r="B322" s="53" t="s">
        <v>2845</v>
      </c>
      <c r="C322" s="53">
        <v>331420</v>
      </c>
      <c r="D322" s="53" t="s">
        <v>2845</v>
      </c>
      <c r="E322" s="115"/>
      <c r="G322" s="28" t="s">
        <v>2</v>
      </c>
    </row>
    <row r="323" spans="1:7" ht="38.25" x14ac:dyDescent="0.25">
      <c r="A323" s="3">
        <v>331491</v>
      </c>
      <c r="B323" s="3" t="s">
        <v>2846</v>
      </c>
      <c r="C323" s="3">
        <v>331491</v>
      </c>
      <c r="D323" s="3" t="s">
        <v>2846</v>
      </c>
      <c r="E323" s="63"/>
    </row>
    <row r="324" spans="1:7" ht="38.25" x14ac:dyDescent="0.25">
      <c r="A324" s="3">
        <v>331492</v>
      </c>
      <c r="B324" s="3" t="s">
        <v>2847</v>
      </c>
      <c r="C324" s="3">
        <v>331492</v>
      </c>
      <c r="D324" s="3" t="s">
        <v>2847</v>
      </c>
      <c r="E324" s="63"/>
    </row>
    <row r="325" spans="1:7" x14ac:dyDescent="0.25">
      <c r="A325" s="3">
        <v>331511</v>
      </c>
      <c r="B325" s="3" t="s">
        <v>2848</v>
      </c>
      <c r="C325" s="3">
        <v>331511</v>
      </c>
      <c r="D325" s="3" t="s">
        <v>2848</v>
      </c>
      <c r="E325" s="63"/>
    </row>
    <row r="326" spans="1:7" x14ac:dyDescent="0.25">
      <c r="A326" s="3">
        <v>331512</v>
      </c>
      <c r="B326" s="3" t="s">
        <v>2849</v>
      </c>
      <c r="C326" s="3">
        <v>331512</v>
      </c>
      <c r="D326" s="3" t="s">
        <v>2849</v>
      </c>
      <c r="E326" s="63"/>
    </row>
    <row r="327" spans="1:7" x14ac:dyDescent="0.25">
      <c r="A327" s="3">
        <v>331513</v>
      </c>
      <c r="B327" s="3" t="s">
        <v>2850</v>
      </c>
      <c r="C327" s="3">
        <v>331513</v>
      </c>
      <c r="D327" s="3" t="s">
        <v>2850</v>
      </c>
      <c r="E327" s="63"/>
    </row>
    <row r="328" spans="1:7" x14ac:dyDescent="0.25">
      <c r="A328" s="54">
        <v>331523</v>
      </c>
      <c r="B328" s="54" t="s">
        <v>2851</v>
      </c>
      <c r="C328" s="54">
        <v>331523</v>
      </c>
      <c r="D328" s="54" t="s">
        <v>2851</v>
      </c>
      <c r="E328" s="116"/>
    </row>
    <row r="329" spans="1:7" ht="25.5" x14ac:dyDescent="0.25">
      <c r="A329" s="3">
        <v>331524</v>
      </c>
      <c r="B329" s="3" t="s">
        <v>2852</v>
      </c>
      <c r="C329" s="3">
        <v>331524</v>
      </c>
      <c r="D329" s="3" t="s">
        <v>2852</v>
      </c>
      <c r="E329" s="63"/>
    </row>
    <row r="330" spans="1:7" ht="25.5" x14ac:dyDescent="0.25">
      <c r="A330" s="55">
        <v>331529</v>
      </c>
      <c r="B330" s="55" t="s">
        <v>2853</v>
      </c>
      <c r="C330" s="55">
        <v>331529</v>
      </c>
      <c r="D330" s="55" t="s">
        <v>2853</v>
      </c>
      <c r="E330" s="117"/>
    </row>
    <row r="331" spans="1:7" x14ac:dyDescent="0.25">
      <c r="A331" s="3">
        <v>332111</v>
      </c>
      <c r="B331" s="3" t="s">
        <v>2854</v>
      </c>
      <c r="C331" s="3">
        <v>332111</v>
      </c>
      <c r="D331" s="3" t="s">
        <v>2854</v>
      </c>
      <c r="E331" s="63"/>
    </row>
    <row r="332" spans="1:7" x14ac:dyDescent="0.25">
      <c r="A332" s="3">
        <v>332112</v>
      </c>
      <c r="B332" s="3" t="s">
        <v>2855</v>
      </c>
      <c r="C332" s="3">
        <v>332112</v>
      </c>
      <c r="D332" s="3" t="s">
        <v>2855</v>
      </c>
      <c r="E332" s="63"/>
    </row>
    <row r="333" spans="1:7" x14ac:dyDescent="0.25">
      <c r="A333" s="3">
        <v>332114</v>
      </c>
      <c r="B333" s="3" t="s">
        <v>2856</v>
      </c>
      <c r="C333" s="3">
        <v>332114</v>
      </c>
      <c r="D333" s="3" t="s">
        <v>2856</v>
      </c>
      <c r="E333" s="63"/>
    </row>
    <row r="334" spans="1:7" x14ac:dyDescent="0.25">
      <c r="A334" s="3">
        <v>332117</v>
      </c>
      <c r="B334" s="3" t="s">
        <v>2857</v>
      </c>
      <c r="C334" s="3">
        <v>332117</v>
      </c>
      <c r="D334" s="3" t="s">
        <v>2857</v>
      </c>
      <c r="E334" s="63"/>
    </row>
    <row r="335" spans="1:7" ht="25.5" x14ac:dyDescent="0.25">
      <c r="A335" s="56">
        <v>332119</v>
      </c>
      <c r="B335" s="56" t="s">
        <v>2858</v>
      </c>
      <c r="C335" s="56">
        <v>332119</v>
      </c>
      <c r="D335" s="56" t="s">
        <v>2858</v>
      </c>
      <c r="E335" s="118"/>
    </row>
    <row r="336" spans="1:7" ht="38.25" x14ac:dyDescent="0.25">
      <c r="A336" s="57">
        <v>332215</v>
      </c>
      <c r="B336" s="57" t="s">
        <v>2859</v>
      </c>
      <c r="C336" s="57">
        <v>332215</v>
      </c>
      <c r="D336" s="57" t="s">
        <v>2859</v>
      </c>
      <c r="E336" s="119"/>
    </row>
    <row r="337" spans="1:8" x14ac:dyDescent="0.25">
      <c r="A337" s="57">
        <v>332216</v>
      </c>
      <c r="B337" s="57" t="s">
        <v>2860</v>
      </c>
      <c r="C337" s="57">
        <v>332216</v>
      </c>
      <c r="D337" s="57" t="s">
        <v>2860</v>
      </c>
      <c r="E337" s="119"/>
    </row>
    <row r="338" spans="1:8" ht="25.5" x14ac:dyDescent="0.25">
      <c r="A338" s="3">
        <v>332311</v>
      </c>
      <c r="B338" s="3" t="s">
        <v>2861</v>
      </c>
      <c r="C338" s="3">
        <v>332311</v>
      </c>
      <c r="D338" s="3" t="s">
        <v>2861</v>
      </c>
      <c r="E338" s="63"/>
    </row>
    <row r="339" spans="1:8" ht="25.5" x14ac:dyDescent="0.25">
      <c r="A339" s="3">
        <v>332312</v>
      </c>
      <c r="B339" s="3" t="s">
        <v>2862</v>
      </c>
      <c r="C339" s="3">
        <v>332312</v>
      </c>
      <c r="D339" s="3" t="s">
        <v>2862</v>
      </c>
      <c r="E339" s="63"/>
    </row>
    <row r="340" spans="1:8" x14ac:dyDescent="0.25">
      <c r="A340" s="3">
        <v>332313</v>
      </c>
      <c r="B340" s="3" t="s">
        <v>2863</v>
      </c>
      <c r="C340" s="3">
        <v>332313</v>
      </c>
      <c r="D340" s="3" t="s">
        <v>2863</v>
      </c>
      <c r="E340" s="63"/>
    </row>
    <row r="341" spans="1:8" x14ac:dyDescent="0.25">
      <c r="A341" s="3">
        <v>332321</v>
      </c>
      <c r="B341" s="3" t="s">
        <v>2864</v>
      </c>
      <c r="C341" s="3">
        <v>332321</v>
      </c>
      <c r="D341" s="3" t="s">
        <v>2864</v>
      </c>
      <c r="E341" s="63"/>
    </row>
    <row r="342" spans="1:8" x14ac:dyDescent="0.25">
      <c r="A342" s="3">
        <v>332322</v>
      </c>
      <c r="B342" s="3" t="s">
        <v>2865</v>
      </c>
      <c r="C342" s="3">
        <v>332322</v>
      </c>
      <c r="D342" s="3" t="s">
        <v>2865</v>
      </c>
      <c r="E342" s="63"/>
      <c r="H342" s="28" t="s">
        <v>2</v>
      </c>
    </row>
    <row r="343" spans="1:8" ht="25.5" x14ac:dyDescent="0.25">
      <c r="A343" s="3">
        <v>332323</v>
      </c>
      <c r="B343" s="3" t="s">
        <v>2866</v>
      </c>
      <c r="C343" s="3">
        <v>332323</v>
      </c>
      <c r="D343" s="3" t="s">
        <v>2866</v>
      </c>
      <c r="E343" s="63"/>
    </row>
    <row r="344" spans="1:8" ht="25.5" x14ac:dyDescent="0.25">
      <c r="A344" s="3">
        <v>332410</v>
      </c>
      <c r="B344" s="3" t="s">
        <v>2867</v>
      </c>
      <c r="C344" s="3">
        <v>332410</v>
      </c>
      <c r="D344" s="3" t="s">
        <v>2867</v>
      </c>
      <c r="E344" s="63"/>
    </row>
    <row r="345" spans="1:8" ht="25.5" x14ac:dyDescent="0.25">
      <c r="A345" s="3">
        <v>332420</v>
      </c>
      <c r="B345" s="3" t="s">
        <v>2868</v>
      </c>
      <c r="C345" s="3">
        <v>332420</v>
      </c>
      <c r="D345" s="3" t="s">
        <v>2868</v>
      </c>
      <c r="E345" s="63"/>
    </row>
    <row r="346" spans="1:8" x14ac:dyDescent="0.25">
      <c r="A346" s="3">
        <v>332431</v>
      </c>
      <c r="B346" s="3" t="s">
        <v>2869</v>
      </c>
      <c r="C346" s="3">
        <v>332431</v>
      </c>
      <c r="D346" s="3" t="s">
        <v>2869</v>
      </c>
      <c r="E346" s="63"/>
    </row>
    <row r="347" spans="1:8" x14ac:dyDescent="0.25">
      <c r="A347" s="3">
        <v>332439</v>
      </c>
      <c r="B347" s="3" t="s">
        <v>2870</v>
      </c>
      <c r="C347" s="3">
        <v>332439</v>
      </c>
      <c r="D347" s="3" t="s">
        <v>2870</v>
      </c>
      <c r="E347" s="63"/>
    </row>
    <row r="348" spans="1:8" x14ac:dyDescent="0.25">
      <c r="A348" s="3">
        <v>332510</v>
      </c>
      <c r="B348" s="3" t="s">
        <v>2871</v>
      </c>
      <c r="C348" s="3">
        <v>332510</v>
      </c>
      <c r="D348" s="3" t="s">
        <v>2871</v>
      </c>
      <c r="E348" s="63"/>
    </row>
    <row r="349" spans="1:8" x14ac:dyDescent="0.25">
      <c r="A349" s="58">
        <v>332613</v>
      </c>
      <c r="B349" s="58" t="s">
        <v>2872</v>
      </c>
      <c r="C349" s="58">
        <v>332613</v>
      </c>
      <c r="D349" s="58" t="s">
        <v>2872</v>
      </c>
      <c r="E349" s="120"/>
    </row>
    <row r="350" spans="1:8" ht="25.5" x14ac:dyDescent="0.25">
      <c r="A350" s="3">
        <v>332618</v>
      </c>
      <c r="B350" s="3" t="s">
        <v>2873</v>
      </c>
      <c r="C350" s="3">
        <v>332618</v>
      </c>
      <c r="D350" s="3" t="s">
        <v>2873</v>
      </c>
      <c r="E350" s="63"/>
    </row>
    <row r="351" spans="1:8" x14ac:dyDescent="0.25">
      <c r="A351" s="3">
        <v>332710</v>
      </c>
      <c r="B351" s="3" t="s">
        <v>2874</v>
      </c>
      <c r="C351" s="3">
        <v>332710</v>
      </c>
      <c r="D351" s="3" t="s">
        <v>2874</v>
      </c>
      <c r="E351" s="63"/>
    </row>
    <row r="352" spans="1:8" x14ac:dyDescent="0.25">
      <c r="A352" s="3">
        <v>332721</v>
      </c>
      <c r="B352" s="3" t="s">
        <v>2875</v>
      </c>
      <c r="C352" s="3">
        <v>332721</v>
      </c>
      <c r="D352" s="3" t="s">
        <v>2875</v>
      </c>
      <c r="E352" s="63"/>
    </row>
    <row r="353" spans="1:6" ht="25.5" x14ac:dyDescent="0.25">
      <c r="A353" s="3">
        <v>332722</v>
      </c>
      <c r="B353" s="3" t="s">
        <v>2876</v>
      </c>
      <c r="C353" s="3">
        <v>332722</v>
      </c>
      <c r="D353" s="3" t="s">
        <v>2876</v>
      </c>
      <c r="E353" s="63"/>
    </row>
    <row r="354" spans="1:6" x14ac:dyDescent="0.25">
      <c r="A354" s="3">
        <v>332811</v>
      </c>
      <c r="B354" s="3" t="s">
        <v>2877</v>
      </c>
      <c r="C354" s="3">
        <v>332811</v>
      </c>
      <c r="D354" s="3" t="s">
        <v>2877</v>
      </c>
      <c r="E354" s="63"/>
    </row>
    <row r="355" spans="1:6" ht="38.25" x14ac:dyDescent="0.25">
      <c r="A355" s="3">
        <v>332812</v>
      </c>
      <c r="B355" s="3" t="s">
        <v>2878</v>
      </c>
      <c r="C355" s="3">
        <v>332812</v>
      </c>
      <c r="D355" s="3" t="s">
        <v>2878</v>
      </c>
      <c r="E355" s="63"/>
    </row>
    <row r="356" spans="1:6" ht="25.5" x14ac:dyDescent="0.25">
      <c r="A356" s="3">
        <v>332813</v>
      </c>
      <c r="B356" s="3" t="s">
        <v>2879</v>
      </c>
      <c r="C356" s="3">
        <v>332813</v>
      </c>
      <c r="D356" s="3" t="s">
        <v>2879</v>
      </c>
      <c r="E356" s="63"/>
    </row>
    <row r="357" spans="1:6" x14ac:dyDescent="0.25">
      <c r="A357" s="3">
        <v>332911</v>
      </c>
      <c r="B357" s="3" t="s">
        <v>2880</v>
      </c>
      <c r="C357" s="3">
        <v>332911</v>
      </c>
      <c r="D357" s="3" t="s">
        <v>2880</v>
      </c>
      <c r="E357" s="63"/>
    </row>
    <row r="358" spans="1:6" ht="25.5" x14ac:dyDescent="0.25">
      <c r="A358" s="3">
        <v>332912</v>
      </c>
      <c r="B358" s="3" t="s">
        <v>2881</v>
      </c>
      <c r="C358" s="3">
        <v>332912</v>
      </c>
      <c r="D358" s="3" t="s">
        <v>2881</v>
      </c>
      <c r="E358" s="63"/>
    </row>
    <row r="359" spans="1:6" ht="25.5" x14ac:dyDescent="0.25">
      <c r="A359" s="3">
        <v>332913</v>
      </c>
      <c r="B359" s="3" t="s">
        <v>2882</v>
      </c>
      <c r="C359" s="3">
        <v>332913</v>
      </c>
      <c r="D359" s="3" t="s">
        <v>2882</v>
      </c>
      <c r="E359" s="63"/>
    </row>
    <row r="360" spans="1:6" ht="25.5" x14ac:dyDescent="0.25">
      <c r="A360" s="3">
        <v>332919</v>
      </c>
      <c r="B360" s="3" t="s">
        <v>2883</v>
      </c>
      <c r="C360" s="3">
        <v>332919</v>
      </c>
      <c r="D360" s="3" t="s">
        <v>2883</v>
      </c>
      <c r="E360" s="63"/>
    </row>
    <row r="361" spans="1:6" x14ac:dyDescent="0.25">
      <c r="A361" s="3">
        <v>332991</v>
      </c>
      <c r="B361" s="3" t="s">
        <v>2884</v>
      </c>
      <c r="C361" s="3">
        <v>332991</v>
      </c>
      <c r="D361" s="3" t="s">
        <v>2884</v>
      </c>
      <c r="E361" s="63"/>
    </row>
    <row r="362" spans="1:6" x14ac:dyDescent="0.25">
      <c r="A362" s="3">
        <v>332992</v>
      </c>
      <c r="B362" s="3" t="s">
        <v>2885</v>
      </c>
      <c r="C362" s="3">
        <v>332992</v>
      </c>
      <c r="D362" s="3" t="s">
        <v>2885</v>
      </c>
      <c r="E362" s="63"/>
    </row>
    <row r="363" spans="1:6" ht="25.5" x14ac:dyDescent="0.25">
      <c r="A363" s="3">
        <v>332993</v>
      </c>
      <c r="B363" s="3" t="s">
        <v>2886</v>
      </c>
      <c r="C363" s="3">
        <v>332993</v>
      </c>
      <c r="D363" s="3" t="s">
        <v>2886</v>
      </c>
      <c r="E363" s="63"/>
    </row>
    <row r="364" spans="1:6" ht="25.5" x14ac:dyDescent="0.25">
      <c r="A364" s="59">
        <v>332994</v>
      </c>
      <c r="B364" s="59" t="s">
        <v>2887</v>
      </c>
      <c r="C364" s="59">
        <v>332994</v>
      </c>
      <c r="D364" s="59" t="s">
        <v>2887</v>
      </c>
      <c r="E364" s="121"/>
    </row>
    <row r="365" spans="1:6" ht="25.5" x14ac:dyDescent="0.25">
      <c r="A365" s="3">
        <v>332996</v>
      </c>
      <c r="B365" s="3" t="s">
        <v>2888</v>
      </c>
      <c r="C365" s="3">
        <v>332996</v>
      </c>
      <c r="D365" s="3" t="s">
        <v>2888</v>
      </c>
      <c r="E365" s="63"/>
    </row>
    <row r="366" spans="1:6" ht="25.5" x14ac:dyDescent="0.25">
      <c r="A366" s="60">
        <v>332999</v>
      </c>
      <c r="B366" s="60" t="s">
        <v>2889</v>
      </c>
      <c r="C366" s="60">
        <v>332999</v>
      </c>
      <c r="D366" s="60" t="s">
        <v>2889</v>
      </c>
      <c r="E366" s="122"/>
      <c r="F366" s="28" t="s">
        <v>2</v>
      </c>
    </row>
    <row r="367" spans="1:6" ht="25.5" x14ac:dyDescent="0.25">
      <c r="A367" s="3">
        <v>333111</v>
      </c>
      <c r="B367" s="3" t="s">
        <v>2890</v>
      </c>
      <c r="C367" s="3">
        <v>333111</v>
      </c>
      <c r="D367" s="3" t="s">
        <v>2890</v>
      </c>
      <c r="E367" s="63"/>
    </row>
    <row r="368" spans="1:6" ht="38.25" x14ac:dyDescent="0.25">
      <c r="A368" s="3">
        <v>333112</v>
      </c>
      <c r="B368" s="3" t="s">
        <v>2891</v>
      </c>
      <c r="C368" s="3">
        <v>333112</v>
      </c>
      <c r="D368" s="3" t="s">
        <v>2891</v>
      </c>
      <c r="E368" s="63"/>
    </row>
    <row r="369" spans="1:4" x14ac:dyDescent="0.25">
      <c r="A369" s="3">
        <v>333120</v>
      </c>
      <c r="B369" s="3" t="s">
        <v>2892</v>
      </c>
      <c r="C369" s="3">
        <v>333120</v>
      </c>
      <c r="D369" s="3" t="s">
        <v>2892</v>
      </c>
    </row>
    <row r="370" spans="1:4" ht="25.5" x14ac:dyDescent="0.25">
      <c r="A370" s="3">
        <v>333131</v>
      </c>
      <c r="B370" s="3" t="s">
        <v>2893</v>
      </c>
      <c r="C370" s="3">
        <v>333131</v>
      </c>
      <c r="D370" s="3" t="s">
        <v>2893</v>
      </c>
    </row>
    <row r="371" spans="1:4" ht="25.5" x14ac:dyDescent="0.25">
      <c r="A371" s="3">
        <v>333132</v>
      </c>
      <c r="B371" s="3" t="s">
        <v>2894</v>
      </c>
      <c r="C371" s="3">
        <v>333132</v>
      </c>
      <c r="D371" s="3" t="s">
        <v>2894</v>
      </c>
    </row>
    <row r="372" spans="1:4" x14ac:dyDescent="0.25">
      <c r="A372" s="61">
        <v>333241</v>
      </c>
      <c r="B372" s="61" t="s">
        <v>2895</v>
      </c>
      <c r="C372" s="61">
        <v>333241</v>
      </c>
      <c r="D372" s="61" t="s">
        <v>2895</v>
      </c>
    </row>
    <row r="373" spans="1:4" x14ac:dyDescent="0.25">
      <c r="A373" s="61">
        <v>333242</v>
      </c>
      <c r="B373" s="61" t="s">
        <v>2896</v>
      </c>
      <c r="C373" s="61">
        <v>333242</v>
      </c>
      <c r="D373" s="61" t="s">
        <v>2896</v>
      </c>
    </row>
    <row r="374" spans="1:4" ht="25.5" x14ac:dyDescent="0.25">
      <c r="A374" s="61">
        <v>333243</v>
      </c>
      <c r="B374" s="61" t="s">
        <v>2897</v>
      </c>
      <c r="C374" s="61">
        <v>333243</v>
      </c>
      <c r="D374" s="61" t="s">
        <v>2897</v>
      </c>
    </row>
    <row r="375" spans="1:4" ht="25.5" x14ac:dyDescent="0.25">
      <c r="A375" s="61">
        <v>333244</v>
      </c>
      <c r="B375" s="61" t="s">
        <v>2898</v>
      </c>
      <c r="C375" s="62">
        <v>333248</v>
      </c>
      <c r="D375" s="61" t="s">
        <v>2899</v>
      </c>
    </row>
    <row r="376" spans="1:4" ht="25.5" x14ac:dyDescent="0.25">
      <c r="A376" s="61">
        <v>333249</v>
      </c>
      <c r="B376" s="61" t="s">
        <v>2900</v>
      </c>
      <c r="C376" s="62">
        <v>333248</v>
      </c>
      <c r="D376" s="61" t="s">
        <v>2899</v>
      </c>
    </row>
    <row r="377" spans="1:4" ht="27" customHeight="1" x14ac:dyDescent="0.25">
      <c r="A377" s="3">
        <v>333314</v>
      </c>
      <c r="B377" s="3" t="s">
        <v>2901</v>
      </c>
      <c r="C377" s="4">
        <v>333310</v>
      </c>
      <c r="D377" s="3" t="s">
        <v>2902</v>
      </c>
    </row>
    <row r="378" spans="1:4" ht="25.5" x14ac:dyDescent="0.25">
      <c r="A378" s="64">
        <v>333316</v>
      </c>
      <c r="B378" s="64" t="s">
        <v>2903</v>
      </c>
      <c r="C378" s="65">
        <v>333310</v>
      </c>
      <c r="D378" s="64" t="s">
        <v>2902</v>
      </c>
    </row>
    <row r="379" spans="1:4" ht="25.5" x14ac:dyDescent="0.25">
      <c r="A379" s="61">
        <v>333318</v>
      </c>
      <c r="B379" s="61" t="s">
        <v>2904</v>
      </c>
      <c r="C379" s="62">
        <v>333310</v>
      </c>
      <c r="D379" s="61" t="s">
        <v>2902</v>
      </c>
    </row>
    <row r="380" spans="1:4" ht="38.25" x14ac:dyDescent="0.25">
      <c r="A380" s="66">
        <v>333413</v>
      </c>
      <c r="B380" s="66" t="s">
        <v>2905</v>
      </c>
      <c r="C380" s="66">
        <v>333413</v>
      </c>
      <c r="D380" s="66" t="s">
        <v>2905</v>
      </c>
    </row>
    <row r="381" spans="1:4" ht="25.5" x14ac:dyDescent="0.25">
      <c r="A381" s="3">
        <v>333414</v>
      </c>
      <c r="B381" s="3" t="s">
        <v>2906</v>
      </c>
      <c r="C381" s="3">
        <v>333414</v>
      </c>
      <c r="D381" s="3" t="s">
        <v>2906</v>
      </c>
    </row>
    <row r="382" spans="1:4" ht="51" x14ac:dyDescent="0.25">
      <c r="A382" s="3">
        <v>333415</v>
      </c>
      <c r="B382" s="3" t="s">
        <v>2907</v>
      </c>
      <c r="C382" s="3">
        <v>333415</v>
      </c>
      <c r="D382" s="3" t="s">
        <v>2907</v>
      </c>
    </row>
    <row r="383" spans="1:4" x14ac:dyDescent="0.25">
      <c r="A383" s="3">
        <v>333511</v>
      </c>
      <c r="B383" s="3" t="s">
        <v>2908</v>
      </c>
      <c r="C383" s="3">
        <v>333511</v>
      </c>
      <c r="D383" s="3" t="s">
        <v>2908</v>
      </c>
    </row>
    <row r="384" spans="1:4" ht="25.5" x14ac:dyDescent="0.25">
      <c r="A384" s="3">
        <v>333514</v>
      </c>
      <c r="B384" s="3" t="s">
        <v>2909</v>
      </c>
      <c r="C384" s="3">
        <v>333514</v>
      </c>
      <c r="D384" s="3" t="s">
        <v>2909</v>
      </c>
    </row>
    <row r="385" spans="1:7" ht="25.5" x14ac:dyDescent="0.25">
      <c r="A385" s="3">
        <v>333515</v>
      </c>
      <c r="B385" s="3" t="s">
        <v>2910</v>
      </c>
      <c r="C385" s="3">
        <v>333515</v>
      </c>
      <c r="D385" s="3" t="s">
        <v>2910</v>
      </c>
      <c r="E385" s="63"/>
    </row>
    <row r="386" spans="1:7" x14ac:dyDescent="0.25">
      <c r="A386" s="67">
        <v>333517</v>
      </c>
      <c r="B386" s="67" t="s">
        <v>2911</v>
      </c>
      <c r="C386" s="67">
        <v>333517</v>
      </c>
      <c r="D386" s="67" t="s">
        <v>2911</v>
      </c>
      <c r="E386" s="123"/>
    </row>
    <row r="387" spans="1:7" ht="25.5" x14ac:dyDescent="0.25">
      <c r="A387" s="68">
        <v>333519</v>
      </c>
      <c r="B387" s="68" t="s">
        <v>2912</v>
      </c>
      <c r="C387" s="68">
        <v>333519</v>
      </c>
      <c r="D387" s="68" t="s">
        <v>2912</v>
      </c>
      <c r="E387" s="124"/>
    </row>
    <row r="388" spans="1:7" ht="25.5" x14ac:dyDescent="0.25">
      <c r="A388" s="3">
        <v>333611</v>
      </c>
      <c r="B388" s="3" t="s">
        <v>2913</v>
      </c>
      <c r="C388" s="3">
        <v>333611</v>
      </c>
      <c r="D388" s="3" t="s">
        <v>2913</v>
      </c>
      <c r="E388" s="63"/>
    </row>
    <row r="389" spans="1:7" ht="25.5" x14ac:dyDescent="0.25">
      <c r="A389" s="3">
        <v>333612</v>
      </c>
      <c r="B389" s="3" t="s">
        <v>2914</v>
      </c>
      <c r="C389" s="3">
        <v>333612</v>
      </c>
      <c r="D389" s="3" t="s">
        <v>2914</v>
      </c>
      <c r="E389" s="63"/>
    </row>
    <row r="390" spans="1:7" ht="25.5" x14ac:dyDescent="0.25">
      <c r="A390" s="3">
        <v>333613</v>
      </c>
      <c r="B390" s="3" t="s">
        <v>2915</v>
      </c>
      <c r="C390" s="3">
        <v>333613</v>
      </c>
      <c r="D390" s="3" t="s">
        <v>2915</v>
      </c>
      <c r="E390" s="63"/>
    </row>
    <row r="391" spans="1:7" x14ac:dyDescent="0.25">
      <c r="A391" s="3">
        <v>333618</v>
      </c>
      <c r="B391" s="3" t="s">
        <v>2916</v>
      </c>
      <c r="C391" s="3">
        <v>333618</v>
      </c>
      <c r="D391" s="3" t="s">
        <v>2916</v>
      </c>
      <c r="E391" s="63"/>
    </row>
    <row r="392" spans="1:7" x14ac:dyDescent="0.25">
      <c r="A392" s="3">
        <v>333912</v>
      </c>
      <c r="B392" s="3" t="s">
        <v>2917</v>
      </c>
      <c r="C392" s="3">
        <v>333912</v>
      </c>
      <c r="D392" s="3" t="s">
        <v>2917</v>
      </c>
      <c r="E392" s="63"/>
    </row>
    <row r="393" spans="1:7" ht="25.5" x14ac:dyDescent="0.25">
      <c r="A393" s="3">
        <v>333914</v>
      </c>
      <c r="B393" s="3" t="s">
        <v>2918</v>
      </c>
      <c r="C393" s="3">
        <v>333914</v>
      </c>
      <c r="D393" s="3" t="s">
        <v>2918</v>
      </c>
      <c r="E393" s="63"/>
    </row>
    <row r="394" spans="1:7" ht="25.5" x14ac:dyDescent="0.25">
      <c r="A394" s="3">
        <v>333921</v>
      </c>
      <c r="B394" s="3" t="s">
        <v>2919</v>
      </c>
      <c r="C394" s="3">
        <v>333921</v>
      </c>
      <c r="D394" s="3" t="s">
        <v>2919</v>
      </c>
      <c r="E394" s="63"/>
      <c r="G394" s="28" t="s">
        <v>2</v>
      </c>
    </row>
    <row r="395" spans="1:7" ht="25.5" x14ac:dyDescent="0.25">
      <c r="A395" s="3">
        <v>333922</v>
      </c>
      <c r="B395" s="3" t="s">
        <v>2920</v>
      </c>
      <c r="C395" s="3">
        <v>333922</v>
      </c>
      <c r="D395" s="3" t="s">
        <v>2920</v>
      </c>
      <c r="E395" s="63"/>
      <c r="G395" t="s">
        <v>2</v>
      </c>
    </row>
    <row r="396" spans="1:7" ht="25.5" x14ac:dyDescent="0.25">
      <c r="A396" s="3">
        <v>333923</v>
      </c>
      <c r="B396" s="3" t="s">
        <v>2921</v>
      </c>
      <c r="C396" s="3">
        <v>333923</v>
      </c>
      <c r="D396" s="3" t="s">
        <v>2921</v>
      </c>
      <c r="E396" s="63"/>
    </row>
    <row r="397" spans="1:7" ht="25.5" x14ac:dyDescent="0.25">
      <c r="A397" s="3">
        <v>333924</v>
      </c>
      <c r="B397" s="3" t="s">
        <v>2922</v>
      </c>
      <c r="C397" s="3">
        <v>333924</v>
      </c>
      <c r="D397" s="3" t="s">
        <v>2922</v>
      </c>
      <c r="E397" s="63"/>
    </row>
    <row r="398" spans="1:7" x14ac:dyDescent="0.25">
      <c r="A398" s="3">
        <v>333991</v>
      </c>
      <c r="B398" s="3" t="s">
        <v>2923</v>
      </c>
      <c r="C398" s="3">
        <v>333991</v>
      </c>
      <c r="D398" s="3" t="s">
        <v>2923</v>
      </c>
      <c r="E398" s="63"/>
    </row>
    <row r="399" spans="1:7" ht="25.5" x14ac:dyDescent="0.25">
      <c r="A399" s="3">
        <v>333992</v>
      </c>
      <c r="B399" s="3" t="s">
        <v>2924</v>
      </c>
      <c r="C399" s="3">
        <v>333992</v>
      </c>
      <c r="D399" s="3" t="s">
        <v>2924</v>
      </c>
      <c r="E399" s="63"/>
    </row>
    <row r="400" spans="1:7" x14ac:dyDescent="0.25">
      <c r="A400" s="3">
        <v>333993</v>
      </c>
      <c r="B400" s="3" t="s">
        <v>2925</v>
      </c>
      <c r="C400" s="3">
        <v>333993</v>
      </c>
      <c r="D400" s="3" t="s">
        <v>2925</v>
      </c>
      <c r="E400" s="63"/>
    </row>
    <row r="401" spans="1:8" ht="25.5" x14ac:dyDescent="0.25">
      <c r="A401" s="3">
        <v>333994</v>
      </c>
      <c r="B401" s="3" t="s">
        <v>2926</v>
      </c>
      <c r="C401" s="3">
        <v>333994</v>
      </c>
      <c r="D401" s="3" t="s">
        <v>2926</v>
      </c>
      <c r="E401" s="63"/>
    </row>
    <row r="402" spans="1:8" ht="25.5" x14ac:dyDescent="0.25">
      <c r="A402" s="3">
        <v>333995</v>
      </c>
      <c r="B402" s="3" t="s">
        <v>2927</v>
      </c>
      <c r="C402" s="3">
        <v>333995</v>
      </c>
      <c r="D402" s="3" t="s">
        <v>2927</v>
      </c>
      <c r="E402" s="63"/>
    </row>
    <row r="403" spans="1:8" ht="25.5" x14ac:dyDescent="0.25">
      <c r="A403" s="3">
        <v>333996</v>
      </c>
      <c r="B403" s="3" t="s">
        <v>2928</v>
      </c>
      <c r="C403" s="3">
        <v>333996</v>
      </c>
      <c r="D403" s="3" t="s">
        <v>2928</v>
      </c>
      <c r="E403" s="63"/>
    </row>
    <row r="404" spans="1:8" ht="25.5" x14ac:dyDescent="0.25">
      <c r="A404" s="3">
        <v>333997</v>
      </c>
      <c r="B404" s="3" t="s">
        <v>2929</v>
      </c>
      <c r="C404" s="4">
        <v>333998</v>
      </c>
      <c r="D404" s="3" t="s">
        <v>2930</v>
      </c>
      <c r="E404" s="102"/>
    </row>
    <row r="405" spans="1:8" ht="25.5" x14ac:dyDescent="0.25">
      <c r="A405" s="3">
        <v>333999</v>
      </c>
      <c r="B405" s="3" t="s">
        <v>2930</v>
      </c>
      <c r="C405" s="4">
        <v>333998</v>
      </c>
      <c r="D405" s="3" t="s">
        <v>2930</v>
      </c>
      <c r="E405" s="102"/>
      <c r="H405" s="28" t="s">
        <v>2</v>
      </c>
    </row>
    <row r="406" spans="1:8" x14ac:dyDescent="0.25">
      <c r="A406" s="3">
        <v>334111</v>
      </c>
      <c r="B406" s="3" t="s">
        <v>2931</v>
      </c>
      <c r="C406" s="3">
        <v>334111</v>
      </c>
      <c r="D406" s="3" t="s">
        <v>2931</v>
      </c>
      <c r="E406" s="63"/>
    </row>
    <row r="407" spans="1:8" x14ac:dyDescent="0.25">
      <c r="A407" s="3">
        <v>334112</v>
      </c>
      <c r="B407" s="3" t="s">
        <v>2932</v>
      </c>
      <c r="C407" s="3">
        <v>334112</v>
      </c>
      <c r="D407" s="3" t="s">
        <v>2932</v>
      </c>
      <c r="E407" s="63"/>
    </row>
    <row r="408" spans="1:8" ht="25.5" x14ac:dyDescent="0.25">
      <c r="A408" s="69">
        <v>334118</v>
      </c>
      <c r="B408" s="69" t="s">
        <v>2933</v>
      </c>
      <c r="C408" s="69">
        <v>334118</v>
      </c>
      <c r="D408" s="69" t="s">
        <v>2933</v>
      </c>
      <c r="E408" s="125"/>
    </row>
    <row r="409" spans="1:8" x14ac:dyDescent="0.25">
      <c r="A409" s="3">
        <v>334210</v>
      </c>
      <c r="B409" s="3" t="s">
        <v>2934</v>
      </c>
      <c r="C409" s="3">
        <v>334210</v>
      </c>
      <c r="D409" s="3" t="s">
        <v>2934</v>
      </c>
      <c r="E409" s="63"/>
    </row>
    <row r="410" spans="1:8" ht="38.25" x14ac:dyDescent="0.25">
      <c r="A410" s="3">
        <v>334220</v>
      </c>
      <c r="B410" s="3" t="s">
        <v>2935</v>
      </c>
      <c r="C410" s="3">
        <v>334220</v>
      </c>
      <c r="D410" s="3" t="s">
        <v>2935</v>
      </c>
      <c r="E410" s="63"/>
    </row>
    <row r="411" spans="1:8" ht="25.5" x14ac:dyDescent="0.25">
      <c r="A411" s="3">
        <v>334290</v>
      </c>
      <c r="B411" s="3" t="s">
        <v>2936</v>
      </c>
      <c r="C411" s="3">
        <v>334290</v>
      </c>
      <c r="D411" s="3" t="s">
        <v>2936</v>
      </c>
      <c r="E411" s="63"/>
    </row>
    <row r="412" spans="1:8" ht="25.5" x14ac:dyDescent="0.25">
      <c r="A412" s="3">
        <v>334310</v>
      </c>
      <c r="B412" s="3" t="s">
        <v>2937</v>
      </c>
      <c r="C412" s="3">
        <v>334310</v>
      </c>
      <c r="D412" s="3" t="s">
        <v>2937</v>
      </c>
      <c r="E412" s="63"/>
    </row>
    <row r="413" spans="1:8" x14ac:dyDescent="0.25">
      <c r="A413" s="3">
        <v>334412</v>
      </c>
      <c r="B413" s="3" t="s">
        <v>2938</v>
      </c>
      <c r="C413" s="3">
        <v>334412</v>
      </c>
      <c r="D413" s="3" t="s">
        <v>2938</v>
      </c>
      <c r="E413" s="63"/>
    </row>
    <row r="414" spans="1:8" ht="25.5" x14ac:dyDescent="0.25">
      <c r="A414" s="3">
        <v>334413</v>
      </c>
      <c r="B414" s="3" t="s">
        <v>2939</v>
      </c>
      <c r="C414" s="3">
        <v>334413</v>
      </c>
      <c r="D414" s="3" t="s">
        <v>2939</v>
      </c>
      <c r="E414" s="63"/>
    </row>
    <row r="415" spans="1:8" ht="25.5" x14ac:dyDescent="0.25">
      <c r="A415" s="70">
        <v>334416</v>
      </c>
      <c r="B415" s="70" t="s">
        <v>2940</v>
      </c>
      <c r="C415" s="70">
        <v>334416</v>
      </c>
      <c r="D415" s="70" t="s">
        <v>2940</v>
      </c>
      <c r="E415" s="126"/>
    </row>
    <row r="416" spans="1:8" x14ac:dyDescent="0.25">
      <c r="A416" s="3">
        <v>334417</v>
      </c>
      <c r="B416" s="3" t="s">
        <v>2941</v>
      </c>
      <c r="C416" s="3">
        <v>334417</v>
      </c>
      <c r="D416" s="3" t="s">
        <v>2941</v>
      </c>
      <c r="E416" s="63"/>
    </row>
    <row r="417" spans="1:6" ht="25.5" x14ac:dyDescent="0.25">
      <c r="A417" s="3">
        <v>334418</v>
      </c>
      <c r="B417" s="3" t="s">
        <v>2942</v>
      </c>
      <c r="C417" s="3">
        <v>334418</v>
      </c>
      <c r="D417" s="3" t="s">
        <v>2942</v>
      </c>
      <c r="E417" s="63"/>
    </row>
    <row r="418" spans="1:6" ht="25.5" x14ac:dyDescent="0.25">
      <c r="A418" s="71">
        <v>334419</v>
      </c>
      <c r="B418" s="71" t="s">
        <v>2943</v>
      </c>
      <c r="C418" s="71">
        <v>334419</v>
      </c>
      <c r="D418" s="71" t="s">
        <v>2943</v>
      </c>
      <c r="E418" s="127"/>
    </row>
    <row r="419" spans="1:6" ht="25.5" x14ac:dyDescent="0.25">
      <c r="A419" s="3">
        <v>334510</v>
      </c>
      <c r="B419" s="3" t="s">
        <v>2944</v>
      </c>
      <c r="C419" s="3">
        <v>334510</v>
      </c>
      <c r="D419" s="3" t="s">
        <v>2944</v>
      </c>
      <c r="E419" s="63"/>
    </row>
    <row r="420" spans="1:6" ht="38.25" x14ac:dyDescent="0.25">
      <c r="A420" s="3">
        <v>334511</v>
      </c>
      <c r="B420" s="3" t="s">
        <v>2945</v>
      </c>
      <c r="C420" s="3">
        <v>334511</v>
      </c>
      <c r="D420" s="3" t="s">
        <v>2945</v>
      </c>
      <c r="E420" s="63"/>
    </row>
    <row r="421" spans="1:6" ht="38.25" x14ac:dyDescent="0.25">
      <c r="A421" s="3">
        <v>334512</v>
      </c>
      <c r="B421" s="3" t="s">
        <v>2946</v>
      </c>
      <c r="C421" s="3">
        <v>334512</v>
      </c>
      <c r="D421" s="3" t="s">
        <v>2946</v>
      </c>
      <c r="E421" s="63"/>
    </row>
    <row r="422" spans="1:6" ht="51" x14ac:dyDescent="0.25">
      <c r="A422" s="3">
        <v>334513</v>
      </c>
      <c r="B422" s="3" t="s">
        <v>2947</v>
      </c>
      <c r="C422" s="3">
        <v>334513</v>
      </c>
      <c r="D422" s="3" t="s">
        <v>2947</v>
      </c>
      <c r="E422" s="63"/>
      <c r="F422" s="28" t="s">
        <v>2</v>
      </c>
    </row>
    <row r="423" spans="1:6" ht="25.5" x14ac:dyDescent="0.25">
      <c r="A423" s="3">
        <v>334514</v>
      </c>
      <c r="B423" s="3" t="s">
        <v>2948</v>
      </c>
      <c r="C423" s="3">
        <v>334514</v>
      </c>
      <c r="D423" s="3" t="s">
        <v>2948</v>
      </c>
      <c r="E423" s="63"/>
    </row>
    <row r="424" spans="1:6" ht="38.25" x14ac:dyDescent="0.25">
      <c r="A424" s="3">
        <v>334515</v>
      </c>
      <c r="B424" s="3" t="s">
        <v>2949</v>
      </c>
      <c r="C424" s="3">
        <v>334515</v>
      </c>
      <c r="D424" s="3" t="s">
        <v>2949</v>
      </c>
      <c r="E424" s="63"/>
    </row>
    <row r="425" spans="1:6" ht="25.5" x14ac:dyDescent="0.25">
      <c r="A425" s="3">
        <v>334516</v>
      </c>
      <c r="B425" s="3" t="s">
        <v>2950</v>
      </c>
      <c r="C425" s="3">
        <v>334516</v>
      </c>
      <c r="D425" s="3" t="s">
        <v>2950</v>
      </c>
      <c r="E425" s="63"/>
    </row>
    <row r="426" spans="1:6" x14ac:dyDescent="0.25">
      <c r="A426" s="3">
        <v>334517</v>
      </c>
      <c r="B426" s="3" t="s">
        <v>2951</v>
      </c>
      <c r="C426" s="3">
        <v>334517</v>
      </c>
      <c r="D426" s="3" t="s">
        <v>2951</v>
      </c>
      <c r="E426" s="63"/>
    </row>
    <row r="427" spans="1:6" ht="25.5" x14ac:dyDescent="0.25">
      <c r="A427" s="72">
        <v>334519</v>
      </c>
      <c r="B427" s="72" t="s">
        <v>2952</v>
      </c>
      <c r="C427" s="72">
        <v>334519</v>
      </c>
      <c r="D427" s="72" t="s">
        <v>2952</v>
      </c>
      <c r="E427" s="128"/>
    </row>
    <row r="428" spans="1:6" ht="25.5" x14ac:dyDescent="0.25">
      <c r="A428" s="3">
        <v>334613</v>
      </c>
      <c r="B428" s="3" t="s">
        <v>2953</v>
      </c>
      <c r="C428" s="4">
        <v>334610</v>
      </c>
      <c r="D428" s="3" t="s">
        <v>2954</v>
      </c>
      <c r="E428" s="102"/>
    </row>
    <row r="429" spans="1:6" ht="38.25" x14ac:dyDescent="0.25">
      <c r="A429" s="72">
        <v>334614</v>
      </c>
      <c r="B429" s="72" t="s">
        <v>2955</v>
      </c>
      <c r="C429" s="73">
        <v>334610</v>
      </c>
      <c r="D429" s="72" t="s">
        <v>2954</v>
      </c>
      <c r="E429" s="129"/>
    </row>
    <row r="430" spans="1:6" ht="25.5" x14ac:dyDescent="0.25">
      <c r="A430" s="3">
        <v>335121</v>
      </c>
      <c r="B430" s="3" t="s">
        <v>2956</v>
      </c>
      <c r="C430" s="3">
        <v>335131</v>
      </c>
      <c r="D430" s="3" t="s">
        <v>2956</v>
      </c>
      <c r="E430" s="63"/>
    </row>
    <row r="431" spans="1:6" ht="25.5" x14ac:dyDescent="0.25">
      <c r="A431" s="3">
        <v>335122</v>
      </c>
      <c r="B431" s="3" t="s">
        <v>2957</v>
      </c>
      <c r="C431" s="3">
        <v>335132</v>
      </c>
      <c r="D431" s="3" t="s">
        <v>2957</v>
      </c>
      <c r="E431" s="63"/>
    </row>
    <row r="432" spans="1:6" ht="25.5" x14ac:dyDescent="0.25">
      <c r="A432" s="3">
        <v>335110</v>
      </c>
      <c r="B432" s="3" t="s">
        <v>2958</v>
      </c>
      <c r="C432" s="4">
        <v>335139</v>
      </c>
      <c r="D432" s="3" t="s">
        <v>2959</v>
      </c>
      <c r="E432" s="102"/>
    </row>
    <row r="433" spans="1:10" ht="25.5" x14ac:dyDescent="0.25">
      <c r="A433" s="3">
        <v>335129</v>
      </c>
      <c r="B433" s="3" t="s">
        <v>2960</v>
      </c>
      <c r="C433" s="4">
        <v>335139</v>
      </c>
      <c r="D433" s="3" t="s">
        <v>2959</v>
      </c>
      <c r="E433" s="102"/>
    </row>
    <row r="434" spans="1:10" ht="25.5" x14ac:dyDescent="0.25">
      <c r="A434" s="74">
        <v>335210</v>
      </c>
      <c r="B434" s="74" t="s">
        <v>2961</v>
      </c>
      <c r="C434" s="74">
        <v>335210</v>
      </c>
      <c r="D434" s="74" t="s">
        <v>2961</v>
      </c>
      <c r="E434" s="130"/>
    </row>
    <row r="435" spans="1:10" ht="25.5" x14ac:dyDescent="0.25">
      <c r="A435" s="3">
        <v>335220</v>
      </c>
      <c r="B435" s="3" t="s">
        <v>2962</v>
      </c>
      <c r="C435" s="3">
        <v>335220</v>
      </c>
      <c r="D435" s="3" t="s">
        <v>2962</v>
      </c>
      <c r="E435" s="63"/>
      <c r="F435" s="28" t="s">
        <v>2</v>
      </c>
    </row>
    <row r="436" spans="1:10" ht="25.5" x14ac:dyDescent="0.25">
      <c r="A436" s="3">
        <v>335311</v>
      </c>
      <c r="B436" s="3" t="s">
        <v>2963</v>
      </c>
      <c r="C436" s="3">
        <v>335311</v>
      </c>
      <c r="D436" s="3" t="s">
        <v>2963</v>
      </c>
      <c r="E436" s="63"/>
      <c r="J436" t="s">
        <v>2</v>
      </c>
    </row>
    <row r="437" spans="1:10" x14ac:dyDescent="0.25">
      <c r="A437" s="3">
        <v>335312</v>
      </c>
      <c r="B437" s="3" t="s">
        <v>2964</v>
      </c>
      <c r="C437" s="3">
        <v>335312</v>
      </c>
      <c r="D437" s="3" t="s">
        <v>2964</v>
      </c>
      <c r="E437" s="63"/>
    </row>
    <row r="438" spans="1:10" ht="25.5" x14ac:dyDescent="0.25">
      <c r="A438" s="3">
        <v>335313</v>
      </c>
      <c r="B438" s="3" t="s">
        <v>2965</v>
      </c>
      <c r="C438" s="3">
        <v>335313</v>
      </c>
      <c r="D438" s="3" t="s">
        <v>2965</v>
      </c>
      <c r="E438" s="63"/>
    </row>
    <row r="439" spans="1:10" ht="25.5" x14ac:dyDescent="0.25">
      <c r="A439" s="3">
        <v>335314</v>
      </c>
      <c r="B439" s="3" t="s">
        <v>2966</v>
      </c>
      <c r="C439" s="3">
        <v>335314</v>
      </c>
      <c r="D439" s="3" t="s">
        <v>2966</v>
      </c>
      <c r="E439" s="63"/>
    </row>
    <row r="440" spans="1:10" x14ac:dyDescent="0.25">
      <c r="A440" s="3">
        <v>335911</v>
      </c>
      <c r="B440" s="3" t="s">
        <v>2967</v>
      </c>
      <c r="C440" s="4">
        <v>335910</v>
      </c>
      <c r="D440" s="3" t="s">
        <v>2968</v>
      </c>
      <c r="E440" s="102"/>
    </row>
    <row r="441" spans="1:10" x14ac:dyDescent="0.25">
      <c r="A441" s="3">
        <v>335912</v>
      </c>
      <c r="B441" s="3" t="s">
        <v>2969</v>
      </c>
      <c r="C441" s="4">
        <v>335910</v>
      </c>
      <c r="D441" s="3" t="s">
        <v>2968</v>
      </c>
      <c r="E441" s="102"/>
    </row>
    <row r="442" spans="1:10" x14ac:dyDescent="0.25">
      <c r="A442" s="3">
        <v>335921</v>
      </c>
      <c r="B442" s="3" t="s">
        <v>2970</v>
      </c>
      <c r="C442" s="3">
        <v>335921</v>
      </c>
      <c r="D442" s="3" t="s">
        <v>2970</v>
      </c>
      <c r="E442" s="63"/>
    </row>
    <row r="443" spans="1:10" ht="25.5" x14ac:dyDescent="0.25">
      <c r="A443" s="3">
        <v>335929</v>
      </c>
      <c r="B443" s="3" t="s">
        <v>2971</v>
      </c>
      <c r="C443" s="3">
        <v>335929</v>
      </c>
      <c r="D443" s="3" t="s">
        <v>2971</v>
      </c>
      <c r="E443" s="63"/>
    </row>
    <row r="444" spans="1:10" ht="25.5" x14ac:dyDescent="0.25">
      <c r="A444" s="3">
        <v>335931</v>
      </c>
      <c r="B444" s="3" t="s">
        <v>2972</v>
      </c>
      <c r="C444" s="3">
        <v>335931</v>
      </c>
      <c r="D444" s="3" t="s">
        <v>2972</v>
      </c>
      <c r="E444" s="63"/>
    </row>
    <row r="445" spans="1:10" ht="25.5" x14ac:dyDescent="0.25">
      <c r="A445" s="3">
        <v>335932</v>
      </c>
      <c r="B445" s="3" t="s">
        <v>2973</v>
      </c>
      <c r="C445" s="3">
        <v>335932</v>
      </c>
      <c r="D445" s="3" t="s">
        <v>2973</v>
      </c>
      <c r="E445" s="63"/>
    </row>
    <row r="446" spans="1:10" ht="25.5" x14ac:dyDescent="0.25">
      <c r="A446" s="3">
        <v>335991</v>
      </c>
      <c r="B446" s="3" t="s">
        <v>2974</v>
      </c>
      <c r="C446" s="3">
        <v>335991</v>
      </c>
      <c r="D446" s="3" t="s">
        <v>2974</v>
      </c>
      <c r="E446" s="63"/>
    </row>
    <row r="447" spans="1:10" ht="38.25" x14ac:dyDescent="0.25">
      <c r="A447" s="3">
        <v>335999</v>
      </c>
      <c r="B447" s="3" t="s">
        <v>2975</v>
      </c>
      <c r="C447" s="3">
        <v>335999</v>
      </c>
      <c r="D447" s="3" t="s">
        <v>2975</v>
      </c>
      <c r="E447" s="63"/>
    </row>
    <row r="448" spans="1:10" ht="25.5" x14ac:dyDescent="0.25">
      <c r="A448" s="3">
        <v>336111</v>
      </c>
      <c r="B448" s="3" t="s">
        <v>2976</v>
      </c>
      <c r="C448" s="4">
        <v>336110</v>
      </c>
      <c r="D448" s="3" t="s">
        <v>2977</v>
      </c>
      <c r="E448" s="102"/>
    </row>
    <row r="449" spans="1:7" ht="25.5" x14ac:dyDescent="0.25">
      <c r="A449" s="3">
        <v>336112</v>
      </c>
      <c r="B449" s="3" t="s">
        <v>2978</v>
      </c>
      <c r="C449" s="4">
        <v>336110</v>
      </c>
      <c r="D449" s="3" t="s">
        <v>2977</v>
      </c>
      <c r="E449" s="102"/>
    </row>
    <row r="450" spans="1:7" x14ac:dyDescent="0.25">
      <c r="A450" s="3">
        <v>336120</v>
      </c>
      <c r="B450" s="3" t="s">
        <v>2979</v>
      </c>
      <c r="C450" s="3">
        <v>336120</v>
      </c>
      <c r="D450" s="3" t="s">
        <v>2979</v>
      </c>
      <c r="E450" s="63"/>
    </row>
    <row r="451" spans="1:7" x14ac:dyDescent="0.25">
      <c r="A451" s="3">
        <v>336211</v>
      </c>
      <c r="B451" s="3" t="s">
        <v>2980</v>
      </c>
      <c r="C451" s="3">
        <v>336211</v>
      </c>
      <c r="D451" s="3" t="s">
        <v>2980</v>
      </c>
      <c r="E451" s="63"/>
    </row>
    <row r="452" spans="1:7" x14ac:dyDescent="0.25">
      <c r="A452" s="3">
        <v>336212</v>
      </c>
      <c r="B452" s="3" t="s">
        <v>2981</v>
      </c>
      <c r="C452" s="3">
        <v>336212</v>
      </c>
      <c r="D452" s="3" t="s">
        <v>2981</v>
      </c>
      <c r="E452" s="63"/>
      <c r="G452" s="28" t="s">
        <v>2</v>
      </c>
    </row>
    <row r="453" spans="1:7" x14ac:dyDescent="0.25">
      <c r="A453" s="3">
        <v>336213</v>
      </c>
      <c r="B453" s="3" t="s">
        <v>2982</v>
      </c>
      <c r="C453" s="3">
        <v>336213</v>
      </c>
      <c r="D453" s="3" t="s">
        <v>2982</v>
      </c>
      <c r="E453" s="63"/>
    </row>
    <row r="454" spans="1:7" x14ac:dyDescent="0.25">
      <c r="A454" s="3">
        <v>336214</v>
      </c>
      <c r="B454" s="3" t="s">
        <v>2983</v>
      </c>
      <c r="C454" s="3">
        <v>336214</v>
      </c>
      <c r="D454" s="3" t="s">
        <v>2983</v>
      </c>
      <c r="E454" s="63"/>
    </row>
    <row r="455" spans="1:7" ht="25.5" x14ac:dyDescent="0.25">
      <c r="A455" s="75">
        <v>336310</v>
      </c>
      <c r="B455" s="75" t="s">
        <v>2984</v>
      </c>
      <c r="C455" s="75">
        <v>336310</v>
      </c>
      <c r="D455" s="75" t="s">
        <v>2984</v>
      </c>
      <c r="E455" s="131"/>
    </row>
    <row r="456" spans="1:7" ht="25.5" x14ac:dyDescent="0.25">
      <c r="A456" s="75">
        <v>336320</v>
      </c>
      <c r="B456" s="75" t="s">
        <v>2985</v>
      </c>
      <c r="C456" s="75">
        <v>336320</v>
      </c>
      <c r="D456" s="75" t="s">
        <v>2985</v>
      </c>
      <c r="E456" s="131"/>
    </row>
    <row r="457" spans="1:7" ht="38.25" x14ac:dyDescent="0.25">
      <c r="A457" s="3">
        <v>336330</v>
      </c>
      <c r="B457" s="3" t="s">
        <v>2986</v>
      </c>
      <c r="C457" s="3">
        <v>336330</v>
      </c>
      <c r="D457" s="3" t="s">
        <v>2986</v>
      </c>
      <c r="E457" s="63"/>
    </row>
    <row r="458" spans="1:7" ht="25.5" x14ac:dyDescent="0.25">
      <c r="A458" s="3">
        <v>336340</v>
      </c>
      <c r="B458" s="3" t="s">
        <v>2987</v>
      </c>
      <c r="C458" s="3">
        <v>336340</v>
      </c>
      <c r="D458" s="3" t="s">
        <v>2987</v>
      </c>
      <c r="E458" s="63"/>
    </row>
    <row r="459" spans="1:7" ht="25.5" x14ac:dyDescent="0.25">
      <c r="A459" s="3">
        <v>336350</v>
      </c>
      <c r="B459" s="3" t="s">
        <v>2988</v>
      </c>
      <c r="C459" s="3">
        <v>336350</v>
      </c>
      <c r="D459" s="3" t="s">
        <v>2988</v>
      </c>
      <c r="E459" s="63"/>
    </row>
    <row r="460" spans="1:7" ht="25.5" x14ac:dyDescent="0.25">
      <c r="A460" s="3">
        <v>336360</v>
      </c>
      <c r="B460" s="3" t="s">
        <v>2989</v>
      </c>
      <c r="C460" s="3">
        <v>336360</v>
      </c>
      <c r="D460" s="3" t="s">
        <v>2989</v>
      </c>
      <c r="E460" s="63"/>
    </row>
    <row r="461" spans="1:7" x14ac:dyDescent="0.25">
      <c r="A461" s="3">
        <v>336370</v>
      </c>
      <c r="B461" s="3" t="s">
        <v>2990</v>
      </c>
      <c r="C461" s="3">
        <v>336370</v>
      </c>
      <c r="D461" s="3" t="s">
        <v>2990</v>
      </c>
      <c r="E461" s="63"/>
    </row>
    <row r="462" spans="1:7" x14ac:dyDescent="0.25">
      <c r="A462" s="76">
        <v>336390</v>
      </c>
      <c r="B462" s="76" t="s">
        <v>2991</v>
      </c>
      <c r="C462" s="76">
        <v>336390</v>
      </c>
      <c r="D462" s="76" t="s">
        <v>2991</v>
      </c>
      <c r="E462" s="132"/>
    </row>
    <row r="463" spans="1:7" x14ac:dyDescent="0.25">
      <c r="A463" s="3">
        <v>336411</v>
      </c>
      <c r="B463" s="3" t="s">
        <v>2992</v>
      </c>
      <c r="C463" s="3">
        <v>336411</v>
      </c>
      <c r="D463" s="3" t="s">
        <v>2992</v>
      </c>
      <c r="E463" s="63"/>
    </row>
    <row r="464" spans="1:7" ht="25.5" x14ac:dyDescent="0.25">
      <c r="A464" s="3">
        <v>336412</v>
      </c>
      <c r="B464" s="3" t="s">
        <v>2993</v>
      </c>
      <c r="C464" s="3">
        <v>336412</v>
      </c>
      <c r="D464" s="3" t="s">
        <v>2993</v>
      </c>
      <c r="E464" s="63"/>
    </row>
    <row r="465" spans="1:7" ht="25.5" x14ac:dyDescent="0.25">
      <c r="A465" s="3">
        <v>336413</v>
      </c>
      <c r="B465" s="3" t="s">
        <v>2994</v>
      </c>
      <c r="C465" s="3">
        <v>336413</v>
      </c>
      <c r="D465" s="3" t="s">
        <v>2994</v>
      </c>
      <c r="E465" s="63"/>
    </row>
    <row r="466" spans="1:7" ht="25.5" x14ac:dyDescent="0.25">
      <c r="A466" s="3">
        <v>336414</v>
      </c>
      <c r="B466" s="3" t="s">
        <v>2995</v>
      </c>
      <c r="C466" s="3">
        <v>336414</v>
      </c>
      <c r="D466" s="3" t="s">
        <v>2995</v>
      </c>
      <c r="E466" s="63"/>
    </row>
    <row r="467" spans="1:7" ht="38.25" x14ac:dyDescent="0.25">
      <c r="A467" s="3">
        <v>336415</v>
      </c>
      <c r="B467" s="3" t="s">
        <v>2996</v>
      </c>
      <c r="C467" s="3">
        <v>336415</v>
      </c>
      <c r="D467" s="3" t="s">
        <v>2996</v>
      </c>
      <c r="E467" s="63"/>
    </row>
    <row r="468" spans="1:7" ht="38.25" x14ac:dyDescent="0.25">
      <c r="A468" s="3">
        <v>336419</v>
      </c>
      <c r="B468" s="3" t="s">
        <v>2997</v>
      </c>
      <c r="C468" s="3">
        <v>336419</v>
      </c>
      <c r="D468" s="3" t="s">
        <v>2997</v>
      </c>
      <c r="E468" s="63"/>
    </row>
    <row r="469" spans="1:7" x14ac:dyDescent="0.25">
      <c r="A469" s="3">
        <v>336510</v>
      </c>
      <c r="B469" s="3" t="s">
        <v>2998</v>
      </c>
      <c r="C469" s="3">
        <v>336510</v>
      </c>
      <c r="D469" s="3" t="s">
        <v>2998</v>
      </c>
      <c r="E469" s="63"/>
    </row>
    <row r="470" spans="1:7" x14ac:dyDescent="0.25">
      <c r="A470" s="3">
        <v>336611</v>
      </c>
      <c r="B470" s="3" t="s">
        <v>2999</v>
      </c>
      <c r="C470" s="3">
        <v>336611</v>
      </c>
      <c r="D470" s="3" t="s">
        <v>2999</v>
      </c>
      <c r="E470" s="63"/>
      <c r="G470" t="s">
        <v>2</v>
      </c>
    </row>
    <row r="471" spans="1:7" x14ac:dyDescent="0.25">
      <c r="A471" s="3">
        <v>336612</v>
      </c>
      <c r="B471" s="3" t="s">
        <v>3000</v>
      </c>
      <c r="C471" s="3">
        <v>336612</v>
      </c>
      <c r="D471" s="3" t="s">
        <v>3000</v>
      </c>
      <c r="E471" s="63"/>
    </row>
    <row r="472" spans="1:7" ht="25.5" x14ac:dyDescent="0.25">
      <c r="A472" s="3">
        <v>336991</v>
      </c>
      <c r="B472" s="3" t="s">
        <v>3001</v>
      </c>
      <c r="C472" s="3">
        <v>336991</v>
      </c>
      <c r="D472" s="3" t="s">
        <v>3001</v>
      </c>
      <c r="E472" s="63"/>
    </row>
    <row r="473" spans="1:7" ht="25.5" x14ac:dyDescent="0.25">
      <c r="A473" s="3">
        <v>336992</v>
      </c>
      <c r="B473" s="3" t="s">
        <v>3002</v>
      </c>
      <c r="C473" s="3">
        <v>336992</v>
      </c>
      <c r="D473" s="3" t="s">
        <v>3002</v>
      </c>
      <c r="E473" s="63"/>
    </row>
    <row r="474" spans="1:7" ht="25.5" x14ac:dyDescent="0.25">
      <c r="A474" s="3">
        <v>336999</v>
      </c>
      <c r="B474" s="3" t="s">
        <v>3003</v>
      </c>
      <c r="C474" s="3">
        <v>336999</v>
      </c>
      <c r="D474" s="3" t="s">
        <v>3003</v>
      </c>
      <c r="E474" s="63"/>
    </row>
    <row r="475" spans="1:7" ht="25.5" x14ac:dyDescent="0.25">
      <c r="A475" s="3">
        <v>337110</v>
      </c>
      <c r="B475" s="3" t="s">
        <v>3004</v>
      </c>
      <c r="C475" s="3">
        <v>337110</v>
      </c>
      <c r="D475" s="3" t="s">
        <v>3004</v>
      </c>
      <c r="E475" s="63"/>
    </row>
    <row r="476" spans="1:7" ht="25.5" x14ac:dyDescent="0.25">
      <c r="A476" s="3">
        <v>337121</v>
      </c>
      <c r="B476" s="3" t="s">
        <v>3005</v>
      </c>
      <c r="C476" s="3">
        <v>337121</v>
      </c>
      <c r="D476" s="3" t="s">
        <v>3005</v>
      </c>
      <c r="E476" s="63"/>
    </row>
    <row r="477" spans="1:7" ht="25.5" x14ac:dyDescent="0.25">
      <c r="A477" s="3">
        <v>337122</v>
      </c>
      <c r="B477" s="3" t="s">
        <v>3006</v>
      </c>
      <c r="C477" s="3">
        <v>337122</v>
      </c>
      <c r="D477" s="3" t="s">
        <v>3006</v>
      </c>
      <c r="E477" s="63"/>
    </row>
    <row r="478" spans="1:7" ht="25.5" x14ac:dyDescent="0.25">
      <c r="A478" s="3">
        <v>337124</v>
      </c>
      <c r="B478" s="3" t="s">
        <v>3007</v>
      </c>
      <c r="C478" s="4">
        <v>337126</v>
      </c>
      <c r="D478" s="3" t="s">
        <v>3008</v>
      </c>
      <c r="E478" s="102"/>
    </row>
    <row r="479" spans="1:7" ht="25.5" x14ac:dyDescent="0.25">
      <c r="A479" s="3">
        <v>337125</v>
      </c>
      <c r="B479" s="3" t="s">
        <v>3009</v>
      </c>
      <c r="C479" s="4">
        <v>337126</v>
      </c>
      <c r="D479" s="3" t="s">
        <v>3008</v>
      </c>
      <c r="E479" s="102"/>
    </row>
    <row r="480" spans="1:7" x14ac:dyDescent="0.25">
      <c r="A480" s="3">
        <v>337127</v>
      </c>
      <c r="B480" s="3" t="s">
        <v>3010</v>
      </c>
      <c r="C480" s="3">
        <v>337127</v>
      </c>
      <c r="D480" s="3" t="s">
        <v>3010</v>
      </c>
      <c r="E480" s="63"/>
    </row>
    <row r="481" spans="1:7" x14ac:dyDescent="0.25">
      <c r="A481" s="3">
        <v>337211</v>
      </c>
      <c r="B481" s="3" t="s">
        <v>3011</v>
      </c>
      <c r="C481" s="3">
        <v>337211</v>
      </c>
      <c r="D481" s="3" t="s">
        <v>3011</v>
      </c>
      <c r="E481" s="63"/>
    </row>
    <row r="482" spans="1:7" ht="25.5" x14ac:dyDescent="0.25">
      <c r="A482" s="3">
        <v>337212</v>
      </c>
      <c r="B482" s="3" t="s">
        <v>3012</v>
      </c>
      <c r="C482" s="3">
        <v>337212</v>
      </c>
      <c r="D482" s="3" t="s">
        <v>3012</v>
      </c>
      <c r="E482" s="63"/>
    </row>
    <row r="483" spans="1:7" ht="25.5" x14ac:dyDescent="0.25">
      <c r="A483" s="3">
        <v>337214</v>
      </c>
      <c r="B483" s="3" t="s">
        <v>3013</v>
      </c>
      <c r="C483" s="3">
        <v>337214</v>
      </c>
      <c r="D483" s="3" t="s">
        <v>3013</v>
      </c>
      <c r="E483" s="63"/>
    </row>
    <row r="484" spans="1:7" ht="25.5" x14ac:dyDescent="0.25">
      <c r="A484" s="3">
        <v>337215</v>
      </c>
      <c r="B484" s="3" t="s">
        <v>3014</v>
      </c>
      <c r="C484" s="3">
        <v>337215</v>
      </c>
      <c r="D484" s="3" t="s">
        <v>3014</v>
      </c>
      <c r="E484" s="63"/>
    </row>
    <row r="485" spans="1:7" x14ac:dyDescent="0.25">
      <c r="A485" s="3">
        <v>337910</v>
      </c>
      <c r="B485" s="3" t="s">
        <v>3015</v>
      </c>
      <c r="C485" s="3">
        <v>337910</v>
      </c>
      <c r="D485" s="3" t="s">
        <v>3015</v>
      </c>
      <c r="E485" s="63"/>
    </row>
    <row r="486" spans="1:7" x14ac:dyDescent="0.25">
      <c r="A486" s="3">
        <v>337920</v>
      </c>
      <c r="B486" s="3" t="s">
        <v>3016</v>
      </c>
      <c r="C486" s="3">
        <v>337920</v>
      </c>
      <c r="D486" s="3" t="s">
        <v>3016</v>
      </c>
      <c r="E486" s="63"/>
    </row>
    <row r="487" spans="1:7" ht="25.5" x14ac:dyDescent="0.25">
      <c r="A487" s="3">
        <v>339112</v>
      </c>
      <c r="B487" s="3" t="s">
        <v>3017</v>
      </c>
      <c r="C487" s="3">
        <v>339112</v>
      </c>
      <c r="D487" s="3" t="s">
        <v>3017</v>
      </c>
      <c r="E487" s="63"/>
    </row>
    <row r="488" spans="1:7" ht="25.5" x14ac:dyDescent="0.25">
      <c r="A488" s="3">
        <v>339113</v>
      </c>
      <c r="B488" s="3" t="s">
        <v>3018</v>
      </c>
      <c r="C488" s="3">
        <v>339113</v>
      </c>
      <c r="D488" s="3" t="s">
        <v>3018</v>
      </c>
      <c r="E488" s="63"/>
    </row>
    <row r="489" spans="1:7" ht="25.5" x14ac:dyDescent="0.25">
      <c r="A489" s="3">
        <v>339114</v>
      </c>
      <c r="B489" s="3" t="s">
        <v>3019</v>
      </c>
      <c r="C489" s="3">
        <v>339114</v>
      </c>
      <c r="D489" s="3" t="s">
        <v>3019</v>
      </c>
      <c r="E489" s="63"/>
      <c r="G489" t="s">
        <v>2</v>
      </c>
    </row>
    <row r="490" spans="1:7" x14ac:dyDescent="0.25">
      <c r="A490" s="3">
        <v>339115</v>
      </c>
      <c r="B490" s="3" t="s">
        <v>3020</v>
      </c>
      <c r="C490" s="3">
        <v>339115</v>
      </c>
      <c r="D490" s="3" t="s">
        <v>3020</v>
      </c>
      <c r="E490" s="63"/>
    </row>
    <row r="491" spans="1:7" x14ac:dyDescent="0.25">
      <c r="A491" s="3">
        <v>339116</v>
      </c>
      <c r="B491" s="3" t="s">
        <v>3021</v>
      </c>
      <c r="C491" s="3">
        <v>339116</v>
      </c>
      <c r="D491" s="3" t="s">
        <v>3021</v>
      </c>
      <c r="E491" s="63"/>
    </row>
    <row r="492" spans="1:7" x14ac:dyDescent="0.25">
      <c r="A492" s="77">
        <v>339910</v>
      </c>
      <c r="B492" s="77" t="s">
        <v>3022</v>
      </c>
      <c r="C492" s="77">
        <v>339910</v>
      </c>
      <c r="D492" s="77" t="s">
        <v>3022</v>
      </c>
      <c r="E492" s="133"/>
    </row>
    <row r="493" spans="1:7" ht="25.5" x14ac:dyDescent="0.25">
      <c r="A493" s="3">
        <v>339920</v>
      </c>
      <c r="B493" s="3" t="s">
        <v>3023</v>
      </c>
      <c r="C493" s="3">
        <v>339920</v>
      </c>
      <c r="D493" s="3" t="s">
        <v>3023</v>
      </c>
      <c r="E493" s="63"/>
    </row>
    <row r="494" spans="1:7" x14ac:dyDescent="0.25">
      <c r="A494" s="78">
        <v>339930</v>
      </c>
      <c r="B494" s="78" t="s">
        <v>3024</v>
      </c>
      <c r="C494" s="78">
        <v>339930</v>
      </c>
      <c r="D494" s="78" t="s">
        <v>3024</v>
      </c>
      <c r="E494" s="134"/>
    </row>
    <row r="495" spans="1:7" ht="25.5" x14ac:dyDescent="0.25">
      <c r="A495" s="78">
        <v>339940</v>
      </c>
      <c r="B495" s="78" t="s">
        <v>3025</v>
      </c>
      <c r="C495" s="78">
        <v>339940</v>
      </c>
      <c r="D495" s="78" t="s">
        <v>3025</v>
      </c>
      <c r="E495" s="134"/>
    </row>
    <row r="496" spans="1:7" x14ac:dyDescent="0.25">
      <c r="A496" s="3">
        <v>339950</v>
      </c>
      <c r="B496" s="3" t="s">
        <v>3026</v>
      </c>
      <c r="C496" s="3">
        <v>339950</v>
      </c>
      <c r="D496" s="3" t="s">
        <v>3026</v>
      </c>
      <c r="E496" s="63"/>
    </row>
    <row r="497" spans="1:7" ht="25.5" x14ac:dyDescent="0.25">
      <c r="A497" s="3">
        <v>339991</v>
      </c>
      <c r="B497" s="3" t="s">
        <v>3027</v>
      </c>
      <c r="C497" s="3">
        <v>339991</v>
      </c>
      <c r="D497" s="3" t="s">
        <v>3027</v>
      </c>
      <c r="E497" s="63"/>
    </row>
    <row r="498" spans="1:7" x14ac:dyDescent="0.25">
      <c r="A498" s="3">
        <v>339992</v>
      </c>
      <c r="B498" s="3" t="s">
        <v>3028</v>
      </c>
      <c r="C498" s="3">
        <v>339992</v>
      </c>
      <c r="D498" s="3" t="s">
        <v>3028</v>
      </c>
      <c r="E498" s="63"/>
    </row>
    <row r="499" spans="1:7" ht="25.5" x14ac:dyDescent="0.25">
      <c r="A499" s="3">
        <v>339993</v>
      </c>
      <c r="B499" s="3" t="s">
        <v>3029</v>
      </c>
      <c r="C499" s="3">
        <v>339993</v>
      </c>
      <c r="D499" s="3" t="s">
        <v>3029</v>
      </c>
      <c r="E499" s="63"/>
    </row>
    <row r="500" spans="1:7" x14ac:dyDescent="0.25">
      <c r="A500" s="3">
        <v>339994</v>
      </c>
      <c r="B500" s="3" t="s">
        <v>3030</v>
      </c>
      <c r="C500" s="3">
        <v>339994</v>
      </c>
      <c r="D500" s="3" t="s">
        <v>3030</v>
      </c>
      <c r="E500" s="63"/>
    </row>
    <row r="501" spans="1:7" x14ac:dyDescent="0.25">
      <c r="A501" s="3">
        <v>339995</v>
      </c>
      <c r="B501" s="3" t="s">
        <v>3031</v>
      </c>
      <c r="C501" s="3">
        <v>339995</v>
      </c>
      <c r="D501" s="3" t="s">
        <v>3031</v>
      </c>
      <c r="E501" s="63"/>
    </row>
    <row r="502" spans="1:7" x14ac:dyDescent="0.25">
      <c r="A502" s="3">
        <v>339999</v>
      </c>
      <c r="B502" s="3" t="s">
        <v>3032</v>
      </c>
      <c r="C502" s="3">
        <v>339999</v>
      </c>
      <c r="D502" s="3" t="s">
        <v>3032</v>
      </c>
      <c r="E502" s="63"/>
    </row>
    <row r="503" spans="1:7" ht="25.5" x14ac:dyDescent="0.25">
      <c r="A503" s="3">
        <v>423110</v>
      </c>
      <c r="B503" s="3" t="s">
        <v>3033</v>
      </c>
      <c r="C503" s="3">
        <v>423110</v>
      </c>
      <c r="D503" s="3" t="s">
        <v>3033</v>
      </c>
      <c r="E503" s="63"/>
    </row>
    <row r="504" spans="1:7" ht="25.5" x14ac:dyDescent="0.25">
      <c r="A504" s="3">
        <v>423120</v>
      </c>
      <c r="B504" s="3" t="s">
        <v>3034</v>
      </c>
      <c r="C504" s="3">
        <v>423120</v>
      </c>
      <c r="D504" s="3" t="s">
        <v>3034</v>
      </c>
      <c r="E504" s="63"/>
    </row>
    <row r="505" spans="1:7" x14ac:dyDescent="0.25">
      <c r="A505" s="3">
        <v>423130</v>
      </c>
      <c r="B505" s="3" t="s">
        <v>3035</v>
      </c>
      <c r="C505" s="3">
        <v>423130</v>
      </c>
      <c r="D505" s="3" t="s">
        <v>3035</v>
      </c>
      <c r="E505" s="63"/>
    </row>
    <row r="506" spans="1:7" ht="25.5" x14ac:dyDescent="0.25">
      <c r="A506" s="3">
        <v>423140</v>
      </c>
      <c r="B506" s="3" t="s">
        <v>3036</v>
      </c>
      <c r="C506" s="3">
        <v>423140</v>
      </c>
      <c r="D506" s="3" t="s">
        <v>3036</v>
      </c>
      <c r="E506" s="63"/>
    </row>
    <row r="507" spans="1:7" x14ac:dyDescent="0.25">
      <c r="A507" s="3">
        <v>423210</v>
      </c>
      <c r="B507" s="3" t="s">
        <v>3037</v>
      </c>
      <c r="C507" s="3">
        <v>423210</v>
      </c>
      <c r="D507" s="3" t="s">
        <v>3037</v>
      </c>
      <c r="E507" s="63"/>
    </row>
    <row r="508" spans="1:7" x14ac:dyDescent="0.25">
      <c r="A508" s="3">
        <v>423220</v>
      </c>
      <c r="B508" s="3" t="s">
        <v>3038</v>
      </c>
      <c r="C508" s="3">
        <v>423220</v>
      </c>
      <c r="D508" s="3" t="s">
        <v>3038</v>
      </c>
      <c r="E508" s="63"/>
      <c r="G508" t="s">
        <v>2</v>
      </c>
    </row>
    <row r="509" spans="1:7" ht="25.5" x14ac:dyDescent="0.25">
      <c r="A509" s="3">
        <v>423310</v>
      </c>
      <c r="B509" s="3" t="s">
        <v>3039</v>
      </c>
      <c r="C509" s="3">
        <v>423310</v>
      </c>
      <c r="D509" s="3" t="s">
        <v>3039</v>
      </c>
      <c r="E509" s="63"/>
    </row>
    <row r="510" spans="1:7" ht="25.5" x14ac:dyDescent="0.25">
      <c r="A510" s="3">
        <v>423320</v>
      </c>
      <c r="B510" s="3" t="s">
        <v>3040</v>
      </c>
      <c r="C510" s="3">
        <v>423320</v>
      </c>
      <c r="D510" s="3" t="s">
        <v>3040</v>
      </c>
      <c r="E510" s="63"/>
    </row>
    <row r="511" spans="1:7" ht="25.5" x14ac:dyDescent="0.25">
      <c r="A511" s="3">
        <v>423330</v>
      </c>
      <c r="B511" s="3" t="s">
        <v>3041</v>
      </c>
      <c r="C511" s="3">
        <v>423330</v>
      </c>
      <c r="D511" s="3" t="s">
        <v>3041</v>
      </c>
      <c r="E511" s="63"/>
    </row>
    <row r="512" spans="1:7" ht="25.5" x14ac:dyDescent="0.25">
      <c r="A512" s="3">
        <v>423390</v>
      </c>
      <c r="B512" s="3" t="s">
        <v>3042</v>
      </c>
      <c r="C512" s="3">
        <v>423390</v>
      </c>
      <c r="D512" s="3" t="s">
        <v>3042</v>
      </c>
      <c r="E512" s="63"/>
    </row>
    <row r="513" spans="1:8" ht="25.5" x14ac:dyDescent="0.25">
      <c r="A513" s="3">
        <v>423410</v>
      </c>
      <c r="B513" s="3" t="s">
        <v>3043</v>
      </c>
      <c r="C513" s="3">
        <v>423410</v>
      </c>
      <c r="D513" s="3" t="s">
        <v>3043</v>
      </c>
      <c r="E513" s="63"/>
    </row>
    <row r="514" spans="1:8" x14ac:dyDescent="0.25">
      <c r="A514" s="3">
        <v>423420</v>
      </c>
      <c r="B514" s="3" t="s">
        <v>3044</v>
      </c>
      <c r="C514" s="3">
        <v>423420</v>
      </c>
      <c r="D514" s="3" t="s">
        <v>3044</v>
      </c>
      <c r="E514" s="63"/>
    </row>
    <row r="515" spans="1:8" ht="38.25" x14ac:dyDescent="0.25">
      <c r="A515" s="3">
        <v>423430</v>
      </c>
      <c r="B515" s="3" t="s">
        <v>3045</v>
      </c>
      <c r="C515" s="3">
        <v>423430</v>
      </c>
      <c r="D515" s="3" t="s">
        <v>3045</v>
      </c>
      <c r="E515" s="63"/>
    </row>
    <row r="516" spans="1:8" ht="25.5" x14ac:dyDescent="0.25">
      <c r="A516" s="3">
        <v>423440</v>
      </c>
      <c r="B516" s="3" t="s">
        <v>3046</v>
      </c>
      <c r="C516" s="3">
        <v>423440</v>
      </c>
      <c r="D516" s="3" t="s">
        <v>3046</v>
      </c>
      <c r="E516" s="63"/>
    </row>
    <row r="517" spans="1:8" ht="25.5" x14ac:dyDescent="0.25">
      <c r="A517" s="3">
        <v>423450</v>
      </c>
      <c r="B517" s="3" t="s">
        <v>3047</v>
      </c>
      <c r="C517" s="3">
        <v>423450</v>
      </c>
      <c r="D517" s="3" t="s">
        <v>3047</v>
      </c>
      <c r="E517" s="63"/>
    </row>
    <row r="518" spans="1:8" ht="25.5" x14ac:dyDescent="0.25">
      <c r="A518" s="3">
        <v>423460</v>
      </c>
      <c r="B518" s="3" t="s">
        <v>3048</v>
      </c>
      <c r="C518" s="3">
        <v>423460</v>
      </c>
      <c r="D518" s="3" t="s">
        <v>3048</v>
      </c>
      <c r="E518" s="63"/>
    </row>
    <row r="519" spans="1:8" ht="25.5" x14ac:dyDescent="0.25">
      <c r="A519" s="3">
        <v>423490</v>
      </c>
      <c r="B519" s="3" t="s">
        <v>3049</v>
      </c>
      <c r="C519" s="3">
        <v>423490</v>
      </c>
      <c r="D519" s="3" t="s">
        <v>3049</v>
      </c>
      <c r="E519" s="63"/>
    </row>
    <row r="520" spans="1:8" ht="25.5" x14ac:dyDescent="0.25">
      <c r="A520" s="3">
        <v>423510</v>
      </c>
      <c r="B520" s="3" t="s">
        <v>3050</v>
      </c>
      <c r="C520" s="3">
        <v>423510</v>
      </c>
      <c r="D520" s="3" t="s">
        <v>3050</v>
      </c>
      <c r="E520" s="63"/>
    </row>
    <row r="521" spans="1:8" ht="25.5" x14ac:dyDescent="0.25">
      <c r="A521" s="3">
        <v>423520</v>
      </c>
      <c r="B521" s="3" t="s">
        <v>3051</v>
      </c>
      <c r="C521" s="3">
        <v>423520</v>
      </c>
      <c r="D521" s="3" t="s">
        <v>3051</v>
      </c>
      <c r="E521" s="63"/>
    </row>
    <row r="522" spans="1:8" ht="38.25" x14ac:dyDescent="0.25">
      <c r="A522" s="3">
        <v>423610</v>
      </c>
      <c r="B522" s="3" t="s">
        <v>3052</v>
      </c>
      <c r="C522" s="3">
        <v>423610</v>
      </c>
      <c r="D522" s="3" t="s">
        <v>3052</v>
      </c>
      <c r="E522" s="63"/>
    </row>
    <row r="523" spans="1:8" ht="38.25" x14ac:dyDescent="0.25">
      <c r="A523" s="3">
        <v>423620</v>
      </c>
      <c r="B523" s="79" t="s">
        <v>3053</v>
      </c>
      <c r="C523" s="3">
        <v>423620</v>
      </c>
      <c r="D523" s="79" t="s">
        <v>3053</v>
      </c>
      <c r="E523" s="63"/>
      <c r="H523" t="s">
        <v>2</v>
      </c>
    </row>
    <row r="524" spans="1:8" ht="25.5" x14ac:dyDescent="0.25">
      <c r="A524" s="3">
        <v>423690</v>
      </c>
      <c r="B524" s="3" t="s">
        <v>3054</v>
      </c>
      <c r="C524" s="3">
        <v>423690</v>
      </c>
      <c r="D524" s="3" t="s">
        <v>3054</v>
      </c>
      <c r="E524" s="63"/>
    </row>
    <row r="525" spans="1:8" x14ac:dyDescent="0.25">
      <c r="A525" s="3">
        <v>423710</v>
      </c>
      <c r="B525" s="3" t="s">
        <v>3055</v>
      </c>
      <c r="C525" s="3">
        <v>423710</v>
      </c>
      <c r="D525" s="3" t="s">
        <v>3055</v>
      </c>
      <c r="E525" s="63"/>
    </row>
    <row r="526" spans="1:8" ht="38.25" x14ac:dyDescent="0.25">
      <c r="A526" s="80">
        <v>423720</v>
      </c>
      <c r="B526" s="80" t="s">
        <v>3056</v>
      </c>
      <c r="C526" s="80">
        <v>423720</v>
      </c>
      <c r="D526" s="80" t="s">
        <v>3056</v>
      </c>
      <c r="E526" s="135"/>
    </row>
    <row r="527" spans="1:8" ht="38.25" x14ac:dyDescent="0.25">
      <c r="A527" s="3">
        <v>423730</v>
      </c>
      <c r="B527" s="3" t="s">
        <v>3057</v>
      </c>
      <c r="C527" s="3">
        <v>423730</v>
      </c>
      <c r="D527" s="3" t="s">
        <v>3057</v>
      </c>
      <c r="E527" s="63"/>
    </row>
    <row r="528" spans="1:8" ht="25.5" x14ac:dyDescent="0.25">
      <c r="A528" s="3">
        <v>423740</v>
      </c>
      <c r="B528" s="3" t="s">
        <v>3058</v>
      </c>
      <c r="C528" s="3">
        <v>423740</v>
      </c>
      <c r="D528" s="3" t="s">
        <v>3058</v>
      </c>
      <c r="E528" s="63"/>
    </row>
    <row r="529" spans="1:7" ht="38.25" x14ac:dyDescent="0.25">
      <c r="A529" s="3">
        <v>423810</v>
      </c>
      <c r="B529" s="3" t="s">
        <v>3059</v>
      </c>
      <c r="C529" s="3">
        <v>423810</v>
      </c>
      <c r="D529" s="3" t="s">
        <v>3059</v>
      </c>
      <c r="E529" s="63"/>
    </row>
    <row r="530" spans="1:7" ht="25.5" x14ac:dyDescent="0.25">
      <c r="A530" s="3">
        <v>423820</v>
      </c>
      <c r="B530" s="3" t="s">
        <v>3060</v>
      </c>
      <c r="C530" s="3">
        <v>423820</v>
      </c>
      <c r="D530" s="3" t="s">
        <v>3060</v>
      </c>
      <c r="E530" s="63"/>
    </row>
    <row r="531" spans="1:7" ht="25.5" x14ac:dyDescent="0.25">
      <c r="A531" s="3">
        <v>423830</v>
      </c>
      <c r="B531" s="3" t="s">
        <v>3061</v>
      </c>
      <c r="C531" s="3">
        <v>423830</v>
      </c>
      <c r="D531" s="3" t="s">
        <v>3061</v>
      </c>
      <c r="E531" s="63"/>
    </row>
    <row r="532" spans="1:7" ht="25.5" x14ac:dyDescent="0.25">
      <c r="A532" s="3">
        <v>423840</v>
      </c>
      <c r="B532" s="3" t="s">
        <v>3062</v>
      </c>
      <c r="C532" s="3">
        <v>423840</v>
      </c>
      <c r="D532" s="3" t="s">
        <v>3062</v>
      </c>
      <c r="E532" s="63"/>
    </row>
    <row r="533" spans="1:7" ht="25.5" x14ac:dyDescent="0.25">
      <c r="A533" s="3">
        <v>423850</v>
      </c>
      <c r="B533" s="3" t="s">
        <v>3063</v>
      </c>
      <c r="C533" s="3">
        <v>423850</v>
      </c>
      <c r="D533" s="3" t="s">
        <v>3063</v>
      </c>
      <c r="E533" s="63"/>
    </row>
    <row r="534" spans="1:7" ht="38.25" x14ac:dyDescent="0.25">
      <c r="A534" s="3">
        <v>423860</v>
      </c>
      <c r="B534" s="3" t="s">
        <v>3064</v>
      </c>
      <c r="C534" s="3">
        <v>423860</v>
      </c>
      <c r="D534" s="3" t="s">
        <v>3064</v>
      </c>
      <c r="E534" s="63"/>
    </row>
    <row r="535" spans="1:7" ht="25.5" x14ac:dyDescent="0.25">
      <c r="A535" s="3">
        <v>423910</v>
      </c>
      <c r="B535" s="3" t="s">
        <v>3065</v>
      </c>
      <c r="C535" s="3">
        <v>423910</v>
      </c>
      <c r="D535" s="3" t="s">
        <v>3065</v>
      </c>
      <c r="E535" s="63"/>
    </row>
    <row r="536" spans="1:7" ht="25.5" x14ac:dyDescent="0.25">
      <c r="A536" s="3">
        <v>423920</v>
      </c>
      <c r="B536" s="3" t="s">
        <v>3066</v>
      </c>
      <c r="C536" s="3">
        <v>423920</v>
      </c>
      <c r="D536" s="3" t="s">
        <v>3066</v>
      </c>
      <c r="E536" s="63"/>
    </row>
    <row r="537" spans="1:7" ht="25.5" x14ac:dyDescent="0.25">
      <c r="A537" s="3">
        <v>423930</v>
      </c>
      <c r="B537" s="3" t="s">
        <v>3067</v>
      </c>
      <c r="C537" s="3">
        <v>423930</v>
      </c>
      <c r="D537" s="3" t="s">
        <v>3067</v>
      </c>
      <c r="E537" s="63"/>
    </row>
    <row r="538" spans="1:7" ht="25.5" x14ac:dyDescent="0.25">
      <c r="A538" s="3">
        <v>423940</v>
      </c>
      <c r="B538" s="3" t="s">
        <v>3068</v>
      </c>
      <c r="C538" s="3">
        <v>423940</v>
      </c>
      <c r="D538" s="3" t="s">
        <v>3068</v>
      </c>
      <c r="E538" s="63"/>
    </row>
    <row r="539" spans="1:7" ht="25.5" x14ac:dyDescent="0.25">
      <c r="A539" s="3">
        <v>423990</v>
      </c>
      <c r="B539" s="3" t="s">
        <v>3069</v>
      </c>
      <c r="C539" s="3">
        <v>423990</v>
      </c>
      <c r="D539" s="3" t="s">
        <v>3069</v>
      </c>
      <c r="E539" s="63"/>
      <c r="G539" t="s">
        <v>2</v>
      </c>
    </row>
    <row r="540" spans="1:7" ht="25.5" x14ac:dyDescent="0.25">
      <c r="A540" s="3">
        <v>424110</v>
      </c>
      <c r="B540" s="3" t="s">
        <v>3070</v>
      </c>
      <c r="C540" s="3">
        <v>424110</v>
      </c>
      <c r="D540" s="3" t="s">
        <v>3070</v>
      </c>
      <c r="E540" s="63"/>
    </row>
    <row r="541" spans="1:7" ht="25.5" x14ac:dyDescent="0.25">
      <c r="A541" s="3">
        <v>424120</v>
      </c>
      <c r="B541" s="3" t="s">
        <v>3071</v>
      </c>
      <c r="C541" s="3">
        <v>424120</v>
      </c>
      <c r="D541" s="3" t="s">
        <v>3071</v>
      </c>
      <c r="E541" s="63"/>
    </row>
    <row r="542" spans="1:7" ht="25.5" x14ac:dyDescent="0.25">
      <c r="A542" s="3">
        <v>424130</v>
      </c>
      <c r="B542" s="3" t="s">
        <v>3072</v>
      </c>
      <c r="C542" s="3">
        <v>424130</v>
      </c>
      <c r="D542" s="3" t="s">
        <v>3072</v>
      </c>
      <c r="E542" s="63"/>
    </row>
    <row r="543" spans="1:7" ht="25.5" x14ac:dyDescent="0.25">
      <c r="A543" s="3">
        <v>424210</v>
      </c>
      <c r="B543" s="3" t="s">
        <v>3073</v>
      </c>
      <c r="C543" s="3">
        <v>424210</v>
      </c>
      <c r="D543" s="3" t="s">
        <v>3073</v>
      </c>
      <c r="E543" s="63"/>
    </row>
    <row r="544" spans="1:7" ht="25.5" x14ac:dyDescent="0.25">
      <c r="A544" s="3">
        <v>424310</v>
      </c>
      <c r="B544" s="3" t="s">
        <v>3074</v>
      </c>
      <c r="C544" s="3">
        <v>424310</v>
      </c>
      <c r="D544" s="3" t="s">
        <v>3074</v>
      </c>
      <c r="E544" s="63"/>
    </row>
    <row r="545" spans="1:7" x14ac:dyDescent="0.25">
      <c r="A545" s="3">
        <v>424340</v>
      </c>
      <c r="B545" s="3" t="s">
        <v>3075</v>
      </c>
      <c r="C545" s="3">
        <v>424340</v>
      </c>
      <c r="D545" s="3" t="s">
        <v>3075</v>
      </c>
      <c r="E545" s="63"/>
    </row>
    <row r="546" spans="1:7" ht="25.5" x14ac:dyDescent="0.25">
      <c r="A546" s="3">
        <v>424320</v>
      </c>
      <c r="B546" s="3" t="s">
        <v>3076</v>
      </c>
      <c r="C546" s="4">
        <v>424350</v>
      </c>
      <c r="D546" s="3" t="s">
        <v>3077</v>
      </c>
      <c r="E546" s="102"/>
    </row>
    <row r="547" spans="1:7" ht="38.25" x14ac:dyDescent="0.25">
      <c r="A547" s="3">
        <v>424330</v>
      </c>
      <c r="B547" s="3" t="s">
        <v>3078</v>
      </c>
      <c r="C547" s="4">
        <v>424350</v>
      </c>
      <c r="D547" s="3" t="s">
        <v>3077</v>
      </c>
      <c r="E547" s="102"/>
    </row>
    <row r="548" spans="1:7" ht="25.5" x14ac:dyDescent="0.25">
      <c r="A548" s="3">
        <v>424410</v>
      </c>
      <c r="B548" s="3" t="s">
        <v>3079</v>
      </c>
      <c r="C548" s="3">
        <v>424410</v>
      </c>
      <c r="D548" s="3" t="s">
        <v>3079</v>
      </c>
      <c r="E548" s="63"/>
    </row>
    <row r="549" spans="1:7" ht="25.5" x14ac:dyDescent="0.25">
      <c r="A549" s="3">
        <v>424420</v>
      </c>
      <c r="B549" s="3" t="s">
        <v>3080</v>
      </c>
      <c r="C549" s="3">
        <v>424420</v>
      </c>
      <c r="D549" s="3" t="s">
        <v>3080</v>
      </c>
      <c r="E549" s="63"/>
    </row>
    <row r="550" spans="1:7" ht="25.5" x14ac:dyDescent="0.25">
      <c r="A550" s="3">
        <v>424430</v>
      </c>
      <c r="B550" s="3" t="s">
        <v>3081</v>
      </c>
      <c r="C550" s="3">
        <v>424430</v>
      </c>
      <c r="D550" s="3" t="s">
        <v>3081</v>
      </c>
      <c r="E550" s="63"/>
    </row>
    <row r="551" spans="1:7" ht="25.5" x14ac:dyDescent="0.25">
      <c r="A551" s="3">
        <v>424440</v>
      </c>
      <c r="B551" s="3" t="s">
        <v>3082</v>
      </c>
      <c r="C551" s="3">
        <v>424440</v>
      </c>
      <c r="D551" s="3" t="s">
        <v>3082</v>
      </c>
      <c r="E551" s="63"/>
    </row>
    <row r="552" spans="1:7" x14ac:dyDescent="0.25">
      <c r="A552" s="3">
        <v>424450</v>
      </c>
      <c r="B552" s="3" t="s">
        <v>3083</v>
      </c>
      <c r="C552" s="3">
        <v>424450</v>
      </c>
      <c r="D552" s="3" t="s">
        <v>3083</v>
      </c>
      <c r="E552" s="63"/>
    </row>
    <row r="553" spans="1:7" x14ac:dyDescent="0.25">
      <c r="A553" s="3">
        <v>424460</v>
      </c>
      <c r="B553" s="3" t="s">
        <v>3084</v>
      </c>
      <c r="C553" s="3">
        <v>424460</v>
      </c>
      <c r="D553" s="3" t="s">
        <v>3084</v>
      </c>
      <c r="E553" s="63"/>
    </row>
    <row r="554" spans="1:7" ht="25.5" x14ac:dyDescent="0.25">
      <c r="A554" s="3">
        <v>424470</v>
      </c>
      <c r="B554" s="3" t="s">
        <v>3085</v>
      </c>
      <c r="C554" s="3">
        <v>424470</v>
      </c>
      <c r="D554" s="3" t="s">
        <v>3085</v>
      </c>
      <c r="E554" s="63"/>
    </row>
    <row r="555" spans="1:7" ht="25.5" x14ac:dyDescent="0.25">
      <c r="A555" s="3">
        <v>424480</v>
      </c>
      <c r="B555" s="3" t="s">
        <v>3086</v>
      </c>
      <c r="C555" s="3">
        <v>424480</v>
      </c>
      <c r="D555" s="3" t="s">
        <v>3086</v>
      </c>
      <c r="E555" s="63"/>
    </row>
    <row r="556" spans="1:7" ht="25.5" x14ac:dyDescent="0.25">
      <c r="A556" s="3">
        <v>424490</v>
      </c>
      <c r="B556" s="3" t="s">
        <v>3087</v>
      </c>
      <c r="C556" s="3">
        <v>424490</v>
      </c>
      <c r="D556" s="3" t="s">
        <v>3087</v>
      </c>
      <c r="E556" s="63"/>
    </row>
    <row r="557" spans="1:7" ht="25.5" x14ac:dyDescent="0.25">
      <c r="A557" s="3">
        <v>424510</v>
      </c>
      <c r="B557" s="3" t="s">
        <v>3088</v>
      </c>
      <c r="C557" s="3">
        <v>424510</v>
      </c>
      <c r="D557" s="3" t="s">
        <v>3088</v>
      </c>
      <c r="E557" s="63"/>
    </row>
    <row r="558" spans="1:7" x14ac:dyDescent="0.25">
      <c r="A558" s="3">
        <v>424520</v>
      </c>
      <c r="B558" s="3" t="s">
        <v>3089</v>
      </c>
      <c r="C558" s="3">
        <v>424520</v>
      </c>
      <c r="D558" s="3" t="s">
        <v>3089</v>
      </c>
      <c r="E558" s="63"/>
      <c r="G558" t="s">
        <v>2</v>
      </c>
    </row>
    <row r="559" spans="1:7" ht="25.5" x14ac:dyDescent="0.25">
      <c r="A559" s="3">
        <v>424590</v>
      </c>
      <c r="B559" s="3" t="s">
        <v>3090</v>
      </c>
      <c r="C559" s="3">
        <v>424590</v>
      </c>
      <c r="D559" s="3" t="s">
        <v>3090</v>
      </c>
      <c r="E559" s="63"/>
    </row>
    <row r="560" spans="1:7" ht="25.5" x14ac:dyDescent="0.25">
      <c r="A560" s="3">
        <v>424610</v>
      </c>
      <c r="B560" s="3" t="s">
        <v>3091</v>
      </c>
      <c r="C560" s="3">
        <v>424610</v>
      </c>
      <c r="D560" s="3" t="s">
        <v>3091</v>
      </c>
      <c r="E560" s="63"/>
    </row>
    <row r="561" spans="1:8" ht="25.5" x14ac:dyDescent="0.25">
      <c r="A561" s="3">
        <v>424690</v>
      </c>
      <c r="B561" s="3" t="s">
        <v>3092</v>
      </c>
      <c r="C561" s="3">
        <v>424690</v>
      </c>
      <c r="D561" s="3" t="s">
        <v>3092</v>
      </c>
      <c r="E561" s="63"/>
    </row>
    <row r="562" spans="1:8" x14ac:dyDescent="0.25">
      <c r="A562" s="3">
        <v>424710</v>
      </c>
      <c r="B562" s="3" t="s">
        <v>3093</v>
      </c>
      <c r="C562" s="3">
        <v>424710</v>
      </c>
      <c r="D562" s="3" t="s">
        <v>3093</v>
      </c>
      <c r="E562" s="63"/>
    </row>
    <row r="563" spans="1:8" ht="38.25" x14ac:dyDescent="0.25">
      <c r="A563" s="3">
        <v>424720</v>
      </c>
      <c r="B563" s="3" t="s">
        <v>3094</v>
      </c>
      <c r="C563" s="3">
        <v>424720</v>
      </c>
      <c r="D563" s="3" t="s">
        <v>3094</v>
      </c>
      <c r="E563" s="63"/>
    </row>
    <row r="564" spans="1:8" x14ac:dyDescent="0.25">
      <c r="A564" s="3">
        <v>424810</v>
      </c>
      <c r="B564" s="3" t="s">
        <v>3095</v>
      </c>
      <c r="C564" s="3">
        <v>424810</v>
      </c>
      <c r="D564" s="3" t="s">
        <v>3095</v>
      </c>
      <c r="E564" s="63"/>
    </row>
    <row r="565" spans="1:8" ht="25.5" x14ac:dyDescent="0.25">
      <c r="A565" s="3">
        <v>424820</v>
      </c>
      <c r="B565" s="3" t="s">
        <v>3096</v>
      </c>
      <c r="C565" s="3">
        <v>424820</v>
      </c>
      <c r="D565" s="3" t="s">
        <v>3096</v>
      </c>
      <c r="E565" s="63"/>
    </row>
    <row r="566" spans="1:8" x14ac:dyDescent="0.25">
      <c r="A566" s="3">
        <v>424910</v>
      </c>
      <c r="B566" s="3" t="s">
        <v>3097</v>
      </c>
      <c r="C566" s="3">
        <v>424910</v>
      </c>
      <c r="D566" s="3" t="s">
        <v>3097</v>
      </c>
      <c r="E566" s="63"/>
    </row>
    <row r="567" spans="1:8" ht="25.5" x14ac:dyDescent="0.25">
      <c r="A567" s="3">
        <v>424920</v>
      </c>
      <c r="B567" s="3" t="s">
        <v>3098</v>
      </c>
      <c r="C567" s="3">
        <v>424920</v>
      </c>
      <c r="D567" s="3" t="s">
        <v>3098</v>
      </c>
      <c r="E567" s="63"/>
    </row>
    <row r="568" spans="1:8" ht="25.5" x14ac:dyDescent="0.25">
      <c r="A568" s="3">
        <v>424930</v>
      </c>
      <c r="B568" s="3" t="s">
        <v>3099</v>
      </c>
      <c r="C568" s="3">
        <v>424930</v>
      </c>
      <c r="D568" s="3" t="s">
        <v>3099</v>
      </c>
      <c r="E568" s="63"/>
    </row>
    <row r="569" spans="1:8" ht="25.5" x14ac:dyDescent="0.25">
      <c r="A569" s="3">
        <v>424940</v>
      </c>
      <c r="B569" s="3" t="s">
        <v>3100</v>
      </c>
      <c r="C569" s="3">
        <v>424940</v>
      </c>
      <c r="D569" s="3" t="s">
        <v>3101</v>
      </c>
      <c r="E569" s="63"/>
    </row>
    <row r="570" spans="1:8" ht="25.5" x14ac:dyDescent="0.25">
      <c r="A570" s="3">
        <v>424950</v>
      </c>
      <c r="B570" s="3" t="s">
        <v>3102</v>
      </c>
      <c r="C570" s="3">
        <v>424950</v>
      </c>
      <c r="D570" s="3" t="s">
        <v>3102</v>
      </c>
      <c r="E570" s="63"/>
    </row>
    <row r="571" spans="1:8" ht="25.5" x14ac:dyDescent="0.25">
      <c r="A571" s="3">
        <v>424990</v>
      </c>
      <c r="B571" s="3" t="s">
        <v>3103</v>
      </c>
      <c r="C571" s="3">
        <v>424990</v>
      </c>
      <c r="D571" s="3" t="s">
        <v>3103</v>
      </c>
      <c r="E571" s="63"/>
    </row>
    <row r="572" spans="1:8" ht="25.5" x14ac:dyDescent="0.25">
      <c r="A572" s="3">
        <v>425110</v>
      </c>
      <c r="B572" s="3" t="s">
        <v>3104</v>
      </c>
      <c r="C572" s="4">
        <v>425120</v>
      </c>
      <c r="D572" s="3" t="s">
        <v>3105</v>
      </c>
      <c r="E572" s="102"/>
    </row>
    <row r="573" spans="1:8" x14ac:dyDescent="0.25">
      <c r="A573" s="3">
        <v>425120</v>
      </c>
      <c r="B573" s="3" t="s">
        <v>3105</v>
      </c>
      <c r="C573" s="4">
        <v>425120</v>
      </c>
      <c r="D573" s="3" t="s">
        <v>3105</v>
      </c>
      <c r="E573" s="102"/>
    </row>
    <row r="574" spans="1:8" x14ac:dyDescent="0.25">
      <c r="A574" s="3">
        <v>441110</v>
      </c>
      <c r="B574" s="3" t="s">
        <v>3106</v>
      </c>
      <c r="C574" s="3">
        <v>441110</v>
      </c>
      <c r="D574" s="3" t="s">
        <v>3106</v>
      </c>
      <c r="E574" s="63"/>
    </row>
    <row r="575" spans="1:8" x14ac:dyDescent="0.25">
      <c r="A575" s="3">
        <v>441120</v>
      </c>
      <c r="B575" s="3" t="s">
        <v>3107</v>
      </c>
      <c r="C575" s="3">
        <v>441120</v>
      </c>
      <c r="D575" s="3" t="s">
        <v>3107</v>
      </c>
      <c r="E575" s="63"/>
    </row>
    <row r="576" spans="1:8" x14ac:dyDescent="0.25">
      <c r="A576" s="3">
        <v>441210</v>
      </c>
      <c r="B576" s="3" t="s">
        <v>3108</v>
      </c>
      <c r="C576" s="3">
        <v>441210</v>
      </c>
      <c r="D576" s="3" t="s">
        <v>3108</v>
      </c>
      <c r="E576" s="63"/>
      <c r="H576" t="s">
        <v>2</v>
      </c>
    </row>
    <row r="577" spans="1:4" x14ac:dyDescent="0.25">
      <c r="A577" s="3">
        <v>441222</v>
      </c>
      <c r="B577" s="3" t="s">
        <v>3109</v>
      </c>
      <c r="C577" s="3">
        <v>441222</v>
      </c>
      <c r="D577" s="3" t="s">
        <v>3109</v>
      </c>
    </row>
    <row r="578" spans="1:4" ht="25.5" x14ac:dyDescent="0.25">
      <c r="A578" s="81">
        <v>441228</v>
      </c>
      <c r="B578" s="81" t="s">
        <v>3110</v>
      </c>
      <c r="C578" s="82">
        <v>441227</v>
      </c>
      <c r="D578" s="81" t="s">
        <v>3110</v>
      </c>
    </row>
    <row r="579" spans="1:4" ht="25.5" x14ac:dyDescent="0.25">
      <c r="A579" s="5">
        <v>454110</v>
      </c>
      <c r="B579" s="3" t="s">
        <v>3111</v>
      </c>
      <c r="C579" s="82">
        <v>441227</v>
      </c>
      <c r="D579" s="81" t="s">
        <v>3110</v>
      </c>
    </row>
    <row r="580" spans="1:4" ht="25.5" x14ac:dyDescent="0.25">
      <c r="A580" s="3">
        <v>441310</v>
      </c>
      <c r="B580" s="3" t="s">
        <v>3112</v>
      </c>
      <c r="C580" s="4">
        <v>441330</v>
      </c>
      <c r="D580" s="3" t="s">
        <v>3113</v>
      </c>
    </row>
    <row r="581" spans="1:4" ht="25.5" x14ac:dyDescent="0.25">
      <c r="A581" s="5">
        <v>454110</v>
      </c>
      <c r="B581" s="3" t="s">
        <v>3111</v>
      </c>
      <c r="C581" s="4">
        <v>441330</v>
      </c>
      <c r="D581" s="3" t="s">
        <v>3113</v>
      </c>
    </row>
    <row r="582" spans="1:4" ht="25.5" x14ac:dyDescent="0.25">
      <c r="A582" s="5">
        <v>454390</v>
      </c>
      <c r="B582" s="3" t="s">
        <v>3114</v>
      </c>
      <c r="C582" s="4">
        <v>441330</v>
      </c>
      <c r="D582" s="3" t="s">
        <v>3113</v>
      </c>
    </row>
    <row r="583" spans="1:4" x14ac:dyDescent="0.25">
      <c r="A583" s="3">
        <v>441320</v>
      </c>
      <c r="B583" s="3" t="s">
        <v>3115</v>
      </c>
      <c r="C583" s="4">
        <v>441340</v>
      </c>
      <c r="D583" s="3" t="s">
        <v>3115</v>
      </c>
    </row>
    <row r="584" spans="1:4" ht="25.5" x14ac:dyDescent="0.25">
      <c r="A584" s="5">
        <v>454110</v>
      </c>
      <c r="B584" s="3" t="s">
        <v>3111</v>
      </c>
      <c r="C584" s="4">
        <v>441340</v>
      </c>
      <c r="D584" s="3" t="s">
        <v>3115</v>
      </c>
    </row>
    <row r="585" spans="1:4" x14ac:dyDescent="0.25">
      <c r="A585" s="5">
        <v>454390</v>
      </c>
      <c r="B585" s="3" t="s">
        <v>3114</v>
      </c>
      <c r="C585" s="4">
        <v>441340</v>
      </c>
      <c r="D585" s="3" t="s">
        <v>3115</v>
      </c>
    </row>
    <row r="586" spans="1:4" x14ac:dyDescent="0.25">
      <c r="A586" s="3">
        <v>444110</v>
      </c>
      <c r="B586" s="3" t="s">
        <v>3116</v>
      </c>
      <c r="C586" s="3">
        <v>444110</v>
      </c>
      <c r="D586" s="3" t="s">
        <v>3116</v>
      </c>
    </row>
    <row r="587" spans="1:4" x14ac:dyDescent="0.25">
      <c r="A587" s="3">
        <v>444120</v>
      </c>
      <c r="B587" s="3" t="s">
        <v>3117</v>
      </c>
      <c r="C587" s="3">
        <v>444120</v>
      </c>
      <c r="D587" s="3" t="s">
        <v>3118</v>
      </c>
    </row>
    <row r="588" spans="1:4" x14ac:dyDescent="0.25">
      <c r="A588" s="3">
        <v>444130</v>
      </c>
      <c r="B588" s="3" t="s">
        <v>3119</v>
      </c>
      <c r="C588" s="4">
        <v>444140</v>
      </c>
      <c r="D588" s="3" t="s">
        <v>3120</v>
      </c>
    </row>
    <row r="589" spans="1:4" ht="25.5" x14ac:dyDescent="0.25">
      <c r="A589" s="5">
        <v>454110</v>
      </c>
      <c r="B589" s="3" t="s">
        <v>3111</v>
      </c>
      <c r="C589" s="4">
        <v>444140</v>
      </c>
      <c r="D589" s="3" t="s">
        <v>3120</v>
      </c>
    </row>
    <row r="590" spans="1:4" x14ac:dyDescent="0.25">
      <c r="A590" s="5">
        <v>454390</v>
      </c>
      <c r="B590" s="3" t="s">
        <v>3114</v>
      </c>
      <c r="C590" s="4">
        <v>444140</v>
      </c>
      <c r="D590" s="3" t="s">
        <v>3120</v>
      </c>
    </row>
    <row r="591" spans="1:4" x14ac:dyDescent="0.25">
      <c r="A591" s="3">
        <v>444190</v>
      </c>
      <c r="B591" s="3" t="s">
        <v>3121</v>
      </c>
      <c r="C591" s="4">
        <v>444180</v>
      </c>
      <c r="D591" s="3" t="s">
        <v>3121</v>
      </c>
    </row>
    <row r="592" spans="1:4" ht="25.5" x14ac:dyDescent="0.25">
      <c r="A592" s="5">
        <v>454110</v>
      </c>
      <c r="B592" s="3" t="s">
        <v>3111</v>
      </c>
      <c r="C592" s="4">
        <v>444180</v>
      </c>
      <c r="D592" s="3" t="s">
        <v>3121</v>
      </c>
    </row>
    <row r="593" spans="1:4" x14ac:dyDescent="0.25">
      <c r="A593" s="5">
        <v>454390</v>
      </c>
      <c r="B593" s="3" t="s">
        <v>3114</v>
      </c>
      <c r="C593" s="4">
        <v>444180</v>
      </c>
      <c r="D593" s="3" t="s">
        <v>3121</v>
      </c>
    </row>
    <row r="594" spans="1:4" x14ac:dyDescent="0.25">
      <c r="A594" s="3">
        <v>444210</v>
      </c>
      <c r="B594" s="3" t="s">
        <v>3122</v>
      </c>
      <c r="C594" s="4">
        <v>444230</v>
      </c>
      <c r="D594" s="3" t="s">
        <v>3123</v>
      </c>
    </row>
    <row r="595" spans="1:4" ht="25.5" x14ac:dyDescent="0.25">
      <c r="A595" s="5">
        <v>454110</v>
      </c>
      <c r="B595" s="3" t="s">
        <v>3111</v>
      </c>
      <c r="C595" s="4">
        <v>444230</v>
      </c>
      <c r="D595" s="3" t="s">
        <v>3123</v>
      </c>
    </row>
    <row r="596" spans="1:4" x14ac:dyDescent="0.25">
      <c r="A596" s="5">
        <v>454390</v>
      </c>
      <c r="B596" s="3" t="s">
        <v>3114</v>
      </c>
      <c r="C596" s="4">
        <v>444230</v>
      </c>
      <c r="D596" s="3" t="s">
        <v>3123</v>
      </c>
    </row>
    <row r="597" spans="1:4" ht="25.5" x14ac:dyDescent="0.25">
      <c r="A597" s="3">
        <v>444220</v>
      </c>
      <c r="B597" s="3" t="s">
        <v>3124</v>
      </c>
      <c r="C597" s="4">
        <v>444240</v>
      </c>
      <c r="D597" s="3" t="s">
        <v>3125</v>
      </c>
    </row>
    <row r="598" spans="1:4" ht="25.5" x14ac:dyDescent="0.25">
      <c r="A598" s="5">
        <v>454110</v>
      </c>
      <c r="B598" s="3" t="s">
        <v>3111</v>
      </c>
      <c r="C598" s="4">
        <v>444240</v>
      </c>
      <c r="D598" s="3" t="s">
        <v>3125</v>
      </c>
    </row>
    <row r="599" spans="1:4" ht="25.5" x14ac:dyDescent="0.25">
      <c r="A599" s="5">
        <v>454390</v>
      </c>
      <c r="B599" s="3" t="s">
        <v>3114</v>
      </c>
      <c r="C599" s="4">
        <v>444240</v>
      </c>
      <c r="D599" s="3" t="s">
        <v>3125</v>
      </c>
    </row>
    <row r="600" spans="1:4" ht="25.5" x14ac:dyDescent="0.25">
      <c r="A600" s="3">
        <v>445110</v>
      </c>
      <c r="B600" s="3" t="s">
        <v>3126</v>
      </c>
      <c r="C600" s="3">
        <v>445110</v>
      </c>
      <c r="D600" s="3" t="s">
        <v>3127</v>
      </c>
    </row>
    <row r="601" spans="1:4" x14ac:dyDescent="0.25">
      <c r="A601" s="3">
        <v>445120</v>
      </c>
      <c r="B601" s="3" t="s">
        <v>3128</v>
      </c>
      <c r="C601" s="4">
        <v>445131</v>
      </c>
      <c r="D601" s="3" t="s">
        <v>3129</v>
      </c>
    </row>
    <row r="602" spans="1:4" ht="25.5" x14ac:dyDescent="0.25">
      <c r="A602" s="5">
        <v>454110</v>
      </c>
      <c r="B602" s="3" t="s">
        <v>3111</v>
      </c>
      <c r="C602" s="4">
        <v>445131</v>
      </c>
      <c r="D602" s="3" t="s">
        <v>3129</v>
      </c>
    </row>
    <row r="603" spans="1:4" x14ac:dyDescent="0.25">
      <c r="A603" s="5">
        <v>454390</v>
      </c>
      <c r="B603" s="3" t="s">
        <v>3114</v>
      </c>
      <c r="C603" s="4">
        <v>445131</v>
      </c>
      <c r="D603" s="3" t="s">
        <v>3129</v>
      </c>
    </row>
    <row r="604" spans="1:4" x14ac:dyDescent="0.25">
      <c r="A604" s="3">
        <v>454210</v>
      </c>
      <c r="B604" s="3" t="s">
        <v>3130</v>
      </c>
      <c r="C604" s="3">
        <v>445132</v>
      </c>
      <c r="D604" s="3" t="s">
        <v>3130</v>
      </c>
    </row>
    <row r="605" spans="1:4" x14ac:dyDescent="0.25">
      <c r="A605" s="3">
        <v>445230</v>
      </c>
      <c r="B605" s="3" t="s">
        <v>3131</v>
      </c>
      <c r="C605" s="3">
        <v>445230</v>
      </c>
      <c r="D605" s="3" t="s">
        <v>3132</v>
      </c>
    </row>
    <row r="606" spans="1:4" x14ac:dyDescent="0.25">
      <c r="A606" s="3">
        <v>445210</v>
      </c>
      <c r="B606" s="3" t="s">
        <v>3133</v>
      </c>
      <c r="C606" s="4">
        <v>445240</v>
      </c>
      <c r="D606" s="3" t="s">
        <v>3134</v>
      </c>
    </row>
    <row r="607" spans="1:4" ht="25.5" x14ac:dyDescent="0.25">
      <c r="A607" s="5">
        <v>454110</v>
      </c>
      <c r="B607" s="3" t="s">
        <v>3111</v>
      </c>
      <c r="C607" s="4">
        <v>445240</v>
      </c>
      <c r="D607" s="3" t="s">
        <v>3134</v>
      </c>
    </row>
    <row r="608" spans="1:4" x14ac:dyDescent="0.25">
      <c r="A608" s="5">
        <v>454390</v>
      </c>
      <c r="B608" s="3" t="s">
        <v>3114</v>
      </c>
      <c r="C608" s="4">
        <v>445240</v>
      </c>
      <c r="D608" s="3" t="s">
        <v>3134</v>
      </c>
    </row>
    <row r="609" spans="1:4" x14ac:dyDescent="0.25">
      <c r="A609" s="3">
        <v>445220</v>
      </c>
      <c r="B609" s="3" t="s">
        <v>3135</v>
      </c>
      <c r="C609" s="4">
        <v>445250</v>
      </c>
      <c r="D609" s="3" t="s">
        <v>3136</v>
      </c>
    </row>
    <row r="610" spans="1:4" ht="25.5" x14ac:dyDescent="0.25">
      <c r="A610" s="5">
        <v>454110</v>
      </c>
      <c r="B610" s="3" t="s">
        <v>3111</v>
      </c>
      <c r="C610" s="4">
        <v>445250</v>
      </c>
      <c r="D610" s="3" t="s">
        <v>3136</v>
      </c>
    </row>
    <row r="611" spans="1:4" x14ac:dyDescent="0.25">
      <c r="A611" s="5">
        <v>454390</v>
      </c>
      <c r="B611" s="3" t="s">
        <v>3114</v>
      </c>
      <c r="C611" s="4">
        <v>445250</v>
      </c>
      <c r="D611" s="3" t="s">
        <v>3136</v>
      </c>
    </row>
    <row r="612" spans="1:4" x14ac:dyDescent="0.25">
      <c r="A612" s="3">
        <v>445291</v>
      </c>
      <c r="B612" s="3" t="s">
        <v>3137</v>
      </c>
      <c r="C612" s="3">
        <v>445291</v>
      </c>
      <c r="D612" s="3" t="s">
        <v>3138</v>
      </c>
    </row>
    <row r="613" spans="1:4" x14ac:dyDescent="0.25">
      <c r="A613" s="3">
        <v>445292</v>
      </c>
      <c r="B613" s="3" t="s">
        <v>3139</v>
      </c>
      <c r="C613" s="3">
        <v>445292</v>
      </c>
      <c r="D613" s="3" t="s">
        <v>3140</v>
      </c>
    </row>
    <row r="614" spans="1:4" x14ac:dyDescent="0.25">
      <c r="A614" s="3">
        <v>445299</v>
      </c>
      <c r="B614" s="3" t="s">
        <v>3141</v>
      </c>
      <c r="C614" s="4">
        <v>445298</v>
      </c>
      <c r="D614" s="3" t="s">
        <v>3142</v>
      </c>
    </row>
    <row r="615" spans="1:4" ht="25.5" x14ac:dyDescent="0.25">
      <c r="A615" s="5">
        <v>454110</v>
      </c>
      <c r="B615" s="3" t="s">
        <v>3111</v>
      </c>
      <c r="C615" s="4">
        <v>445298</v>
      </c>
      <c r="D615" s="3" t="s">
        <v>3142</v>
      </c>
    </row>
    <row r="616" spans="1:4" x14ac:dyDescent="0.25">
      <c r="A616" s="5">
        <v>454390</v>
      </c>
      <c r="B616" s="3" t="s">
        <v>3114</v>
      </c>
      <c r="C616" s="4">
        <v>445298</v>
      </c>
      <c r="D616" s="3" t="s">
        <v>3142</v>
      </c>
    </row>
    <row r="617" spans="1:4" x14ac:dyDescent="0.25">
      <c r="A617" s="3">
        <v>445310</v>
      </c>
      <c r="B617" s="3" t="s">
        <v>3143</v>
      </c>
      <c r="C617" s="4">
        <v>445320</v>
      </c>
      <c r="D617" s="3" t="s">
        <v>3144</v>
      </c>
    </row>
    <row r="618" spans="1:4" ht="25.5" x14ac:dyDescent="0.25">
      <c r="A618" s="5">
        <v>454110</v>
      </c>
      <c r="B618" s="3" t="s">
        <v>3111</v>
      </c>
      <c r="C618" s="4">
        <v>445320</v>
      </c>
      <c r="D618" s="3" t="s">
        <v>3144</v>
      </c>
    </row>
    <row r="619" spans="1:4" x14ac:dyDescent="0.25">
      <c r="A619" s="5">
        <v>454390</v>
      </c>
      <c r="B619" s="3" t="s">
        <v>3114</v>
      </c>
      <c r="C619" s="4">
        <v>445320</v>
      </c>
      <c r="D619" s="3" t="s">
        <v>3144</v>
      </c>
    </row>
    <row r="620" spans="1:4" x14ac:dyDescent="0.25">
      <c r="A620" s="3">
        <v>442110</v>
      </c>
      <c r="B620" s="3" t="s">
        <v>3145</v>
      </c>
      <c r="C620" s="4">
        <v>449110</v>
      </c>
      <c r="D620" s="3" t="s">
        <v>3146</v>
      </c>
    </row>
    <row r="621" spans="1:4" ht="25.5" x14ac:dyDescent="0.25">
      <c r="A621" s="5">
        <v>454110</v>
      </c>
      <c r="B621" s="3" t="s">
        <v>3111</v>
      </c>
      <c r="C621" s="4">
        <v>449110</v>
      </c>
      <c r="D621" s="3" t="s">
        <v>3146</v>
      </c>
    </row>
    <row r="622" spans="1:4" x14ac:dyDescent="0.25">
      <c r="A622" s="5">
        <v>454390</v>
      </c>
      <c r="B622" s="3" t="s">
        <v>3114</v>
      </c>
      <c r="C622" s="4">
        <v>449110</v>
      </c>
      <c r="D622" s="3" t="s">
        <v>3146</v>
      </c>
    </row>
    <row r="623" spans="1:4" x14ac:dyDescent="0.25">
      <c r="A623" s="3">
        <v>442210</v>
      </c>
      <c r="B623" s="3" t="s">
        <v>3147</v>
      </c>
      <c r="C623" s="4">
        <v>449121</v>
      </c>
      <c r="D623" s="3" t="s">
        <v>3148</v>
      </c>
    </row>
    <row r="624" spans="1:4" ht="25.5" x14ac:dyDescent="0.25">
      <c r="A624" s="5">
        <v>454110</v>
      </c>
      <c r="B624" s="3" t="s">
        <v>3111</v>
      </c>
      <c r="C624" s="4">
        <v>449121</v>
      </c>
      <c r="D624" s="3" t="s">
        <v>3148</v>
      </c>
    </row>
    <row r="625" spans="1:4" x14ac:dyDescent="0.25">
      <c r="A625" s="5">
        <v>454390</v>
      </c>
      <c r="B625" s="3" t="s">
        <v>3114</v>
      </c>
      <c r="C625" s="4">
        <v>449121</v>
      </c>
      <c r="D625" s="3" t="s">
        <v>3148</v>
      </c>
    </row>
    <row r="626" spans="1:4" x14ac:dyDescent="0.25">
      <c r="A626" s="3">
        <v>442291</v>
      </c>
      <c r="B626" s="3" t="s">
        <v>3149</v>
      </c>
      <c r="C626" s="4">
        <v>449122</v>
      </c>
      <c r="D626" s="3" t="s">
        <v>3150</v>
      </c>
    </row>
    <row r="627" spans="1:4" ht="25.5" x14ac:dyDescent="0.25">
      <c r="A627" s="5">
        <v>454110</v>
      </c>
      <c r="B627" s="3" t="s">
        <v>3111</v>
      </c>
      <c r="C627" s="4">
        <v>449122</v>
      </c>
      <c r="D627" s="3" t="s">
        <v>3150</v>
      </c>
    </row>
    <row r="628" spans="1:4" x14ac:dyDescent="0.25">
      <c r="A628" s="5">
        <v>454390</v>
      </c>
      <c r="B628" s="3" t="s">
        <v>3114</v>
      </c>
      <c r="C628" s="4">
        <v>449122</v>
      </c>
      <c r="D628" s="3" t="s">
        <v>3150</v>
      </c>
    </row>
    <row r="629" spans="1:4" x14ac:dyDescent="0.25">
      <c r="A629" s="3">
        <v>442299</v>
      </c>
      <c r="B629" s="3" t="s">
        <v>3151</v>
      </c>
      <c r="C629" s="4">
        <v>449129</v>
      </c>
      <c r="D629" s="3" t="s">
        <v>3152</v>
      </c>
    </row>
    <row r="630" spans="1:4" ht="25.5" x14ac:dyDescent="0.25">
      <c r="A630" s="5">
        <v>454110</v>
      </c>
      <c r="B630" s="3" t="s">
        <v>3111</v>
      </c>
      <c r="C630" s="4">
        <v>449129</v>
      </c>
      <c r="D630" s="3" t="s">
        <v>3152</v>
      </c>
    </row>
    <row r="631" spans="1:4" x14ac:dyDescent="0.25">
      <c r="A631" s="5">
        <v>454390</v>
      </c>
      <c r="B631" s="3" t="s">
        <v>3114</v>
      </c>
      <c r="C631" s="4">
        <v>449129</v>
      </c>
      <c r="D631" s="3" t="s">
        <v>3152</v>
      </c>
    </row>
    <row r="632" spans="1:4" x14ac:dyDescent="0.25">
      <c r="A632" s="81">
        <v>443141</v>
      </c>
      <c r="B632" s="81" t="s">
        <v>3153</v>
      </c>
      <c r="C632" s="82">
        <v>449210</v>
      </c>
      <c r="D632" s="81" t="s">
        <v>3154</v>
      </c>
    </row>
    <row r="633" spans="1:4" x14ac:dyDescent="0.25">
      <c r="A633" s="81">
        <v>443142</v>
      </c>
      <c r="B633" s="81" t="s">
        <v>3155</v>
      </c>
      <c r="C633" s="82">
        <v>449210</v>
      </c>
      <c r="D633" s="81" t="s">
        <v>3154</v>
      </c>
    </row>
    <row r="634" spans="1:4" ht="25.5" x14ac:dyDescent="0.25">
      <c r="A634" s="5">
        <v>454110</v>
      </c>
      <c r="B634" s="3" t="s">
        <v>3111</v>
      </c>
      <c r="C634" s="82">
        <v>449210</v>
      </c>
      <c r="D634" s="81" t="s">
        <v>3154</v>
      </c>
    </row>
    <row r="635" spans="1:4" x14ac:dyDescent="0.25">
      <c r="A635" s="5">
        <v>454390</v>
      </c>
      <c r="B635" s="3" t="s">
        <v>3114</v>
      </c>
      <c r="C635" s="82">
        <v>449210</v>
      </c>
      <c r="D635" s="81" t="s">
        <v>3154</v>
      </c>
    </row>
    <row r="636" spans="1:4" x14ac:dyDescent="0.25">
      <c r="A636" s="3">
        <v>452210</v>
      </c>
      <c r="B636" s="3" t="s">
        <v>3156</v>
      </c>
      <c r="C636" s="4">
        <v>455110</v>
      </c>
      <c r="D636" s="3" t="s">
        <v>3156</v>
      </c>
    </row>
    <row r="637" spans="1:4" ht="25.5" x14ac:dyDescent="0.25">
      <c r="A637" s="5">
        <v>454110</v>
      </c>
      <c r="B637" s="3" t="s">
        <v>3111</v>
      </c>
      <c r="C637" s="4">
        <v>455110</v>
      </c>
      <c r="D637" s="3" t="s">
        <v>3156</v>
      </c>
    </row>
    <row r="638" spans="1:4" x14ac:dyDescent="0.25">
      <c r="A638" s="3">
        <v>452311</v>
      </c>
      <c r="B638" s="3" t="s">
        <v>3157</v>
      </c>
      <c r="C638" s="4">
        <v>455211</v>
      </c>
      <c r="D638" s="3" t="s">
        <v>3157</v>
      </c>
    </row>
    <row r="639" spans="1:4" ht="25.5" x14ac:dyDescent="0.25">
      <c r="A639" s="5">
        <v>454110</v>
      </c>
      <c r="B639" s="3" t="s">
        <v>3111</v>
      </c>
      <c r="C639" s="4">
        <v>455211</v>
      </c>
      <c r="D639" s="3" t="s">
        <v>3157</v>
      </c>
    </row>
    <row r="640" spans="1:4" x14ac:dyDescent="0.25">
      <c r="A640" s="3">
        <v>452319</v>
      </c>
      <c r="B640" s="3" t="s">
        <v>3158</v>
      </c>
      <c r="C640" s="4">
        <v>455219</v>
      </c>
      <c r="D640" s="3" t="s">
        <v>3159</v>
      </c>
    </row>
    <row r="641" spans="1:8" ht="38.25" x14ac:dyDescent="0.25">
      <c r="A641" s="5">
        <v>453998</v>
      </c>
      <c r="B641" s="3" t="s">
        <v>3160</v>
      </c>
      <c r="C641" s="4">
        <v>455219</v>
      </c>
      <c r="D641" s="3" t="s">
        <v>3159</v>
      </c>
      <c r="E641" s="102"/>
    </row>
    <row r="642" spans="1:8" ht="25.5" x14ac:dyDescent="0.25">
      <c r="A642" s="5">
        <v>454110</v>
      </c>
      <c r="B642" s="3" t="s">
        <v>3111</v>
      </c>
      <c r="C642" s="4">
        <v>455219</v>
      </c>
      <c r="D642" s="3" t="s">
        <v>3159</v>
      </c>
      <c r="E642" s="102"/>
    </row>
    <row r="643" spans="1:8" x14ac:dyDescent="0.25">
      <c r="A643" s="5">
        <v>454390</v>
      </c>
      <c r="B643" s="3" t="s">
        <v>3114</v>
      </c>
      <c r="C643" s="4">
        <v>455219</v>
      </c>
      <c r="D643" s="3" t="s">
        <v>3159</v>
      </c>
      <c r="E643" s="102"/>
    </row>
    <row r="644" spans="1:8" x14ac:dyDescent="0.25">
      <c r="A644" s="3">
        <v>446110</v>
      </c>
      <c r="B644" s="3" t="s">
        <v>3161</v>
      </c>
      <c r="C644" s="4">
        <v>456110</v>
      </c>
      <c r="D644" s="3" t="s">
        <v>3162</v>
      </c>
      <c r="E644" s="102"/>
    </row>
    <row r="645" spans="1:8" ht="25.5" x14ac:dyDescent="0.25">
      <c r="A645" s="5">
        <v>454110</v>
      </c>
      <c r="B645" s="3" t="s">
        <v>3111</v>
      </c>
      <c r="C645" s="4">
        <v>456110</v>
      </c>
      <c r="D645" s="3" t="s">
        <v>3162</v>
      </c>
      <c r="E645" s="102"/>
    </row>
    <row r="646" spans="1:8" x14ac:dyDescent="0.25">
      <c r="A646" s="5">
        <v>454390</v>
      </c>
      <c r="B646" s="3" t="s">
        <v>3114</v>
      </c>
      <c r="C646" s="4">
        <v>456110</v>
      </c>
      <c r="D646" s="3" t="s">
        <v>3162</v>
      </c>
      <c r="E646" s="102"/>
    </row>
    <row r="647" spans="1:8" ht="25.5" x14ac:dyDescent="0.25">
      <c r="A647" s="3">
        <v>446120</v>
      </c>
      <c r="B647" s="3" t="s">
        <v>3163</v>
      </c>
      <c r="C647" s="4">
        <v>456120</v>
      </c>
      <c r="D647" s="3" t="s">
        <v>3164</v>
      </c>
      <c r="E647" s="102"/>
      <c r="H647" t="s">
        <v>2</v>
      </c>
    </row>
    <row r="648" spans="1:8" ht="25.5" x14ac:dyDescent="0.25">
      <c r="A648" s="5">
        <v>454110</v>
      </c>
      <c r="B648" s="3" t="s">
        <v>3111</v>
      </c>
      <c r="C648" s="4">
        <v>456120</v>
      </c>
      <c r="D648" s="3" t="s">
        <v>3164</v>
      </c>
      <c r="E648" s="102"/>
    </row>
    <row r="649" spans="1:8" ht="25.5" x14ac:dyDescent="0.25">
      <c r="A649" s="5">
        <v>454390</v>
      </c>
      <c r="B649" s="3" t="s">
        <v>3114</v>
      </c>
      <c r="C649" s="4">
        <v>456120</v>
      </c>
      <c r="D649" s="3" t="s">
        <v>3164</v>
      </c>
      <c r="E649" s="102"/>
    </row>
    <row r="650" spans="1:8" x14ac:dyDescent="0.25">
      <c r="A650" s="3">
        <v>446130</v>
      </c>
      <c r="B650" s="3" t="s">
        <v>3165</v>
      </c>
      <c r="C650" s="4">
        <v>456130</v>
      </c>
      <c r="D650" s="3" t="s">
        <v>3166</v>
      </c>
      <c r="E650" s="102"/>
    </row>
    <row r="651" spans="1:8" ht="25.5" x14ac:dyDescent="0.25">
      <c r="A651" s="5">
        <v>454110</v>
      </c>
      <c r="B651" s="3" t="s">
        <v>3111</v>
      </c>
      <c r="C651" s="4">
        <v>456130</v>
      </c>
      <c r="D651" s="3" t="s">
        <v>3166</v>
      </c>
      <c r="E651" s="102"/>
    </row>
    <row r="652" spans="1:8" x14ac:dyDescent="0.25">
      <c r="A652" s="5">
        <v>454390</v>
      </c>
      <c r="B652" s="3" t="s">
        <v>3114</v>
      </c>
      <c r="C652" s="4">
        <v>456130</v>
      </c>
      <c r="D652" s="3" t="s">
        <v>3166</v>
      </c>
      <c r="E652" s="102"/>
    </row>
    <row r="653" spans="1:8" x14ac:dyDescent="0.25">
      <c r="A653" s="3">
        <v>446191</v>
      </c>
      <c r="B653" s="3" t="s">
        <v>3167</v>
      </c>
      <c r="C653" s="4">
        <v>456191</v>
      </c>
      <c r="D653" s="3" t="s">
        <v>3168</v>
      </c>
      <c r="E653" s="102"/>
    </row>
    <row r="654" spans="1:8" ht="25.5" x14ac:dyDescent="0.25">
      <c r="A654" s="5">
        <v>454110</v>
      </c>
      <c r="B654" s="3" t="s">
        <v>3111</v>
      </c>
      <c r="C654" s="4">
        <v>456191</v>
      </c>
      <c r="D654" s="3" t="s">
        <v>3168</v>
      </c>
      <c r="E654" s="102"/>
    </row>
    <row r="655" spans="1:8" x14ac:dyDescent="0.25">
      <c r="A655" s="5">
        <v>454390</v>
      </c>
      <c r="B655" s="3" t="s">
        <v>3114</v>
      </c>
      <c r="C655" s="4">
        <v>456191</v>
      </c>
      <c r="D655" s="3" t="s">
        <v>3168</v>
      </c>
      <c r="E655" s="102"/>
    </row>
    <row r="656" spans="1:8" ht="25.5" x14ac:dyDescent="0.25">
      <c r="A656" s="3">
        <v>446199</v>
      </c>
      <c r="B656" s="3" t="s">
        <v>3169</v>
      </c>
      <c r="C656" s="4">
        <v>456199</v>
      </c>
      <c r="D656" s="3" t="s">
        <v>3170</v>
      </c>
      <c r="E656" s="102"/>
    </row>
    <row r="657" spans="1:4" ht="25.5" x14ac:dyDescent="0.25">
      <c r="A657" s="5">
        <v>454110</v>
      </c>
      <c r="B657" s="3" t="s">
        <v>3111</v>
      </c>
      <c r="C657" s="4">
        <v>456199</v>
      </c>
      <c r="D657" s="3" t="s">
        <v>3170</v>
      </c>
    </row>
    <row r="658" spans="1:4" ht="25.5" x14ac:dyDescent="0.25">
      <c r="A658" s="5">
        <v>454390</v>
      </c>
      <c r="B658" s="3" t="s">
        <v>3114</v>
      </c>
      <c r="C658" s="4">
        <v>456199</v>
      </c>
      <c r="D658" s="3" t="s">
        <v>3170</v>
      </c>
    </row>
    <row r="659" spans="1:4" ht="25.5" x14ac:dyDescent="0.25">
      <c r="A659" s="3">
        <v>447110</v>
      </c>
      <c r="B659" s="3" t="s">
        <v>3171</v>
      </c>
      <c r="C659" s="3">
        <v>457110</v>
      </c>
      <c r="D659" s="3" t="s">
        <v>3171</v>
      </c>
    </row>
    <row r="660" spans="1:4" x14ac:dyDescent="0.25">
      <c r="A660" s="3">
        <v>447190</v>
      </c>
      <c r="B660" s="3" t="s">
        <v>3172</v>
      </c>
      <c r="C660" s="3">
        <v>457120</v>
      </c>
      <c r="D660" s="3" t="s">
        <v>3172</v>
      </c>
    </row>
    <row r="661" spans="1:4" x14ac:dyDescent="0.25">
      <c r="A661" s="83">
        <v>454310</v>
      </c>
      <c r="B661" s="83" t="s">
        <v>3173</v>
      </c>
      <c r="C661" s="83">
        <v>457210</v>
      </c>
      <c r="D661" s="83" t="s">
        <v>3173</v>
      </c>
    </row>
    <row r="662" spans="1:4" ht="25.5" x14ac:dyDescent="0.25">
      <c r="A662" s="3">
        <v>448110</v>
      </c>
      <c r="B662" s="3" t="s">
        <v>3174</v>
      </c>
      <c r="C662" s="4">
        <v>458110</v>
      </c>
      <c r="D662" s="3" t="s">
        <v>3175</v>
      </c>
    </row>
    <row r="663" spans="1:4" ht="25.5" x14ac:dyDescent="0.25">
      <c r="A663" s="3">
        <v>448120</v>
      </c>
      <c r="B663" s="3" t="s">
        <v>3176</v>
      </c>
      <c r="C663" s="4">
        <v>458110</v>
      </c>
      <c r="D663" s="3" t="s">
        <v>3175</v>
      </c>
    </row>
    <row r="664" spans="1:4" ht="25.5" x14ac:dyDescent="0.25">
      <c r="A664" s="3">
        <v>448130</v>
      </c>
      <c r="B664" s="3" t="s">
        <v>3177</v>
      </c>
      <c r="C664" s="4">
        <v>458110</v>
      </c>
      <c r="D664" s="3" t="s">
        <v>3175</v>
      </c>
    </row>
    <row r="665" spans="1:4" ht="25.5" x14ac:dyDescent="0.25">
      <c r="A665" s="3">
        <v>448140</v>
      </c>
      <c r="B665" s="3" t="s">
        <v>3178</v>
      </c>
      <c r="C665" s="4">
        <v>458110</v>
      </c>
      <c r="D665" s="3" t="s">
        <v>3175</v>
      </c>
    </row>
    <row r="666" spans="1:4" ht="25.5" x14ac:dyDescent="0.25">
      <c r="A666" s="3">
        <v>448150</v>
      </c>
      <c r="B666" s="3" t="s">
        <v>3179</v>
      </c>
      <c r="C666" s="4">
        <v>458110</v>
      </c>
      <c r="D666" s="3" t="s">
        <v>3175</v>
      </c>
    </row>
    <row r="667" spans="1:4" ht="25.5" x14ac:dyDescent="0.25">
      <c r="A667" s="3">
        <v>448190</v>
      </c>
      <c r="B667" s="3" t="s">
        <v>3180</v>
      </c>
      <c r="C667" s="4">
        <v>458110</v>
      </c>
      <c r="D667" s="3" t="s">
        <v>3175</v>
      </c>
    </row>
    <row r="668" spans="1:4" ht="25.5" x14ac:dyDescent="0.25">
      <c r="A668" s="5">
        <v>454110</v>
      </c>
      <c r="B668" s="3" t="s">
        <v>3111</v>
      </c>
      <c r="C668" s="4">
        <v>458110</v>
      </c>
      <c r="D668" s="3" t="s">
        <v>3175</v>
      </c>
    </row>
    <row r="669" spans="1:4" ht="25.5" x14ac:dyDescent="0.25">
      <c r="A669" s="5">
        <v>454390</v>
      </c>
      <c r="B669" s="3" t="s">
        <v>3114</v>
      </c>
      <c r="C669" s="4">
        <v>458110</v>
      </c>
      <c r="D669" s="3" t="s">
        <v>3175</v>
      </c>
    </row>
    <row r="670" spans="1:4" x14ac:dyDescent="0.25">
      <c r="A670" s="3">
        <v>448210</v>
      </c>
      <c r="B670" s="3" t="s">
        <v>3181</v>
      </c>
      <c r="C670" s="4">
        <v>458210</v>
      </c>
      <c r="D670" s="3" t="s">
        <v>3182</v>
      </c>
    </row>
    <row r="671" spans="1:4" ht="25.5" x14ac:dyDescent="0.25">
      <c r="A671" s="5">
        <v>454110</v>
      </c>
      <c r="B671" s="3" t="s">
        <v>3111</v>
      </c>
      <c r="C671" s="4">
        <v>458210</v>
      </c>
      <c r="D671" s="3" t="s">
        <v>3182</v>
      </c>
    </row>
    <row r="672" spans="1:4" x14ac:dyDescent="0.25">
      <c r="A672" s="5">
        <v>454390</v>
      </c>
      <c r="B672" s="3" t="s">
        <v>3114</v>
      </c>
      <c r="C672" s="4">
        <v>458210</v>
      </c>
      <c r="D672" s="3" t="s">
        <v>3182</v>
      </c>
    </row>
    <row r="673" spans="1:4" x14ac:dyDescent="0.25">
      <c r="A673" s="3">
        <v>448310</v>
      </c>
      <c r="B673" s="3" t="s">
        <v>3183</v>
      </c>
      <c r="C673" s="4">
        <v>458310</v>
      </c>
      <c r="D673" s="3" t="s">
        <v>3184</v>
      </c>
    </row>
    <row r="674" spans="1:4" ht="25.5" x14ac:dyDescent="0.25">
      <c r="A674" s="5">
        <v>454110</v>
      </c>
      <c r="B674" s="3" t="s">
        <v>3111</v>
      </c>
      <c r="C674" s="4">
        <v>458310</v>
      </c>
      <c r="D674" s="3" t="s">
        <v>3184</v>
      </c>
    </row>
    <row r="675" spans="1:4" x14ac:dyDescent="0.25">
      <c r="A675" s="5">
        <v>454390</v>
      </c>
      <c r="B675" s="3" t="s">
        <v>3114</v>
      </c>
      <c r="C675" s="4">
        <v>458310</v>
      </c>
      <c r="D675" s="3" t="s">
        <v>3184</v>
      </c>
    </row>
    <row r="676" spans="1:4" x14ac:dyDescent="0.25">
      <c r="A676" s="3">
        <v>448320</v>
      </c>
      <c r="B676" s="3" t="s">
        <v>3185</v>
      </c>
      <c r="C676" s="4">
        <v>458320</v>
      </c>
      <c r="D676" s="3" t="s">
        <v>3186</v>
      </c>
    </row>
    <row r="677" spans="1:4" ht="25.5" x14ac:dyDescent="0.25">
      <c r="A677" s="5">
        <v>454110</v>
      </c>
      <c r="B677" s="3" t="s">
        <v>3111</v>
      </c>
      <c r="C677" s="4">
        <v>458320</v>
      </c>
      <c r="D677" s="3" t="s">
        <v>3186</v>
      </c>
    </row>
    <row r="678" spans="1:4" x14ac:dyDescent="0.25">
      <c r="A678" s="5">
        <v>454390</v>
      </c>
      <c r="B678" s="3" t="s">
        <v>3114</v>
      </c>
      <c r="C678" s="4">
        <v>458320</v>
      </c>
      <c r="D678" s="3" t="s">
        <v>3186</v>
      </c>
    </row>
    <row r="679" spans="1:4" x14ac:dyDescent="0.25">
      <c r="A679" s="3">
        <v>451110</v>
      </c>
      <c r="B679" s="3" t="s">
        <v>3187</v>
      </c>
      <c r="C679" s="4">
        <v>459110</v>
      </c>
      <c r="D679" s="3" t="s">
        <v>3188</v>
      </c>
    </row>
    <row r="680" spans="1:4" ht="25.5" x14ac:dyDescent="0.25">
      <c r="A680" s="5">
        <v>454110</v>
      </c>
      <c r="B680" s="3" t="s">
        <v>3111</v>
      </c>
      <c r="C680" s="4">
        <v>459110</v>
      </c>
      <c r="D680" s="3" t="s">
        <v>3188</v>
      </c>
    </row>
    <row r="681" spans="1:4" x14ac:dyDescent="0.25">
      <c r="A681" s="5">
        <v>454390</v>
      </c>
      <c r="B681" s="3" t="s">
        <v>3114</v>
      </c>
      <c r="C681" s="4">
        <v>459110</v>
      </c>
      <c r="D681" s="3" t="s">
        <v>3188</v>
      </c>
    </row>
    <row r="682" spans="1:4" x14ac:dyDescent="0.25">
      <c r="A682" s="3">
        <v>451120</v>
      </c>
      <c r="B682" s="3" t="s">
        <v>3189</v>
      </c>
      <c r="C682" s="4">
        <v>459120</v>
      </c>
      <c r="D682" s="3" t="s">
        <v>3190</v>
      </c>
    </row>
    <row r="683" spans="1:4" ht="25.5" x14ac:dyDescent="0.25">
      <c r="A683" s="5">
        <v>454110</v>
      </c>
      <c r="B683" s="3" t="s">
        <v>3111</v>
      </c>
      <c r="C683" s="4">
        <v>459120</v>
      </c>
      <c r="D683" s="3" t="s">
        <v>3190</v>
      </c>
    </row>
    <row r="684" spans="1:4" x14ac:dyDescent="0.25">
      <c r="A684" s="5">
        <v>454390</v>
      </c>
      <c r="B684" s="3" t="s">
        <v>3114</v>
      </c>
      <c r="C684" s="4">
        <v>459120</v>
      </c>
      <c r="D684" s="3" t="s">
        <v>3190</v>
      </c>
    </row>
    <row r="685" spans="1:4" ht="25.5" x14ac:dyDescent="0.25">
      <c r="A685" s="3">
        <v>451130</v>
      </c>
      <c r="B685" s="3" t="s">
        <v>3191</v>
      </c>
      <c r="C685" s="4">
        <v>459130</v>
      </c>
      <c r="D685" s="3" t="s">
        <v>3192</v>
      </c>
    </row>
    <row r="686" spans="1:4" ht="25.5" x14ac:dyDescent="0.25">
      <c r="A686" s="5">
        <v>454110</v>
      </c>
      <c r="B686" s="3" t="s">
        <v>3111</v>
      </c>
      <c r="C686" s="4">
        <v>459130</v>
      </c>
      <c r="D686" s="3" t="s">
        <v>3192</v>
      </c>
    </row>
    <row r="687" spans="1:4" ht="25.5" x14ac:dyDescent="0.25">
      <c r="A687" s="5">
        <v>454390</v>
      </c>
      <c r="B687" s="3" t="s">
        <v>3114</v>
      </c>
      <c r="C687" s="4">
        <v>459130</v>
      </c>
      <c r="D687" s="3" t="s">
        <v>3192</v>
      </c>
    </row>
    <row r="688" spans="1:4" ht="25.5" x14ac:dyDescent="0.25">
      <c r="A688" s="3">
        <v>451140</v>
      </c>
      <c r="B688" s="3" t="s">
        <v>3193</v>
      </c>
      <c r="C688" s="4">
        <v>459140</v>
      </c>
      <c r="D688" s="3" t="s">
        <v>3194</v>
      </c>
    </row>
    <row r="689" spans="1:6" ht="25.5" x14ac:dyDescent="0.25">
      <c r="A689" s="5">
        <v>454110</v>
      </c>
      <c r="B689" s="3" t="s">
        <v>3111</v>
      </c>
      <c r="C689" s="4">
        <v>459140</v>
      </c>
      <c r="D689" s="3" t="s">
        <v>3194</v>
      </c>
      <c r="E689" s="102"/>
    </row>
    <row r="690" spans="1:6" ht="25.5" x14ac:dyDescent="0.25">
      <c r="A690" s="5">
        <v>454390</v>
      </c>
      <c r="B690" s="3" t="s">
        <v>3114</v>
      </c>
      <c r="C690" s="4">
        <v>459140</v>
      </c>
      <c r="D690" s="3" t="s">
        <v>3194</v>
      </c>
      <c r="E690" s="102"/>
    </row>
    <row r="691" spans="1:6" x14ac:dyDescent="0.25">
      <c r="A691" s="3">
        <v>451211</v>
      </c>
      <c r="B691" s="3" t="s">
        <v>3195</v>
      </c>
      <c r="C691" s="4">
        <v>459210</v>
      </c>
      <c r="D691" s="3" t="s">
        <v>3196</v>
      </c>
      <c r="E691" s="102"/>
    </row>
    <row r="692" spans="1:6" x14ac:dyDescent="0.25">
      <c r="A692" s="3">
        <v>451212</v>
      </c>
      <c r="B692" s="3" t="s">
        <v>3197</v>
      </c>
      <c r="C692" s="4">
        <v>459210</v>
      </c>
      <c r="D692" s="3" t="s">
        <v>3196</v>
      </c>
      <c r="E692" s="102"/>
    </row>
    <row r="693" spans="1:6" ht="25.5" x14ac:dyDescent="0.25">
      <c r="A693" s="5">
        <v>454110</v>
      </c>
      <c r="B693" s="3" t="s">
        <v>3111</v>
      </c>
      <c r="C693" s="4">
        <v>459210</v>
      </c>
      <c r="D693" s="3" t="s">
        <v>3196</v>
      </c>
      <c r="E693" s="102"/>
    </row>
    <row r="694" spans="1:6" x14ac:dyDescent="0.25">
      <c r="A694" s="5">
        <v>454390</v>
      </c>
      <c r="B694" s="3" t="s">
        <v>3114</v>
      </c>
      <c r="C694" s="4">
        <v>459210</v>
      </c>
      <c r="D694" s="3" t="s">
        <v>3196</v>
      </c>
      <c r="E694" s="102"/>
    </row>
    <row r="695" spans="1:6" x14ac:dyDescent="0.25">
      <c r="A695" s="3">
        <v>453110</v>
      </c>
      <c r="B695" s="3" t="s">
        <v>3198</v>
      </c>
      <c r="C695" s="4">
        <v>459310</v>
      </c>
      <c r="D695" s="3" t="s">
        <v>3198</v>
      </c>
      <c r="E695" s="102"/>
    </row>
    <row r="696" spans="1:6" ht="25.5" x14ac:dyDescent="0.25">
      <c r="A696" s="5">
        <v>454110</v>
      </c>
      <c r="B696" s="3" t="s">
        <v>3111</v>
      </c>
      <c r="C696" s="4">
        <v>459310</v>
      </c>
      <c r="D696" s="3" t="s">
        <v>3198</v>
      </c>
      <c r="E696" s="102"/>
    </row>
    <row r="697" spans="1:6" x14ac:dyDescent="0.25">
      <c r="A697" s="5">
        <v>454390</v>
      </c>
      <c r="B697" s="3" t="s">
        <v>3114</v>
      </c>
      <c r="C697" s="4">
        <v>459310</v>
      </c>
      <c r="D697" s="3" t="s">
        <v>3198</v>
      </c>
      <c r="E697" s="102"/>
    </row>
    <row r="698" spans="1:6" x14ac:dyDescent="0.25">
      <c r="A698" s="3">
        <v>453210</v>
      </c>
      <c r="B698" s="3" t="s">
        <v>3199</v>
      </c>
      <c r="C698" s="4">
        <v>459410</v>
      </c>
      <c r="D698" s="3" t="s">
        <v>3200</v>
      </c>
      <c r="E698" s="102"/>
      <c r="F698" s="28" t="s">
        <v>3201</v>
      </c>
    </row>
    <row r="699" spans="1:6" ht="25.5" x14ac:dyDescent="0.25">
      <c r="A699" s="5">
        <v>454110</v>
      </c>
      <c r="B699" s="3" t="s">
        <v>3111</v>
      </c>
      <c r="C699" s="4">
        <v>459410</v>
      </c>
      <c r="D699" s="3" t="s">
        <v>3200</v>
      </c>
      <c r="E699" s="102"/>
      <c r="F699" s="28"/>
    </row>
    <row r="700" spans="1:6" x14ac:dyDescent="0.25">
      <c r="A700" s="5">
        <v>454390</v>
      </c>
      <c r="B700" s="3" t="s">
        <v>3114</v>
      </c>
      <c r="C700" s="4">
        <v>459410</v>
      </c>
      <c r="D700" s="3" t="s">
        <v>3200</v>
      </c>
      <c r="E700" s="102"/>
      <c r="F700" s="28"/>
    </row>
    <row r="701" spans="1:6" x14ac:dyDescent="0.25">
      <c r="A701" s="3">
        <v>453220</v>
      </c>
      <c r="B701" s="3" t="s">
        <v>3202</v>
      </c>
      <c r="C701" s="4">
        <v>459420</v>
      </c>
      <c r="D701" s="3" t="s">
        <v>3203</v>
      </c>
      <c r="E701" s="102"/>
    </row>
    <row r="702" spans="1:6" ht="25.5" x14ac:dyDescent="0.25">
      <c r="A702" s="5">
        <v>454110</v>
      </c>
      <c r="B702" s="3" t="s">
        <v>3111</v>
      </c>
      <c r="C702" s="4">
        <v>459420</v>
      </c>
      <c r="D702" s="3" t="s">
        <v>3203</v>
      </c>
      <c r="E702" s="102"/>
    </row>
    <row r="703" spans="1:6" x14ac:dyDescent="0.25">
      <c r="A703" s="5">
        <v>454390</v>
      </c>
      <c r="B703" s="3" t="s">
        <v>3114</v>
      </c>
      <c r="C703" s="4">
        <v>459420</v>
      </c>
      <c r="D703" s="3" t="s">
        <v>3203</v>
      </c>
      <c r="E703" s="102"/>
    </row>
    <row r="704" spans="1:6" x14ac:dyDescent="0.25">
      <c r="A704" s="3">
        <v>453310</v>
      </c>
      <c r="B704" s="3" t="s">
        <v>3204</v>
      </c>
      <c r="C704" s="4">
        <v>459510</v>
      </c>
      <c r="D704" s="3" t="s">
        <v>3205</v>
      </c>
      <c r="E704" s="102"/>
    </row>
    <row r="705" spans="1:6" ht="25.5" x14ac:dyDescent="0.25">
      <c r="A705" s="5">
        <v>454110</v>
      </c>
      <c r="B705" s="3" t="s">
        <v>3111</v>
      </c>
      <c r="C705" s="4">
        <v>459510</v>
      </c>
      <c r="D705" s="3" t="s">
        <v>3205</v>
      </c>
      <c r="E705" s="102"/>
    </row>
    <row r="706" spans="1:6" x14ac:dyDescent="0.25">
      <c r="A706" s="5">
        <v>454390</v>
      </c>
      <c r="B706" s="3" t="s">
        <v>3114</v>
      </c>
      <c r="C706" s="4">
        <v>459510</v>
      </c>
      <c r="D706" s="3" t="s">
        <v>3205</v>
      </c>
      <c r="E706" s="102"/>
    </row>
    <row r="707" spans="1:6" x14ac:dyDescent="0.25">
      <c r="A707" s="3">
        <v>453910</v>
      </c>
      <c r="B707" s="3" t="s">
        <v>3206</v>
      </c>
      <c r="C707" s="4">
        <v>459910</v>
      </c>
      <c r="D707" s="3" t="s">
        <v>3207</v>
      </c>
      <c r="E707" s="102"/>
      <c r="F707" s="28" t="s">
        <v>2</v>
      </c>
    </row>
    <row r="708" spans="1:6" ht="25.5" x14ac:dyDescent="0.25">
      <c r="A708" s="5">
        <v>454110</v>
      </c>
      <c r="B708" s="3" t="s">
        <v>3111</v>
      </c>
      <c r="C708" s="4">
        <v>459910</v>
      </c>
      <c r="D708" s="3" t="s">
        <v>3207</v>
      </c>
      <c r="E708" s="102"/>
      <c r="F708" s="28"/>
    </row>
    <row r="709" spans="1:6" x14ac:dyDescent="0.25">
      <c r="A709" s="5">
        <v>454390</v>
      </c>
      <c r="B709" s="3" t="s">
        <v>3114</v>
      </c>
      <c r="C709" s="4">
        <v>459910</v>
      </c>
      <c r="D709" s="3" t="s">
        <v>3207</v>
      </c>
      <c r="E709" s="102"/>
      <c r="F709" s="28"/>
    </row>
    <row r="710" spans="1:6" x14ac:dyDescent="0.25">
      <c r="A710" s="3">
        <v>453920</v>
      </c>
      <c r="B710" s="3" t="s">
        <v>3208</v>
      </c>
      <c r="C710" s="4">
        <v>459920</v>
      </c>
      <c r="D710" s="3" t="s">
        <v>3208</v>
      </c>
      <c r="E710" s="102"/>
    </row>
    <row r="711" spans="1:6" ht="25.5" x14ac:dyDescent="0.25">
      <c r="A711" s="5">
        <v>454110</v>
      </c>
      <c r="B711" s="3" t="s">
        <v>3111</v>
      </c>
      <c r="C711" s="4">
        <v>459920</v>
      </c>
      <c r="D711" s="3" t="s">
        <v>3208</v>
      </c>
      <c r="E711" s="102"/>
    </row>
    <row r="712" spans="1:6" x14ac:dyDescent="0.25">
      <c r="A712" s="5">
        <v>454390</v>
      </c>
      <c r="B712" s="3" t="s">
        <v>3114</v>
      </c>
      <c r="C712" s="4">
        <v>459920</v>
      </c>
      <c r="D712" s="3" t="s">
        <v>3208</v>
      </c>
      <c r="E712" s="102"/>
    </row>
    <row r="713" spans="1:6" x14ac:dyDescent="0.25">
      <c r="A713" s="3">
        <v>453930</v>
      </c>
      <c r="B713" s="3" t="s">
        <v>3209</v>
      </c>
      <c r="C713" s="3">
        <v>459930</v>
      </c>
      <c r="D713" s="3" t="s">
        <v>3209</v>
      </c>
      <c r="E713" s="63"/>
    </row>
    <row r="714" spans="1:6" ht="25.5" x14ac:dyDescent="0.25">
      <c r="A714" s="3">
        <v>453991</v>
      </c>
      <c r="B714" s="3" t="s">
        <v>3210</v>
      </c>
      <c r="C714" s="4">
        <v>459991</v>
      </c>
      <c r="D714" s="3" t="s">
        <v>3211</v>
      </c>
      <c r="E714" s="102"/>
    </row>
    <row r="715" spans="1:6" ht="51" x14ac:dyDescent="0.25">
      <c r="A715" s="5">
        <v>453998</v>
      </c>
      <c r="B715" s="3" t="s">
        <v>3212</v>
      </c>
      <c r="C715" s="4">
        <v>459991</v>
      </c>
      <c r="D715" s="3" t="s">
        <v>3211</v>
      </c>
      <c r="E715" s="102"/>
    </row>
    <row r="716" spans="1:6" ht="25.5" x14ac:dyDescent="0.25">
      <c r="A716" s="5">
        <v>454110</v>
      </c>
      <c r="B716" s="3" t="s">
        <v>3111</v>
      </c>
      <c r="C716" s="4">
        <v>459991</v>
      </c>
      <c r="D716" s="3" t="s">
        <v>3211</v>
      </c>
      <c r="E716" s="102"/>
    </row>
    <row r="717" spans="1:6" ht="25.5" x14ac:dyDescent="0.25">
      <c r="A717" s="5">
        <v>454390</v>
      </c>
      <c r="B717" s="3" t="s">
        <v>3114</v>
      </c>
      <c r="C717" s="4">
        <v>459991</v>
      </c>
      <c r="D717" s="3" t="s">
        <v>3211</v>
      </c>
      <c r="E717" s="102"/>
    </row>
    <row r="718" spans="1:6" ht="76.5" x14ac:dyDescent="0.25">
      <c r="A718" s="5">
        <v>453998</v>
      </c>
      <c r="B718" s="3" t="s">
        <v>3213</v>
      </c>
      <c r="C718" s="4">
        <v>459999</v>
      </c>
      <c r="D718" s="3" t="s">
        <v>3214</v>
      </c>
      <c r="E718" s="102"/>
    </row>
    <row r="719" spans="1:6" ht="25.5" x14ac:dyDescent="0.25">
      <c r="A719" s="5">
        <v>454110</v>
      </c>
      <c r="B719" s="3" t="s">
        <v>3111</v>
      </c>
      <c r="C719" s="4">
        <v>459999</v>
      </c>
      <c r="D719" s="3" t="s">
        <v>3214</v>
      </c>
      <c r="E719" s="102"/>
    </row>
    <row r="720" spans="1:6" x14ac:dyDescent="0.25">
      <c r="A720" s="5">
        <v>454390</v>
      </c>
      <c r="B720" s="3" t="s">
        <v>3114</v>
      </c>
      <c r="C720" s="4">
        <v>459999</v>
      </c>
      <c r="D720" s="3" t="s">
        <v>3214</v>
      </c>
      <c r="E720" s="102"/>
    </row>
    <row r="721" spans="1:4" x14ac:dyDescent="0.25">
      <c r="A721" s="3">
        <v>481111</v>
      </c>
      <c r="B721" s="3" t="s">
        <v>3215</v>
      </c>
      <c r="C721" s="3">
        <v>481111</v>
      </c>
      <c r="D721" s="3" t="s">
        <v>3215</v>
      </c>
    </row>
    <row r="722" spans="1:4" x14ac:dyDescent="0.25">
      <c r="A722" s="3">
        <v>481112</v>
      </c>
      <c r="B722" s="3" t="s">
        <v>3216</v>
      </c>
      <c r="C722" s="3">
        <v>481112</v>
      </c>
      <c r="D722" s="3" t="s">
        <v>3216</v>
      </c>
    </row>
    <row r="723" spans="1:4" ht="25.5" x14ac:dyDescent="0.25">
      <c r="A723" s="3">
        <v>481211</v>
      </c>
      <c r="B723" s="3" t="s">
        <v>3217</v>
      </c>
      <c r="C723" s="3">
        <v>481211</v>
      </c>
      <c r="D723" s="3" t="s">
        <v>3217</v>
      </c>
    </row>
    <row r="724" spans="1:4" ht="25.5" x14ac:dyDescent="0.25">
      <c r="A724" s="3">
        <v>481212</v>
      </c>
      <c r="B724" s="3" t="s">
        <v>3218</v>
      </c>
      <c r="C724" s="3">
        <v>481212</v>
      </c>
      <c r="D724" s="3" t="s">
        <v>3218</v>
      </c>
    </row>
    <row r="725" spans="1:4" x14ac:dyDescent="0.25">
      <c r="A725" s="3">
        <v>481219</v>
      </c>
      <c r="B725" s="3" t="s">
        <v>3219</v>
      </c>
      <c r="C725" s="3">
        <v>481219</v>
      </c>
      <c r="D725" s="3" t="s">
        <v>3219</v>
      </c>
    </row>
    <row r="726" spans="1:4" x14ac:dyDescent="0.25">
      <c r="A726" s="3">
        <v>482111</v>
      </c>
      <c r="B726" s="3" t="s">
        <v>3220</v>
      </c>
      <c r="C726" s="3">
        <v>482111</v>
      </c>
      <c r="D726" s="3" t="s">
        <v>3220</v>
      </c>
    </row>
    <row r="727" spans="1:4" x14ac:dyDescent="0.25">
      <c r="A727" s="3">
        <v>482112</v>
      </c>
      <c r="B727" s="3" t="s">
        <v>3221</v>
      </c>
      <c r="C727" s="3">
        <v>482112</v>
      </c>
      <c r="D727" s="3" t="s">
        <v>3221</v>
      </c>
    </row>
    <row r="728" spans="1:4" x14ac:dyDescent="0.25">
      <c r="A728" s="3">
        <v>483111</v>
      </c>
      <c r="B728" s="3" t="s">
        <v>3222</v>
      </c>
      <c r="C728" s="3">
        <v>483111</v>
      </c>
      <c r="D728" s="3" t="s">
        <v>3222</v>
      </c>
    </row>
    <row r="729" spans="1:4" x14ac:dyDescent="0.25">
      <c r="A729" s="3">
        <v>483112</v>
      </c>
      <c r="B729" s="3" t="s">
        <v>3223</v>
      </c>
      <c r="C729" s="3">
        <v>483112</v>
      </c>
      <c r="D729" s="3" t="s">
        <v>3223</v>
      </c>
    </row>
    <row r="730" spans="1:4" ht="25.5" x14ac:dyDescent="0.25">
      <c r="A730" s="3">
        <v>483113</v>
      </c>
      <c r="B730" s="3" t="s">
        <v>3224</v>
      </c>
      <c r="C730" s="3">
        <v>483113</v>
      </c>
      <c r="D730" s="3" t="s">
        <v>3224</v>
      </c>
    </row>
    <row r="731" spans="1:4" ht="25.5" x14ac:dyDescent="0.25">
      <c r="A731" s="3">
        <v>483114</v>
      </c>
      <c r="B731" s="3" t="s">
        <v>3225</v>
      </c>
      <c r="C731" s="3">
        <v>483114</v>
      </c>
      <c r="D731" s="3" t="s">
        <v>3225</v>
      </c>
    </row>
    <row r="732" spans="1:4" x14ac:dyDescent="0.25">
      <c r="A732" s="3">
        <v>483211</v>
      </c>
      <c r="B732" s="3" t="s">
        <v>3226</v>
      </c>
      <c r="C732" s="3">
        <v>483211</v>
      </c>
      <c r="D732" s="3" t="s">
        <v>3226</v>
      </c>
    </row>
    <row r="733" spans="1:4" x14ac:dyDescent="0.25">
      <c r="A733" s="3">
        <v>483212</v>
      </c>
      <c r="B733" s="3" t="s">
        <v>3227</v>
      </c>
      <c r="C733" s="3">
        <v>483212</v>
      </c>
      <c r="D733" s="3" t="s">
        <v>3227</v>
      </c>
    </row>
    <row r="734" spans="1:4" x14ac:dyDescent="0.25">
      <c r="A734" s="3">
        <v>484110</v>
      </c>
      <c r="B734" s="3" t="s">
        <v>3228</v>
      </c>
      <c r="C734" s="3">
        <v>484110</v>
      </c>
      <c r="D734" s="3" t="s">
        <v>3228</v>
      </c>
    </row>
    <row r="735" spans="1:4" ht="25.5" x14ac:dyDescent="0.25">
      <c r="A735" s="3">
        <v>484121</v>
      </c>
      <c r="B735" s="3" t="s">
        <v>3229</v>
      </c>
      <c r="C735" s="3">
        <v>484121</v>
      </c>
      <c r="D735" s="3" t="s">
        <v>3229</v>
      </c>
    </row>
    <row r="736" spans="1:4" ht="25.5" x14ac:dyDescent="0.25">
      <c r="A736" s="3">
        <v>484122</v>
      </c>
      <c r="B736" s="3" t="s">
        <v>3230</v>
      </c>
      <c r="C736" s="3">
        <v>484122</v>
      </c>
      <c r="D736" s="3" t="s">
        <v>3230</v>
      </c>
    </row>
    <row r="737" spans="1:4" ht="25.5" x14ac:dyDescent="0.25">
      <c r="A737" s="3">
        <v>484210</v>
      </c>
      <c r="B737" s="3" t="s">
        <v>3231</v>
      </c>
      <c r="C737" s="3">
        <v>484210</v>
      </c>
      <c r="D737" s="3" t="s">
        <v>3231</v>
      </c>
    </row>
    <row r="738" spans="1:4" ht="25.5" x14ac:dyDescent="0.25">
      <c r="A738" s="3">
        <v>484220</v>
      </c>
      <c r="B738" s="3" t="s">
        <v>3232</v>
      </c>
      <c r="C738" s="3">
        <v>484220</v>
      </c>
      <c r="D738" s="3" t="s">
        <v>3232</v>
      </c>
    </row>
    <row r="739" spans="1:4" ht="25.5" x14ac:dyDescent="0.25">
      <c r="A739" s="3">
        <v>484230</v>
      </c>
      <c r="B739" s="3" t="s">
        <v>3233</v>
      </c>
      <c r="C739" s="3">
        <v>484230</v>
      </c>
      <c r="D739" s="3" t="s">
        <v>3233</v>
      </c>
    </row>
    <row r="740" spans="1:4" x14ac:dyDescent="0.25">
      <c r="A740" s="3">
        <v>485111</v>
      </c>
      <c r="B740" s="3" t="s">
        <v>3234</v>
      </c>
      <c r="C740" s="3">
        <v>485111</v>
      </c>
      <c r="D740" s="3" t="s">
        <v>3234</v>
      </c>
    </row>
    <row r="741" spans="1:4" x14ac:dyDescent="0.25">
      <c r="A741" s="3">
        <v>485112</v>
      </c>
      <c r="B741" s="3" t="s">
        <v>3235</v>
      </c>
      <c r="C741" s="3">
        <v>485112</v>
      </c>
      <c r="D741" s="3" t="s">
        <v>3235</v>
      </c>
    </row>
    <row r="742" spans="1:4" ht="25.5" x14ac:dyDescent="0.25">
      <c r="A742" s="3">
        <v>485113</v>
      </c>
      <c r="B742" s="3" t="s">
        <v>3236</v>
      </c>
      <c r="C742" s="3">
        <v>485113</v>
      </c>
      <c r="D742" s="3" t="s">
        <v>3236</v>
      </c>
    </row>
    <row r="743" spans="1:4" x14ac:dyDescent="0.25">
      <c r="A743" s="3">
        <v>485119</v>
      </c>
      <c r="B743" s="3" t="s">
        <v>3237</v>
      </c>
      <c r="C743" s="3">
        <v>485119</v>
      </c>
      <c r="D743" s="3" t="s">
        <v>3237</v>
      </c>
    </row>
    <row r="744" spans="1:4" x14ac:dyDescent="0.25">
      <c r="A744" s="3">
        <v>485210</v>
      </c>
      <c r="B744" s="3" t="s">
        <v>3238</v>
      </c>
      <c r="C744" s="3">
        <v>485210</v>
      </c>
      <c r="D744" s="3" t="s">
        <v>3238</v>
      </c>
    </row>
    <row r="745" spans="1:4" x14ac:dyDescent="0.25">
      <c r="A745" s="3">
        <v>485310</v>
      </c>
      <c r="B745" s="3" t="s">
        <v>3239</v>
      </c>
      <c r="C745" s="3">
        <v>485310</v>
      </c>
      <c r="D745" s="3" t="s">
        <v>3240</v>
      </c>
    </row>
    <row r="746" spans="1:4" x14ac:dyDescent="0.25">
      <c r="A746" s="3">
        <v>485320</v>
      </c>
      <c r="B746" s="3" t="s">
        <v>3241</v>
      </c>
      <c r="C746" s="3">
        <v>485320</v>
      </c>
      <c r="D746" s="3" t="s">
        <v>3241</v>
      </c>
    </row>
    <row r="747" spans="1:4" ht="25.5" x14ac:dyDescent="0.25">
      <c r="A747" s="3">
        <v>485410</v>
      </c>
      <c r="B747" s="3" t="s">
        <v>3242</v>
      </c>
      <c r="C747" s="3">
        <v>485410</v>
      </c>
      <c r="D747" s="3" t="s">
        <v>3242</v>
      </c>
    </row>
    <row r="748" spans="1:4" x14ac:dyDescent="0.25">
      <c r="A748" s="3">
        <v>485510</v>
      </c>
      <c r="B748" s="3" t="s">
        <v>3243</v>
      </c>
      <c r="C748" s="3">
        <v>485510</v>
      </c>
      <c r="D748" s="3" t="s">
        <v>3243</v>
      </c>
    </row>
    <row r="749" spans="1:4" x14ac:dyDescent="0.25">
      <c r="A749" s="3">
        <v>485991</v>
      </c>
      <c r="B749" s="3" t="s">
        <v>3244</v>
      </c>
      <c r="C749" s="3">
        <v>485991</v>
      </c>
      <c r="D749" s="3" t="s">
        <v>3244</v>
      </c>
    </row>
    <row r="750" spans="1:4" ht="25.5" x14ac:dyDescent="0.25">
      <c r="A750" s="3">
        <v>485999</v>
      </c>
      <c r="B750" s="3" t="s">
        <v>3245</v>
      </c>
      <c r="C750" s="3">
        <v>485999</v>
      </c>
      <c r="D750" s="3" t="s">
        <v>3245</v>
      </c>
    </row>
    <row r="751" spans="1:4" x14ac:dyDescent="0.25">
      <c r="A751" s="3">
        <v>486110</v>
      </c>
      <c r="B751" s="3" t="s">
        <v>3246</v>
      </c>
      <c r="C751" s="3">
        <v>486110</v>
      </c>
      <c r="D751" s="3" t="s">
        <v>3246</v>
      </c>
    </row>
    <row r="752" spans="1:4" x14ac:dyDescent="0.25">
      <c r="A752" s="3">
        <v>486210</v>
      </c>
      <c r="B752" s="3" t="s">
        <v>3247</v>
      </c>
      <c r="C752" s="3">
        <v>486210</v>
      </c>
      <c r="D752" s="3" t="s">
        <v>3247</v>
      </c>
    </row>
    <row r="753" spans="1:6" ht="25.5" x14ac:dyDescent="0.25">
      <c r="A753" s="3">
        <v>486910</v>
      </c>
      <c r="B753" s="3" t="s">
        <v>3248</v>
      </c>
      <c r="C753" s="3">
        <v>486910</v>
      </c>
      <c r="D753" s="3" t="s">
        <v>3248</v>
      </c>
      <c r="E753" s="63"/>
    </row>
    <row r="754" spans="1:6" x14ac:dyDescent="0.25">
      <c r="A754" s="3">
        <v>486990</v>
      </c>
      <c r="B754" s="3" t="s">
        <v>1352</v>
      </c>
      <c r="C754" s="3">
        <v>486990</v>
      </c>
      <c r="D754" s="3" t="s">
        <v>1352</v>
      </c>
      <c r="E754" s="63"/>
    </row>
    <row r="755" spans="1:6" ht="25.5" x14ac:dyDescent="0.25">
      <c r="A755" s="3">
        <v>487110</v>
      </c>
      <c r="B755" s="3" t="s">
        <v>3249</v>
      </c>
      <c r="C755" s="3">
        <v>487110</v>
      </c>
      <c r="D755" s="3" t="s">
        <v>3249</v>
      </c>
      <c r="E755" s="63"/>
    </row>
    <row r="756" spans="1:6" ht="25.5" x14ac:dyDescent="0.25">
      <c r="A756" s="3">
        <v>487210</v>
      </c>
      <c r="B756" s="3" t="s">
        <v>3250</v>
      </c>
      <c r="C756" s="3">
        <v>487210</v>
      </c>
      <c r="D756" s="3" t="s">
        <v>3250</v>
      </c>
      <c r="E756" s="63"/>
    </row>
    <row r="757" spans="1:6" ht="25.5" x14ac:dyDescent="0.25">
      <c r="A757" s="3">
        <v>487990</v>
      </c>
      <c r="B757" s="3" t="s">
        <v>3251</v>
      </c>
      <c r="C757" s="3">
        <v>487990</v>
      </c>
      <c r="D757" s="3" t="s">
        <v>3251</v>
      </c>
      <c r="E757" s="63"/>
      <c r="F757" t="s">
        <v>2</v>
      </c>
    </row>
    <row r="758" spans="1:6" x14ac:dyDescent="0.25">
      <c r="A758" s="3">
        <v>488111</v>
      </c>
      <c r="B758" s="3" t="s">
        <v>3252</v>
      </c>
      <c r="C758" s="3">
        <v>488111</v>
      </c>
      <c r="D758" s="3" t="s">
        <v>3252</v>
      </c>
      <c r="E758" s="63"/>
    </row>
    <row r="759" spans="1:6" x14ac:dyDescent="0.25">
      <c r="A759" s="3">
        <v>488119</v>
      </c>
      <c r="B759" s="3" t="s">
        <v>3253</v>
      </c>
      <c r="C759" s="3">
        <v>488119</v>
      </c>
      <c r="D759" s="3" t="s">
        <v>3253</v>
      </c>
      <c r="E759" s="63"/>
    </row>
    <row r="760" spans="1:6" ht="25.5" x14ac:dyDescent="0.25">
      <c r="A760" s="3">
        <v>488190</v>
      </c>
      <c r="B760" s="3" t="s">
        <v>3254</v>
      </c>
      <c r="C760" s="3">
        <v>488190</v>
      </c>
      <c r="D760" s="3" t="s">
        <v>3254</v>
      </c>
      <c r="E760" s="63"/>
    </row>
    <row r="761" spans="1:6" x14ac:dyDescent="0.25">
      <c r="A761" s="3">
        <v>488210</v>
      </c>
      <c r="B761" s="3" t="s">
        <v>3255</v>
      </c>
      <c r="C761" s="3">
        <v>488210</v>
      </c>
      <c r="D761" s="3" t="s">
        <v>3255</v>
      </c>
      <c r="E761" s="63"/>
    </row>
    <row r="762" spans="1:6" x14ac:dyDescent="0.25">
      <c r="A762" s="3">
        <v>488310</v>
      </c>
      <c r="B762" s="3" t="s">
        <v>3256</v>
      </c>
      <c r="C762" s="3">
        <v>488310</v>
      </c>
      <c r="D762" s="3" t="s">
        <v>3256</v>
      </c>
      <c r="E762" s="63"/>
    </row>
    <row r="763" spans="1:6" x14ac:dyDescent="0.25">
      <c r="A763" s="3">
        <v>488320</v>
      </c>
      <c r="B763" s="3" t="s">
        <v>3257</v>
      </c>
      <c r="C763" s="3">
        <v>488320</v>
      </c>
      <c r="D763" s="3" t="s">
        <v>3257</v>
      </c>
      <c r="E763" s="63"/>
    </row>
    <row r="764" spans="1:6" x14ac:dyDescent="0.25">
      <c r="A764" s="3">
        <v>488330</v>
      </c>
      <c r="B764" s="3" t="s">
        <v>3258</v>
      </c>
      <c r="C764" s="3">
        <v>488330</v>
      </c>
      <c r="D764" s="3" t="s">
        <v>3258</v>
      </c>
      <c r="E764" s="63"/>
    </row>
    <row r="765" spans="1:6" ht="25.5" x14ac:dyDescent="0.25">
      <c r="A765" s="3">
        <v>488390</v>
      </c>
      <c r="B765" s="3" t="s">
        <v>3259</v>
      </c>
      <c r="C765" s="3">
        <v>488390</v>
      </c>
      <c r="D765" s="3" t="s">
        <v>3259</v>
      </c>
      <c r="E765" s="63"/>
    </row>
    <row r="766" spans="1:6" x14ac:dyDescent="0.25">
      <c r="A766" s="3">
        <v>488410</v>
      </c>
      <c r="B766" s="3" t="s">
        <v>3260</v>
      </c>
      <c r="C766" s="3">
        <v>488410</v>
      </c>
      <c r="D766" s="3" t="s">
        <v>3260</v>
      </c>
      <c r="E766" s="63"/>
    </row>
    <row r="767" spans="1:6" ht="25.5" x14ac:dyDescent="0.25">
      <c r="A767" s="3">
        <v>488490</v>
      </c>
      <c r="B767" s="3" t="s">
        <v>3261</v>
      </c>
      <c r="C767" s="3">
        <v>488490</v>
      </c>
      <c r="D767" s="3" t="s">
        <v>3261</v>
      </c>
      <c r="E767" s="63"/>
    </row>
    <row r="768" spans="1:6" x14ac:dyDescent="0.25">
      <c r="A768" s="3">
        <v>488510</v>
      </c>
      <c r="B768" s="3" t="s">
        <v>3262</v>
      </c>
      <c r="C768" s="3">
        <v>488510</v>
      </c>
      <c r="D768" s="3" t="s">
        <v>3262</v>
      </c>
      <c r="E768" s="63"/>
    </row>
    <row r="769" spans="1:4" x14ac:dyDescent="0.25">
      <c r="A769" s="3">
        <v>488991</v>
      </c>
      <c r="B769" s="3" t="s">
        <v>3263</v>
      </c>
      <c r="C769" s="3">
        <v>488991</v>
      </c>
      <c r="D769" s="3" t="s">
        <v>3263</v>
      </c>
    </row>
    <row r="770" spans="1:4" ht="25.5" x14ac:dyDescent="0.25">
      <c r="A770" s="3">
        <v>488999</v>
      </c>
      <c r="B770" s="3" t="s">
        <v>3264</v>
      </c>
      <c r="C770" s="3">
        <v>488999</v>
      </c>
      <c r="D770" s="3" t="s">
        <v>3264</v>
      </c>
    </row>
    <row r="771" spans="1:4" x14ac:dyDescent="0.25">
      <c r="A771" s="3">
        <v>491110</v>
      </c>
      <c r="B771" s="3" t="s">
        <v>3265</v>
      </c>
      <c r="C771" s="3">
        <v>491110</v>
      </c>
      <c r="D771" s="3" t="s">
        <v>3265</v>
      </c>
    </row>
    <row r="772" spans="1:4" x14ac:dyDescent="0.25">
      <c r="A772" s="3">
        <v>492110</v>
      </c>
      <c r="B772" s="3" t="s">
        <v>3266</v>
      </c>
      <c r="C772" s="3">
        <v>492110</v>
      </c>
      <c r="D772" s="3" t="s">
        <v>3266</v>
      </c>
    </row>
    <row r="773" spans="1:4" x14ac:dyDescent="0.25">
      <c r="A773" s="3">
        <v>492210</v>
      </c>
      <c r="B773" s="3" t="s">
        <v>3267</v>
      </c>
      <c r="C773" s="3">
        <v>492210</v>
      </c>
      <c r="D773" s="3" t="s">
        <v>3267</v>
      </c>
    </row>
    <row r="774" spans="1:4" x14ac:dyDescent="0.25">
      <c r="A774" s="3">
        <v>493110</v>
      </c>
      <c r="B774" s="3" t="s">
        <v>3268</v>
      </c>
      <c r="C774" s="3">
        <v>493110</v>
      </c>
      <c r="D774" s="3" t="s">
        <v>3268</v>
      </c>
    </row>
    <row r="775" spans="1:4" x14ac:dyDescent="0.25">
      <c r="A775" s="3">
        <v>493120</v>
      </c>
      <c r="B775" s="3" t="s">
        <v>3269</v>
      </c>
      <c r="C775" s="3">
        <v>493120</v>
      </c>
      <c r="D775" s="3" t="s">
        <v>3269</v>
      </c>
    </row>
    <row r="776" spans="1:4" x14ac:dyDescent="0.25">
      <c r="A776" s="3">
        <v>493130</v>
      </c>
      <c r="B776" s="3" t="s">
        <v>3270</v>
      </c>
      <c r="C776" s="3">
        <v>493130</v>
      </c>
      <c r="D776" s="3" t="s">
        <v>3270</v>
      </c>
    </row>
    <row r="777" spans="1:4" x14ac:dyDescent="0.25">
      <c r="A777" s="3">
        <v>493190</v>
      </c>
      <c r="B777" s="3" t="s">
        <v>3271</v>
      </c>
      <c r="C777" s="3">
        <v>493190</v>
      </c>
      <c r="D777" s="3" t="s">
        <v>3271</v>
      </c>
    </row>
    <row r="778" spans="1:4" x14ac:dyDescent="0.25">
      <c r="A778" s="3">
        <v>512110</v>
      </c>
      <c r="B778" s="3" t="s">
        <v>3272</v>
      </c>
      <c r="C778" s="3">
        <v>512110</v>
      </c>
      <c r="D778" s="3" t="s">
        <v>3272</v>
      </c>
    </row>
    <row r="779" spans="1:4" x14ac:dyDescent="0.25">
      <c r="A779" s="3">
        <v>512120</v>
      </c>
      <c r="B779" s="3" t="s">
        <v>3273</v>
      </c>
      <c r="C779" s="3">
        <v>512120</v>
      </c>
      <c r="D779" s="3" t="s">
        <v>3273</v>
      </c>
    </row>
    <row r="780" spans="1:4" ht="25.5" x14ac:dyDescent="0.25">
      <c r="A780" s="3">
        <v>512131</v>
      </c>
      <c r="B780" s="3" t="s">
        <v>3274</v>
      </c>
      <c r="C780" s="3">
        <v>512131</v>
      </c>
      <c r="D780" s="3" t="s">
        <v>3274</v>
      </c>
    </row>
    <row r="781" spans="1:4" x14ac:dyDescent="0.25">
      <c r="A781" s="3">
        <v>512132</v>
      </c>
      <c r="B781" s="3" t="s">
        <v>3275</v>
      </c>
      <c r="C781" s="3">
        <v>512132</v>
      </c>
      <c r="D781" s="3" t="s">
        <v>3275</v>
      </c>
    </row>
    <row r="782" spans="1:4" ht="25.5" x14ac:dyDescent="0.25">
      <c r="A782" s="3">
        <v>512191</v>
      </c>
      <c r="B782" s="3" t="s">
        <v>3276</v>
      </c>
      <c r="C782" s="3">
        <v>512191</v>
      </c>
      <c r="D782" s="3" t="s">
        <v>3276</v>
      </c>
    </row>
    <row r="783" spans="1:4" ht="25.5" x14ac:dyDescent="0.25">
      <c r="A783" s="3">
        <v>512199</v>
      </c>
      <c r="B783" s="3" t="s">
        <v>3277</v>
      </c>
      <c r="C783" s="3">
        <v>512199</v>
      </c>
      <c r="D783" s="3" t="s">
        <v>3277</v>
      </c>
    </row>
    <row r="784" spans="1:4" x14ac:dyDescent="0.25">
      <c r="A784" s="3">
        <v>512230</v>
      </c>
      <c r="B784" s="3" t="s">
        <v>3278</v>
      </c>
      <c r="C784" s="3">
        <v>512230</v>
      </c>
      <c r="D784" s="3" t="s">
        <v>3278</v>
      </c>
    </row>
    <row r="785" spans="1:9" x14ac:dyDescent="0.25">
      <c r="A785" s="3">
        <v>512240</v>
      </c>
      <c r="B785" s="3" t="s">
        <v>3279</v>
      </c>
      <c r="C785" s="3">
        <v>512240</v>
      </c>
      <c r="D785" s="3" t="s">
        <v>3279</v>
      </c>
      <c r="E785" s="63"/>
      <c r="I785" t="s">
        <v>2</v>
      </c>
    </row>
    <row r="786" spans="1:9" x14ac:dyDescent="0.25">
      <c r="A786" s="3">
        <v>512250</v>
      </c>
      <c r="B786" s="3" t="s">
        <v>3280</v>
      </c>
      <c r="C786" s="3">
        <v>512250</v>
      </c>
      <c r="D786" s="3" t="s">
        <v>3280</v>
      </c>
      <c r="E786" s="63"/>
    </row>
    <row r="787" spans="1:9" x14ac:dyDescent="0.25">
      <c r="A787" s="3">
        <v>512290</v>
      </c>
      <c r="B787" s="3" t="s">
        <v>3281</v>
      </c>
      <c r="C787" s="3">
        <v>512290</v>
      </c>
      <c r="D787" s="3" t="s">
        <v>3281</v>
      </c>
      <c r="E787" s="63"/>
    </row>
    <row r="788" spans="1:9" x14ac:dyDescent="0.25">
      <c r="A788" s="3">
        <v>511110</v>
      </c>
      <c r="B788" s="3" t="s">
        <v>3282</v>
      </c>
      <c r="C788" s="4">
        <v>513110</v>
      </c>
      <c r="D788" s="3" t="s">
        <v>3282</v>
      </c>
      <c r="E788" s="102"/>
    </row>
    <row r="789" spans="1:9" ht="38.25" x14ac:dyDescent="0.25">
      <c r="A789" s="5">
        <v>519130</v>
      </c>
      <c r="B789" s="3" t="s">
        <v>3283</v>
      </c>
      <c r="C789" s="4">
        <v>513110</v>
      </c>
      <c r="D789" s="3" t="s">
        <v>3282</v>
      </c>
      <c r="E789" s="102"/>
    </row>
    <row r="790" spans="1:9" x14ac:dyDescent="0.25">
      <c r="A790" s="3">
        <v>511120</v>
      </c>
      <c r="B790" s="3" t="s">
        <v>3284</v>
      </c>
      <c r="C790" s="4">
        <v>513120</v>
      </c>
      <c r="D790" s="3" t="s">
        <v>3284</v>
      </c>
      <c r="E790" s="102"/>
    </row>
    <row r="791" spans="1:9" ht="38.25" x14ac:dyDescent="0.25">
      <c r="A791" s="5">
        <v>519130</v>
      </c>
      <c r="B791" s="3" t="s">
        <v>3285</v>
      </c>
      <c r="C791" s="4">
        <v>513120</v>
      </c>
      <c r="D791" s="3" t="s">
        <v>3284</v>
      </c>
      <c r="E791" s="102"/>
    </row>
    <row r="792" spans="1:9" x14ac:dyDescent="0.25">
      <c r="A792" s="3">
        <v>511130</v>
      </c>
      <c r="B792" s="3" t="s">
        <v>3286</v>
      </c>
      <c r="C792" s="4">
        <v>513130</v>
      </c>
      <c r="D792" s="3" t="s">
        <v>3286</v>
      </c>
      <c r="E792" s="102"/>
    </row>
    <row r="793" spans="1:9" ht="38.25" x14ac:dyDescent="0.25">
      <c r="A793" s="5">
        <v>519130</v>
      </c>
      <c r="B793" s="3" t="s">
        <v>3287</v>
      </c>
      <c r="C793" s="4">
        <v>513130</v>
      </c>
      <c r="D793" s="3" t="s">
        <v>3286</v>
      </c>
      <c r="E793" s="102"/>
    </row>
    <row r="794" spans="1:9" x14ac:dyDescent="0.25">
      <c r="A794" s="3">
        <v>511140</v>
      </c>
      <c r="B794" s="3" t="s">
        <v>3288</v>
      </c>
      <c r="C794" s="4">
        <v>513140</v>
      </c>
      <c r="D794" s="3" t="s">
        <v>3288</v>
      </c>
      <c r="E794" s="102"/>
    </row>
    <row r="795" spans="1:9" ht="38.25" x14ac:dyDescent="0.25">
      <c r="A795" s="5">
        <v>519130</v>
      </c>
      <c r="B795" s="3" t="s">
        <v>3289</v>
      </c>
      <c r="C795" s="4">
        <v>513140</v>
      </c>
      <c r="D795" s="3" t="s">
        <v>3288</v>
      </c>
      <c r="E795" s="102"/>
    </row>
    <row r="796" spans="1:9" x14ac:dyDescent="0.25">
      <c r="A796" s="3">
        <v>511191</v>
      </c>
      <c r="B796" s="3" t="s">
        <v>3290</v>
      </c>
      <c r="C796" s="4">
        <v>513191</v>
      </c>
      <c r="D796" s="3" t="s">
        <v>3290</v>
      </c>
      <c r="E796" s="102"/>
    </row>
    <row r="797" spans="1:9" ht="38.25" x14ac:dyDescent="0.25">
      <c r="A797" s="5">
        <v>519130</v>
      </c>
      <c r="B797" s="3" t="s">
        <v>3291</v>
      </c>
      <c r="C797" s="4">
        <v>513191</v>
      </c>
      <c r="D797" s="3" t="s">
        <v>3290</v>
      </c>
      <c r="E797" s="102"/>
    </row>
    <row r="798" spans="1:9" x14ac:dyDescent="0.25">
      <c r="A798" s="3">
        <v>511199</v>
      </c>
      <c r="B798" s="3" t="s">
        <v>3292</v>
      </c>
      <c r="C798" s="4">
        <v>513199</v>
      </c>
      <c r="D798" s="3" t="s">
        <v>3292</v>
      </c>
      <c r="E798" s="102"/>
    </row>
    <row r="799" spans="1:9" ht="38.25" x14ac:dyDescent="0.25">
      <c r="A799" s="5">
        <v>519130</v>
      </c>
      <c r="B799" s="3" t="s">
        <v>3293</v>
      </c>
      <c r="C799" s="4">
        <v>513199</v>
      </c>
      <c r="D799" s="3" t="s">
        <v>3292</v>
      </c>
      <c r="E799" s="102"/>
    </row>
    <row r="800" spans="1:9" x14ac:dyDescent="0.25">
      <c r="A800" s="3">
        <v>511210</v>
      </c>
      <c r="B800" s="3" t="s">
        <v>3294</v>
      </c>
      <c r="C800" s="3">
        <v>513210</v>
      </c>
      <c r="D800" s="3" t="s">
        <v>3294</v>
      </c>
      <c r="E800" s="63"/>
      <c r="H800" t="s">
        <v>2</v>
      </c>
    </row>
    <row r="801" spans="1:7" x14ac:dyDescent="0.25">
      <c r="A801" s="3">
        <v>515112</v>
      </c>
      <c r="B801" s="3" t="s">
        <v>3295</v>
      </c>
      <c r="C801" s="3">
        <v>516110</v>
      </c>
      <c r="D801" s="3" t="s">
        <v>3296</v>
      </c>
      <c r="E801" s="63"/>
    </row>
    <row r="802" spans="1:7" ht="25.5" x14ac:dyDescent="0.25">
      <c r="A802" s="5">
        <v>515120</v>
      </c>
      <c r="B802" s="3" t="s">
        <v>3297</v>
      </c>
      <c r="C802" s="3">
        <v>516120</v>
      </c>
      <c r="D802" s="3" t="s">
        <v>3298</v>
      </c>
      <c r="E802" s="63"/>
    </row>
    <row r="803" spans="1:7" ht="38.25" x14ac:dyDescent="0.25">
      <c r="A803" s="3">
        <v>515111</v>
      </c>
      <c r="B803" s="3" t="s">
        <v>3299</v>
      </c>
      <c r="C803" s="4">
        <v>516210</v>
      </c>
      <c r="D803" s="3" t="s">
        <v>3300</v>
      </c>
      <c r="E803" s="102"/>
      <c r="G803" s="28" t="s">
        <v>2</v>
      </c>
    </row>
    <row r="804" spans="1:7" ht="38.25" x14ac:dyDescent="0.25">
      <c r="A804" s="5">
        <v>515120</v>
      </c>
      <c r="B804" s="3" t="s">
        <v>3301</v>
      </c>
      <c r="C804" s="4">
        <v>516210</v>
      </c>
      <c r="D804" s="3" t="s">
        <v>3300</v>
      </c>
      <c r="E804" s="102"/>
    </row>
    <row r="805" spans="1:7" ht="38.25" x14ac:dyDescent="0.25">
      <c r="A805" s="3">
        <v>515210</v>
      </c>
      <c r="B805" s="3" t="s">
        <v>3302</v>
      </c>
      <c r="C805" s="4">
        <v>516210</v>
      </c>
      <c r="D805" s="3" t="s">
        <v>3300</v>
      </c>
      <c r="E805" s="102"/>
    </row>
    <row r="806" spans="1:7" ht="38.25" x14ac:dyDescent="0.25">
      <c r="A806" s="3">
        <v>519110</v>
      </c>
      <c r="B806" s="3" t="s">
        <v>3303</v>
      </c>
      <c r="C806" s="4">
        <v>516210</v>
      </c>
      <c r="D806" s="3" t="s">
        <v>3300</v>
      </c>
      <c r="E806" s="102"/>
    </row>
    <row r="807" spans="1:7" ht="38.25" x14ac:dyDescent="0.25">
      <c r="A807" s="5">
        <v>519130</v>
      </c>
      <c r="B807" s="3" t="s">
        <v>3304</v>
      </c>
      <c r="C807" s="4">
        <v>516210</v>
      </c>
      <c r="D807" s="3" t="s">
        <v>3300</v>
      </c>
      <c r="E807" s="102"/>
    </row>
    <row r="808" spans="1:7" x14ac:dyDescent="0.25">
      <c r="A808" s="3">
        <v>517311</v>
      </c>
      <c r="B808" s="3" t="s">
        <v>3305</v>
      </c>
      <c r="C808" s="3">
        <v>517111</v>
      </c>
      <c r="D808" s="3" t="s">
        <v>3305</v>
      </c>
      <c r="E808" s="63"/>
    </row>
    <row r="809" spans="1:7" ht="38.25" x14ac:dyDescent="0.25">
      <c r="A809" s="5">
        <v>517312</v>
      </c>
      <c r="B809" s="3" t="s">
        <v>3306</v>
      </c>
      <c r="C809" s="3">
        <v>517112</v>
      </c>
      <c r="D809" s="3" t="s">
        <v>3307</v>
      </c>
      <c r="E809" s="63"/>
    </row>
    <row r="810" spans="1:7" ht="38.25" x14ac:dyDescent="0.25">
      <c r="A810" s="5">
        <v>517911</v>
      </c>
      <c r="B810" s="3" t="s">
        <v>3308</v>
      </c>
      <c r="C810" s="3">
        <v>517121</v>
      </c>
      <c r="D810" s="3" t="s">
        <v>3309</v>
      </c>
      <c r="E810" s="63"/>
    </row>
    <row r="811" spans="1:7" ht="38.25" x14ac:dyDescent="0.25">
      <c r="A811" s="5">
        <v>517312</v>
      </c>
      <c r="B811" s="3" t="s">
        <v>3310</v>
      </c>
      <c r="C811" s="4">
        <v>517122</v>
      </c>
      <c r="D811" s="3" t="s">
        <v>3311</v>
      </c>
      <c r="E811" s="102"/>
    </row>
    <row r="812" spans="1:7" ht="38.25" x14ac:dyDescent="0.25">
      <c r="A812" s="5">
        <v>517911</v>
      </c>
      <c r="B812" s="3" t="s">
        <v>3312</v>
      </c>
      <c r="C812" s="4">
        <v>517122</v>
      </c>
      <c r="D812" s="3" t="s">
        <v>3311</v>
      </c>
      <c r="E812" s="102"/>
    </row>
    <row r="813" spans="1:7" x14ac:dyDescent="0.25">
      <c r="A813" s="3">
        <v>517410</v>
      </c>
      <c r="B813" s="3" t="s">
        <v>3313</v>
      </c>
      <c r="C813" s="3">
        <v>517410</v>
      </c>
      <c r="D813" s="3" t="s">
        <v>3313</v>
      </c>
      <c r="E813" s="63"/>
    </row>
    <row r="814" spans="1:7" x14ac:dyDescent="0.25">
      <c r="A814" s="3">
        <v>517919</v>
      </c>
      <c r="B814" s="3" t="s">
        <v>3314</v>
      </c>
      <c r="C814" s="3">
        <v>517810</v>
      </c>
      <c r="D814" s="3" t="s">
        <v>3314</v>
      </c>
      <c r="E814" s="63"/>
    </row>
    <row r="815" spans="1:7" ht="38.25" x14ac:dyDescent="0.25">
      <c r="A815" s="3">
        <v>518210</v>
      </c>
      <c r="B815" s="3" t="s">
        <v>3315</v>
      </c>
      <c r="C815" s="3">
        <v>518210</v>
      </c>
      <c r="D815" s="3" t="s">
        <v>3316</v>
      </c>
      <c r="E815" s="63"/>
    </row>
    <row r="816" spans="1:7" x14ac:dyDescent="0.25">
      <c r="A816" s="3">
        <v>519120</v>
      </c>
      <c r="B816" s="3" t="s">
        <v>3317</v>
      </c>
      <c r="C816" s="3">
        <v>519210</v>
      </c>
      <c r="D816" s="3" t="s">
        <v>3317</v>
      </c>
      <c r="E816" s="63"/>
    </row>
    <row r="817" spans="1:9" ht="38.25" x14ac:dyDescent="0.25">
      <c r="A817" s="5">
        <v>519130</v>
      </c>
      <c r="B817" s="3" t="s">
        <v>3318</v>
      </c>
      <c r="C817" s="4">
        <v>519290</v>
      </c>
      <c r="D817" s="3" t="s">
        <v>3319</v>
      </c>
      <c r="E817" s="102"/>
    </row>
    <row r="818" spans="1:9" ht="25.5" x14ac:dyDescent="0.25">
      <c r="A818" s="3">
        <v>519190</v>
      </c>
      <c r="B818" s="3" t="s">
        <v>3320</v>
      </c>
      <c r="C818" s="4">
        <v>519290</v>
      </c>
      <c r="D818" s="3" t="s">
        <v>3319</v>
      </c>
      <c r="E818" s="102"/>
    </row>
    <row r="819" spans="1:9" x14ac:dyDescent="0.25">
      <c r="A819" s="3">
        <v>521110</v>
      </c>
      <c r="B819" s="3" t="s">
        <v>3321</v>
      </c>
      <c r="C819" s="3">
        <v>521110</v>
      </c>
      <c r="D819" s="3" t="s">
        <v>3321</v>
      </c>
      <c r="E819" s="63"/>
    </row>
    <row r="820" spans="1:9" x14ac:dyDescent="0.25">
      <c r="A820" s="3">
        <v>522110</v>
      </c>
      <c r="B820" s="3" t="s">
        <v>3322</v>
      </c>
      <c r="C820" s="3">
        <v>522110</v>
      </c>
      <c r="D820" s="3" t="s">
        <v>3322</v>
      </c>
      <c r="E820" s="63"/>
    </row>
    <row r="821" spans="1:9" x14ac:dyDescent="0.25">
      <c r="A821" s="3">
        <v>522130</v>
      </c>
      <c r="B821" s="3" t="s">
        <v>3323</v>
      </c>
      <c r="C821" s="3">
        <v>522130</v>
      </c>
      <c r="D821" s="3" t="s">
        <v>3323</v>
      </c>
      <c r="E821" s="63"/>
    </row>
    <row r="822" spans="1:9" ht="25.5" x14ac:dyDescent="0.25">
      <c r="A822" s="3">
        <v>522120</v>
      </c>
      <c r="B822" s="3" t="s">
        <v>3324</v>
      </c>
      <c r="C822" s="4">
        <v>522180</v>
      </c>
      <c r="D822" s="3" t="s">
        <v>3325</v>
      </c>
      <c r="E822" s="102"/>
    </row>
    <row r="823" spans="1:9" ht="25.5" x14ac:dyDescent="0.25">
      <c r="A823" s="3">
        <v>522190</v>
      </c>
      <c r="B823" s="3" t="s">
        <v>3326</v>
      </c>
      <c r="C823" s="4">
        <v>522180</v>
      </c>
      <c r="D823" s="3" t="s">
        <v>3325</v>
      </c>
      <c r="E823" s="102"/>
    </row>
    <row r="824" spans="1:9" x14ac:dyDescent="0.25">
      <c r="A824" s="3">
        <v>522210</v>
      </c>
      <c r="B824" s="3" t="s">
        <v>3327</v>
      </c>
      <c r="C824" s="3">
        <v>522210</v>
      </c>
      <c r="D824" s="3" t="s">
        <v>3327</v>
      </c>
      <c r="E824" s="63"/>
    </row>
    <row r="825" spans="1:9" x14ac:dyDescent="0.25">
      <c r="A825" s="3">
        <v>522220</v>
      </c>
      <c r="B825" s="3" t="s">
        <v>3328</v>
      </c>
      <c r="C825" s="3">
        <v>522220</v>
      </c>
      <c r="D825" s="3" t="s">
        <v>3328</v>
      </c>
      <c r="E825" s="63"/>
    </row>
    <row r="826" spans="1:9" x14ac:dyDescent="0.25">
      <c r="A826" s="3">
        <v>522291</v>
      </c>
      <c r="B826" s="3" t="s">
        <v>3329</v>
      </c>
      <c r="C826" s="3">
        <v>522291</v>
      </c>
      <c r="D826" s="3" t="s">
        <v>3329</v>
      </c>
      <c r="E826" s="63"/>
    </row>
    <row r="827" spans="1:9" x14ac:dyDescent="0.25">
      <c r="A827" s="3">
        <v>522292</v>
      </c>
      <c r="B827" s="3" t="s">
        <v>3330</v>
      </c>
      <c r="C827" s="3">
        <v>522292</v>
      </c>
      <c r="D827" s="3" t="s">
        <v>3330</v>
      </c>
      <c r="E827" s="63"/>
    </row>
    <row r="828" spans="1:9" ht="38.25" x14ac:dyDescent="0.25">
      <c r="A828" s="3">
        <v>522293</v>
      </c>
      <c r="B828" s="3" t="s">
        <v>3331</v>
      </c>
      <c r="C828" s="4">
        <v>522299</v>
      </c>
      <c r="D828" s="3" t="s">
        <v>3332</v>
      </c>
      <c r="E828" s="102"/>
    </row>
    <row r="829" spans="1:9" ht="38.25" x14ac:dyDescent="0.25">
      <c r="A829" s="3">
        <v>522294</v>
      </c>
      <c r="B829" s="3" t="s">
        <v>3333</v>
      </c>
      <c r="C829" s="4">
        <v>522299</v>
      </c>
      <c r="D829" s="3" t="s">
        <v>3332</v>
      </c>
      <c r="E829" s="102"/>
    </row>
    <row r="830" spans="1:9" ht="38.25" x14ac:dyDescent="0.25">
      <c r="A830" s="3">
        <v>522298</v>
      </c>
      <c r="B830" s="3" t="s">
        <v>3334</v>
      </c>
      <c r="C830" s="4">
        <v>522299</v>
      </c>
      <c r="D830" s="3" t="s">
        <v>3332</v>
      </c>
      <c r="E830" s="102"/>
    </row>
    <row r="831" spans="1:9" ht="25.5" x14ac:dyDescent="0.25">
      <c r="A831" s="3">
        <v>522310</v>
      </c>
      <c r="B831" s="3" t="s">
        <v>3335</v>
      </c>
      <c r="C831" s="3">
        <v>522310</v>
      </c>
      <c r="D831" s="3" t="s">
        <v>3335</v>
      </c>
      <c r="E831" s="63"/>
      <c r="I831" t="s">
        <v>2</v>
      </c>
    </row>
    <row r="832" spans="1:9" ht="25.5" x14ac:dyDescent="0.25">
      <c r="A832" s="3">
        <v>522320</v>
      </c>
      <c r="B832" s="3" t="s">
        <v>3336</v>
      </c>
      <c r="C832" s="3">
        <v>522320</v>
      </c>
      <c r="D832" s="3" t="s">
        <v>3336</v>
      </c>
      <c r="E832" s="63"/>
    </row>
    <row r="833" spans="1:4" ht="25.5" x14ac:dyDescent="0.25">
      <c r="A833" s="6">
        <v>522390</v>
      </c>
      <c r="B833" s="3" t="s">
        <v>3337</v>
      </c>
      <c r="C833" s="6">
        <v>522390</v>
      </c>
      <c r="D833" s="3" t="s">
        <v>3337</v>
      </c>
    </row>
    <row r="834" spans="1:4" ht="25.5" x14ac:dyDescent="0.25">
      <c r="A834" s="3">
        <v>523110</v>
      </c>
      <c r="B834" s="3" t="s">
        <v>3338</v>
      </c>
      <c r="C834" s="4">
        <v>523150</v>
      </c>
      <c r="D834" s="3" t="s">
        <v>3339</v>
      </c>
    </row>
    <row r="835" spans="1:4" ht="25.5" x14ac:dyDescent="0.25">
      <c r="A835" s="3">
        <v>523120</v>
      </c>
      <c r="B835" s="3" t="s">
        <v>3340</v>
      </c>
      <c r="C835" s="4">
        <v>523150</v>
      </c>
      <c r="D835" s="3" t="s">
        <v>3339</v>
      </c>
    </row>
    <row r="836" spans="1:4" x14ac:dyDescent="0.25">
      <c r="A836" s="3">
        <v>523130</v>
      </c>
      <c r="B836" s="3" t="s">
        <v>3341</v>
      </c>
      <c r="C836" s="4">
        <v>523160</v>
      </c>
      <c r="D836" s="3" t="s">
        <v>3342</v>
      </c>
    </row>
    <row r="837" spans="1:4" x14ac:dyDescent="0.25">
      <c r="A837" s="3">
        <v>523140</v>
      </c>
      <c r="B837" s="3" t="s">
        <v>3343</v>
      </c>
      <c r="C837" s="4">
        <v>523160</v>
      </c>
      <c r="D837" s="3" t="s">
        <v>3342</v>
      </c>
    </row>
    <row r="838" spans="1:4" x14ac:dyDescent="0.25">
      <c r="A838" s="3">
        <v>523210</v>
      </c>
      <c r="B838" s="3" t="s">
        <v>3344</v>
      </c>
      <c r="C838" s="3">
        <v>523210</v>
      </c>
      <c r="D838" s="3" t="s">
        <v>3344</v>
      </c>
    </row>
    <row r="839" spans="1:4" x14ac:dyDescent="0.25">
      <c r="A839" s="3">
        <v>523910</v>
      </c>
      <c r="B839" s="3" t="s">
        <v>3345</v>
      </c>
      <c r="C839" s="3">
        <v>523910</v>
      </c>
      <c r="D839" s="3" t="s">
        <v>3345</v>
      </c>
    </row>
    <row r="840" spans="1:4" ht="25.5" x14ac:dyDescent="0.25">
      <c r="A840" s="3">
        <v>523920</v>
      </c>
      <c r="B840" s="3" t="s">
        <v>3346</v>
      </c>
      <c r="C840" s="4">
        <v>523940</v>
      </c>
      <c r="D840" s="3" t="s">
        <v>3347</v>
      </c>
    </row>
    <row r="841" spans="1:4" ht="25.5" x14ac:dyDescent="0.25">
      <c r="A841" s="3">
        <v>523930</v>
      </c>
      <c r="B841" s="3" t="s">
        <v>3348</v>
      </c>
      <c r="C841" s="4">
        <v>523940</v>
      </c>
      <c r="D841" s="3" t="s">
        <v>3347</v>
      </c>
    </row>
    <row r="842" spans="1:4" x14ac:dyDescent="0.25">
      <c r="A842" s="3">
        <v>523991</v>
      </c>
      <c r="B842" s="3" t="s">
        <v>3349</v>
      </c>
      <c r="C842" s="3">
        <v>523991</v>
      </c>
      <c r="D842" s="3" t="s">
        <v>3349</v>
      </c>
    </row>
    <row r="843" spans="1:4" ht="25.5" x14ac:dyDescent="0.25">
      <c r="A843" s="3">
        <v>523999</v>
      </c>
      <c r="B843" s="3" t="s">
        <v>3350</v>
      </c>
      <c r="C843" s="3">
        <v>523999</v>
      </c>
      <c r="D843" s="3" t="s">
        <v>3350</v>
      </c>
    </row>
    <row r="844" spans="1:4" x14ac:dyDescent="0.25">
      <c r="A844" s="3">
        <v>524113</v>
      </c>
      <c r="B844" s="3" t="s">
        <v>3351</v>
      </c>
      <c r="C844" s="3">
        <v>524113</v>
      </c>
      <c r="D844" s="3" t="s">
        <v>3351</v>
      </c>
    </row>
    <row r="845" spans="1:4" ht="25.5" x14ac:dyDescent="0.25">
      <c r="A845" s="3">
        <v>524114</v>
      </c>
      <c r="B845" s="3" t="s">
        <v>3352</v>
      </c>
      <c r="C845" s="3">
        <v>524114</v>
      </c>
      <c r="D845" s="3" t="s">
        <v>3352</v>
      </c>
    </row>
    <row r="846" spans="1:4" ht="25.5" x14ac:dyDescent="0.25">
      <c r="A846" s="3">
        <v>524126</v>
      </c>
      <c r="B846" s="3" t="s">
        <v>3353</v>
      </c>
      <c r="C846" s="3">
        <v>524126</v>
      </c>
      <c r="D846" s="3" t="s">
        <v>3353</v>
      </c>
    </row>
    <row r="847" spans="1:4" x14ac:dyDescent="0.25">
      <c r="A847" s="3">
        <v>524127</v>
      </c>
      <c r="B847" s="3" t="s">
        <v>3354</v>
      </c>
      <c r="C847" s="3">
        <v>524127</v>
      </c>
      <c r="D847" s="3" t="s">
        <v>3354</v>
      </c>
    </row>
    <row r="848" spans="1:4" ht="25.5" x14ac:dyDescent="0.25">
      <c r="A848" s="3">
        <v>524128</v>
      </c>
      <c r="B848" s="3" t="s">
        <v>3355</v>
      </c>
      <c r="C848" s="3">
        <v>524128</v>
      </c>
      <c r="D848" s="3" t="s">
        <v>3355</v>
      </c>
    </row>
    <row r="849" spans="1:8" x14ac:dyDescent="0.25">
      <c r="A849" s="3">
        <v>524130</v>
      </c>
      <c r="B849" s="3" t="s">
        <v>3356</v>
      </c>
      <c r="C849" s="3">
        <v>524130</v>
      </c>
      <c r="D849" s="3" t="s">
        <v>3356</v>
      </c>
      <c r="E849" s="63"/>
    </row>
    <row r="850" spans="1:8" x14ac:dyDescent="0.25">
      <c r="A850" s="3">
        <v>524210</v>
      </c>
      <c r="B850" s="3" t="s">
        <v>3357</v>
      </c>
      <c r="C850" s="3">
        <v>524210</v>
      </c>
      <c r="D850" s="3" t="s">
        <v>3357</v>
      </c>
      <c r="E850" s="63"/>
    </row>
    <row r="851" spans="1:8" x14ac:dyDescent="0.25">
      <c r="A851" s="3">
        <v>524291</v>
      </c>
      <c r="B851" s="3" t="s">
        <v>3358</v>
      </c>
      <c r="C851" s="3">
        <v>524291</v>
      </c>
      <c r="D851" s="3" t="s">
        <v>3358</v>
      </c>
      <c r="E851" s="63"/>
    </row>
    <row r="852" spans="1:8" ht="38.25" x14ac:dyDescent="0.25">
      <c r="A852" s="3">
        <v>524292</v>
      </c>
      <c r="B852" s="3" t="s">
        <v>3359</v>
      </c>
      <c r="C852" s="3">
        <v>524292</v>
      </c>
      <c r="D852" s="3" t="s">
        <v>3360</v>
      </c>
      <c r="E852" s="63"/>
      <c r="H852" t="s">
        <v>2</v>
      </c>
    </row>
    <row r="853" spans="1:8" x14ac:dyDescent="0.25">
      <c r="A853" s="3">
        <v>524298</v>
      </c>
      <c r="B853" s="3" t="s">
        <v>3361</v>
      </c>
      <c r="C853" s="3">
        <v>524298</v>
      </c>
      <c r="D853" s="3" t="s">
        <v>3361</v>
      </c>
      <c r="E853" s="63"/>
    </row>
    <row r="854" spans="1:8" x14ac:dyDescent="0.25">
      <c r="A854" s="3">
        <v>525110</v>
      </c>
      <c r="B854" s="3" t="s">
        <v>3362</v>
      </c>
      <c r="C854" s="3">
        <v>525110</v>
      </c>
      <c r="D854" s="3" t="s">
        <v>3362</v>
      </c>
      <c r="E854" s="63"/>
    </row>
    <row r="855" spans="1:8" x14ac:dyDescent="0.25">
      <c r="A855" s="3">
        <v>525120</v>
      </c>
      <c r="B855" s="3" t="s">
        <v>3363</v>
      </c>
      <c r="C855" s="3">
        <v>525120</v>
      </c>
      <c r="D855" s="3" t="s">
        <v>3363</v>
      </c>
      <c r="E855" s="63"/>
    </row>
    <row r="856" spans="1:8" x14ac:dyDescent="0.25">
      <c r="A856" s="3">
        <v>525190</v>
      </c>
      <c r="B856" s="3" t="s">
        <v>3364</v>
      </c>
      <c r="C856" s="3">
        <v>525190</v>
      </c>
      <c r="D856" s="3" t="s">
        <v>3364</v>
      </c>
      <c r="E856" s="63"/>
    </row>
    <row r="857" spans="1:8" x14ac:dyDescent="0.25">
      <c r="A857" s="3">
        <v>525910</v>
      </c>
      <c r="B857" s="3" t="s">
        <v>3365</v>
      </c>
      <c r="C857" s="3">
        <v>525910</v>
      </c>
      <c r="D857" s="3" t="s">
        <v>3365</v>
      </c>
      <c r="E857" s="63"/>
    </row>
    <row r="858" spans="1:8" x14ac:dyDescent="0.25">
      <c r="A858" s="3">
        <v>525920</v>
      </c>
      <c r="B858" s="3" t="s">
        <v>3366</v>
      </c>
      <c r="C858" s="3">
        <v>525920</v>
      </c>
      <c r="D858" s="3" t="s">
        <v>3366</v>
      </c>
      <c r="E858" s="63"/>
    </row>
    <row r="859" spans="1:8" x14ac:dyDescent="0.25">
      <c r="A859" s="3">
        <v>525990</v>
      </c>
      <c r="B859" s="3" t="s">
        <v>3367</v>
      </c>
      <c r="C859" s="3">
        <v>525990</v>
      </c>
      <c r="D859" s="3" t="s">
        <v>3367</v>
      </c>
      <c r="E859" s="63"/>
    </row>
    <row r="860" spans="1:8" ht="25.5" x14ac:dyDescent="0.25">
      <c r="A860" s="3">
        <v>531110</v>
      </c>
      <c r="B860" s="3" t="s">
        <v>3368</v>
      </c>
      <c r="C860" s="3">
        <v>531110</v>
      </c>
      <c r="D860" s="3" t="s">
        <v>3368</v>
      </c>
      <c r="E860" s="63"/>
    </row>
    <row r="861" spans="1:8" ht="25.5" x14ac:dyDescent="0.25">
      <c r="A861" s="3">
        <v>531120</v>
      </c>
      <c r="B861" s="3" t="s">
        <v>3369</v>
      </c>
      <c r="C861" s="3">
        <v>531120</v>
      </c>
      <c r="D861" s="3" t="s">
        <v>3369</v>
      </c>
      <c r="E861" s="63"/>
    </row>
    <row r="862" spans="1:8" ht="25.5" x14ac:dyDescent="0.25">
      <c r="A862" s="3">
        <v>531130</v>
      </c>
      <c r="B862" s="3" t="s">
        <v>3370</v>
      </c>
      <c r="C862" s="3">
        <v>531130</v>
      </c>
      <c r="D862" s="3" t="s">
        <v>3370</v>
      </c>
      <c r="E862" s="63"/>
    </row>
    <row r="863" spans="1:8" x14ac:dyDescent="0.25">
      <c r="A863" s="3">
        <v>531190</v>
      </c>
      <c r="B863" s="3" t="s">
        <v>3371</v>
      </c>
      <c r="C863" s="3">
        <v>531190</v>
      </c>
      <c r="D863" s="3" t="s">
        <v>3371</v>
      </c>
      <c r="E863" s="63"/>
    </row>
    <row r="864" spans="1:8" ht="25.5" x14ac:dyDescent="0.25">
      <c r="A864" s="3">
        <v>531210</v>
      </c>
      <c r="B864" s="3" t="s">
        <v>3372</v>
      </c>
      <c r="C864" s="3">
        <v>531210</v>
      </c>
      <c r="D864" s="3" t="s">
        <v>3372</v>
      </c>
      <c r="E864" s="63"/>
    </row>
    <row r="865" spans="1:8" x14ac:dyDescent="0.25">
      <c r="A865" s="3">
        <v>531311</v>
      </c>
      <c r="B865" s="3" t="s">
        <v>3373</v>
      </c>
      <c r="C865" s="3">
        <v>531311</v>
      </c>
      <c r="D865" s="3" t="s">
        <v>3373</v>
      </c>
      <c r="E865" s="63"/>
    </row>
    <row r="866" spans="1:8" x14ac:dyDescent="0.25">
      <c r="A866" s="3">
        <v>531312</v>
      </c>
      <c r="B866" s="3" t="s">
        <v>3374</v>
      </c>
      <c r="C866" s="3">
        <v>531312</v>
      </c>
      <c r="D866" s="3" t="s">
        <v>3374</v>
      </c>
      <c r="E866" s="63"/>
    </row>
    <row r="867" spans="1:8" x14ac:dyDescent="0.25">
      <c r="A867" s="3">
        <v>531320</v>
      </c>
      <c r="B867" s="3" t="s">
        <v>3375</v>
      </c>
      <c r="C867" s="3">
        <v>531320</v>
      </c>
      <c r="D867" s="3" t="s">
        <v>3375</v>
      </c>
      <c r="E867" s="63"/>
    </row>
    <row r="868" spans="1:8" x14ac:dyDescent="0.25">
      <c r="A868" s="3">
        <v>531390</v>
      </c>
      <c r="B868" s="3" t="s">
        <v>3376</v>
      </c>
      <c r="C868" s="3">
        <v>531390</v>
      </c>
      <c r="D868" s="3" t="s">
        <v>3376</v>
      </c>
      <c r="E868" s="63"/>
    </row>
    <row r="869" spans="1:8" x14ac:dyDescent="0.25">
      <c r="A869" s="3">
        <v>532111</v>
      </c>
      <c r="B869" s="3" t="s">
        <v>3377</v>
      </c>
      <c r="C869" s="3">
        <v>532111</v>
      </c>
      <c r="D869" s="3" t="s">
        <v>3377</v>
      </c>
      <c r="E869" s="63"/>
    </row>
    <row r="870" spans="1:8" x14ac:dyDescent="0.25">
      <c r="A870" s="3">
        <v>532112</v>
      </c>
      <c r="B870" s="3" t="s">
        <v>3378</v>
      </c>
      <c r="C870" s="3">
        <v>532112</v>
      </c>
      <c r="D870" s="3" t="s">
        <v>3378</v>
      </c>
      <c r="E870" s="63"/>
    </row>
    <row r="871" spans="1:8" ht="38.25" x14ac:dyDescent="0.25">
      <c r="A871" s="3">
        <v>532120</v>
      </c>
      <c r="B871" s="3" t="s">
        <v>3379</v>
      </c>
      <c r="C871" s="3">
        <v>532120</v>
      </c>
      <c r="D871" s="3" t="s">
        <v>3379</v>
      </c>
      <c r="E871" s="63"/>
    </row>
    <row r="872" spans="1:8" ht="25.5" x14ac:dyDescent="0.25">
      <c r="A872" s="3">
        <v>532210</v>
      </c>
      <c r="B872" s="3" t="s">
        <v>3380</v>
      </c>
      <c r="C872" s="3">
        <v>532210</v>
      </c>
      <c r="D872" s="3" t="s">
        <v>3380</v>
      </c>
      <c r="E872" s="63"/>
    </row>
    <row r="873" spans="1:8" x14ac:dyDescent="0.25">
      <c r="A873" s="3">
        <v>532281</v>
      </c>
      <c r="B873" s="3" t="s">
        <v>3381</v>
      </c>
      <c r="C873" s="3">
        <v>532281</v>
      </c>
      <c r="D873" s="3" t="s">
        <v>3381</v>
      </c>
      <c r="E873" s="63"/>
    </row>
    <row r="874" spans="1:8" x14ac:dyDescent="0.25">
      <c r="A874" s="3">
        <v>532282</v>
      </c>
      <c r="B874" s="3" t="s">
        <v>3382</v>
      </c>
      <c r="C874" s="3">
        <v>532282</v>
      </c>
      <c r="D874" s="3" t="s">
        <v>3382</v>
      </c>
      <c r="E874" s="63"/>
    </row>
    <row r="875" spans="1:8" x14ac:dyDescent="0.25">
      <c r="A875" s="3">
        <v>532283</v>
      </c>
      <c r="B875" s="3" t="s">
        <v>3383</v>
      </c>
      <c r="C875" s="3">
        <v>532283</v>
      </c>
      <c r="D875" s="3" t="s">
        <v>3383</v>
      </c>
      <c r="E875" s="63"/>
    </row>
    <row r="876" spans="1:8" x14ac:dyDescent="0.25">
      <c r="A876" s="3">
        <v>532284</v>
      </c>
      <c r="B876" s="3" t="s">
        <v>3384</v>
      </c>
      <c r="C876" s="3">
        <v>532284</v>
      </c>
      <c r="D876" s="3" t="s">
        <v>3384</v>
      </c>
      <c r="E876" s="63"/>
    </row>
    <row r="877" spans="1:8" x14ac:dyDescent="0.25">
      <c r="A877" s="3">
        <v>532289</v>
      </c>
      <c r="B877" s="3" t="s">
        <v>3385</v>
      </c>
      <c r="C877" s="3">
        <v>532289</v>
      </c>
      <c r="D877" s="3" t="s">
        <v>3385</v>
      </c>
      <c r="E877" s="63"/>
    </row>
    <row r="878" spans="1:8" x14ac:dyDescent="0.25">
      <c r="A878" s="3">
        <v>532310</v>
      </c>
      <c r="B878" s="3" t="s">
        <v>3386</v>
      </c>
      <c r="C878" s="3">
        <v>532310</v>
      </c>
      <c r="D878" s="3" t="s">
        <v>3386</v>
      </c>
      <c r="E878" s="63"/>
      <c r="H878" t="s">
        <v>2</v>
      </c>
    </row>
    <row r="879" spans="1:8" ht="38.25" x14ac:dyDescent="0.25">
      <c r="A879" s="3">
        <v>532411</v>
      </c>
      <c r="B879" s="3" t="s">
        <v>3387</v>
      </c>
      <c r="C879" s="3">
        <v>532411</v>
      </c>
      <c r="D879" s="3" t="s">
        <v>3387</v>
      </c>
      <c r="E879" s="63"/>
      <c r="G879" t="s">
        <v>2</v>
      </c>
    </row>
    <row r="880" spans="1:8" ht="38.25" x14ac:dyDescent="0.25">
      <c r="A880" s="3">
        <v>532412</v>
      </c>
      <c r="B880" s="3" t="s">
        <v>3388</v>
      </c>
      <c r="C880" s="3">
        <v>532412</v>
      </c>
      <c r="D880" s="3" t="s">
        <v>3388</v>
      </c>
      <c r="E880" s="63"/>
    </row>
    <row r="881" spans="1:4" ht="25.5" x14ac:dyDescent="0.25">
      <c r="A881" s="3">
        <v>532420</v>
      </c>
      <c r="B881" s="3" t="s">
        <v>3389</v>
      </c>
      <c r="C881" s="3">
        <v>532420</v>
      </c>
      <c r="D881" s="3" t="s">
        <v>3389</v>
      </c>
    </row>
    <row r="882" spans="1:4" ht="38.25" x14ac:dyDescent="0.25">
      <c r="A882" s="3">
        <v>532490</v>
      </c>
      <c r="B882" s="3" t="s">
        <v>3390</v>
      </c>
      <c r="C882" s="3">
        <v>532490</v>
      </c>
      <c r="D882" s="3" t="s">
        <v>3390</v>
      </c>
    </row>
    <row r="883" spans="1:4" ht="25.5" x14ac:dyDescent="0.25">
      <c r="A883" s="3">
        <v>533110</v>
      </c>
      <c r="B883" s="3" t="s">
        <v>3391</v>
      </c>
      <c r="C883" s="3">
        <v>533110</v>
      </c>
      <c r="D883" s="3" t="s">
        <v>3391</v>
      </c>
    </row>
    <row r="884" spans="1:4" x14ac:dyDescent="0.25">
      <c r="A884" s="3">
        <v>541110</v>
      </c>
      <c r="B884" s="3" t="s">
        <v>3392</v>
      </c>
      <c r="C884" s="3">
        <v>541110</v>
      </c>
      <c r="D884" s="3" t="s">
        <v>3392</v>
      </c>
    </row>
    <row r="885" spans="1:4" x14ac:dyDescent="0.25">
      <c r="A885" s="3">
        <v>541120</v>
      </c>
      <c r="B885" s="3" t="s">
        <v>3393</v>
      </c>
      <c r="C885" s="3">
        <v>541120</v>
      </c>
      <c r="D885" s="3" t="s">
        <v>3393</v>
      </c>
    </row>
    <row r="886" spans="1:4" x14ac:dyDescent="0.25">
      <c r="A886" s="3">
        <v>541191</v>
      </c>
      <c r="B886" s="3" t="s">
        <v>3394</v>
      </c>
      <c r="C886" s="3">
        <v>541191</v>
      </c>
      <c r="D886" s="3" t="s">
        <v>3394</v>
      </c>
    </row>
    <row r="887" spans="1:4" x14ac:dyDescent="0.25">
      <c r="A887" s="3">
        <v>541199</v>
      </c>
      <c r="B887" s="3" t="s">
        <v>3395</v>
      </c>
      <c r="C887" s="3">
        <v>541199</v>
      </c>
      <c r="D887" s="3" t="s">
        <v>3395</v>
      </c>
    </row>
    <row r="888" spans="1:4" x14ac:dyDescent="0.25">
      <c r="A888" s="3">
        <v>541211</v>
      </c>
      <c r="B888" s="3" t="s">
        <v>3396</v>
      </c>
      <c r="C888" s="3">
        <v>541211</v>
      </c>
      <c r="D888" s="3" t="s">
        <v>3396</v>
      </c>
    </row>
    <row r="889" spans="1:4" x14ac:dyDescent="0.25">
      <c r="A889" s="3">
        <v>541213</v>
      </c>
      <c r="B889" s="3" t="s">
        <v>3397</v>
      </c>
      <c r="C889" s="3">
        <v>541213</v>
      </c>
      <c r="D889" s="3" t="s">
        <v>3397</v>
      </c>
    </row>
    <row r="890" spans="1:4" x14ac:dyDescent="0.25">
      <c r="A890" s="3">
        <v>541214</v>
      </c>
      <c r="B890" s="3" t="s">
        <v>3398</v>
      </c>
      <c r="C890" s="3">
        <v>541214</v>
      </c>
      <c r="D890" s="3" t="s">
        <v>3398</v>
      </c>
    </row>
    <row r="891" spans="1:4" x14ac:dyDescent="0.25">
      <c r="A891" s="3">
        <v>541219</v>
      </c>
      <c r="B891" s="3" t="s">
        <v>3399</v>
      </c>
      <c r="C891" s="3">
        <v>541219</v>
      </c>
      <c r="D891" s="3" t="s">
        <v>3399</v>
      </c>
    </row>
    <row r="892" spans="1:4" x14ac:dyDescent="0.25">
      <c r="A892" s="3">
        <v>541310</v>
      </c>
      <c r="B892" s="3" t="s">
        <v>3400</v>
      </c>
      <c r="C892" s="3">
        <v>541310</v>
      </c>
      <c r="D892" s="3" t="s">
        <v>3400</v>
      </c>
    </row>
    <row r="893" spans="1:4" x14ac:dyDescent="0.25">
      <c r="A893" s="3">
        <v>541320</v>
      </c>
      <c r="B893" s="3" t="s">
        <v>3401</v>
      </c>
      <c r="C893" s="3">
        <v>541320</v>
      </c>
      <c r="D893" s="3" t="s">
        <v>3401</v>
      </c>
    </row>
    <row r="894" spans="1:4" x14ac:dyDescent="0.25">
      <c r="A894" s="3">
        <v>541330</v>
      </c>
      <c r="B894" s="3" t="s">
        <v>2192</v>
      </c>
      <c r="C894" s="3">
        <v>541330</v>
      </c>
      <c r="D894" s="3" t="s">
        <v>2192</v>
      </c>
    </row>
    <row r="895" spans="1:4" x14ac:dyDescent="0.25">
      <c r="A895" s="3">
        <v>541340</v>
      </c>
      <c r="B895" s="3" t="s">
        <v>3402</v>
      </c>
      <c r="C895" s="3">
        <v>541340</v>
      </c>
      <c r="D895" s="3" t="s">
        <v>3402</v>
      </c>
    </row>
    <row r="896" spans="1:4" x14ac:dyDescent="0.25">
      <c r="A896" s="3">
        <v>541350</v>
      </c>
      <c r="B896" s="3" t="s">
        <v>3403</v>
      </c>
      <c r="C896" s="3">
        <v>541350</v>
      </c>
      <c r="D896" s="3" t="s">
        <v>3403</v>
      </c>
    </row>
    <row r="897" spans="1:11" ht="25.5" x14ac:dyDescent="0.25">
      <c r="A897" s="3">
        <v>541360</v>
      </c>
      <c r="B897" s="3" t="s">
        <v>3404</v>
      </c>
      <c r="C897" s="3">
        <v>541360</v>
      </c>
      <c r="D897" s="3" t="s">
        <v>3404</v>
      </c>
      <c r="E897" s="63"/>
    </row>
    <row r="898" spans="1:11" ht="25.5" x14ac:dyDescent="0.25">
      <c r="A898" s="3">
        <v>541370</v>
      </c>
      <c r="B898" s="3" t="s">
        <v>3405</v>
      </c>
      <c r="C898" s="3">
        <v>541370</v>
      </c>
      <c r="D898" s="3" t="s">
        <v>3405</v>
      </c>
      <c r="E898" s="63"/>
      <c r="K898" t="s">
        <v>2</v>
      </c>
    </row>
    <row r="899" spans="1:11" x14ac:dyDescent="0.25">
      <c r="A899" s="3">
        <v>541380</v>
      </c>
      <c r="B899" s="3" t="s">
        <v>3406</v>
      </c>
      <c r="C899" s="3">
        <v>541380</v>
      </c>
      <c r="D899" s="3" t="s">
        <v>3407</v>
      </c>
      <c r="E899" s="63"/>
    </row>
    <row r="900" spans="1:11" x14ac:dyDescent="0.25">
      <c r="A900" s="3">
        <v>541410</v>
      </c>
      <c r="B900" s="3" t="s">
        <v>3408</v>
      </c>
      <c r="C900" s="3">
        <v>541410</v>
      </c>
      <c r="D900" s="3" t="s">
        <v>3408</v>
      </c>
      <c r="E900" s="63"/>
    </row>
    <row r="901" spans="1:11" x14ac:dyDescent="0.25">
      <c r="A901" s="3">
        <v>541420</v>
      </c>
      <c r="B901" s="3" t="s">
        <v>3409</v>
      </c>
      <c r="C901" s="3">
        <v>541420</v>
      </c>
      <c r="D901" s="3" t="s">
        <v>3409</v>
      </c>
      <c r="E901" s="63"/>
    </row>
    <row r="902" spans="1:11" x14ac:dyDescent="0.25">
      <c r="A902" s="3">
        <v>541430</v>
      </c>
      <c r="B902" s="3" t="s">
        <v>3410</v>
      </c>
      <c r="C902" s="3">
        <v>541430</v>
      </c>
      <c r="D902" s="3" t="s">
        <v>3410</v>
      </c>
      <c r="E902" s="63"/>
    </row>
    <row r="903" spans="1:11" x14ac:dyDescent="0.25">
      <c r="A903" s="3">
        <v>541490</v>
      </c>
      <c r="B903" s="3" t="s">
        <v>3411</v>
      </c>
      <c r="C903" s="3">
        <v>541490</v>
      </c>
      <c r="D903" s="3" t="s">
        <v>3411</v>
      </c>
      <c r="E903" s="63"/>
    </row>
    <row r="904" spans="1:11" ht="25.5" x14ac:dyDescent="0.25">
      <c r="A904" s="3">
        <v>541511</v>
      </c>
      <c r="B904" s="3" t="s">
        <v>3412</v>
      </c>
      <c r="C904" s="3">
        <v>541511</v>
      </c>
      <c r="D904" s="3" t="s">
        <v>3412</v>
      </c>
      <c r="E904" s="63"/>
    </row>
    <row r="905" spans="1:11" x14ac:dyDescent="0.25">
      <c r="A905" s="3">
        <v>541512</v>
      </c>
      <c r="B905" s="3" t="s">
        <v>3413</v>
      </c>
      <c r="C905" s="3">
        <v>541512</v>
      </c>
      <c r="D905" s="3" t="s">
        <v>3413</v>
      </c>
      <c r="E905" s="63"/>
    </row>
    <row r="906" spans="1:11" ht="25.5" x14ac:dyDescent="0.25">
      <c r="A906" s="3">
        <v>541513</v>
      </c>
      <c r="B906" s="3" t="s">
        <v>3414</v>
      </c>
      <c r="C906" s="3">
        <v>541513</v>
      </c>
      <c r="D906" s="3" t="s">
        <v>3414</v>
      </c>
      <c r="E906" s="63"/>
    </row>
    <row r="907" spans="1:11" x14ac:dyDescent="0.25">
      <c r="A907" s="3">
        <v>541519</v>
      </c>
      <c r="B907" s="3" t="s">
        <v>3415</v>
      </c>
      <c r="C907" s="3">
        <v>541519</v>
      </c>
      <c r="D907" s="3" t="s">
        <v>3415</v>
      </c>
      <c r="E907" s="63"/>
    </row>
    <row r="908" spans="1:11" ht="25.5" x14ac:dyDescent="0.25">
      <c r="A908" s="3">
        <v>541611</v>
      </c>
      <c r="B908" s="3" t="s">
        <v>3416</v>
      </c>
      <c r="C908" s="3">
        <v>541611</v>
      </c>
      <c r="D908" s="3" t="s">
        <v>3416</v>
      </c>
      <c r="E908" s="63"/>
    </row>
    <row r="909" spans="1:11" x14ac:dyDescent="0.25">
      <c r="A909" s="3">
        <v>541612</v>
      </c>
      <c r="B909" s="3" t="s">
        <v>3417</v>
      </c>
      <c r="C909" s="3">
        <v>541612</v>
      </c>
      <c r="D909" s="3" t="s">
        <v>3417</v>
      </c>
      <c r="E909" s="63"/>
    </row>
    <row r="910" spans="1:11" x14ac:dyDescent="0.25">
      <c r="A910" s="3">
        <v>541613</v>
      </c>
      <c r="B910" s="3" t="s">
        <v>3418</v>
      </c>
      <c r="C910" s="3">
        <v>541613</v>
      </c>
      <c r="D910" s="3" t="s">
        <v>3418</v>
      </c>
      <c r="E910" s="63"/>
    </row>
    <row r="911" spans="1:11" ht="25.5" x14ac:dyDescent="0.25">
      <c r="A911" s="3">
        <v>541614</v>
      </c>
      <c r="B911" s="3" t="s">
        <v>3419</v>
      </c>
      <c r="C911" s="3">
        <v>541614</v>
      </c>
      <c r="D911" s="3" t="s">
        <v>3419</v>
      </c>
      <c r="E911" s="63"/>
    </row>
    <row r="912" spans="1:11" x14ac:dyDescent="0.25">
      <c r="A912" s="3">
        <v>541618</v>
      </c>
      <c r="B912" s="3" t="s">
        <v>3420</v>
      </c>
      <c r="C912" s="3">
        <v>541618</v>
      </c>
      <c r="D912" s="3" t="s">
        <v>3420</v>
      </c>
      <c r="E912" s="63"/>
    </row>
    <row r="913" spans="1:7" x14ac:dyDescent="0.25">
      <c r="A913" s="3">
        <v>541620</v>
      </c>
      <c r="B913" s="3" t="s">
        <v>3421</v>
      </c>
      <c r="C913" s="3">
        <v>541620</v>
      </c>
      <c r="D913" s="3" t="s">
        <v>3421</v>
      </c>
      <c r="E913" s="63"/>
    </row>
    <row r="914" spans="1:7" ht="25.5" x14ac:dyDescent="0.25">
      <c r="A914" s="3">
        <v>541690</v>
      </c>
      <c r="B914" s="3" t="s">
        <v>3422</v>
      </c>
      <c r="C914" s="3">
        <v>541690</v>
      </c>
      <c r="D914" s="3" t="s">
        <v>3422</v>
      </c>
      <c r="E914" s="63"/>
    </row>
    <row r="915" spans="1:7" ht="25.5" x14ac:dyDescent="0.25">
      <c r="A915" s="3">
        <v>541713</v>
      </c>
      <c r="B915" s="3" t="s">
        <v>3423</v>
      </c>
      <c r="C915" s="3">
        <v>541713</v>
      </c>
      <c r="D915" s="3" t="s">
        <v>3423</v>
      </c>
      <c r="E915" s="63"/>
    </row>
    <row r="916" spans="1:7" ht="38.25" x14ac:dyDescent="0.25">
      <c r="A916" s="3">
        <v>541714</v>
      </c>
      <c r="B916" s="3" t="s">
        <v>3424</v>
      </c>
      <c r="C916" s="3">
        <v>541714</v>
      </c>
      <c r="D916" s="3" t="s">
        <v>3424</v>
      </c>
      <c r="E916" s="63"/>
      <c r="F916" s="28"/>
    </row>
    <row r="917" spans="1:7" ht="51" x14ac:dyDescent="0.25">
      <c r="A917" s="3">
        <v>541715</v>
      </c>
      <c r="B917" s="3" t="s">
        <v>3425</v>
      </c>
      <c r="C917" s="3">
        <v>541715</v>
      </c>
      <c r="D917" s="3" t="s">
        <v>3425</v>
      </c>
      <c r="E917" s="63"/>
      <c r="F917" s="28"/>
      <c r="G917" s="28" t="s">
        <v>2</v>
      </c>
    </row>
    <row r="918" spans="1:7" ht="25.5" x14ac:dyDescent="0.25">
      <c r="A918" s="3">
        <v>541720</v>
      </c>
      <c r="B918" s="3" t="s">
        <v>3426</v>
      </c>
      <c r="C918" s="3">
        <v>541720</v>
      </c>
      <c r="D918" s="3" t="s">
        <v>3426</v>
      </c>
      <c r="E918" s="63"/>
      <c r="F918" s="28" t="s">
        <v>2</v>
      </c>
    </row>
    <row r="919" spans="1:7" x14ac:dyDescent="0.25">
      <c r="A919" s="3">
        <v>541810</v>
      </c>
      <c r="B919" s="3" t="s">
        <v>3427</v>
      </c>
      <c r="C919" s="3">
        <v>541810</v>
      </c>
      <c r="D919" s="3" t="s">
        <v>3427</v>
      </c>
      <c r="E919" s="63"/>
    </row>
    <row r="920" spans="1:7" x14ac:dyDescent="0.25">
      <c r="A920" s="3">
        <v>541820</v>
      </c>
      <c r="B920" s="3" t="s">
        <v>3428</v>
      </c>
      <c r="C920" s="3">
        <v>541820</v>
      </c>
      <c r="D920" s="3" t="s">
        <v>3428</v>
      </c>
      <c r="E920" s="63"/>
    </row>
    <row r="921" spans="1:7" x14ac:dyDescent="0.25">
      <c r="A921" s="3">
        <v>541830</v>
      </c>
      <c r="B921" s="3" t="s">
        <v>3429</v>
      </c>
      <c r="C921" s="3">
        <v>541830</v>
      </c>
      <c r="D921" s="3" t="s">
        <v>3429</v>
      </c>
      <c r="E921" s="63"/>
    </row>
    <row r="922" spans="1:7" x14ac:dyDescent="0.25">
      <c r="A922" s="3">
        <v>541840</v>
      </c>
      <c r="B922" s="3" t="s">
        <v>3430</v>
      </c>
      <c r="C922" s="3">
        <v>541840</v>
      </c>
      <c r="D922" s="3" t="s">
        <v>3430</v>
      </c>
      <c r="E922" s="63"/>
    </row>
    <row r="923" spans="1:7" x14ac:dyDescent="0.25">
      <c r="A923" s="3">
        <v>541850</v>
      </c>
      <c r="B923" s="3" t="s">
        <v>3431</v>
      </c>
      <c r="C923" s="3">
        <v>541850</v>
      </c>
      <c r="D923" s="3" t="s">
        <v>3432</v>
      </c>
      <c r="E923" s="63"/>
    </row>
    <row r="924" spans="1:7" x14ac:dyDescent="0.25">
      <c r="A924" s="3">
        <v>541860</v>
      </c>
      <c r="B924" s="3" t="s">
        <v>3433</v>
      </c>
      <c r="C924" s="3">
        <v>541860</v>
      </c>
      <c r="D924" s="3" t="s">
        <v>3433</v>
      </c>
      <c r="E924" s="63"/>
    </row>
    <row r="925" spans="1:7" x14ac:dyDescent="0.25">
      <c r="A925" s="3">
        <v>541870</v>
      </c>
      <c r="B925" s="3" t="s">
        <v>3434</v>
      </c>
      <c r="C925" s="3">
        <v>541870</v>
      </c>
      <c r="D925" s="3" t="s">
        <v>3434</v>
      </c>
      <c r="E925" s="63"/>
    </row>
    <row r="926" spans="1:7" x14ac:dyDescent="0.25">
      <c r="A926" s="3">
        <v>541890</v>
      </c>
      <c r="B926" s="3" t="s">
        <v>3435</v>
      </c>
      <c r="C926" s="3">
        <v>541890</v>
      </c>
      <c r="D926" s="3" t="s">
        <v>3435</v>
      </c>
      <c r="E926" s="63"/>
    </row>
    <row r="927" spans="1:7" ht="25.5" x14ac:dyDescent="0.25">
      <c r="A927" s="3">
        <v>541910</v>
      </c>
      <c r="B927" s="3" t="s">
        <v>3436</v>
      </c>
      <c r="C927" s="3">
        <v>541910</v>
      </c>
      <c r="D927" s="3" t="s">
        <v>3436</v>
      </c>
      <c r="E927" s="63"/>
    </row>
    <row r="928" spans="1:7" x14ac:dyDescent="0.25">
      <c r="A928" s="3">
        <v>541921</v>
      </c>
      <c r="B928" s="3" t="s">
        <v>3437</v>
      </c>
      <c r="C928" s="3">
        <v>541921</v>
      </c>
      <c r="D928" s="3" t="s">
        <v>3437</v>
      </c>
      <c r="E928" s="63"/>
    </row>
    <row r="929" spans="1:9" x14ac:dyDescent="0.25">
      <c r="A929" s="3">
        <v>541922</v>
      </c>
      <c r="B929" s="3" t="s">
        <v>3438</v>
      </c>
      <c r="C929" s="3">
        <v>541922</v>
      </c>
      <c r="D929" s="3" t="s">
        <v>3438</v>
      </c>
      <c r="E929" s="63"/>
      <c r="I929" t="s">
        <v>2</v>
      </c>
    </row>
    <row r="930" spans="1:9" x14ac:dyDescent="0.25">
      <c r="A930" s="3">
        <v>541930</v>
      </c>
      <c r="B930" s="3" t="s">
        <v>3439</v>
      </c>
      <c r="C930" s="3">
        <v>541930</v>
      </c>
      <c r="D930" s="3" t="s">
        <v>3439</v>
      </c>
      <c r="E930" s="63"/>
    </row>
    <row r="931" spans="1:9" x14ac:dyDescent="0.25">
      <c r="A931" s="3">
        <v>541940</v>
      </c>
      <c r="B931" s="3" t="s">
        <v>3440</v>
      </c>
      <c r="C931" s="3">
        <v>541940</v>
      </c>
      <c r="D931" s="3" t="s">
        <v>3440</v>
      </c>
      <c r="E931" s="63"/>
    </row>
    <row r="932" spans="1:9" ht="25.5" x14ac:dyDescent="0.25">
      <c r="A932" s="3">
        <v>541990</v>
      </c>
      <c r="B932" s="3" t="s">
        <v>3441</v>
      </c>
      <c r="C932" s="3">
        <v>541990</v>
      </c>
      <c r="D932" s="3" t="s">
        <v>3441</v>
      </c>
      <c r="E932" s="63"/>
    </row>
    <row r="933" spans="1:9" x14ac:dyDescent="0.25">
      <c r="A933" s="3">
        <v>551111</v>
      </c>
      <c r="B933" s="3" t="s">
        <v>3442</v>
      </c>
      <c r="C933" s="3">
        <v>551111</v>
      </c>
      <c r="D933" s="3" t="s">
        <v>3442</v>
      </c>
      <c r="E933" s="63"/>
    </row>
    <row r="934" spans="1:9" x14ac:dyDescent="0.25">
      <c r="A934" s="3">
        <v>551112</v>
      </c>
      <c r="B934" s="3" t="s">
        <v>3443</v>
      </c>
      <c r="C934" s="3">
        <v>551112</v>
      </c>
      <c r="D934" s="3" t="s">
        <v>3443</v>
      </c>
      <c r="E934" s="63"/>
    </row>
    <row r="935" spans="1:9" ht="25.5" x14ac:dyDescent="0.25">
      <c r="A935" s="3">
        <v>551114</v>
      </c>
      <c r="B935" s="3" t="s">
        <v>3444</v>
      </c>
      <c r="C935" s="3">
        <v>551114</v>
      </c>
      <c r="D935" s="3" t="s">
        <v>3444</v>
      </c>
      <c r="E935" s="63"/>
    </row>
    <row r="936" spans="1:9" x14ac:dyDescent="0.25">
      <c r="A936" s="3">
        <v>561110</v>
      </c>
      <c r="B936" s="3" t="s">
        <v>3445</v>
      </c>
      <c r="C936" s="3">
        <v>561110</v>
      </c>
      <c r="D936" s="3" t="s">
        <v>3445</v>
      </c>
      <c r="E936" s="63"/>
    </row>
    <row r="937" spans="1:9" x14ac:dyDescent="0.25">
      <c r="A937" s="3">
        <v>561210</v>
      </c>
      <c r="B937" s="3" t="s">
        <v>3446</v>
      </c>
      <c r="C937" s="3">
        <v>561210</v>
      </c>
      <c r="D937" s="3" t="s">
        <v>3446</v>
      </c>
      <c r="E937" s="63"/>
    </row>
    <row r="938" spans="1:9" x14ac:dyDescent="0.25">
      <c r="A938" s="3">
        <v>561311</v>
      </c>
      <c r="B938" s="3" t="s">
        <v>3447</v>
      </c>
      <c r="C938" s="3">
        <v>561311</v>
      </c>
      <c r="D938" s="3" t="s">
        <v>3447</v>
      </c>
      <c r="E938" s="63"/>
    </row>
    <row r="939" spans="1:9" x14ac:dyDescent="0.25">
      <c r="A939" s="3">
        <v>561312</v>
      </c>
      <c r="B939" s="3" t="s">
        <v>3448</v>
      </c>
      <c r="C939" s="3">
        <v>561312</v>
      </c>
      <c r="D939" s="3" t="s">
        <v>3448</v>
      </c>
      <c r="E939" s="63"/>
    </row>
    <row r="940" spans="1:9" x14ac:dyDescent="0.25">
      <c r="A940" s="3">
        <v>561320</v>
      </c>
      <c r="B940" s="3" t="s">
        <v>3449</v>
      </c>
      <c r="C940" s="3">
        <v>561320</v>
      </c>
      <c r="D940" s="3" t="s">
        <v>3449</v>
      </c>
      <c r="E940" s="63"/>
    </row>
    <row r="941" spans="1:9" x14ac:dyDescent="0.25">
      <c r="A941" s="3">
        <v>561330</v>
      </c>
      <c r="B941" s="3" t="s">
        <v>3450</v>
      </c>
      <c r="C941" s="3">
        <v>561330</v>
      </c>
      <c r="D941" s="3" t="s">
        <v>3450</v>
      </c>
      <c r="E941" s="63"/>
    </row>
    <row r="942" spans="1:9" x14ac:dyDescent="0.25">
      <c r="A942" s="3">
        <v>561410</v>
      </c>
      <c r="B942" s="3" t="s">
        <v>3451</v>
      </c>
      <c r="C942" s="3">
        <v>561410</v>
      </c>
      <c r="D942" s="3" t="s">
        <v>3451</v>
      </c>
      <c r="E942" s="63"/>
    </row>
    <row r="943" spans="1:9" x14ac:dyDescent="0.25">
      <c r="A943" s="3">
        <v>561421</v>
      </c>
      <c r="B943" s="3" t="s">
        <v>3452</v>
      </c>
      <c r="C943" s="3">
        <v>561421</v>
      </c>
      <c r="D943" s="3" t="s">
        <v>3452</v>
      </c>
      <c r="E943" s="63"/>
    </row>
    <row r="944" spans="1:9" ht="25.5" x14ac:dyDescent="0.25">
      <c r="A944" s="3">
        <v>561422</v>
      </c>
      <c r="B944" s="3" t="s">
        <v>3453</v>
      </c>
      <c r="C944" s="3">
        <v>561422</v>
      </c>
      <c r="D944" s="3" t="s">
        <v>3453</v>
      </c>
      <c r="E944" s="63"/>
    </row>
    <row r="945" spans="1:8" x14ac:dyDescent="0.25">
      <c r="A945" s="3">
        <v>561431</v>
      </c>
      <c r="B945" s="3" t="s">
        <v>3454</v>
      </c>
      <c r="C945" s="3">
        <v>561431</v>
      </c>
      <c r="D945" s="3" t="s">
        <v>3454</v>
      </c>
      <c r="E945" s="63"/>
    </row>
    <row r="946" spans="1:8" ht="25.5" x14ac:dyDescent="0.25">
      <c r="A946" s="3">
        <v>561439</v>
      </c>
      <c r="B946" s="3" t="s">
        <v>3455</v>
      </c>
      <c r="C946" s="3">
        <v>561439</v>
      </c>
      <c r="D946" s="3" t="s">
        <v>3455</v>
      </c>
      <c r="E946" s="63"/>
    </row>
    <row r="947" spans="1:8" x14ac:dyDescent="0.25">
      <c r="A947" s="3">
        <v>561440</v>
      </c>
      <c r="B947" s="3" t="s">
        <v>3456</v>
      </c>
      <c r="C947" s="3">
        <v>561440</v>
      </c>
      <c r="D947" s="3" t="s">
        <v>3456</v>
      </c>
      <c r="E947" s="63"/>
    </row>
    <row r="948" spans="1:8" x14ac:dyDescent="0.25">
      <c r="A948" s="3">
        <v>561450</v>
      </c>
      <c r="B948" s="3" t="s">
        <v>3457</v>
      </c>
      <c r="C948" s="3">
        <v>561450</v>
      </c>
      <c r="D948" s="3" t="s">
        <v>3457</v>
      </c>
      <c r="E948" s="63"/>
    </row>
    <row r="949" spans="1:8" x14ac:dyDescent="0.25">
      <c r="A949" s="3">
        <v>561491</v>
      </c>
      <c r="B949" s="3" t="s">
        <v>3458</v>
      </c>
      <c r="C949" s="3">
        <v>561491</v>
      </c>
      <c r="D949" s="3" t="s">
        <v>3458</v>
      </c>
      <c r="E949" s="63"/>
    </row>
    <row r="950" spans="1:8" x14ac:dyDescent="0.25">
      <c r="A950" s="3">
        <v>561492</v>
      </c>
      <c r="B950" s="3" t="s">
        <v>3459</v>
      </c>
      <c r="C950" s="3">
        <v>561492</v>
      </c>
      <c r="D950" s="3" t="s">
        <v>3459</v>
      </c>
      <c r="E950" s="63"/>
    </row>
    <row r="951" spans="1:8" x14ac:dyDescent="0.25">
      <c r="A951" s="3">
        <v>561499</v>
      </c>
      <c r="B951" s="3" t="s">
        <v>3460</v>
      </c>
      <c r="C951" s="3">
        <v>561499</v>
      </c>
      <c r="D951" s="3" t="s">
        <v>3460</v>
      </c>
      <c r="E951" s="63"/>
    </row>
    <row r="952" spans="1:8" x14ac:dyDescent="0.25">
      <c r="A952" s="3">
        <v>561510</v>
      </c>
      <c r="B952" s="3" t="s">
        <v>3461</v>
      </c>
      <c r="C952" s="3">
        <v>561510</v>
      </c>
      <c r="D952" s="3" t="s">
        <v>3461</v>
      </c>
      <c r="E952" s="63"/>
    </row>
    <row r="953" spans="1:8" x14ac:dyDescent="0.25">
      <c r="A953" s="3">
        <v>561520</v>
      </c>
      <c r="B953" s="3" t="s">
        <v>3462</v>
      </c>
      <c r="C953" s="3">
        <v>561520</v>
      </c>
      <c r="D953" s="3" t="s">
        <v>3462</v>
      </c>
      <c r="E953" s="63"/>
    </row>
    <row r="954" spans="1:8" x14ac:dyDescent="0.25">
      <c r="A954" s="3">
        <v>561591</v>
      </c>
      <c r="B954" s="3" t="s">
        <v>3463</v>
      </c>
      <c r="C954" s="3">
        <v>561591</v>
      </c>
      <c r="D954" s="3" t="s">
        <v>3463</v>
      </c>
      <c r="E954" s="63"/>
    </row>
    <row r="955" spans="1:8" ht="25.5" x14ac:dyDescent="0.25">
      <c r="A955" s="3">
        <v>561599</v>
      </c>
      <c r="B955" s="3" t="s">
        <v>3464</v>
      </c>
      <c r="C955" s="3">
        <v>561599</v>
      </c>
      <c r="D955" s="3" t="s">
        <v>3464</v>
      </c>
      <c r="E955" s="63"/>
    </row>
    <row r="956" spans="1:8" ht="25.5" x14ac:dyDescent="0.25">
      <c r="A956" s="3">
        <v>561611</v>
      </c>
      <c r="B956" s="3" t="s">
        <v>3465</v>
      </c>
      <c r="C956" s="3">
        <v>561611</v>
      </c>
      <c r="D956" s="3" t="s">
        <v>3466</v>
      </c>
      <c r="E956" s="63"/>
      <c r="H956" t="s">
        <v>2</v>
      </c>
    </row>
    <row r="957" spans="1:8" x14ac:dyDescent="0.25">
      <c r="A957" s="3">
        <v>561612</v>
      </c>
      <c r="B957" s="3" t="s">
        <v>3467</v>
      </c>
      <c r="C957" s="3">
        <v>561612</v>
      </c>
      <c r="D957" s="3" t="s">
        <v>3467</v>
      </c>
      <c r="E957" s="63"/>
    </row>
    <row r="958" spans="1:8" x14ac:dyDescent="0.25">
      <c r="A958" s="3">
        <v>561613</v>
      </c>
      <c r="B958" s="3" t="s">
        <v>3468</v>
      </c>
      <c r="C958" s="3">
        <v>561613</v>
      </c>
      <c r="D958" s="3" t="s">
        <v>3468</v>
      </c>
      <c r="E958" s="63"/>
    </row>
    <row r="959" spans="1:8" ht="25.5" x14ac:dyDescent="0.25">
      <c r="A959" s="3">
        <v>561621</v>
      </c>
      <c r="B959" s="3" t="s">
        <v>3469</v>
      </c>
      <c r="C959" s="3">
        <v>561621</v>
      </c>
      <c r="D959" s="3" t="s">
        <v>3469</v>
      </c>
      <c r="E959" s="63"/>
    </row>
    <row r="960" spans="1:8" x14ac:dyDescent="0.25">
      <c r="A960" s="3">
        <v>561622</v>
      </c>
      <c r="B960" s="3" t="s">
        <v>3470</v>
      </c>
      <c r="C960" s="3">
        <v>561622</v>
      </c>
      <c r="D960" s="3" t="s">
        <v>3470</v>
      </c>
      <c r="E960" s="63"/>
    </row>
    <row r="961" spans="1:4" x14ac:dyDescent="0.25">
      <c r="A961" s="3">
        <v>561710</v>
      </c>
      <c r="B961" s="3" t="s">
        <v>3471</v>
      </c>
      <c r="C961" s="3">
        <v>561710</v>
      </c>
      <c r="D961" s="3" t="s">
        <v>3471</v>
      </c>
    </row>
    <row r="962" spans="1:4" x14ac:dyDescent="0.25">
      <c r="A962" s="3">
        <v>561720</v>
      </c>
      <c r="B962" s="3" t="s">
        <v>3472</v>
      </c>
      <c r="C962" s="3">
        <v>561720</v>
      </c>
      <c r="D962" s="3" t="s">
        <v>3472</v>
      </c>
    </row>
    <row r="963" spans="1:4" x14ac:dyDescent="0.25">
      <c r="A963" s="3">
        <v>561730</v>
      </c>
      <c r="B963" s="3" t="s">
        <v>3473</v>
      </c>
      <c r="C963" s="3">
        <v>561730</v>
      </c>
      <c r="D963" s="3" t="s">
        <v>3473</v>
      </c>
    </row>
    <row r="964" spans="1:4" x14ac:dyDescent="0.25">
      <c r="A964" s="3">
        <v>561740</v>
      </c>
      <c r="B964" s="3" t="s">
        <v>3474</v>
      </c>
      <c r="C964" s="3">
        <v>561740</v>
      </c>
      <c r="D964" s="3" t="s">
        <v>3474</v>
      </c>
    </row>
    <row r="965" spans="1:4" ht="25.5" x14ac:dyDescent="0.25">
      <c r="A965" s="3">
        <v>561790</v>
      </c>
      <c r="B965" s="3" t="s">
        <v>3475</v>
      </c>
      <c r="C965" s="3">
        <v>561790</v>
      </c>
      <c r="D965" s="3" t="s">
        <v>3475</v>
      </c>
    </row>
    <row r="966" spans="1:4" x14ac:dyDescent="0.25">
      <c r="A966" s="3">
        <v>561910</v>
      </c>
      <c r="B966" s="3" t="s">
        <v>3476</v>
      </c>
      <c r="C966" s="3">
        <v>561910</v>
      </c>
      <c r="D966" s="3" t="s">
        <v>3476</v>
      </c>
    </row>
    <row r="967" spans="1:4" x14ac:dyDescent="0.25">
      <c r="A967" s="3">
        <v>561920</v>
      </c>
      <c r="B967" s="3" t="s">
        <v>3477</v>
      </c>
      <c r="C967" s="3">
        <v>561920</v>
      </c>
      <c r="D967" s="3" t="s">
        <v>3477</v>
      </c>
    </row>
    <row r="968" spans="1:4" x14ac:dyDescent="0.25">
      <c r="A968" s="3">
        <v>561990</v>
      </c>
      <c r="B968" s="3" t="s">
        <v>3478</v>
      </c>
      <c r="C968" s="3">
        <v>561990</v>
      </c>
      <c r="D968" s="3" t="s">
        <v>3478</v>
      </c>
    </row>
    <row r="969" spans="1:4" x14ac:dyDescent="0.25">
      <c r="A969" s="3">
        <v>562111</v>
      </c>
      <c r="B969" s="3" t="s">
        <v>3479</v>
      </c>
      <c r="C969" s="3">
        <v>562111</v>
      </c>
      <c r="D969" s="3" t="s">
        <v>3479</v>
      </c>
    </row>
    <row r="970" spans="1:4" x14ac:dyDescent="0.25">
      <c r="A970" s="3">
        <v>562112</v>
      </c>
      <c r="B970" s="3" t="s">
        <v>3480</v>
      </c>
      <c r="C970" s="3">
        <v>562112</v>
      </c>
      <c r="D970" s="3" t="s">
        <v>3480</v>
      </c>
    </row>
    <row r="971" spans="1:4" x14ac:dyDescent="0.25">
      <c r="A971" s="3">
        <v>562119</v>
      </c>
      <c r="B971" s="3" t="s">
        <v>3481</v>
      </c>
      <c r="C971" s="3">
        <v>562119</v>
      </c>
      <c r="D971" s="3" t="s">
        <v>3481</v>
      </c>
    </row>
    <row r="972" spans="1:4" ht="25.5" x14ac:dyDescent="0.25">
      <c r="A972" s="3">
        <v>562211</v>
      </c>
      <c r="B972" s="3" t="s">
        <v>1346</v>
      </c>
      <c r="C972" s="3">
        <v>562211</v>
      </c>
      <c r="D972" s="3" t="s">
        <v>1346</v>
      </c>
    </row>
    <row r="973" spans="1:4" x14ac:dyDescent="0.25">
      <c r="A973" s="3">
        <v>562212</v>
      </c>
      <c r="B973" s="3" t="s">
        <v>3482</v>
      </c>
      <c r="C973" s="3">
        <v>562212</v>
      </c>
      <c r="D973" s="3" t="s">
        <v>3482</v>
      </c>
    </row>
    <row r="974" spans="1:4" ht="25.5" x14ac:dyDescent="0.25">
      <c r="A974" s="3">
        <v>562213</v>
      </c>
      <c r="B974" s="3" t="s">
        <v>1366</v>
      </c>
      <c r="C974" s="3">
        <v>562213</v>
      </c>
      <c r="D974" s="3" t="s">
        <v>1366</v>
      </c>
    </row>
    <row r="975" spans="1:4" ht="25.5" x14ac:dyDescent="0.25">
      <c r="A975" s="3">
        <v>562219</v>
      </c>
      <c r="B975" s="3" t="s">
        <v>3483</v>
      </c>
      <c r="C975" s="3">
        <v>562219</v>
      </c>
      <c r="D975" s="3" t="s">
        <v>3483</v>
      </c>
    </row>
    <row r="976" spans="1:4" x14ac:dyDescent="0.25">
      <c r="A976" s="3">
        <v>562910</v>
      </c>
      <c r="B976" s="3" t="s">
        <v>3484</v>
      </c>
      <c r="C976" s="3">
        <v>562910</v>
      </c>
      <c r="D976" s="3" t="s">
        <v>3484</v>
      </c>
    </row>
    <row r="977" spans="1:8" x14ac:dyDescent="0.25">
      <c r="A977" s="3">
        <v>562920</v>
      </c>
      <c r="B977" s="3" t="s">
        <v>3485</v>
      </c>
      <c r="C977" s="3">
        <v>562920</v>
      </c>
      <c r="D977" s="3" t="s">
        <v>3485</v>
      </c>
      <c r="E977" s="63"/>
    </row>
    <row r="978" spans="1:8" x14ac:dyDescent="0.25">
      <c r="A978" s="3">
        <v>562991</v>
      </c>
      <c r="B978" s="3" t="s">
        <v>3486</v>
      </c>
      <c r="C978" s="3">
        <v>562991</v>
      </c>
      <c r="D978" s="3" t="s">
        <v>3486</v>
      </c>
      <c r="E978" s="63"/>
    </row>
    <row r="979" spans="1:8" ht="25.5" x14ac:dyDescent="0.25">
      <c r="A979" s="3">
        <v>562998</v>
      </c>
      <c r="B979" s="3" t="s">
        <v>3487</v>
      </c>
      <c r="C979" s="3">
        <v>562998</v>
      </c>
      <c r="D979" s="3" t="s">
        <v>3487</v>
      </c>
      <c r="E979" s="63"/>
    </row>
    <row r="980" spans="1:8" x14ac:dyDescent="0.25">
      <c r="A980" s="3">
        <v>611110</v>
      </c>
      <c r="B980" s="3" t="s">
        <v>2483</v>
      </c>
      <c r="C980" s="3">
        <v>611110</v>
      </c>
      <c r="D980" s="3" t="s">
        <v>2483</v>
      </c>
      <c r="E980" s="63"/>
      <c r="H980" t="s">
        <v>2</v>
      </c>
    </row>
    <row r="981" spans="1:8" x14ac:dyDescent="0.25">
      <c r="A981" s="3">
        <v>611210</v>
      </c>
      <c r="B981" s="3" t="s">
        <v>3488</v>
      </c>
      <c r="C981" s="3">
        <v>611210</v>
      </c>
      <c r="D981" s="3" t="s">
        <v>3488</v>
      </c>
      <c r="E981" s="63"/>
    </row>
    <row r="982" spans="1:8" ht="25.5" x14ac:dyDescent="0.25">
      <c r="A982" s="3">
        <v>611310</v>
      </c>
      <c r="B982" s="3" t="s">
        <v>3489</v>
      </c>
      <c r="C982" s="3">
        <v>611310</v>
      </c>
      <c r="D982" s="3" t="s">
        <v>3489</v>
      </c>
      <c r="E982" s="63"/>
    </row>
    <row r="983" spans="1:8" x14ac:dyDescent="0.25">
      <c r="A983" s="3">
        <v>611410</v>
      </c>
      <c r="B983" s="3" t="s">
        <v>3490</v>
      </c>
      <c r="C983" s="3">
        <v>611410</v>
      </c>
      <c r="D983" s="3" t="s">
        <v>3490</v>
      </c>
      <c r="E983" s="63"/>
    </row>
    <row r="984" spans="1:8" x14ac:dyDescent="0.25">
      <c r="A984" s="3">
        <v>611420</v>
      </c>
      <c r="B984" s="3" t="s">
        <v>3491</v>
      </c>
      <c r="C984" s="3">
        <v>611420</v>
      </c>
      <c r="D984" s="3" t="s">
        <v>3491</v>
      </c>
      <c r="E984" s="63"/>
    </row>
    <row r="985" spans="1:8" ht="25.5" x14ac:dyDescent="0.25">
      <c r="A985" s="3">
        <v>611430</v>
      </c>
      <c r="B985" s="3" t="s">
        <v>3492</v>
      </c>
      <c r="C985" s="3">
        <v>611430</v>
      </c>
      <c r="D985" s="3" t="s">
        <v>3492</v>
      </c>
      <c r="E985" s="63"/>
    </row>
    <row r="986" spans="1:8" x14ac:dyDescent="0.25">
      <c r="A986" s="3">
        <v>611511</v>
      </c>
      <c r="B986" s="3" t="s">
        <v>3493</v>
      </c>
      <c r="C986" s="3">
        <v>611511</v>
      </c>
      <c r="D986" s="3" t="s">
        <v>3493</v>
      </c>
      <c r="E986" s="63"/>
    </row>
    <row r="987" spans="1:8" x14ac:dyDescent="0.25">
      <c r="A987" s="3">
        <v>611512</v>
      </c>
      <c r="B987" s="3" t="s">
        <v>3494</v>
      </c>
      <c r="C987" s="3">
        <v>611512</v>
      </c>
      <c r="D987" s="3" t="s">
        <v>3494</v>
      </c>
      <c r="E987" s="63"/>
    </row>
    <row r="988" spans="1:8" x14ac:dyDescent="0.25">
      <c r="A988" s="3">
        <v>611513</v>
      </c>
      <c r="B988" s="3" t="s">
        <v>3495</v>
      </c>
      <c r="C988" s="3">
        <v>611513</v>
      </c>
      <c r="D988" s="3" t="s">
        <v>3495</v>
      </c>
      <c r="E988" s="63"/>
    </row>
    <row r="989" spans="1:8" x14ac:dyDescent="0.25">
      <c r="A989" s="3">
        <v>611519</v>
      </c>
      <c r="B989" s="3" t="s">
        <v>3496</v>
      </c>
      <c r="C989" s="3">
        <v>611519</v>
      </c>
      <c r="D989" s="3" t="s">
        <v>3496</v>
      </c>
      <c r="E989" s="63"/>
    </row>
    <row r="990" spans="1:8" x14ac:dyDescent="0.25">
      <c r="A990" s="3">
        <v>611610</v>
      </c>
      <c r="B990" s="3" t="s">
        <v>3497</v>
      </c>
      <c r="C990" s="3">
        <v>611610</v>
      </c>
      <c r="D990" s="3" t="s">
        <v>3497</v>
      </c>
      <c r="E990" s="63"/>
    </row>
    <row r="991" spans="1:8" x14ac:dyDescent="0.25">
      <c r="A991" s="3">
        <v>611620</v>
      </c>
      <c r="B991" s="3" t="s">
        <v>3498</v>
      </c>
      <c r="C991" s="3">
        <v>611620</v>
      </c>
      <c r="D991" s="3" t="s">
        <v>3498</v>
      </c>
      <c r="E991" s="63"/>
    </row>
    <row r="992" spans="1:8" x14ac:dyDescent="0.25">
      <c r="A992" s="3">
        <v>611630</v>
      </c>
      <c r="B992" s="3" t="s">
        <v>3499</v>
      </c>
      <c r="C992" s="3">
        <v>611630</v>
      </c>
      <c r="D992" s="3" t="s">
        <v>3499</v>
      </c>
      <c r="E992" s="63"/>
    </row>
    <row r="993" spans="1:4" x14ac:dyDescent="0.25">
      <c r="A993" s="3">
        <v>611691</v>
      </c>
      <c r="B993" s="3" t="s">
        <v>3500</v>
      </c>
      <c r="C993" s="3">
        <v>611691</v>
      </c>
      <c r="D993" s="3" t="s">
        <v>3500</v>
      </c>
    </row>
    <row r="994" spans="1:4" x14ac:dyDescent="0.25">
      <c r="A994" s="3">
        <v>611692</v>
      </c>
      <c r="B994" s="3" t="s">
        <v>3501</v>
      </c>
      <c r="C994" s="3">
        <v>611692</v>
      </c>
      <c r="D994" s="3" t="s">
        <v>3501</v>
      </c>
    </row>
    <row r="995" spans="1:4" ht="25.5" x14ac:dyDescent="0.25">
      <c r="A995" s="3">
        <v>611699</v>
      </c>
      <c r="B995" s="3" t="s">
        <v>3502</v>
      </c>
      <c r="C995" s="3">
        <v>611699</v>
      </c>
      <c r="D995" s="3" t="s">
        <v>3502</v>
      </c>
    </row>
    <row r="996" spans="1:4" x14ac:dyDescent="0.25">
      <c r="A996" s="3">
        <v>611710</v>
      </c>
      <c r="B996" s="3" t="s">
        <v>3503</v>
      </c>
      <c r="C996" s="3">
        <v>611710</v>
      </c>
      <c r="D996" s="3" t="s">
        <v>3503</v>
      </c>
    </row>
    <row r="997" spans="1:4" ht="25.5" x14ac:dyDescent="0.25">
      <c r="A997" s="3">
        <v>621111</v>
      </c>
      <c r="B997" s="3" t="s">
        <v>3504</v>
      </c>
      <c r="C997" s="3">
        <v>621111</v>
      </c>
      <c r="D997" s="3" t="s">
        <v>3504</v>
      </c>
    </row>
    <row r="998" spans="1:4" ht="25.5" x14ac:dyDescent="0.25">
      <c r="A998" s="3">
        <v>621112</v>
      </c>
      <c r="B998" s="3" t="s">
        <v>3505</v>
      </c>
      <c r="C998" s="3">
        <v>621112</v>
      </c>
      <c r="D998" s="3" t="s">
        <v>3505</v>
      </c>
    </row>
    <row r="999" spans="1:4" x14ac:dyDescent="0.25">
      <c r="A999" s="3">
        <v>621210</v>
      </c>
      <c r="B999" s="3" t="s">
        <v>3506</v>
      </c>
      <c r="C999" s="3">
        <v>621210</v>
      </c>
      <c r="D999" s="3" t="s">
        <v>3506</v>
      </c>
    </row>
    <row r="1000" spans="1:4" x14ac:dyDescent="0.25">
      <c r="A1000" s="3">
        <v>621310</v>
      </c>
      <c r="B1000" s="3" t="s">
        <v>3507</v>
      </c>
      <c r="C1000" s="3">
        <v>621310</v>
      </c>
      <c r="D1000" s="3" t="s">
        <v>3507</v>
      </c>
    </row>
    <row r="1001" spans="1:4" x14ac:dyDescent="0.25">
      <c r="A1001" s="3">
        <v>621320</v>
      </c>
      <c r="B1001" s="3" t="s">
        <v>3508</v>
      </c>
      <c r="C1001" s="3">
        <v>621320</v>
      </c>
      <c r="D1001" s="3" t="s">
        <v>3508</v>
      </c>
    </row>
    <row r="1002" spans="1:4" ht="25.5" x14ac:dyDescent="0.25">
      <c r="A1002" s="3">
        <v>621330</v>
      </c>
      <c r="B1002" s="3" t="s">
        <v>3509</v>
      </c>
      <c r="C1002" s="3">
        <v>621330</v>
      </c>
      <c r="D1002" s="3" t="s">
        <v>3509</v>
      </c>
    </row>
    <row r="1003" spans="1:4" ht="25.5" x14ac:dyDescent="0.25">
      <c r="A1003" s="3">
        <v>621340</v>
      </c>
      <c r="B1003" s="3" t="s">
        <v>3510</v>
      </c>
      <c r="C1003" s="3">
        <v>621340</v>
      </c>
      <c r="D1003" s="3" t="s">
        <v>3510</v>
      </c>
    </row>
    <row r="1004" spans="1:4" x14ac:dyDescent="0.25">
      <c r="A1004" s="3">
        <v>621391</v>
      </c>
      <c r="B1004" s="3" t="s">
        <v>3511</v>
      </c>
      <c r="C1004" s="3">
        <v>621391</v>
      </c>
      <c r="D1004" s="3" t="s">
        <v>3511</v>
      </c>
    </row>
    <row r="1005" spans="1:4" ht="25.5" x14ac:dyDescent="0.25">
      <c r="A1005" s="3">
        <v>621399</v>
      </c>
      <c r="B1005" s="3" t="s">
        <v>3512</v>
      </c>
      <c r="C1005" s="3">
        <v>621399</v>
      </c>
      <c r="D1005" s="3" t="s">
        <v>3512</v>
      </c>
    </row>
    <row r="1006" spans="1:4" x14ac:dyDescent="0.25">
      <c r="A1006" s="3">
        <v>621410</v>
      </c>
      <c r="B1006" s="3" t="s">
        <v>3513</v>
      </c>
      <c r="C1006" s="3">
        <v>621410</v>
      </c>
      <c r="D1006" s="3" t="s">
        <v>3513</v>
      </c>
    </row>
    <row r="1007" spans="1:4" ht="25.5" x14ac:dyDescent="0.25">
      <c r="A1007" s="3">
        <v>621420</v>
      </c>
      <c r="B1007" s="3" t="s">
        <v>3514</v>
      </c>
      <c r="C1007" s="3">
        <v>621420</v>
      </c>
      <c r="D1007" s="3" t="s">
        <v>3514</v>
      </c>
    </row>
    <row r="1008" spans="1:4" x14ac:dyDescent="0.25">
      <c r="A1008" s="3">
        <v>621491</v>
      </c>
      <c r="B1008" s="3" t="s">
        <v>3515</v>
      </c>
      <c r="C1008" s="3">
        <v>621491</v>
      </c>
      <c r="D1008" s="3" t="s">
        <v>3515</v>
      </c>
    </row>
    <row r="1009" spans="1:8" x14ac:dyDescent="0.25">
      <c r="A1009" s="3">
        <v>621492</v>
      </c>
      <c r="B1009" s="3" t="s">
        <v>3516</v>
      </c>
      <c r="C1009" s="3">
        <v>621492</v>
      </c>
      <c r="D1009" s="3" t="s">
        <v>3516</v>
      </c>
      <c r="E1009" s="63"/>
    </row>
    <row r="1010" spans="1:8" ht="25.5" x14ac:dyDescent="0.25">
      <c r="A1010" s="3">
        <v>621493</v>
      </c>
      <c r="B1010" s="3" t="s">
        <v>3517</v>
      </c>
      <c r="C1010" s="3">
        <v>621493</v>
      </c>
      <c r="D1010" s="3" t="s">
        <v>3517</v>
      </c>
      <c r="E1010" s="63"/>
      <c r="H1010" t="s">
        <v>2</v>
      </c>
    </row>
    <row r="1011" spans="1:8" x14ac:dyDescent="0.25">
      <c r="A1011" s="3">
        <v>621498</v>
      </c>
      <c r="B1011" s="3" t="s">
        <v>3518</v>
      </c>
      <c r="C1011" s="3">
        <v>621498</v>
      </c>
      <c r="D1011" s="3" t="s">
        <v>3518</v>
      </c>
      <c r="E1011" s="63"/>
    </row>
    <row r="1012" spans="1:8" x14ac:dyDescent="0.25">
      <c r="A1012" s="3">
        <v>621511</v>
      </c>
      <c r="B1012" s="3" t="s">
        <v>3519</v>
      </c>
      <c r="C1012" s="3">
        <v>621511</v>
      </c>
      <c r="D1012" s="3" t="s">
        <v>3519</v>
      </c>
      <c r="E1012" s="63"/>
    </row>
    <row r="1013" spans="1:8" x14ac:dyDescent="0.25">
      <c r="A1013" s="3">
        <v>621512</v>
      </c>
      <c r="B1013" s="3" t="s">
        <v>3520</v>
      </c>
      <c r="C1013" s="3">
        <v>621512</v>
      </c>
      <c r="D1013" s="3" t="s">
        <v>3520</v>
      </c>
      <c r="E1013" s="63"/>
    </row>
    <row r="1014" spans="1:8" x14ac:dyDescent="0.25">
      <c r="A1014" s="3">
        <v>621610</v>
      </c>
      <c r="B1014" s="3" t="s">
        <v>3521</v>
      </c>
      <c r="C1014" s="3">
        <v>621610</v>
      </c>
      <c r="D1014" s="3" t="s">
        <v>3521</v>
      </c>
      <c r="E1014" s="63"/>
    </row>
    <row r="1015" spans="1:8" x14ac:dyDescent="0.25">
      <c r="A1015" s="3">
        <v>621910</v>
      </c>
      <c r="B1015" s="3" t="s">
        <v>3522</v>
      </c>
      <c r="C1015" s="3">
        <v>621910</v>
      </c>
      <c r="D1015" s="3" t="s">
        <v>3522</v>
      </c>
      <c r="E1015" s="63"/>
    </row>
    <row r="1016" spans="1:8" x14ac:dyDescent="0.25">
      <c r="A1016" s="3">
        <v>621991</v>
      </c>
      <c r="B1016" s="3" t="s">
        <v>3523</v>
      </c>
      <c r="C1016" s="3">
        <v>621991</v>
      </c>
      <c r="D1016" s="3" t="s">
        <v>3523</v>
      </c>
      <c r="E1016" s="63"/>
    </row>
    <row r="1017" spans="1:8" ht="25.5" x14ac:dyDescent="0.25">
      <c r="A1017" s="3">
        <v>621999</v>
      </c>
      <c r="B1017" s="3" t="s">
        <v>3524</v>
      </c>
      <c r="C1017" s="3">
        <v>621999</v>
      </c>
      <c r="D1017" s="3" t="s">
        <v>3524</v>
      </c>
      <c r="E1017" s="63"/>
    </row>
    <row r="1018" spans="1:8" x14ac:dyDescent="0.25">
      <c r="A1018" s="3">
        <v>622110</v>
      </c>
      <c r="B1018" s="3" t="s">
        <v>3525</v>
      </c>
      <c r="C1018" s="3">
        <v>622110</v>
      </c>
      <c r="D1018" s="3" t="s">
        <v>3525</v>
      </c>
      <c r="E1018" s="63"/>
    </row>
    <row r="1019" spans="1:8" ht="25.5" x14ac:dyDescent="0.25">
      <c r="A1019" s="3">
        <v>622210</v>
      </c>
      <c r="B1019" s="3" t="s">
        <v>3526</v>
      </c>
      <c r="C1019" s="3">
        <v>622210</v>
      </c>
      <c r="D1019" s="3" t="s">
        <v>3526</v>
      </c>
      <c r="E1019" s="63"/>
    </row>
    <row r="1020" spans="1:8" ht="25.5" x14ac:dyDescent="0.25">
      <c r="A1020" s="3">
        <v>622310</v>
      </c>
      <c r="B1020" s="3" t="s">
        <v>3527</v>
      </c>
      <c r="C1020" s="3">
        <v>622310</v>
      </c>
      <c r="D1020" s="3" t="s">
        <v>3527</v>
      </c>
      <c r="E1020" s="63"/>
    </row>
    <row r="1021" spans="1:8" ht="25.5" x14ac:dyDescent="0.25">
      <c r="A1021" s="3">
        <v>623110</v>
      </c>
      <c r="B1021" s="3" t="s">
        <v>3528</v>
      </c>
      <c r="C1021" s="3">
        <v>623110</v>
      </c>
      <c r="D1021" s="3" t="s">
        <v>3528</v>
      </c>
      <c r="E1021" s="63"/>
    </row>
    <row r="1022" spans="1:8" ht="25.5" x14ac:dyDescent="0.25">
      <c r="A1022" s="3">
        <v>623210</v>
      </c>
      <c r="B1022" s="3" t="s">
        <v>3529</v>
      </c>
      <c r="C1022" s="3">
        <v>623210</v>
      </c>
      <c r="D1022" s="3" t="s">
        <v>3529</v>
      </c>
      <c r="E1022" s="63"/>
    </row>
    <row r="1023" spans="1:8" ht="25.5" x14ac:dyDescent="0.25">
      <c r="A1023" s="3">
        <v>623220</v>
      </c>
      <c r="B1023" s="3" t="s">
        <v>3530</v>
      </c>
      <c r="C1023" s="3">
        <v>623220</v>
      </c>
      <c r="D1023" s="3" t="s">
        <v>3530</v>
      </c>
      <c r="E1023" s="63"/>
    </row>
    <row r="1024" spans="1:8" ht="25.5" x14ac:dyDescent="0.25">
      <c r="A1024" s="3">
        <v>623311</v>
      </c>
      <c r="B1024" s="3" t="s">
        <v>3531</v>
      </c>
      <c r="C1024" s="3">
        <v>623311</v>
      </c>
      <c r="D1024" s="3" t="s">
        <v>3531</v>
      </c>
      <c r="E1024" s="63"/>
    </row>
    <row r="1025" spans="1:9" x14ac:dyDescent="0.25">
      <c r="A1025" s="3">
        <v>623312</v>
      </c>
      <c r="B1025" s="3" t="s">
        <v>3532</v>
      </c>
      <c r="C1025" s="3">
        <v>623312</v>
      </c>
      <c r="D1025" s="3" t="s">
        <v>3532</v>
      </c>
      <c r="E1025" s="63"/>
    </row>
    <row r="1026" spans="1:9" x14ac:dyDescent="0.25">
      <c r="A1026" s="3">
        <v>623990</v>
      </c>
      <c r="B1026" s="3" t="s">
        <v>3533</v>
      </c>
      <c r="C1026" s="3">
        <v>623990</v>
      </c>
      <c r="D1026" s="3" t="s">
        <v>3533</v>
      </c>
      <c r="E1026" s="63"/>
    </row>
    <row r="1027" spans="1:9" x14ac:dyDescent="0.25">
      <c r="A1027" s="3">
        <v>624110</v>
      </c>
      <c r="B1027" s="3" t="s">
        <v>3534</v>
      </c>
      <c r="C1027" s="3">
        <v>624110</v>
      </c>
      <c r="D1027" s="3" t="s">
        <v>3534</v>
      </c>
      <c r="E1027" s="63"/>
    </row>
    <row r="1028" spans="1:9" ht="25.5" x14ac:dyDescent="0.25">
      <c r="A1028" s="3">
        <v>624120</v>
      </c>
      <c r="B1028" s="3" t="s">
        <v>3535</v>
      </c>
      <c r="C1028" s="3">
        <v>624120</v>
      </c>
      <c r="D1028" s="3" t="s">
        <v>3535</v>
      </c>
      <c r="E1028" s="63"/>
    </row>
    <row r="1029" spans="1:9" x14ac:dyDescent="0.25">
      <c r="A1029" s="3">
        <v>624190</v>
      </c>
      <c r="B1029" s="3" t="s">
        <v>3536</v>
      </c>
      <c r="C1029" s="3">
        <v>624190</v>
      </c>
      <c r="D1029" s="3" t="s">
        <v>3536</v>
      </c>
      <c r="E1029" s="63"/>
    </row>
    <row r="1030" spans="1:9" x14ac:dyDescent="0.25">
      <c r="A1030" s="3">
        <v>624210</v>
      </c>
      <c r="B1030" s="3" t="s">
        <v>3537</v>
      </c>
      <c r="C1030" s="3">
        <v>624210</v>
      </c>
      <c r="D1030" s="3" t="s">
        <v>3537</v>
      </c>
      <c r="E1030" s="63"/>
    </row>
    <row r="1031" spans="1:9" x14ac:dyDescent="0.25">
      <c r="A1031" s="3">
        <v>624221</v>
      </c>
      <c r="B1031" s="3" t="s">
        <v>3538</v>
      </c>
      <c r="C1031" s="3">
        <v>624221</v>
      </c>
      <c r="D1031" s="3" t="s">
        <v>3538</v>
      </c>
      <c r="E1031" s="63"/>
      <c r="I1031" t="s">
        <v>2</v>
      </c>
    </row>
    <row r="1032" spans="1:9" x14ac:dyDescent="0.25">
      <c r="A1032" s="3">
        <v>624229</v>
      </c>
      <c r="B1032" s="3" t="s">
        <v>3539</v>
      </c>
      <c r="C1032" s="3">
        <v>624229</v>
      </c>
      <c r="D1032" s="3" t="s">
        <v>3539</v>
      </c>
      <c r="E1032" s="63"/>
    </row>
    <row r="1033" spans="1:9" x14ac:dyDescent="0.25">
      <c r="A1033" s="3">
        <v>624230</v>
      </c>
      <c r="B1033" s="3" t="s">
        <v>3540</v>
      </c>
      <c r="C1033" s="3">
        <v>624230</v>
      </c>
      <c r="D1033" s="3" t="s">
        <v>3540</v>
      </c>
      <c r="E1033" s="63"/>
    </row>
    <row r="1034" spans="1:9" x14ac:dyDescent="0.25">
      <c r="A1034" s="3">
        <v>624310</v>
      </c>
      <c r="B1034" s="3" t="s">
        <v>3541</v>
      </c>
      <c r="C1034" s="3">
        <v>624310</v>
      </c>
      <c r="D1034" s="3" t="s">
        <v>3541</v>
      </c>
      <c r="E1034" s="63"/>
    </row>
    <row r="1035" spans="1:9" x14ac:dyDescent="0.25">
      <c r="A1035" s="3">
        <v>624410</v>
      </c>
      <c r="B1035" s="3" t="s">
        <v>3542</v>
      </c>
      <c r="C1035" s="3">
        <v>624410</v>
      </c>
      <c r="D1035" s="3" t="s">
        <v>3543</v>
      </c>
      <c r="E1035" s="63"/>
    </row>
    <row r="1036" spans="1:9" x14ac:dyDescent="0.25">
      <c r="A1036" s="3">
        <v>711110</v>
      </c>
      <c r="B1036" s="3" t="s">
        <v>3544</v>
      </c>
      <c r="C1036" s="3">
        <v>711110</v>
      </c>
      <c r="D1036" s="3" t="s">
        <v>3544</v>
      </c>
      <c r="E1036" s="63"/>
    </row>
    <row r="1037" spans="1:9" x14ac:dyDescent="0.25">
      <c r="A1037" s="3">
        <v>711120</v>
      </c>
      <c r="B1037" s="3" t="s">
        <v>3545</v>
      </c>
      <c r="C1037" s="3">
        <v>711120</v>
      </c>
      <c r="D1037" s="3" t="s">
        <v>3545</v>
      </c>
      <c r="E1037" s="63"/>
    </row>
    <row r="1038" spans="1:9" x14ac:dyDescent="0.25">
      <c r="A1038" s="3">
        <v>711130</v>
      </c>
      <c r="B1038" s="3" t="s">
        <v>3546</v>
      </c>
      <c r="C1038" s="3">
        <v>711130</v>
      </c>
      <c r="D1038" s="3" t="s">
        <v>3546</v>
      </c>
      <c r="E1038" s="63"/>
    </row>
    <row r="1039" spans="1:9" x14ac:dyDescent="0.25">
      <c r="A1039" s="3">
        <v>711190</v>
      </c>
      <c r="B1039" s="3" t="s">
        <v>3547</v>
      </c>
      <c r="C1039" s="3">
        <v>711190</v>
      </c>
      <c r="D1039" s="3" t="s">
        <v>3547</v>
      </c>
      <c r="E1039" s="63"/>
    </row>
    <row r="1040" spans="1:9" x14ac:dyDescent="0.25">
      <c r="A1040" s="3">
        <v>711211</v>
      </c>
      <c r="B1040" s="3" t="s">
        <v>3548</v>
      </c>
      <c r="C1040" s="3">
        <v>711211</v>
      </c>
      <c r="D1040" s="3" t="s">
        <v>3548</v>
      </c>
      <c r="E1040" s="63"/>
    </row>
    <row r="1041" spans="1:4" x14ac:dyDescent="0.25">
      <c r="A1041" s="3">
        <v>711212</v>
      </c>
      <c r="B1041" s="3" t="s">
        <v>3549</v>
      </c>
      <c r="C1041" s="3">
        <v>711212</v>
      </c>
      <c r="D1041" s="3" t="s">
        <v>3549</v>
      </c>
    </row>
    <row r="1042" spans="1:4" x14ac:dyDescent="0.25">
      <c r="A1042" s="3">
        <v>711219</v>
      </c>
      <c r="B1042" s="3" t="s">
        <v>3550</v>
      </c>
      <c r="C1042" s="3">
        <v>711219</v>
      </c>
      <c r="D1042" s="3" t="s">
        <v>3550</v>
      </c>
    </row>
    <row r="1043" spans="1:4" ht="25.5" x14ac:dyDescent="0.25">
      <c r="A1043" s="3">
        <v>711310</v>
      </c>
      <c r="B1043" s="3" t="s">
        <v>3551</v>
      </c>
      <c r="C1043" s="3">
        <v>711310</v>
      </c>
      <c r="D1043" s="3" t="s">
        <v>3551</v>
      </c>
    </row>
    <row r="1044" spans="1:4" ht="25.5" x14ac:dyDescent="0.25">
      <c r="A1044" s="3">
        <v>711320</v>
      </c>
      <c r="B1044" s="3" t="s">
        <v>3552</v>
      </c>
      <c r="C1044" s="3">
        <v>711320</v>
      </c>
      <c r="D1044" s="3" t="s">
        <v>3552</v>
      </c>
    </row>
    <row r="1045" spans="1:4" ht="38.25" x14ac:dyDescent="0.25">
      <c r="A1045" s="3">
        <v>711410</v>
      </c>
      <c r="B1045" s="3" t="s">
        <v>3553</v>
      </c>
      <c r="C1045" s="3">
        <v>711410</v>
      </c>
      <c r="D1045" s="3" t="s">
        <v>3553</v>
      </c>
    </row>
    <row r="1046" spans="1:4" ht="25.5" x14ac:dyDescent="0.25">
      <c r="A1046" s="3">
        <v>711510</v>
      </c>
      <c r="B1046" s="3" t="s">
        <v>3554</v>
      </c>
      <c r="C1046" s="3">
        <v>711510</v>
      </c>
      <c r="D1046" s="3" t="s">
        <v>3554</v>
      </c>
    </row>
    <row r="1047" spans="1:4" x14ac:dyDescent="0.25">
      <c r="A1047" s="3">
        <v>712110</v>
      </c>
      <c r="B1047" s="3" t="s">
        <v>3555</v>
      </c>
      <c r="C1047" s="3">
        <v>712110</v>
      </c>
      <c r="D1047" s="3" t="s">
        <v>3555</v>
      </c>
    </row>
    <row r="1048" spans="1:4" x14ac:dyDescent="0.25">
      <c r="A1048" s="3">
        <v>712120</v>
      </c>
      <c r="B1048" s="3" t="s">
        <v>3556</v>
      </c>
      <c r="C1048" s="3">
        <v>712120</v>
      </c>
      <c r="D1048" s="3" t="s">
        <v>3556</v>
      </c>
    </row>
    <row r="1049" spans="1:4" x14ac:dyDescent="0.25">
      <c r="A1049" s="3">
        <v>712130</v>
      </c>
      <c r="B1049" s="3" t="s">
        <v>3557</v>
      </c>
      <c r="C1049" s="3">
        <v>712130</v>
      </c>
      <c r="D1049" s="3" t="s">
        <v>3557</v>
      </c>
    </row>
    <row r="1050" spans="1:4" ht="25.5" x14ac:dyDescent="0.25">
      <c r="A1050" s="3">
        <v>712190</v>
      </c>
      <c r="B1050" s="3" t="s">
        <v>3558</v>
      </c>
      <c r="C1050" s="3">
        <v>712190</v>
      </c>
      <c r="D1050" s="3" t="s">
        <v>3558</v>
      </c>
    </row>
    <row r="1051" spans="1:4" x14ac:dyDescent="0.25">
      <c r="A1051" s="3">
        <v>713110</v>
      </c>
      <c r="B1051" s="3" t="s">
        <v>3559</v>
      </c>
      <c r="C1051" s="3">
        <v>713110</v>
      </c>
      <c r="D1051" s="3" t="s">
        <v>3559</v>
      </c>
    </row>
    <row r="1052" spans="1:4" x14ac:dyDescent="0.25">
      <c r="A1052" s="3">
        <v>713120</v>
      </c>
      <c r="B1052" s="3" t="s">
        <v>3560</v>
      </c>
      <c r="C1052" s="3">
        <v>713120</v>
      </c>
      <c r="D1052" s="3" t="s">
        <v>3560</v>
      </c>
    </row>
    <row r="1053" spans="1:4" x14ac:dyDescent="0.25">
      <c r="A1053" s="3">
        <v>713210</v>
      </c>
      <c r="B1053" s="3" t="s">
        <v>3561</v>
      </c>
      <c r="C1053" s="3">
        <v>713210</v>
      </c>
      <c r="D1053" s="3" t="s">
        <v>3561</v>
      </c>
    </row>
    <row r="1054" spans="1:4" x14ac:dyDescent="0.25">
      <c r="A1054" s="3">
        <v>713290</v>
      </c>
      <c r="B1054" s="3" t="s">
        <v>3562</v>
      </c>
      <c r="C1054" s="3">
        <v>713290</v>
      </c>
      <c r="D1054" s="3" t="s">
        <v>3562</v>
      </c>
    </row>
    <row r="1055" spans="1:4" x14ac:dyDescent="0.25">
      <c r="A1055" s="3">
        <v>713910</v>
      </c>
      <c r="B1055" s="3" t="s">
        <v>3563</v>
      </c>
      <c r="C1055" s="3">
        <v>713910</v>
      </c>
      <c r="D1055" s="3" t="s">
        <v>3563</v>
      </c>
    </row>
    <row r="1056" spans="1:4" x14ac:dyDescent="0.25">
      <c r="A1056" s="3">
        <v>713920</v>
      </c>
      <c r="B1056" s="3" t="s">
        <v>3564</v>
      </c>
      <c r="C1056" s="3">
        <v>713920</v>
      </c>
      <c r="D1056" s="3" t="s">
        <v>3564</v>
      </c>
    </row>
    <row r="1057" spans="1:7" x14ac:dyDescent="0.25">
      <c r="A1057" s="3">
        <v>713930</v>
      </c>
      <c r="B1057" s="3" t="s">
        <v>3565</v>
      </c>
      <c r="C1057" s="3">
        <v>713930</v>
      </c>
      <c r="D1057" s="3" t="s">
        <v>3565</v>
      </c>
      <c r="E1057" s="63"/>
    </row>
    <row r="1058" spans="1:7" x14ac:dyDescent="0.25">
      <c r="A1058" s="3">
        <v>713940</v>
      </c>
      <c r="B1058" s="3" t="s">
        <v>3566</v>
      </c>
      <c r="C1058" s="3">
        <v>713940</v>
      </c>
      <c r="D1058" s="3" t="s">
        <v>3566</v>
      </c>
      <c r="E1058" s="63"/>
      <c r="G1058" t="s">
        <v>2</v>
      </c>
    </row>
    <row r="1059" spans="1:7" x14ac:dyDescent="0.25">
      <c r="A1059" s="3">
        <v>713950</v>
      </c>
      <c r="B1059" s="3" t="s">
        <v>3567</v>
      </c>
      <c r="C1059" s="3">
        <v>713950</v>
      </c>
      <c r="D1059" s="3" t="s">
        <v>3567</v>
      </c>
      <c r="E1059" s="63"/>
    </row>
    <row r="1060" spans="1:7" ht="25.5" x14ac:dyDescent="0.25">
      <c r="A1060" s="3">
        <v>713990</v>
      </c>
      <c r="B1060" s="3" t="s">
        <v>3568</v>
      </c>
      <c r="C1060" s="3">
        <v>713990</v>
      </c>
      <c r="D1060" s="3" t="s">
        <v>3568</v>
      </c>
      <c r="E1060" s="63"/>
    </row>
    <row r="1061" spans="1:7" ht="25.5" x14ac:dyDescent="0.25">
      <c r="A1061" s="3">
        <v>721110</v>
      </c>
      <c r="B1061" s="3" t="s">
        <v>3569</v>
      </c>
      <c r="C1061" s="3">
        <v>721110</v>
      </c>
      <c r="D1061" s="3" t="s">
        <v>3569</v>
      </c>
      <c r="E1061" s="63"/>
    </row>
    <row r="1062" spans="1:7" x14ac:dyDescent="0.25">
      <c r="A1062" s="3">
        <v>721120</v>
      </c>
      <c r="B1062" s="3" t="s">
        <v>3570</v>
      </c>
      <c r="C1062" s="3">
        <v>721120</v>
      </c>
      <c r="D1062" s="3" t="s">
        <v>3570</v>
      </c>
      <c r="E1062" s="63"/>
    </row>
    <row r="1063" spans="1:7" x14ac:dyDescent="0.25">
      <c r="A1063" s="3">
        <v>721191</v>
      </c>
      <c r="B1063" s="3" t="s">
        <v>3571</v>
      </c>
      <c r="C1063" s="3">
        <v>721191</v>
      </c>
      <c r="D1063" s="3" t="s">
        <v>3571</v>
      </c>
      <c r="E1063" s="63"/>
    </row>
    <row r="1064" spans="1:7" x14ac:dyDescent="0.25">
      <c r="A1064" s="3">
        <v>721199</v>
      </c>
      <c r="B1064" s="3" t="s">
        <v>3572</v>
      </c>
      <c r="C1064" s="3">
        <v>721199</v>
      </c>
      <c r="D1064" s="3" t="s">
        <v>3572</v>
      </c>
      <c r="E1064" s="63"/>
    </row>
    <row r="1065" spans="1:7" ht="25.5" x14ac:dyDescent="0.25">
      <c r="A1065" s="3">
        <v>721211</v>
      </c>
      <c r="B1065" s="3" t="s">
        <v>3573</v>
      </c>
      <c r="C1065" s="3">
        <v>721211</v>
      </c>
      <c r="D1065" s="3" t="s">
        <v>3573</v>
      </c>
      <c r="E1065" s="63"/>
    </row>
    <row r="1066" spans="1:7" ht="25.5" x14ac:dyDescent="0.25">
      <c r="A1066" s="3">
        <v>721214</v>
      </c>
      <c r="B1066" s="3" t="s">
        <v>3574</v>
      </c>
      <c r="C1066" s="3">
        <v>721214</v>
      </c>
      <c r="D1066" s="3" t="s">
        <v>3574</v>
      </c>
      <c r="E1066" s="63"/>
    </row>
    <row r="1067" spans="1:7" ht="25.5" x14ac:dyDescent="0.25">
      <c r="A1067" s="3">
        <v>721310</v>
      </c>
      <c r="B1067" s="3" t="s">
        <v>3575</v>
      </c>
      <c r="C1067" s="3">
        <v>721310</v>
      </c>
      <c r="D1067" s="3" t="s">
        <v>3575</v>
      </c>
      <c r="E1067" s="63"/>
    </row>
    <row r="1068" spans="1:7" x14ac:dyDescent="0.25">
      <c r="A1068" s="3">
        <v>722310</v>
      </c>
      <c r="B1068" s="3" t="s">
        <v>3576</v>
      </c>
      <c r="C1068" s="3">
        <v>722310</v>
      </c>
      <c r="D1068" s="3" t="s">
        <v>3576</v>
      </c>
      <c r="E1068" s="63"/>
    </row>
    <row r="1069" spans="1:7" x14ac:dyDescent="0.25">
      <c r="A1069" s="3">
        <v>722320</v>
      </c>
      <c r="B1069" s="3" t="s">
        <v>3577</v>
      </c>
      <c r="C1069" s="3">
        <v>722320</v>
      </c>
      <c r="D1069" s="3" t="s">
        <v>3577</v>
      </c>
      <c r="E1069" s="63"/>
    </row>
    <row r="1070" spans="1:7" x14ac:dyDescent="0.25">
      <c r="A1070" s="3">
        <v>722330</v>
      </c>
      <c r="B1070" s="3" t="s">
        <v>3578</v>
      </c>
      <c r="C1070" s="3">
        <v>722330</v>
      </c>
      <c r="D1070" s="3" t="s">
        <v>3578</v>
      </c>
      <c r="E1070" s="63"/>
    </row>
    <row r="1071" spans="1:7" x14ac:dyDescent="0.25">
      <c r="A1071" s="3">
        <v>722410</v>
      </c>
      <c r="B1071" s="3" t="s">
        <v>3579</v>
      </c>
      <c r="C1071" s="3">
        <v>722410</v>
      </c>
      <c r="D1071" s="3" t="s">
        <v>3579</v>
      </c>
      <c r="E1071" s="63"/>
    </row>
    <row r="1072" spans="1:7" x14ac:dyDescent="0.25">
      <c r="A1072" s="84">
        <v>722511</v>
      </c>
      <c r="B1072" s="84" t="s">
        <v>3580</v>
      </c>
      <c r="C1072" s="84">
        <v>722511</v>
      </c>
      <c r="D1072" s="84" t="s">
        <v>3580</v>
      </c>
      <c r="E1072" s="136"/>
    </row>
    <row r="1073" spans="1:6" x14ac:dyDescent="0.25">
      <c r="A1073" s="84">
        <v>722513</v>
      </c>
      <c r="B1073" s="84" t="s">
        <v>3581</v>
      </c>
      <c r="C1073" s="84">
        <v>722513</v>
      </c>
      <c r="D1073" s="84" t="s">
        <v>3581</v>
      </c>
      <c r="E1073" s="136"/>
    </row>
    <row r="1074" spans="1:6" x14ac:dyDescent="0.25">
      <c r="A1074" s="84">
        <v>722514</v>
      </c>
      <c r="B1074" s="84" t="s">
        <v>3582</v>
      </c>
      <c r="C1074" s="84">
        <v>722514</v>
      </c>
      <c r="D1074" s="84" t="s">
        <v>3582</v>
      </c>
      <c r="E1074" s="136"/>
    </row>
    <row r="1075" spans="1:6" x14ac:dyDescent="0.25">
      <c r="A1075" s="84">
        <v>722515</v>
      </c>
      <c r="B1075" s="84" t="s">
        <v>3583</v>
      </c>
      <c r="C1075" s="84">
        <v>722515</v>
      </c>
      <c r="D1075" s="84" t="s">
        <v>3583</v>
      </c>
      <c r="E1075" s="136"/>
    </row>
    <row r="1076" spans="1:6" x14ac:dyDescent="0.25">
      <c r="A1076" s="3">
        <v>811111</v>
      </c>
      <c r="B1076" s="3" t="s">
        <v>3584</v>
      </c>
      <c r="C1076" s="3">
        <v>811111</v>
      </c>
      <c r="D1076" s="3" t="s">
        <v>3584</v>
      </c>
      <c r="E1076" s="63"/>
    </row>
    <row r="1077" spans="1:6" x14ac:dyDescent="0.25">
      <c r="A1077" s="3">
        <v>811112</v>
      </c>
      <c r="B1077" s="3" t="s">
        <v>3585</v>
      </c>
      <c r="C1077" s="4">
        <v>811114</v>
      </c>
      <c r="D1077" s="3" t="s">
        <v>3586</v>
      </c>
      <c r="E1077" s="102"/>
    </row>
    <row r="1078" spans="1:6" x14ac:dyDescent="0.25">
      <c r="A1078" s="3">
        <v>811113</v>
      </c>
      <c r="B1078" s="3" t="s">
        <v>3587</v>
      </c>
      <c r="C1078" s="4">
        <v>811114</v>
      </c>
      <c r="D1078" s="3" t="s">
        <v>3586</v>
      </c>
      <c r="E1078" s="102"/>
    </row>
    <row r="1079" spans="1:6" ht="25.5" x14ac:dyDescent="0.25">
      <c r="A1079" s="3">
        <v>811118</v>
      </c>
      <c r="B1079" s="3" t="s">
        <v>3588</v>
      </c>
      <c r="C1079" s="4">
        <v>811114</v>
      </c>
      <c r="D1079" s="3" t="s">
        <v>3586</v>
      </c>
      <c r="E1079" s="102"/>
    </row>
    <row r="1080" spans="1:6" ht="25.5" x14ac:dyDescent="0.25">
      <c r="A1080" s="3">
        <v>811121</v>
      </c>
      <c r="B1080" s="3" t="s">
        <v>3589</v>
      </c>
      <c r="C1080" s="3">
        <v>811121</v>
      </c>
      <c r="D1080" s="3" t="s">
        <v>3589</v>
      </c>
      <c r="E1080" s="63"/>
    </row>
    <row r="1081" spans="1:6" x14ac:dyDescent="0.25">
      <c r="A1081" s="3">
        <v>811122</v>
      </c>
      <c r="B1081" s="3" t="s">
        <v>3590</v>
      </c>
      <c r="C1081" s="3">
        <v>811122</v>
      </c>
      <c r="D1081" s="3" t="s">
        <v>3590</v>
      </c>
      <c r="E1081" s="63"/>
    </row>
    <row r="1082" spans="1:6" ht="25.5" x14ac:dyDescent="0.25">
      <c r="A1082" s="3">
        <v>811191</v>
      </c>
      <c r="B1082" s="3" t="s">
        <v>3591</v>
      </c>
      <c r="C1082" s="3">
        <v>811191</v>
      </c>
      <c r="D1082" s="3" t="s">
        <v>3591</v>
      </c>
      <c r="E1082" s="63"/>
    </row>
    <row r="1083" spans="1:6" x14ac:dyDescent="0.25">
      <c r="A1083" s="3">
        <v>811192</v>
      </c>
      <c r="B1083" s="3" t="s">
        <v>3592</v>
      </c>
      <c r="C1083" s="3">
        <v>811192</v>
      </c>
      <c r="D1083" s="3" t="s">
        <v>3592</v>
      </c>
      <c r="E1083" s="63"/>
      <c r="F1083" t="s">
        <v>2</v>
      </c>
    </row>
    <row r="1084" spans="1:6" ht="25.5" x14ac:dyDescent="0.25">
      <c r="A1084" s="3">
        <v>811198</v>
      </c>
      <c r="B1084" s="3" t="s">
        <v>3593</v>
      </c>
      <c r="C1084" s="3">
        <v>811198</v>
      </c>
      <c r="D1084" s="3" t="s">
        <v>3593</v>
      </c>
      <c r="E1084" s="63"/>
    </row>
    <row r="1085" spans="1:6" ht="25.5" x14ac:dyDescent="0.25">
      <c r="A1085" s="3">
        <v>811211</v>
      </c>
      <c r="B1085" s="3" t="s">
        <v>3594</v>
      </c>
      <c r="C1085" s="4">
        <v>811210</v>
      </c>
      <c r="D1085" s="3" t="s">
        <v>3595</v>
      </c>
      <c r="E1085" s="102"/>
    </row>
    <row r="1086" spans="1:6" ht="25.5" x14ac:dyDescent="0.25">
      <c r="A1086" s="3">
        <v>811212</v>
      </c>
      <c r="B1086" s="3" t="s">
        <v>3596</v>
      </c>
      <c r="C1086" s="4">
        <v>811210</v>
      </c>
      <c r="D1086" s="3" t="s">
        <v>3595</v>
      </c>
      <c r="E1086" s="102"/>
    </row>
    <row r="1087" spans="1:6" ht="25.5" x14ac:dyDescent="0.25">
      <c r="A1087" s="3">
        <v>811213</v>
      </c>
      <c r="B1087" s="3" t="s">
        <v>3597</v>
      </c>
      <c r="C1087" s="4">
        <v>811210</v>
      </c>
      <c r="D1087" s="3" t="s">
        <v>3595</v>
      </c>
      <c r="E1087" s="102"/>
    </row>
    <row r="1088" spans="1:6" ht="25.5" x14ac:dyDescent="0.25">
      <c r="A1088" s="3">
        <v>811219</v>
      </c>
      <c r="B1088" s="3" t="s">
        <v>3598</v>
      </c>
      <c r="C1088" s="4">
        <v>811210</v>
      </c>
      <c r="D1088" s="3" t="s">
        <v>3595</v>
      </c>
      <c r="E1088" s="102"/>
    </row>
    <row r="1089" spans="1:7" ht="38.25" x14ac:dyDescent="0.25">
      <c r="A1089" s="3">
        <v>811310</v>
      </c>
      <c r="B1089" s="3" t="s">
        <v>3599</v>
      </c>
      <c r="C1089" s="3">
        <v>811310</v>
      </c>
      <c r="D1089" s="3" t="s">
        <v>3599</v>
      </c>
      <c r="E1089" s="63"/>
    </row>
    <row r="1090" spans="1:7" ht="25.5" x14ac:dyDescent="0.25">
      <c r="A1090" s="3">
        <v>811411</v>
      </c>
      <c r="B1090" s="3" t="s">
        <v>3600</v>
      </c>
      <c r="C1090" s="3">
        <v>811411</v>
      </c>
      <c r="D1090" s="3" t="s">
        <v>3600</v>
      </c>
      <c r="E1090" s="63"/>
    </row>
    <row r="1091" spans="1:7" x14ac:dyDescent="0.25">
      <c r="A1091" s="3">
        <v>811412</v>
      </c>
      <c r="B1091" s="3" t="s">
        <v>3601</v>
      </c>
      <c r="C1091" s="3">
        <v>811412</v>
      </c>
      <c r="D1091" s="3" t="s">
        <v>3601</v>
      </c>
      <c r="E1091" s="63"/>
    </row>
    <row r="1092" spans="1:7" x14ac:dyDescent="0.25">
      <c r="A1092" s="3">
        <v>811420</v>
      </c>
      <c r="B1092" s="3" t="s">
        <v>3602</v>
      </c>
      <c r="C1092" s="3">
        <v>811420</v>
      </c>
      <c r="D1092" s="3" t="s">
        <v>3602</v>
      </c>
      <c r="E1092" s="63"/>
    </row>
    <row r="1093" spans="1:7" x14ac:dyDescent="0.25">
      <c r="A1093" s="3">
        <v>811430</v>
      </c>
      <c r="B1093" s="3" t="s">
        <v>3603</v>
      </c>
      <c r="C1093" s="3">
        <v>811430</v>
      </c>
      <c r="D1093" s="3" t="s">
        <v>3603</v>
      </c>
      <c r="E1093" s="63"/>
    </row>
    <row r="1094" spans="1:7" ht="25.5" x14ac:dyDescent="0.25">
      <c r="A1094" s="3">
        <v>811490</v>
      </c>
      <c r="B1094" s="3" t="s">
        <v>3604</v>
      </c>
      <c r="C1094" s="3">
        <v>811490</v>
      </c>
      <c r="D1094" s="3" t="s">
        <v>3604</v>
      </c>
      <c r="E1094" s="63"/>
    </row>
    <row r="1095" spans="1:7" x14ac:dyDescent="0.25">
      <c r="A1095" s="3">
        <v>812111</v>
      </c>
      <c r="B1095" s="3" t="s">
        <v>3605</v>
      </c>
      <c r="C1095" s="3">
        <v>812111</v>
      </c>
      <c r="D1095" s="3" t="s">
        <v>3605</v>
      </c>
      <c r="E1095" s="63"/>
    </row>
    <row r="1096" spans="1:7" x14ac:dyDescent="0.25">
      <c r="A1096" s="3">
        <v>812112</v>
      </c>
      <c r="B1096" s="3" t="s">
        <v>3606</v>
      </c>
      <c r="C1096" s="3">
        <v>812112</v>
      </c>
      <c r="D1096" s="3" t="s">
        <v>3606</v>
      </c>
      <c r="E1096" s="63"/>
    </row>
    <row r="1097" spans="1:7" x14ac:dyDescent="0.25">
      <c r="A1097" s="3">
        <v>812113</v>
      </c>
      <c r="B1097" s="3" t="s">
        <v>3607</v>
      </c>
      <c r="C1097" s="3">
        <v>812113</v>
      </c>
      <c r="D1097" s="3" t="s">
        <v>3607</v>
      </c>
      <c r="E1097" s="63"/>
    </row>
    <row r="1098" spans="1:7" x14ac:dyDescent="0.25">
      <c r="A1098" s="3">
        <v>812191</v>
      </c>
      <c r="B1098" s="3" t="s">
        <v>3608</v>
      </c>
      <c r="C1098" s="3">
        <v>812191</v>
      </c>
      <c r="D1098" s="3" t="s">
        <v>3608</v>
      </c>
      <c r="E1098" s="63"/>
    </row>
    <row r="1099" spans="1:7" x14ac:dyDescent="0.25">
      <c r="A1099" s="3">
        <v>812199</v>
      </c>
      <c r="B1099" s="3" t="s">
        <v>3609</v>
      </c>
      <c r="C1099" s="3">
        <v>812199</v>
      </c>
      <c r="D1099" s="3" t="s">
        <v>3609</v>
      </c>
      <c r="E1099" s="63"/>
    </row>
    <row r="1100" spans="1:7" x14ac:dyDescent="0.25">
      <c r="A1100" s="3">
        <v>812210</v>
      </c>
      <c r="B1100" s="3" t="s">
        <v>3610</v>
      </c>
      <c r="C1100" s="3">
        <v>812210</v>
      </c>
      <c r="D1100" s="3" t="s">
        <v>3610</v>
      </c>
      <c r="E1100" s="63"/>
    </row>
    <row r="1101" spans="1:7" x14ac:dyDescent="0.25">
      <c r="A1101" s="3">
        <v>812220</v>
      </c>
      <c r="B1101" s="3" t="s">
        <v>3611</v>
      </c>
      <c r="C1101" s="3">
        <v>812220</v>
      </c>
      <c r="D1101" s="3" t="s">
        <v>3611</v>
      </c>
      <c r="E1101" s="63"/>
    </row>
    <row r="1102" spans="1:7" ht="25.5" x14ac:dyDescent="0.25">
      <c r="A1102" s="3">
        <v>812310</v>
      </c>
      <c r="B1102" s="3" t="s">
        <v>3612</v>
      </c>
      <c r="C1102" s="3">
        <v>812310</v>
      </c>
      <c r="D1102" s="3" t="s">
        <v>3612</v>
      </c>
      <c r="E1102" s="63"/>
      <c r="G1102" t="s">
        <v>2</v>
      </c>
    </row>
    <row r="1103" spans="1:7" ht="25.5" x14ac:dyDescent="0.25">
      <c r="A1103" s="3">
        <v>812320</v>
      </c>
      <c r="B1103" s="3" t="s">
        <v>3613</v>
      </c>
      <c r="C1103" s="3">
        <v>812320</v>
      </c>
      <c r="D1103" s="3" t="s">
        <v>3613</v>
      </c>
      <c r="E1103" s="63"/>
    </row>
    <row r="1104" spans="1:7" x14ac:dyDescent="0.25">
      <c r="A1104" s="3">
        <v>812331</v>
      </c>
      <c r="B1104" s="3" t="s">
        <v>3614</v>
      </c>
      <c r="C1104" s="3">
        <v>812331</v>
      </c>
      <c r="D1104" s="3" t="s">
        <v>3614</v>
      </c>
      <c r="E1104" s="63"/>
    </row>
    <row r="1105" spans="1:4" x14ac:dyDescent="0.25">
      <c r="A1105" s="3">
        <v>812332</v>
      </c>
      <c r="B1105" s="3" t="s">
        <v>3615</v>
      </c>
      <c r="C1105" s="3">
        <v>812332</v>
      </c>
      <c r="D1105" s="3" t="s">
        <v>3615</v>
      </c>
    </row>
    <row r="1106" spans="1:4" x14ac:dyDescent="0.25">
      <c r="A1106" s="3">
        <v>812910</v>
      </c>
      <c r="B1106" s="3" t="s">
        <v>3616</v>
      </c>
      <c r="C1106" s="3">
        <v>812910</v>
      </c>
      <c r="D1106" s="3" t="s">
        <v>3616</v>
      </c>
    </row>
    <row r="1107" spans="1:4" ht="25.5" x14ac:dyDescent="0.25">
      <c r="A1107" s="3">
        <v>812921</v>
      </c>
      <c r="B1107" s="3" t="s">
        <v>3617</v>
      </c>
      <c r="C1107" s="3">
        <v>812921</v>
      </c>
      <c r="D1107" s="3" t="s">
        <v>3617</v>
      </c>
    </row>
    <row r="1108" spans="1:4" x14ac:dyDescent="0.25">
      <c r="A1108" s="3">
        <v>812922</v>
      </c>
      <c r="B1108" s="3" t="s">
        <v>3618</v>
      </c>
      <c r="C1108" s="3">
        <v>812922</v>
      </c>
      <c r="D1108" s="3" t="s">
        <v>3618</v>
      </c>
    </row>
    <row r="1109" spans="1:4" x14ac:dyDescent="0.25">
      <c r="A1109" s="3">
        <v>812930</v>
      </c>
      <c r="B1109" s="3" t="s">
        <v>3619</v>
      </c>
      <c r="C1109" s="3">
        <v>812930</v>
      </c>
      <c r="D1109" s="3" t="s">
        <v>3619</v>
      </c>
    </row>
    <row r="1110" spans="1:4" x14ac:dyDescent="0.25">
      <c r="A1110" s="3">
        <v>812990</v>
      </c>
      <c r="B1110" s="3" t="s">
        <v>3620</v>
      </c>
      <c r="C1110" s="3">
        <v>812990</v>
      </c>
      <c r="D1110" s="3" t="s">
        <v>3620</v>
      </c>
    </row>
    <row r="1111" spans="1:4" x14ac:dyDescent="0.25">
      <c r="A1111" s="3">
        <v>813110</v>
      </c>
      <c r="B1111" s="3" t="s">
        <v>3621</v>
      </c>
      <c r="C1111" s="3">
        <v>813110</v>
      </c>
      <c r="D1111" s="3" t="s">
        <v>3621</v>
      </c>
    </row>
    <row r="1112" spans="1:4" x14ac:dyDescent="0.25">
      <c r="A1112" s="3">
        <v>813211</v>
      </c>
      <c r="B1112" s="3" t="s">
        <v>3622</v>
      </c>
      <c r="C1112" s="3">
        <v>813211</v>
      </c>
      <c r="D1112" s="3" t="s">
        <v>3622</v>
      </c>
    </row>
    <row r="1113" spans="1:4" x14ac:dyDescent="0.25">
      <c r="A1113" s="3">
        <v>813212</v>
      </c>
      <c r="B1113" s="3" t="s">
        <v>3623</v>
      </c>
      <c r="C1113" s="3">
        <v>813212</v>
      </c>
      <c r="D1113" s="3" t="s">
        <v>3623</v>
      </c>
    </row>
    <row r="1114" spans="1:4" x14ac:dyDescent="0.25">
      <c r="A1114" s="3">
        <v>813219</v>
      </c>
      <c r="B1114" s="3" t="s">
        <v>3624</v>
      </c>
      <c r="C1114" s="3">
        <v>813219</v>
      </c>
      <c r="D1114" s="3" t="s">
        <v>3624</v>
      </c>
    </row>
    <row r="1115" spans="1:4" x14ac:dyDescent="0.25">
      <c r="A1115" s="3">
        <v>813311</v>
      </c>
      <c r="B1115" s="3" t="s">
        <v>3625</v>
      </c>
      <c r="C1115" s="3">
        <v>813311</v>
      </c>
      <c r="D1115" s="3" t="s">
        <v>3625</v>
      </c>
    </row>
    <row r="1116" spans="1:4" ht="25.5" x14ac:dyDescent="0.25">
      <c r="A1116" s="3">
        <v>813312</v>
      </c>
      <c r="B1116" s="3" t="s">
        <v>3626</v>
      </c>
      <c r="C1116" s="3">
        <v>813312</v>
      </c>
      <c r="D1116" s="3" t="s">
        <v>3626</v>
      </c>
    </row>
    <row r="1117" spans="1:4" x14ac:dyDescent="0.25">
      <c r="A1117" s="3">
        <v>813319</v>
      </c>
      <c r="B1117" s="3" t="s">
        <v>3627</v>
      </c>
      <c r="C1117" s="3">
        <v>813319</v>
      </c>
      <c r="D1117" s="3" t="s">
        <v>3627</v>
      </c>
    </row>
    <row r="1118" spans="1:4" x14ac:dyDescent="0.25">
      <c r="A1118" s="3">
        <v>813410</v>
      </c>
      <c r="B1118" s="3" t="s">
        <v>3628</v>
      </c>
      <c r="C1118" s="3">
        <v>813410</v>
      </c>
      <c r="D1118" s="3" t="s">
        <v>3628</v>
      </c>
    </row>
    <row r="1119" spans="1:4" x14ac:dyDescent="0.25">
      <c r="A1119" s="3">
        <v>813910</v>
      </c>
      <c r="B1119" s="3" t="s">
        <v>3629</v>
      </c>
      <c r="C1119" s="3">
        <v>813910</v>
      </c>
      <c r="D1119" s="3" t="s">
        <v>3629</v>
      </c>
    </row>
    <row r="1120" spans="1:4" x14ac:dyDescent="0.25">
      <c r="A1120" s="3">
        <v>813920</v>
      </c>
      <c r="B1120" s="3" t="s">
        <v>3630</v>
      </c>
      <c r="C1120" s="3">
        <v>813920</v>
      </c>
      <c r="D1120" s="3" t="s">
        <v>3630</v>
      </c>
    </row>
    <row r="1121" spans="1:8" ht="25.5" x14ac:dyDescent="0.25">
      <c r="A1121" s="3">
        <v>813930</v>
      </c>
      <c r="B1121" s="3" t="s">
        <v>3631</v>
      </c>
      <c r="C1121" s="3">
        <v>813930</v>
      </c>
      <c r="D1121" s="3" t="s">
        <v>3631</v>
      </c>
      <c r="E1121" s="63"/>
    </row>
    <row r="1122" spans="1:8" x14ac:dyDescent="0.25">
      <c r="A1122" s="3">
        <v>813940</v>
      </c>
      <c r="B1122" s="3" t="s">
        <v>3632</v>
      </c>
      <c r="C1122" s="3">
        <v>813940</v>
      </c>
      <c r="D1122" s="3" t="s">
        <v>3632</v>
      </c>
      <c r="E1122" s="63"/>
    </row>
    <row r="1123" spans="1:8" ht="38.25" x14ac:dyDescent="0.25">
      <c r="A1123" s="3">
        <v>813990</v>
      </c>
      <c r="B1123" s="3" t="s">
        <v>3633</v>
      </c>
      <c r="C1123" s="3">
        <v>813990</v>
      </c>
      <c r="D1123" s="3" t="s">
        <v>3633</v>
      </c>
      <c r="E1123" s="63"/>
    </row>
    <row r="1124" spans="1:8" x14ac:dyDescent="0.25">
      <c r="A1124" s="3">
        <v>814110</v>
      </c>
      <c r="B1124" s="3" t="s">
        <v>3634</v>
      </c>
      <c r="C1124" s="3">
        <v>814110</v>
      </c>
      <c r="D1124" s="3" t="s">
        <v>3634</v>
      </c>
      <c r="E1124" s="63"/>
    </row>
    <row r="1125" spans="1:8" x14ac:dyDescent="0.25">
      <c r="A1125" s="3">
        <v>921110</v>
      </c>
      <c r="B1125" s="3" t="s">
        <v>3635</v>
      </c>
      <c r="C1125" s="3">
        <v>921110</v>
      </c>
      <c r="D1125" s="3" t="s">
        <v>3635</v>
      </c>
      <c r="E1125" s="63"/>
    </row>
    <row r="1126" spans="1:8" x14ac:dyDescent="0.25">
      <c r="A1126" s="3">
        <v>921120</v>
      </c>
      <c r="B1126" s="3" t="s">
        <v>3636</v>
      </c>
      <c r="C1126" s="3">
        <v>921120</v>
      </c>
      <c r="D1126" s="3" t="s">
        <v>3636</v>
      </c>
      <c r="E1126" s="63"/>
    </row>
    <row r="1127" spans="1:8" x14ac:dyDescent="0.25">
      <c r="A1127" s="3">
        <v>921130</v>
      </c>
      <c r="B1127" s="3" t="s">
        <v>3637</v>
      </c>
      <c r="C1127" s="3">
        <v>921130</v>
      </c>
      <c r="D1127" s="3" t="s">
        <v>3637</v>
      </c>
      <c r="E1127" s="63"/>
    </row>
    <row r="1128" spans="1:8" ht="25.5" x14ac:dyDescent="0.25">
      <c r="A1128" s="3">
        <v>921140</v>
      </c>
      <c r="B1128" s="3" t="s">
        <v>3638</v>
      </c>
      <c r="C1128" s="3">
        <v>921140</v>
      </c>
      <c r="D1128" s="3" t="s">
        <v>3638</v>
      </c>
      <c r="E1128" s="63"/>
    </row>
    <row r="1129" spans="1:8" ht="25.5" x14ac:dyDescent="0.25">
      <c r="A1129" s="3">
        <v>921150</v>
      </c>
      <c r="B1129" s="3" t="s">
        <v>3639</v>
      </c>
      <c r="C1129" s="3">
        <v>921150</v>
      </c>
      <c r="D1129" s="3" t="s">
        <v>3639</v>
      </c>
      <c r="E1129" s="63"/>
    </row>
    <row r="1130" spans="1:8" x14ac:dyDescent="0.25">
      <c r="A1130" s="3">
        <v>921190</v>
      </c>
      <c r="B1130" s="3" t="s">
        <v>3640</v>
      </c>
      <c r="C1130" s="3">
        <v>921190</v>
      </c>
      <c r="D1130" s="3" t="s">
        <v>3640</v>
      </c>
      <c r="E1130" s="63"/>
    </row>
    <row r="1131" spans="1:8" x14ac:dyDescent="0.25">
      <c r="A1131" s="3">
        <v>922110</v>
      </c>
      <c r="B1131" s="3" t="s">
        <v>2074</v>
      </c>
      <c r="C1131" s="3">
        <v>922110</v>
      </c>
      <c r="D1131" s="3" t="s">
        <v>2074</v>
      </c>
      <c r="E1131" s="63"/>
    </row>
    <row r="1132" spans="1:8" x14ac:dyDescent="0.25">
      <c r="A1132" s="3">
        <v>922120</v>
      </c>
      <c r="B1132" s="3" t="s">
        <v>3641</v>
      </c>
      <c r="C1132" s="3">
        <v>922120</v>
      </c>
      <c r="D1132" s="3" t="s">
        <v>3641</v>
      </c>
      <c r="E1132" s="63"/>
      <c r="H1132" t="s">
        <v>2</v>
      </c>
    </row>
    <row r="1133" spans="1:8" x14ac:dyDescent="0.25">
      <c r="A1133" s="3">
        <v>922130</v>
      </c>
      <c r="B1133" s="3" t="s">
        <v>3642</v>
      </c>
      <c r="C1133" s="3">
        <v>922130</v>
      </c>
      <c r="D1133" s="3" t="s">
        <v>3642</v>
      </c>
      <c r="E1133" s="63"/>
    </row>
    <row r="1134" spans="1:8" x14ac:dyDescent="0.25">
      <c r="A1134" s="3">
        <v>922140</v>
      </c>
      <c r="B1134" s="3" t="s">
        <v>2195</v>
      </c>
      <c r="C1134" s="3">
        <v>922140</v>
      </c>
      <c r="D1134" s="3" t="s">
        <v>2195</v>
      </c>
      <c r="E1134" s="63"/>
    </row>
    <row r="1135" spans="1:8" x14ac:dyDescent="0.25">
      <c r="A1135" s="3">
        <v>922150</v>
      </c>
      <c r="B1135" s="3" t="s">
        <v>3643</v>
      </c>
      <c r="C1135" s="3">
        <v>922150</v>
      </c>
      <c r="D1135" s="3" t="s">
        <v>3643</v>
      </c>
      <c r="E1135" s="63"/>
    </row>
    <row r="1136" spans="1:8" x14ac:dyDescent="0.25">
      <c r="A1136" s="3">
        <v>922160</v>
      </c>
      <c r="B1136" s="3" t="s">
        <v>3644</v>
      </c>
      <c r="C1136" s="3">
        <v>922160</v>
      </c>
      <c r="D1136" s="3" t="s">
        <v>3644</v>
      </c>
      <c r="E1136" s="63"/>
    </row>
    <row r="1137" spans="1:6" ht="25.5" x14ac:dyDescent="0.25">
      <c r="A1137" s="3">
        <v>922190</v>
      </c>
      <c r="B1137" s="3" t="s">
        <v>3645</v>
      </c>
      <c r="C1137" s="3">
        <v>922190</v>
      </c>
      <c r="D1137" s="3" t="s">
        <v>3645</v>
      </c>
      <c r="E1137" s="63"/>
    </row>
    <row r="1138" spans="1:6" x14ac:dyDescent="0.25">
      <c r="A1138" s="3">
        <v>923110</v>
      </c>
      <c r="B1138" s="3" t="s">
        <v>3646</v>
      </c>
      <c r="C1138" s="3">
        <v>923110</v>
      </c>
      <c r="D1138" s="3" t="s">
        <v>3646</v>
      </c>
      <c r="E1138" s="63"/>
    </row>
    <row r="1139" spans="1:6" ht="25.5" x14ac:dyDescent="0.25">
      <c r="A1139" s="3">
        <v>923120</v>
      </c>
      <c r="B1139" s="3" t="s">
        <v>3647</v>
      </c>
      <c r="C1139" s="3">
        <v>923120</v>
      </c>
      <c r="D1139" s="3" t="s">
        <v>3647</v>
      </c>
      <c r="E1139" s="63"/>
    </row>
    <row r="1140" spans="1:6" ht="38.25" x14ac:dyDescent="0.25">
      <c r="A1140" s="3">
        <v>923130</v>
      </c>
      <c r="B1140" s="3" t="s">
        <v>3648</v>
      </c>
      <c r="C1140" s="3">
        <v>923130</v>
      </c>
      <c r="D1140" s="3" t="s">
        <v>3648</v>
      </c>
      <c r="E1140" s="63"/>
    </row>
    <row r="1141" spans="1:6" x14ac:dyDescent="0.25">
      <c r="A1141" s="3">
        <v>923140</v>
      </c>
      <c r="B1141" s="3" t="s">
        <v>3649</v>
      </c>
      <c r="C1141" s="3">
        <v>923140</v>
      </c>
      <c r="D1141" s="3" t="s">
        <v>3649</v>
      </c>
      <c r="E1141" s="63"/>
    </row>
    <row r="1142" spans="1:6" ht="38.25" x14ac:dyDescent="0.25">
      <c r="A1142" s="3">
        <v>924110</v>
      </c>
      <c r="B1142" s="3" t="s">
        <v>3650</v>
      </c>
      <c r="C1142" s="3">
        <v>924110</v>
      </c>
      <c r="D1142" s="3" t="s">
        <v>3650</v>
      </c>
      <c r="E1142" s="63"/>
    </row>
    <row r="1143" spans="1:6" x14ac:dyDescent="0.25">
      <c r="A1143" s="3">
        <v>924120</v>
      </c>
      <c r="B1143" s="3" t="s">
        <v>3651</v>
      </c>
      <c r="C1143" s="3">
        <v>924120</v>
      </c>
      <c r="D1143" s="3" t="s">
        <v>3651</v>
      </c>
      <c r="E1143" s="63"/>
    </row>
    <row r="1144" spans="1:6" x14ac:dyDescent="0.25">
      <c r="A1144" s="3">
        <v>925110</v>
      </c>
      <c r="B1144" s="3" t="s">
        <v>3652</v>
      </c>
      <c r="C1144" s="3">
        <v>925110</v>
      </c>
      <c r="D1144" s="3" t="s">
        <v>3652</v>
      </c>
      <c r="E1144" s="63"/>
    </row>
    <row r="1145" spans="1:6" ht="25.5" x14ac:dyDescent="0.25">
      <c r="A1145" s="3">
        <v>925120</v>
      </c>
      <c r="B1145" s="3" t="s">
        <v>3653</v>
      </c>
      <c r="C1145" s="3">
        <v>925120</v>
      </c>
      <c r="D1145" s="3" t="s">
        <v>3653</v>
      </c>
      <c r="E1145" s="63"/>
      <c r="F1145" t="s">
        <v>2</v>
      </c>
    </row>
    <row r="1146" spans="1:6" ht="25.5" x14ac:dyDescent="0.25">
      <c r="A1146" s="3">
        <v>926110</v>
      </c>
      <c r="B1146" s="3" t="s">
        <v>3654</v>
      </c>
      <c r="C1146" s="3">
        <v>926110</v>
      </c>
      <c r="D1146" s="3" t="s">
        <v>3654</v>
      </c>
      <c r="E1146" s="63"/>
    </row>
    <row r="1147" spans="1:6" ht="25.5" x14ac:dyDescent="0.25">
      <c r="A1147" s="3">
        <v>926120</v>
      </c>
      <c r="B1147" s="3" t="s">
        <v>3655</v>
      </c>
      <c r="C1147" s="3">
        <v>926120</v>
      </c>
      <c r="D1147" s="3" t="s">
        <v>3655</v>
      </c>
      <c r="E1147" s="63"/>
    </row>
    <row r="1148" spans="1:6" ht="38.25" x14ac:dyDescent="0.25">
      <c r="A1148" s="3">
        <v>926130</v>
      </c>
      <c r="B1148" s="3" t="s">
        <v>3656</v>
      </c>
      <c r="C1148" s="3">
        <v>926130</v>
      </c>
      <c r="D1148" s="3" t="s">
        <v>3656</v>
      </c>
      <c r="E1148" s="63"/>
    </row>
    <row r="1149" spans="1:6" ht="25.5" x14ac:dyDescent="0.25">
      <c r="A1149" s="3">
        <v>926140</v>
      </c>
      <c r="B1149" s="3" t="s">
        <v>3657</v>
      </c>
      <c r="C1149" s="3">
        <v>926140</v>
      </c>
      <c r="D1149" s="3" t="s">
        <v>3657</v>
      </c>
      <c r="E1149" s="63"/>
    </row>
    <row r="1150" spans="1:6" ht="25.5" x14ac:dyDescent="0.25">
      <c r="A1150" s="3">
        <v>926150</v>
      </c>
      <c r="B1150" s="3" t="s">
        <v>3658</v>
      </c>
      <c r="C1150" s="3">
        <v>926150</v>
      </c>
      <c r="D1150" s="3" t="s">
        <v>3658</v>
      </c>
      <c r="E1150" s="63"/>
    </row>
    <row r="1151" spans="1:6" x14ac:dyDescent="0.25">
      <c r="A1151" s="3">
        <v>927110</v>
      </c>
      <c r="B1151" s="3" t="s">
        <v>3659</v>
      </c>
      <c r="C1151" s="3">
        <v>927110</v>
      </c>
      <c r="D1151" s="3" t="s">
        <v>3659</v>
      </c>
      <c r="E1151" s="63"/>
    </row>
    <row r="1152" spans="1:6" x14ac:dyDescent="0.25">
      <c r="A1152" s="3">
        <v>928110</v>
      </c>
      <c r="B1152" s="3" t="s">
        <v>2179</v>
      </c>
      <c r="C1152" s="3">
        <v>928110</v>
      </c>
      <c r="D1152" s="3" t="s">
        <v>2179</v>
      </c>
      <c r="E1152" s="63"/>
    </row>
    <row r="1153" spans="1:4" x14ac:dyDescent="0.25">
      <c r="A1153" s="3">
        <v>928120</v>
      </c>
      <c r="B1153" s="3" t="s">
        <v>3660</v>
      </c>
      <c r="C1153" s="3">
        <v>928120</v>
      </c>
      <c r="D1153" s="3" t="s">
        <v>3660</v>
      </c>
    </row>
  </sheetData>
  <sheetProtection sheet="1" objects="1" scenarios="1" formatCells="0" formatColumns="0" formatRows="0" sort="0" autoFilter="0"/>
  <mergeCells count="2">
    <mergeCell ref="A1:D1"/>
    <mergeCell ref="A2:D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37C5-34DD-4A9E-8807-A002AEC5C48C}">
  <sheetPr codeName="Sheet17">
    <tabColor rgb="FF9933FF"/>
  </sheetPr>
  <dimension ref="A1:D2353"/>
  <sheetViews>
    <sheetView workbookViewId="0">
      <selection sqref="A1:D1"/>
    </sheetView>
  </sheetViews>
  <sheetFormatPr defaultColWidth="9.140625" defaultRowHeight="15" x14ac:dyDescent="0.25"/>
  <cols>
    <col min="1" max="1" width="6.85546875" style="85" customWidth="1"/>
    <col min="2" max="2" width="46.85546875" style="85" customWidth="1"/>
    <col min="3" max="3" width="9.85546875" style="85" customWidth="1"/>
    <col min="4" max="4" width="46.85546875" style="85" customWidth="1"/>
    <col min="5" max="16384" width="9.140625" style="85"/>
  </cols>
  <sheetData>
    <row r="1" spans="1:4" ht="24" customHeight="1" x14ac:dyDescent="0.25">
      <c r="A1" s="323" t="s">
        <v>3661</v>
      </c>
      <c r="B1" s="324"/>
      <c r="C1" s="324"/>
      <c r="D1" s="325"/>
    </row>
    <row r="2" spans="1:4" ht="28.7" customHeight="1" x14ac:dyDescent="0.25">
      <c r="A2" s="86" t="s">
        <v>3662</v>
      </c>
      <c r="B2" s="87" t="s">
        <v>3663</v>
      </c>
      <c r="C2" s="88" t="s">
        <v>3664</v>
      </c>
      <c r="D2" s="89" t="s">
        <v>3665</v>
      </c>
    </row>
    <row r="3" spans="1:4" ht="17.25" customHeight="1" x14ac:dyDescent="0.2">
      <c r="A3" s="195">
        <v>116</v>
      </c>
      <c r="B3" s="196" t="s">
        <v>3666</v>
      </c>
      <c r="C3" s="196">
        <v>111110</v>
      </c>
      <c r="D3" s="197" t="s">
        <v>2519</v>
      </c>
    </row>
    <row r="4" spans="1:4" ht="17.25" customHeight="1" x14ac:dyDescent="0.2">
      <c r="A4" s="195">
        <v>119</v>
      </c>
      <c r="B4" s="196" t="s">
        <v>3667</v>
      </c>
      <c r="C4" s="196">
        <v>111120</v>
      </c>
      <c r="D4" s="197" t="s">
        <v>3668</v>
      </c>
    </row>
    <row r="5" spans="1:4" ht="17.25" customHeight="1" x14ac:dyDescent="0.2">
      <c r="A5" s="195">
        <v>119</v>
      </c>
      <c r="B5" s="196" t="s">
        <v>3667</v>
      </c>
      <c r="C5" s="196">
        <v>111130</v>
      </c>
      <c r="D5" s="197" t="s">
        <v>3669</v>
      </c>
    </row>
    <row r="6" spans="1:4" ht="17.25" customHeight="1" x14ac:dyDescent="0.2">
      <c r="A6" s="195">
        <v>111</v>
      </c>
      <c r="B6" s="196" t="s">
        <v>3670</v>
      </c>
      <c r="C6" s="196">
        <v>111140</v>
      </c>
      <c r="D6" s="197" t="s">
        <v>2522</v>
      </c>
    </row>
    <row r="7" spans="1:4" ht="17.25" customHeight="1" x14ac:dyDescent="0.2">
      <c r="A7" s="195">
        <v>115</v>
      </c>
      <c r="B7" s="196" t="s">
        <v>3671</v>
      </c>
      <c r="C7" s="196">
        <v>111150</v>
      </c>
      <c r="D7" s="197" t="s">
        <v>3672</v>
      </c>
    </row>
    <row r="8" spans="1:4" ht="17.25" customHeight="1" x14ac:dyDescent="0.2">
      <c r="A8" s="195">
        <v>119</v>
      </c>
      <c r="B8" s="196" t="s">
        <v>3667</v>
      </c>
      <c r="C8" s="196">
        <v>111150</v>
      </c>
      <c r="D8" s="197" t="s">
        <v>3672</v>
      </c>
    </row>
    <row r="9" spans="1:4" ht="17.25" customHeight="1" x14ac:dyDescent="0.2">
      <c r="A9" s="195">
        <v>112</v>
      </c>
      <c r="B9" s="196" t="s">
        <v>3673</v>
      </c>
      <c r="C9" s="196">
        <v>111160</v>
      </c>
      <c r="D9" s="197" t="s">
        <v>2524</v>
      </c>
    </row>
    <row r="10" spans="1:4" ht="17.25" customHeight="1" x14ac:dyDescent="0.2">
      <c r="A10" s="195">
        <v>119</v>
      </c>
      <c r="B10" s="196" t="s">
        <v>3667</v>
      </c>
      <c r="C10" s="196">
        <v>111191</v>
      </c>
      <c r="D10" s="197" t="s">
        <v>3674</v>
      </c>
    </row>
    <row r="11" spans="1:4" ht="17.25" customHeight="1" x14ac:dyDescent="0.2">
      <c r="A11" s="195">
        <v>119</v>
      </c>
      <c r="B11" s="196" t="s">
        <v>3667</v>
      </c>
      <c r="C11" s="196">
        <v>111199</v>
      </c>
      <c r="D11" s="197" t="s">
        <v>3675</v>
      </c>
    </row>
    <row r="12" spans="1:4" ht="17.25" customHeight="1" x14ac:dyDescent="0.2">
      <c r="A12" s="195">
        <v>139</v>
      </c>
      <c r="B12" s="196" t="s">
        <v>3676</v>
      </c>
      <c r="C12" s="196">
        <v>111199</v>
      </c>
      <c r="D12" s="197" t="s">
        <v>3675</v>
      </c>
    </row>
    <row r="13" spans="1:4" ht="17.25" customHeight="1" x14ac:dyDescent="0.2">
      <c r="A13" s="195">
        <v>134</v>
      </c>
      <c r="B13" s="196" t="s">
        <v>3677</v>
      </c>
      <c r="C13" s="196">
        <v>111211</v>
      </c>
      <c r="D13" s="197" t="s">
        <v>3678</v>
      </c>
    </row>
    <row r="14" spans="1:4" ht="17.25" customHeight="1" x14ac:dyDescent="0.2">
      <c r="A14" s="195">
        <v>139</v>
      </c>
      <c r="B14" s="196" t="s">
        <v>3676</v>
      </c>
      <c r="C14" s="196">
        <v>111211</v>
      </c>
      <c r="D14" s="197" t="s">
        <v>3678</v>
      </c>
    </row>
    <row r="15" spans="1:4" ht="17.25" customHeight="1" x14ac:dyDescent="0.2">
      <c r="A15" s="195">
        <v>161</v>
      </c>
      <c r="B15" s="196" t="s">
        <v>3679</v>
      </c>
      <c r="C15" s="196">
        <v>111211</v>
      </c>
      <c r="D15" s="197" t="s">
        <v>3678</v>
      </c>
    </row>
    <row r="16" spans="1:4" ht="17.25" customHeight="1" x14ac:dyDescent="0.2">
      <c r="A16" s="195">
        <v>139</v>
      </c>
      <c r="B16" s="196" t="s">
        <v>3676</v>
      </c>
      <c r="C16" s="196">
        <v>111219</v>
      </c>
      <c r="D16" s="197" t="s">
        <v>3680</v>
      </c>
    </row>
    <row r="17" spans="1:4" ht="17.25" customHeight="1" x14ac:dyDescent="0.2">
      <c r="A17" s="195">
        <v>161</v>
      </c>
      <c r="B17" s="196" t="s">
        <v>3679</v>
      </c>
      <c r="C17" s="196">
        <v>111219</v>
      </c>
      <c r="D17" s="197" t="s">
        <v>3680</v>
      </c>
    </row>
    <row r="18" spans="1:4" ht="17.25" customHeight="1" x14ac:dyDescent="0.2">
      <c r="A18" s="195">
        <v>174</v>
      </c>
      <c r="B18" s="196" t="s">
        <v>3681</v>
      </c>
      <c r="C18" s="196">
        <v>111310</v>
      </c>
      <c r="D18" s="197" t="s">
        <v>2529</v>
      </c>
    </row>
    <row r="19" spans="1:4" ht="34.5" customHeight="1" x14ac:dyDescent="0.2">
      <c r="A19" s="195">
        <v>174</v>
      </c>
      <c r="B19" s="196" t="s">
        <v>3681</v>
      </c>
      <c r="C19" s="196">
        <v>111320</v>
      </c>
      <c r="D19" s="197" t="s">
        <v>3682</v>
      </c>
    </row>
    <row r="20" spans="1:4" ht="17.25" customHeight="1" x14ac:dyDescent="0.2">
      <c r="A20" s="195">
        <v>175</v>
      </c>
      <c r="B20" s="196" t="s">
        <v>3683</v>
      </c>
      <c r="C20" s="196">
        <v>111331</v>
      </c>
      <c r="D20" s="197" t="s">
        <v>3684</v>
      </c>
    </row>
    <row r="21" spans="1:4" ht="17.25" customHeight="1" x14ac:dyDescent="0.2">
      <c r="A21" s="195">
        <v>172</v>
      </c>
      <c r="B21" s="196" t="s">
        <v>3685</v>
      </c>
      <c r="C21" s="196">
        <v>111332</v>
      </c>
      <c r="D21" s="197" t="s">
        <v>3686</v>
      </c>
    </row>
    <row r="22" spans="1:4" ht="17.25" customHeight="1" x14ac:dyDescent="0.2">
      <c r="A22" s="195">
        <v>171</v>
      </c>
      <c r="B22" s="196" t="s">
        <v>3687</v>
      </c>
      <c r="C22" s="196">
        <v>111333</v>
      </c>
      <c r="D22" s="197" t="s">
        <v>3688</v>
      </c>
    </row>
    <row r="23" spans="1:4" ht="17.25" customHeight="1" x14ac:dyDescent="0.2">
      <c r="A23" s="195">
        <v>171</v>
      </c>
      <c r="B23" s="196" t="s">
        <v>3687</v>
      </c>
      <c r="C23" s="196">
        <v>111334</v>
      </c>
      <c r="D23" s="197" t="s">
        <v>3689</v>
      </c>
    </row>
    <row r="24" spans="1:4" ht="17.25" customHeight="1" x14ac:dyDescent="0.2">
      <c r="A24" s="195">
        <v>173</v>
      </c>
      <c r="B24" s="196" t="s">
        <v>3690</v>
      </c>
      <c r="C24" s="196">
        <v>111335</v>
      </c>
      <c r="D24" s="197" t="s">
        <v>3691</v>
      </c>
    </row>
    <row r="25" spans="1:4" ht="34.5" customHeight="1" x14ac:dyDescent="0.2">
      <c r="A25" s="195">
        <v>179</v>
      </c>
      <c r="B25" s="196" t="s">
        <v>3692</v>
      </c>
      <c r="C25" s="196">
        <v>111336</v>
      </c>
      <c r="D25" s="197" t="s">
        <v>3693</v>
      </c>
    </row>
    <row r="26" spans="1:4" ht="17.25" customHeight="1" x14ac:dyDescent="0.2">
      <c r="A26" s="195">
        <v>175</v>
      </c>
      <c r="B26" s="196" t="s">
        <v>3683</v>
      </c>
      <c r="C26" s="196">
        <v>111339</v>
      </c>
      <c r="D26" s="197" t="s">
        <v>3694</v>
      </c>
    </row>
    <row r="27" spans="1:4" ht="17.25" customHeight="1" x14ac:dyDescent="0.2">
      <c r="A27" s="195">
        <v>179</v>
      </c>
      <c r="B27" s="196" t="s">
        <v>3692</v>
      </c>
      <c r="C27" s="196">
        <v>111339</v>
      </c>
      <c r="D27" s="197" t="s">
        <v>3694</v>
      </c>
    </row>
    <row r="28" spans="1:4" ht="17.25" customHeight="1" x14ac:dyDescent="0.2">
      <c r="A28" s="195">
        <v>182</v>
      </c>
      <c r="B28" s="196" t="s">
        <v>3695</v>
      </c>
      <c r="C28" s="196">
        <v>111411</v>
      </c>
      <c r="D28" s="197" t="s">
        <v>3696</v>
      </c>
    </row>
    <row r="29" spans="1:4" ht="17.25" customHeight="1" x14ac:dyDescent="0.2">
      <c r="A29" s="195">
        <v>182</v>
      </c>
      <c r="B29" s="196" t="s">
        <v>3695</v>
      </c>
      <c r="C29" s="196">
        <v>111419</v>
      </c>
      <c r="D29" s="197" t="s">
        <v>3697</v>
      </c>
    </row>
    <row r="30" spans="1:4" ht="17.25" customHeight="1" x14ac:dyDescent="0.2">
      <c r="A30" s="195">
        <v>181</v>
      </c>
      <c r="B30" s="196" t="s">
        <v>3698</v>
      </c>
      <c r="C30" s="196">
        <v>111421</v>
      </c>
      <c r="D30" s="197" t="s">
        <v>3699</v>
      </c>
    </row>
    <row r="31" spans="1:4" ht="17.25" customHeight="1" x14ac:dyDescent="0.2">
      <c r="A31" s="195">
        <v>811</v>
      </c>
      <c r="B31" s="196" t="s">
        <v>3700</v>
      </c>
      <c r="C31" s="196">
        <v>111421</v>
      </c>
      <c r="D31" s="197" t="s">
        <v>3699</v>
      </c>
    </row>
    <row r="32" spans="1:4" ht="17.25" customHeight="1" x14ac:dyDescent="0.2">
      <c r="A32" s="195">
        <v>181</v>
      </c>
      <c r="B32" s="196" t="s">
        <v>3698</v>
      </c>
      <c r="C32" s="196">
        <v>111422</v>
      </c>
      <c r="D32" s="197" t="s">
        <v>3701</v>
      </c>
    </row>
    <row r="33" spans="1:4" ht="17.25" customHeight="1" x14ac:dyDescent="0.2">
      <c r="A33" s="195">
        <v>132</v>
      </c>
      <c r="B33" s="196" t="s">
        <v>3702</v>
      </c>
      <c r="C33" s="196">
        <v>111910</v>
      </c>
      <c r="D33" s="197" t="s">
        <v>2542</v>
      </c>
    </row>
    <row r="34" spans="1:4" ht="17.25" customHeight="1" x14ac:dyDescent="0.2">
      <c r="A34" s="195">
        <v>131</v>
      </c>
      <c r="B34" s="196" t="s">
        <v>3703</v>
      </c>
      <c r="C34" s="196">
        <v>111920</v>
      </c>
      <c r="D34" s="197" t="s">
        <v>2543</v>
      </c>
    </row>
    <row r="35" spans="1:4" ht="17.25" customHeight="1" x14ac:dyDescent="0.2">
      <c r="A35" s="195">
        <v>133</v>
      </c>
      <c r="B35" s="196" t="s">
        <v>3704</v>
      </c>
      <c r="C35" s="196">
        <v>111930</v>
      </c>
      <c r="D35" s="197" t="s">
        <v>2544</v>
      </c>
    </row>
    <row r="36" spans="1:4" ht="17.25" customHeight="1" x14ac:dyDescent="0.2">
      <c r="A36" s="195">
        <v>139</v>
      </c>
      <c r="B36" s="196" t="s">
        <v>3676</v>
      </c>
      <c r="C36" s="196">
        <v>111940</v>
      </c>
      <c r="D36" s="197" t="s">
        <v>3705</v>
      </c>
    </row>
    <row r="37" spans="1:4" ht="17.25" customHeight="1" x14ac:dyDescent="0.2">
      <c r="A37" s="195">
        <v>133</v>
      </c>
      <c r="B37" s="196" t="s">
        <v>3704</v>
      </c>
      <c r="C37" s="196">
        <v>111991</v>
      </c>
      <c r="D37" s="197" t="s">
        <v>3706</v>
      </c>
    </row>
    <row r="38" spans="1:4" ht="17.25" customHeight="1" x14ac:dyDescent="0.2">
      <c r="A38" s="195">
        <v>139</v>
      </c>
      <c r="B38" s="196" t="s">
        <v>3676</v>
      </c>
      <c r="C38" s="196">
        <v>111992</v>
      </c>
      <c r="D38" s="197" t="s">
        <v>3707</v>
      </c>
    </row>
    <row r="39" spans="1:4" ht="17.25" customHeight="1" x14ac:dyDescent="0.2">
      <c r="A39" s="195">
        <v>139</v>
      </c>
      <c r="B39" s="196" t="s">
        <v>3676</v>
      </c>
      <c r="C39" s="196">
        <v>111998</v>
      </c>
      <c r="D39" s="197" t="s">
        <v>3708</v>
      </c>
    </row>
    <row r="40" spans="1:4" ht="17.25" customHeight="1" x14ac:dyDescent="0.2">
      <c r="A40" s="195">
        <v>191</v>
      </c>
      <c r="B40" s="196" t="s">
        <v>3709</v>
      </c>
      <c r="C40" s="196">
        <v>111998</v>
      </c>
      <c r="D40" s="197" t="s">
        <v>3708</v>
      </c>
    </row>
    <row r="41" spans="1:4" ht="17.25" customHeight="1" x14ac:dyDescent="0.2">
      <c r="A41" s="195">
        <v>831</v>
      </c>
      <c r="B41" s="196" t="s">
        <v>3710</v>
      </c>
      <c r="C41" s="196">
        <v>111998</v>
      </c>
      <c r="D41" s="197" t="s">
        <v>3708</v>
      </c>
    </row>
    <row r="42" spans="1:4" ht="17.25" customHeight="1" x14ac:dyDescent="0.2">
      <c r="A42" s="195">
        <v>919</v>
      </c>
      <c r="B42" s="196" t="s">
        <v>3711</v>
      </c>
      <c r="C42" s="196">
        <v>111998</v>
      </c>
      <c r="D42" s="197" t="s">
        <v>3708</v>
      </c>
    </row>
    <row r="43" spans="1:4" ht="17.25" customHeight="1" x14ac:dyDescent="0.2">
      <c r="A43" s="195">
        <v>2099</v>
      </c>
      <c r="B43" s="196" t="s">
        <v>3712</v>
      </c>
      <c r="C43" s="196">
        <v>111998</v>
      </c>
      <c r="D43" s="197" t="s">
        <v>3708</v>
      </c>
    </row>
    <row r="44" spans="1:4" ht="17.25" customHeight="1" x14ac:dyDescent="0.2">
      <c r="A44" s="195">
        <v>212</v>
      </c>
      <c r="B44" s="196" t="s">
        <v>3713</v>
      </c>
      <c r="C44" s="196">
        <v>112111</v>
      </c>
      <c r="D44" s="197" t="s">
        <v>3714</v>
      </c>
    </row>
    <row r="45" spans="1:4" ht="17.25" customHeight="1" x14ac:dyDescent="0.2">
      <c r="A45" s="195">
        <v>241</v>
      </c>
      <c r="B45" s="196" t="s">
        <v>3715</v>
      </c>
      <c r="C45" s="196">
        <v>112111</v>
      </c>
      <c r="D45" s="197" t="s">
        <v>3714</v>
      </c>
    </row>
    <row r="46" spans="1:4" ht="17.25" customHeight="1" x14ac:dyDescent="0.2">
      <c r="A46" s="195">
        <v>211</v>
      </c>
      <c r="B46" s="196" t="s">
        <v>3716</v>
      </c>
      <c r="C46" s="196">
        <v>112112</v>
      </c>
      <c r="D46" s="197" t="s">
        <v>3717</v>
      </c>
    </row>
    <row r="47" spans="1:4" ht="17.25" customHeight="1" x14ac:dyDescent="0.2">
      <c r="A47" s="195">
        <v>241</v>
      </c>
      <c r="B47" s="196" t="s">
        <v>3715</v>
      </c>
      <c r="C47" s="196">
        <v>112120</v>
      </c>
      <c r="D47" s="197" t="s">
        <v>2551</v>
      </c>
    </row>
    <row r="48" spans="1:4" ht="17.25" customHeight="1" x14ac:dyDescent="0.2">
      <c r="A48" s="195" t="s">
        <v>3718</v>
      </c>
      <c r="B48" s="196"/>
      <c r="C48" s="196">
        <v>112130</v>
      </c>
      <c r="D48" s="197" t="s">
        <v>3719</v>
      </c>
    </row>
    <row r="49" spans="1:4" ht="17.25" customHeight="1" x14ac:dyDescent="0.2">
      <c r="A49" s="195">
        <v>213</v>
      </c>
      <c r="B49" s="196" t="s">
        <v>3720</v>
      </c>
      <c r="C49" s="196">
        <v>112210</v>
      </c>
      <c r="D49" s="197" t="s">
        <v>3721</v>
      </c>
    </row>
    <row r="50" spans="1:4" ht="34.5" customHeight="1" x14ac:dyDescent="0.2">
      <c r="A50" s="195">
        <v>252</v>
      </c>
      <c r="B50" s="196" t="s">
        <v>3722</v>
      </c>
      <c r="C50" s="196">
        <v>112310</v>
      </c>
      <c r="D50" s="197" t="s">
        <v>3723</v>
      </c>
    </row>
    <row r="51" spans="1:4" ht="17.25" customHeight="1" x14ac:dyDescent="0.2">
      <c r="A51" s="195">
        <v>251</v>
      </c>
      <c r="B51" s="196" t="s">
        <v>3724</v>
      </c>
      <c r="C51" s="196">
        <v>112320</v>
      </c>
      <c r="D51" s="197" t="s">
        <v>3725</v>
      </c>
    </row>
    <row r="52" spans="1:4" ht="17.25" customHeight="1" x14ac:dyDescent="0.2">
      <c r="A52" s="195">
        <v>253</v>
      </c>
      <c r="B52" s="196" t="s">
        <v>3726</v>
      </c>
      <c r="C52" s="196">
        <v>112330</v>
      </c>
      <c r="D52" s="197" t="s">
        <v>2556</v>
      </c>
    </row>
    <row r="53" spans="1:4" ht="17.25" customHeight="1" x14ac:dyDescent="0.2">
      <c r="A53" s="195">
        <v>254</v>
      </c>
      <c r="B53" s="196" t="s">
        <v>2557</v>
      </c>
      <c r="C53" s="196">
        <v>112340</v>
      </c>
      <c r="D53" s="197" t="s">
        <v>2557</v>
      </c>
    </row>
    <row r="54" spans="1:4" ht="17.25" customHeight="1" x14ac:dyDescent="0.2">
      <c r="A54" s="195">
        <v>259</v>
      </c>
      <c r="B54" s="196" t="s">
        <v>3727</v>
      </c>
      <c r="C54" s="196">
        <v>112390</v>
      </c>
      <c r="D54" s="197" t="s">
        <v>3728</v>
      </c>
    </row>
    <row r="55" spans="1:4" ht="28.7" customHeight="1" x14ac:dyDescent="0.2">
      <c r="A55" s="195">
        <v>214</v>
      </c>
      <c r="B55" s="196" t="s">
        <v>3729</v>
      </c>
      <c r="C55" s="196">
        <v>112410</v>
      </c>
      <c r="D55" s="197" t="s">
        <v>2559</v>
      </c>
    </row>
    <row r="56" spans="1:4" ht="17.25" customHeight="1" x14ac:dyDescent="0.2">
      <c r="A56" s="195">
        <v>214</v>
      </c>
      <c r="B56" s="196" t="s">
        <v>3729</v>
      </c>
      <c r="C56" s="196">
        <v>112420</v>
      </c>
      <c r="D56" s="197" t="s">
        <v>2560</v>
      </c>
    </row>
    <row r="57" spans="1:4" ht="17.25" customHeight="1" x14ac:dyDescent="0.2">
      <c r="A57" s="195">
        <v>273</v>
      </c>
      <c r="B57" s="196" t="s">
        <v>3730</v>
      </c>
      <c r="C57" s="196">
        <v>112511</v>
      </c>
      <c r="D57" s="197" t="s">
        <v>3731</v>
      </c>
    </row>
    <row r="58" spans="1:4" ht="17.25" customHeight="1" x14ac:dyDescent="0.2">
      <c r="A58" s="195">
        <v>921</v>
      </c>
      <c r="B58" s="196" t="s">
        <v>3732</v>
      </c>
      <c r="C58" s="196">
        <v>112511</v>
      </c>
      <c r="D58" s="197" t="s">
        <v>3731</v>
      </c>
    </row>
    <row r="59" spans="1:4" ht="17.25" customHeight="1" x14ac:dyDescent="0.2">
      <c r="A59" s="195">
        <v>273</v>
      </c>
      <c r="B59" s="196" t="s">
        <v>3730</v>
      </c>
      <c r="C59" s="196">
        <v>112512</v>
      </c>
      <c r="D59" s="197" t="s">
        <v>3733</v>
      </c>
    </row>
    <row r="60" spans="1:4" ht="17.25" customHeight="1" x14ac:dyDescent="0.2">
      <c r="A60" s="195">
        <v>919</v>
      </c>
      <c r="B60" s="196" t="s">
        <v>3711</v>
      </c>
      <c r="C60" s="196">
        <v>112512</v>
      </c>
      <c r="D60" s="197" t="s">
        <v>3733</v>
      </c>
    </row>
    <row r="61" spans="1:4" ht="17.25" customHeight="1" x14ac:dyDescent="0.2">
      <c r="A61" s="195">
        <v>921</v>
      </c>
      <c r="B61" s="196" t="s">
        <v>3732</v>
      </c>
      <c r="C61" s="196">
        <v>112512</v>
      </c>
      <c r="D61" s="197" t="s">
        <v>3733</v>
      </c>
    </row>
    <row r="62" spans="1:4" ht="17.25" customHeight="1" x14ac:dyDescent="0.2">
      <c r="A62" s="195">
        <v>139</v>
      </c>
      <c r="B62" s="196" t="s">
        <v>3676</v>
      </c>
      <c r="C62" s="196">
        <v>112519</v>
      </c>
      <c r="D62" s="197" t="s">
        <v>3734</v>
      </c>
    </row>
    <row r="63" spans="1:4" ht="17.25" customHeight="1" x14ac:dyDescent="0.2">
      <c r="A63" s="195">
        <v>191</v>
      </c>
      <c r="B63" s="196" t="s">
        <v>3709</v>
      </c>
      <c r="C63" s="196">
        <v>112519</v>
      </c>
      <c r="D63" s="197" t="s">
        <v>3734</v>
      </c>
    </row>
    <row r="64" spans="1:4" ht="17.25" customHeight="1" x14ac:dyDescent="0.2">
      <c r="A64" s="195">
        <v>273</v>
      </c>
      <c r="B64" s="196" t="s">
        <v>3730</v>
      </c>
      <c r="C64" s="196">
        <v>112519</v>
      </c>
      <c r="D64" s="197" t="s">
        <v>3734</v>
      </c>
    </row>
    <row r="65" spans="1:4" ht="17.25" customHeight="1" x14ac:dyDescent="0.2">
      <c r="A65" s="195">
        <v>279</v>
      </c>
      <c r="B65" s="196" t="s">
        <v>3735</v>
      </c>
      <c r="C65" s="196">
        <v>112519</v>
      </c>
      <c r="D65" s="197" t="s">
        <v>3734</v>
      </c>
    </row>
    <row r="66" spans="1:4" ht="17.25" customHeight="1" x14ac:dyDescent="0.2">
      <c r="A66" s="195">
        <v>831</v>
      </c>
      <c r="B66" s="196" t="s">
        <v>3710</v>
      </c>
      <c r="C66" s="196">
        <v>112519</v>
      </c>
      <c r="D66" s="197" t="s">
        <v>3734</v>
      </c>
    </row>
    <row r="67" spans="1:4" ht="34.5" customHeight="1" x14ac:dyDescent="0.2">
      <c r="A67" s="195">
        <v>919</v>
      </c>
      <c r="B67" s="196" t="s">
        <v>3711</v>
      </c>
      <c r="C67" s="196">
        <v>112519</v>
      </c>
      <c r="D67" s="197" t="s">
        <v>3734</v>
      </c>
    </row>
    <row r="68" spans="1:4" ht="17.25" customHeight="1" x14ac:dyDescent="0.2">
      <c r="A68" s="195">
        <v>2099</v>
      </c>
      <c r="B68" s="196" t="s">
        <v>3712</v>
      </c>
      <c r="C68" s="196">
        <v>112519</v>
      </c>
      <c r="D68" s="197" t="s">
        <v>3734</v>
      </c>
    </row>
    <row r="69" spans="1:4" ht="17.25" customHeight="1" x14ac:dyDescent="0.2">
      <c r="A69" s="195">
        <v>279</v>
      </c>
      <c r="B69" s="196" t="s">
        <v>3735</v>
      </c>
      <c r="C69" s="196">
        <v>112910</v>
      </c>
      <c r="D69" s="197" t="s">
        <v>2564</v>
      </c>
    </row>
    <row r="70" spans="1:4" ht="17.25" customHeight="1" x14ac:dyDescent="0.2">
      <c r="A70" s="195">
        <v>272</v>
      </c>
      <c r="B70" s="196" t="s">
        <v>3736</v>
      </c>
      <c r="C70" s="196">
        <v>112920</v>
      </c>
      <c r="D70" s="197" t="s">
        <v>2565</v>
      </c>
    </row>
    <row r="71" spans="1:4" ht="17.25" customHeight="1" x14ac:dyDescent="0.2">
      <c r="A71" s="195">
        <v>271</v>
      </c>
      <c r="B71" s="196" t="s">
        <v>3737</v>
      </c>
      <c r="C71" s="196">
        <v>112930</v>
      </c>
      <c r="D71" s="197" t="s">
        <v>2566</v>
      </c>
    </row>
    <row r="72" spans="1:4" ht="17.25" customHeight="1" x14ac:dyDescent="0.2">
      <c r="A72" s="195">
        <v>219</v>
      </c>
      <c r="B72" s="196" t="s">
        <v>3738</v>
      </c>
      <c r="C72" s="196">
        <v>112990</v>
      </c>
      <c r="D72" s="197" t="s">
        <v>3739</v>
      </c>
    </row>
    <row r="73" spans="1:4" ht="17.25" customHeight="1" x14ac:dyDescent="0.2">
      <c r="A73" s="195">
        <v>279</v>
      </c>
      <c r="B73" s="196" t="s">
        <v>3735</v>
      </c>
      <c r="C73" s="196">
        <v>112990</v>
      </c>
      <c r="D73" s="197" t="s">
        <v>3739</v>
      </c>
    </row>
    <row r="74" spans="1:4" ht="17.25" customHeight="1" x14ac:dyDescent="0.2">
      <c r="A74" s="195">
        <v>291</v>
      </c>
      <c r="B74" s="196" t="s">
        <v>3740</v>
      </c>
      <c r="C74" s="196">
        <v>112990</v>
      </c>
      <c r="D74" s="197" t="s">
        <v>3739</v>
      </c>
    </row>
    <row r="75" spans="1:4" ht="17.25" customHeight="1" x14ac:dyDescent="0.2">
      <c r="A75" s="195">
        <v>811</v>
      </c>
      <c r="B75" s="196" t="s">
        <v>3700</v>
      </c>
      <c r="C75" s="196">
        <v>113110</v>
      </c>
      <c r="D75" s="197" t="s">
        <v>2568</v>
      </c>
    </row>
    <row r="76" spans="1:4" ht="28.7" customHeight="1" x14ac:dyDescent="0.2">
      <c r="A76" s="195">
        <v>831</v>
      </c>
      <c r="B76" s="196" t="s">
        <v>3710</v>
      </c>
      <c r="C76" s="196">
        <v>113210</v>
      </c>
      <c r="D76" s="197" t="s">
        <v>3741</v>
      </c>
    </row>
    <row r="77" spans="1:4" ht="17.25" customHeight="1" x14ac:dyDescent="0.2">
      <c r="A77" s="195">
        <v>2411</v>
      </c>
      <c r="B77" s="196" t="s">
        <v>2570</v>
      </c>
      <c r="C77" s="196">
        <v>113310</v>
      </c>
      <c r="D77" s="197" t="s">
        <v>3742</v>
      </c>
    </row>
    <row r="78" spans="1:4" ht="17.25" customHeight="1" x14ac:dyDescent="0.2">
      <c r="A78" s="195">
        <v>912</v>
      </c>
      <c r="B78" s="196" t="s">
        <v>3743</v>
      </c>
      <c r="C78" s="196">
        <v>114111</v>
      </c>
      <c r="D78" s="197" t="s">
        <v>3744</v>
      </c>
    </row>
    <row r="79" spans="1:4" ht="34.5" customHeight="1" x14ac:dyDescent="0.2">
      <c r="A79" s="195">
        <v>913</v>
      </c>
      <c r="B79" s="196" t="s">
        <v>3745</v>
      </c>
      <c r="C79" s="196">
        <v>114112</v>
      </c>
      <c r="D79" s="197" t="s">
        <v>3746</v>
      </c>
    </row>
    <row r="80" spans="1:4" ht="17.25" customHeight="1" x14ac:dyDescent="0.2">
      <c r="A80" s="195">
        <v>919</v>
      </c>
      <c r="B80" s="196" t="s">
        <v>3711</v>
      </c>
      <c r="C80" s="196">
        <v>114112</v>
      </c>
      <c r="D80" s="197" t="s">
        <v>3746</v>
      </c>
    </row>
    <row r="81" spans="1:4" ht="17.25" customHeight="1" x14ac:dyDescent="0.2">
      <c r="A81" s="195">
        <v>919</v>
      </c>
      <c r="B81" s="196" t="s">
        <v>3711</v>
      </c>
      <c r="C81" s="196">
        <v>114119</v>
      </c>
      <c r="D81" s="197" t="s">
        <v>3747</v>
      </c>
    </row>
    <row r="82" spans="1:4" ht="17.25" customHeight="1" x14ac:dyDescent="0.2">
      <c r="A82" s="195">
        <v>971</v>
      </c>
      <c r="B82" s="196" t="s">
        <v>3748</v>
      </c>
      <c r="C82" s="196">
        <v>114210</v>
      </c>
      <c r="D82" s="197" t="s">
        <v>2574</v>
      </c>
    </row>
    <row r="83" spans="1:4" ht="17.25" customHeight="1" x14ac:dyDescent="0.2">
      <c r="A83" s="195">
        <v>724</v>
      </c>
      <c r="B83" s="196" t="s">
        <v>2575</v>
      </c>
      <c r="C83" s="196">
        <v>115111</v>
      </c>
      <c r="D83" s="197" t="s">
        <v>3749</v>
      </c>
    </row>
    <row r="84" spans="1:4" ht="17.25" customHeight="1" x14ac:dyDescent="0.2">
      <c r="A84" s="195">
        <v>711</v>
      </c>
      <c r="B84" s="196" t="s">
        <v>3750</v>
      </c>
      <c r="C84" s="196">
        <v>115112</v>
      </c>
      <c r="D84" s="197" t="s">
        <v>3751</v>
      </c>
    </row>
    <row r="85" spans="1:4" ht="17.25" customHeight="1" x14ac:dyDescent="0.2">
      <c r="A85" s="195">
        <v>721</v>
      </c>
      <c r="B85" s="196" t="s">
        <v>3752</v>
      </c>
      <c r="C85" s="196">
        <v>115112</v>
      </c>
      <c r="D85" s="197" t="s">
        <v>3751</v>
      </c>
    </row>
    <row r="86" spans="1:4" ht="34.5" customHeight="1" x14ac:dyDescent="0.2">
      <c r="A86" s="195">
        <v>722</v>
      </c>
      <c r="B86" s="196" t="s">
        <v>3753</v>
      </c>
      <c r="C86" s="196">
        <v>115113</v>
      </c>
      <c r="D86" s="197" t="s">
        <v>3754</v>
      </c>
    </row>
    <row r="87" spans="1:4" ht="17.25" customHeight="1" x14ac:dyDescent="0.2">
      <c r="A87" s="195">
        <v>723</v>
      </c>
      <c r="B87" s="196" t="s">
        <v>3755</v>
      </c>
      <c r="C87" s="196">
        <v>115114</v>
      </c>
      <c r="D87" s="197" t="s">
        <v>3756</v>
      </c>
    </row>
    <row r="88" spans="1:4" ht="17.25" customHeight="1" x14ac:dyDescent="0.2">
      <c r="A88" s="195">
        <v>761</v>
      </c>
      <c r="B88" s="196" t="s">
        <v>3757</v>
      </c>
      <c r="C88" s="196">
        <v>115115</v>
      </c>
      <c r="D88" s="197" t="s">
        <v>3758</v>
      </c>
    </row>
    <row r="89" spans="1:4" ht="17.25" customHeight="1" x14ac:dyDescent="0.2">
      <c r="A89" s="195">
        <v>762</v>
      </c>
      <c r="B89" s="196" t="s">
        <v>2580</v>
      </c>
      <c r="C89" s="196">
        <v>115116</v>
      </c>
      <c r="D89" s="197" t="s">
        <v>3759</v>
      </c>
    </row>
    <row r="90" spans="1:4" ht="17.25" customHeight="1" x14ac:dyDescent="0.2">
      <c r="A90" s="195">
        <v>751</v>
      </c>
      <c r="B90" s="196" t="s">
        <v>3760</v>
      </c>
      <c r="C90" s="196">
        <v>115210</v>
      </c>
      <c r="D90" s="197" t="s">
        <v>2581</v>
      </c>
    </row>
    <row r="91" spans="1:4" ht="17.25" customHeight="1" x14ac:dyDescent="0.2">
      <c r="A91" s="195">
        <v>752</v>
      </c>
      <c r="B91" s="196" t="s">
        <v>3761</v>
      </c>
      <c r="C91" s="196">
        <v>115210</v>
      </c>
      <c r="D91" s="197" t="s">
        <v>2581</v>
      </c>
    </row>
    <row r="92" spans="1:4" ht="17.25" customHeight="1" x14ac:dyDescent="0.2">
      <c r="A92" s="195">
        <v>7699</v>
      </c>
      <c r="B92" s="196" t="s">
        <v>3762</v>
      </c>
      <c r="C92" s="196">
        <v>115210</v>
      </c>
      <c r="D92" s="197" t="s">
        <v>2581</v>
      </c>
    </row>
    <row r="93" spans="1:4" ht="17.25" customHeight="1" x14ac:dyDescent="0.2">
      <c r="A93" s="195">
        <v>851</v>
      </c>
      <c r="B93" s="196" t="s">
        <v>3763</v>
      </c>
      <c r="C93" s="196">
        <v>115310</v>
      </c>
      <c r="D93" s="197" t="s">
        <v>2582</v>
      </c>
    </row>
    <row r="94" spans="1:4" ht="17.25" customHeight="1" x14ac:dyDescent="0.2">
      <c r="A94" s="195">
        <v>1311</v>
      </c>
      <c r="B94" s="196" t="s">
        <v>2150</v>
      </c>
      <c r="C94" s="196">
        <v>211120</v>
      </c>
      <c r="D94" s="197" t="s">
        <v>3764</v>
      </c>
    </row>
    <row r="95" spans="1:4" ht="17.25" customHeight="1" x14ac:dyDescent="0.2">
      <c r="A95" s="195">
        <v>1321</v>
      </c>
      <c r="B95" s="196" t="s">
        <v>3765</v>
      </c>
      <c r="C95" s="196">
        <v>211130</v>
      </c>
      <c r="D95" s="197" t="s">
        <v>3766</v>
      </c>
    </row>
    <row r="96" spans="1:4" ht="17.25" customHeight="1" x14ac:dyDescent="0.2">
      <c r="A96" s="195">
        <v>2819</v>
      </c>
      <c r="B96" s="196" t="s">
        <v>3767</v>
      </c>
      <c r="C96" s="196">
        <v>211130</v>
      </c>
      <c r="D96" s="197" t="s">
        <v>3766</v>
      </c>
    </row>
    <row r="97" spans="1:4" ht="17.25" customHeight="1" x14ac:dyDescent="0.2">
      <c r="A97" s="195">
        <v>1221</v>
      </c>
      <c r="B97" s="196" t="s">
        <v>3768</v>
      </c>
      <c r="C97" s="196">
        <v>212114</v>
      </c>
      <c r="D97" s="197" t="s">
        <v>3769</v>
      </c>
    </row>
    <row r="98" spans="1:4" ht="17.25" customHeight="1" x14ac:dyDescent="0.2">
      <c r="A98" s="195">
        <v>1231</v>
      </c>
      <c r="B98" s="196" t="s">
        <v>3770</v>
      </c>
      <c r="C98" s="196">
        <v>212114</v>
      </c>
      <c r="D98" s="197" t="s">
        <v>3769</v>
      </c>
    </row>
    <row r="99" spans="1:4" ht="17.25" customHeight="1" x14ac:dyDescent="0.2">
      <c r="A99" s="195">
        <v>1222</v>
      </c>
      <c r="B99" s="196" t="s">
        <v>3771</v>
      </c>
      <c r="C99" s="196">
        <v>212115</v>
      </c>
      <c r="D99" s="197" t="s">
        <v>3772</v>
      </c>
    </row>
    <row r="100" spans="1:4" ht="17.25" customHeight="1" x14ac:dyDescent="0.2">
      <c r="A100" s="195">
        <v>1231</v>
      </c>
      <c r="B100" s="196" t="s">
        <v>3770</v>
      </c>
      <c r="C100" s="196">
        <v>212115</v>
      </c>
      <c r="D100" s="197" t="s">
        <v>3772</v>
      </c>
    </row>
    <row r="101" spans="1:4" ht="17.25" customHeight="1" x14ac:dyDescent="0.2">
      <c r="A101" s="195">
        <v>1011</v>
      </c>
      <c r="B101" s="196" t="s">
        <v>3773</v>
      </c>
      <c r="C101" s="196">
        <v>212210</v>
      </c>
      <c r="D101" s="197" t="s">
        <v>2591</v>
      </c>
    </row>
    <row r="102" spans="1:4" ht="17.25" customHeight="1" x14ac:dyDescent="0.2">
      <c r="A102" s="195">
        <v>1041</v>
      </c>
      <c r="B102" s="196" t="s">
        <v>2286</v>
      </c>
      <c r="C102" s="196">
        <v>212220</v>
      </c>
      <c r="D102" s="197" t="s">
        <v>3774</v>
      </c>
    </row>
    <row r="103" spans="1:4" ht="17.25" customHeight="1" x14ac:dyDescent="0.2">
      <c r="A103" s="195">
        <v>1044</v>
      </c>
      <c r="B103" s="196" t="s">
        <v>3775</v>
      </c>
      <c r="C103" s="196">
        <v>212220</v>
      </c>
      <c r="D103" s="197" t="s">
        <v>3774</v>
      </c>
    </row>
    <row r="104" spans="1:4" ht="17.25" customHeight="1" x14ac:dyDescent="0.2">
      <c r="A104" s="195">
        <v>1021</v>
      </c>
      <c r="B104" s="196" t="s">
        <v>3776</v>
      </c>
      <c r="C104" s="196">
        <v>212230</v>
      </c>
      <c r="D104" s="197" t="s">
        <v>3777</v>
      </c>
    </row>
    <row r="105" spans="1:4" ht="17.25" customHeight="1" x14ac:dyDescent="0.2">
      <c r="A105" s="195">
        <v>1031</v>
      </c>
      <c r="B105" s="196" t="s">
        <v>3778</v>
      </c>
      <c r="C105" s="196">
        <v>212230</v>
      </c>
      <c r="D105" s="197" t="s">
        <v>3777</v>
      </c>
    </row>
    <row r="106" spans="1:4" ht="17.25" customHeight="1" x14ac:dyDescent="0.2">
      <c r="A106" s="195">
        <v>1061</v>
      </c>
      <c r="B106" s="196" t="s">
        <v>3779</v>
      </c>
      <c r="C106" s="196">
        <v>212230</v>
      </c>
      <c r="D106" s="197" t="s">
        <v>3777</v>
      </c>
    </row>
    <row r="107" spans="1:4" ht="34.5" customHeight="1" x14ac:dyDescent="0.2">
      <c r="A107" s="195">
        <v>1061</v>
      </c>
      <c r="B107" s="196" t="s">
        <v>3779</v>
      </c>
      <c r="C107" s="196">
        <v>212290</v>
      </c>
      <c r="D107" s="197" t="s">
        <v>3780</v>
      </c>
    </row>
    <row r="108" spans="1:4" ht="17.25" customHeight="1" x14ac:dyDescent="0.2">
      <c r="A108" s="195">
        <v>1099</v>
      </c>
      <c r="B108" s="196" t="s">
        <v>3781</v>
      </c>
      <c r="C108" s="196">
        <v>212290</v>
      </c>
      <c r="D108" s="197" t="s">
        <v>3780</v>
      </c>
    </row>
    <row r="109" spans="1:4" ht="17.25" customHeight="1" x14ac:dyDescent="0.2">
      <c r="A109" s="195">
        <v>1094</v>
      </c>
      <c r="B109" s="196" t="s">
        <v>3782</v>
      </c>
      <c r="C109" s="196">
        <v>212290</v>
      </c>
      <c r="D109" s="197" t="s">
        <v>3780</v>
      </c>
    </row>
    <row r="110" spans="1:4" ht="34.5" customHeight="1" x14ac:dyDescent="0.2">
      <c r="A110" s="195">
        <v>1411</v>
      </c>
      <c r="B110" s="196" t="s">
        <v>3783</v>
      </c>
      <c r="C110" s="196">
        <v>212311</v>
      </c>
      <c r="D110" s="197" t="s">
        <v>3784</v>
      </c>
    </row>
    <row r="111" spans="1:4" ht="17.25" customHeight="1" x14ac:dyDescent="0.2">
      <c r="A111" s="195">
        <v>1422</v>
      </c>
      <c r="B111" s="196" t="s">
        <v>3785</v>
      </c>
      <c r="C111" s="196">
        <v>212312</v>
      </c>
      <c r="D111" s="197" t="s">
        <v>3786</v>
      </c>
    </row>
    <row r="112" spans="1:4" ht="17.25" customHeight="1" x14ac:dyDescent="0.2">
      <c r="A112" s="195">
        <v>1423</v>
      </c>
      <c r="B112" s="196" t="s">
        <v>3787</v>
      </c>
      <c r="C112" s="196">
        <v>212313</v>
      </c>
      <c r="D112" s="197" t="s">
        <v>3788</v>
      </c>
    </row>
    <row r="113" spans="1:4" ht="17.25" customHeight="1" x14ac:dyDescent="0.2">
      <c r="A113" s="195">
        <v>1429</v>
      </c>
      <c r="B113" s="196" t="s">
        <v>3789</v>
      </c>
      <c r="C113" s="196">
        <v>212319</v>
      </c>
      <c r="D113" s="197" t="s">
        <v>3790</v>
      </c>
    </row>
    <row r="114" spans="1:4" ht="17.25" customHeight="1" x14ac:dyDescent="0.2">
      <c r="A114" s="195">
        <v>1499</v>
      </c>
      <c r="B114" s="196" t="s">
        <v>3791</v>
      </c>
      <c r="C114" s="196">
        <v>212319</v>
      </c>
      <c r="D114" s="197" t="s">
        <v>3790</v>
      </c>
    </row>
    <row r="115" spans="1:4" ht="17.25" customHeight="1" x14ac:dyDescent="0.2">
      <c r="A115" s="195">
        <v>1442</v>
      </c>
      <c r="B115" s="196" t="s">
        <v>3792</v>
      </c>
      <c r="C115" s="196">
        <v>212321</v>
      </c>
      <c r="D115" s="197" t="s">
        <v>3793</v>
      </c>
    </row>
    <row r="116" spans="1:4" ht="17.25" customHeight="1" x14ac:dyDescent="0.2">
      <c r="A116" s="195">
        <v>1446</v>
      </c>
      <c r="B116" s="196" t="s">
        <v>3794</v>
      </c>
      <c r="C116" s="196">
        <v>212322</v>
      </c>
      <c r="D116" s="197" t="s">
        <v>3795</v>
      </c>
    </row>
    <row r="117" spans="1:4" ht="17.25" customHeight="1" x14ac:dyDescent="0.2">
      <c r="A117" s="195">
        <v>1455</v>
      </c>
      <c r="B117" s="196" t="s">
        <v>3796</v>
      </c>
      <c r="C117" s="196">
        <v>212323</v>
      </c>
      <c r="D117" s="197" t="s">
        <v>3797</v>
      </c>
    </row>
    <row r="118" spans="1:4" ht="34.5" customHeight="1" x14ac:dyDescent="0.2">
      <c r="A118" s="195">
        <v>3295</v>
      </c>
      <c r="B118" s="196" t="s">
        <v>3798</v>
      </c>
      <c r="C118" s="196">
        <v>212323</v>
      </c>
      <c r="D118" s="197" t="s">
        <v>3797</v>
      </c>
    </row>
    <row r="119" spans="1:4" ht="34.5" customHeight="1" x14ac:dyDescent="0.2">
      <c r="A119" s="195">
        <v>1459</v>
      </c>
      <c r="B119" s="196" t="s">
        <v>3799</v>
      </c>
      <c r="C119" s="196">
        <v>212323</v>
      </c>
      <c r="D119" s="197" t="s">
        <v>3797</v>
      </c>
    </row>
    <row r="120" spans="1:4" ht="34.5" customHeight="1" x14ac:dyDescent="0.2">
      <c r="A120" s="195">
        <v>3295</v>
      </c>
      <c r="B120" s="196" t="s">
        <v>3798</v>
      </c>
      <c r="C120" s="196">
        <v>212323</v>
      </c>
      <c r="D120" s="197" t="s">
        <v>3797</v>
      </c>
    </row>
    <row r="121" spans="1:4" ht="34.5" customHeight="1" x14ac:dyDescent="0.2">
      <c r="A121" s="195">
        <v>1499</v>
      </c>
      <c r="B121" s="196" t="s">
        <v>3791</v>
      </c>
      <c r="C121" s="196">
        <v>212390</v>
      </c>
      <c r="D121" s="197" t="s">
        <v>3800</v>
      </c>
    </row>
    <row r="122" spans="1:4" ht="17.25" customHeight="1" x14ac:dyDescent="0.2">
      <c r="A122" s="195">
        <v>3295</v>
      </c>
      <c r="B122" s="196" t="s">
        <v>3798</v>
      </c>
      <c r="C122" s="196">
        <v>212390</v>
      </c>
      <c r="D122" s="197" t="s">
        <v>3800</v>
      </c>
    </row>
    <row r="123" spans="1:4" ht="17.25" customHeight="1" x14ac:dyDescent="0.2">
      <c r="A123" s="195">
        <v>1474</v>
      </c>
      <c r="B123" s="196" t="s">
        <v>3801</v>
      </c>
      <c r="C123" s="196">
        <v>212390</v>
      </c>
      <c r="D123" s="197" t="s">
        <v>3800</v>
      </c>
    </row>
    <row r="124" spans="1:4" ht="34.5" customHeight="1" x14ac:dyDescent="0.2">
      <c r="A124" s="195">
        <v>1475</v>
      </c>
      <c r="B124" s="196" t="s">
        <v>3802</v>
      </c>
      <c r="C124" s="196">
        <v>212390</v>
      </c>
      <c r="D124" s="197" t="s">
        <v>3800</v>
      </c>
    </row>
    <row r="125" spans="1:4" ht="34.5" customHeight="1" x14ac:dyDescent="0.2">
      <c r="A125" s="195">
        <v>1479</v>
      </c>
      <c r="B125" s="196" t="s">
        <v>3803</v>
      </c>
      <c r="C125" s="196">
        <v>212390</v>
      </c>
      <c r="D125" s="197" t="s">
        <v>3800</v>
      </c>
    </row>
    <row r="126" spans="1:4" ht="34.5" customHeight="1" x14ac:dyDescent="0.2">
      <c r="A126" s="195">
        <v>3295</v>
      </c>
      <c r="B126" s="196" t="s">
        <v>3798</v>
      </c>
      <c r="C126" s="196">
        <v>212390</v>
      </c>
      <c r="D126" s="197" t="s">
        <v>3800</v>
      </c>
    </row>
    <row r="127" spans="1:4" ht="17.25" customHeight="1" x14ac:dyDescent="0.2">
      <c r="A127" s="195">
        <v>1381</v>
      </c>
      <c r="B127" s="196" t="s">
        <v>2613</v>
      </c>
      <c r="C127" s="196">
        <v>213111</v>
      </c>
      <c r="D127" s="197" t="s">
        <v>2613</v>
      </c>
    </row>
    <row r="128" spans="1:4" ht="17.25" customHeight="1" x14ac:dyDescent="0.2">
      <c r="A128" s="195">
        <v>1382</v>
      </c>
      <c r="B128" s="196" t="s">
        <v>3804</v>
      </c>
      <c r="C128" s="196">
        <v>213112</v>
      </c>
      <c r="D128" s="197" t="s">
        <v>3805</v>
      </c>
    </row>
    <row r="129" spans="1:4" ht="17.25" customHeight="1" x14ac:dyDescent="0.2">
      <c r="A129" s="195">
        <v>1389</v>
      </c>
      <c r="B129" s="196" t="s">
        <v>3806</v>
      </c>
      <c r="C129" s="196">
        <v>213112</v>
      </c>
      <c r="D129" s="197" t="s">
        <v>3805</v>
      </c>
    </row>
    <row r="130" spans="1:4" ht="34.5" customHeight="1" x14ac:dyDescent="0.2">
      <c r="A130" s="195">
        <v>1241</v>
      </c>
      <c r="B130" s="196" t="s">
        <v>3807</v>
      </c>
      <c r="C130" s="196">
        <v>213113</v>
      </c>
      <c r="D130" s="197" t="s">
        <v>3808</v>
      </c>
    </row>
    <row r="131" spans="1:4" ht="17.25" customHeight="1" x14ac:dyDescent="0.2">
      <c r="A131" s="195">
        <v>1081</v>
      </c>
      <c r="B131" s="196" t="s">
        <v>3809</v>
      </c>
      <c r="C131" s="196">
        <v>213114</v>
      </c>
      <c r="D131" s="197" t="s">
        <v>3810</v>
      </c>
    </row>
    <row r="132" spans="1:4" ht="17.25" customHeight="1" x14ac:dyDescent="0.2">
      <c r="A132" s="195">
        <v>1481</v>
      </c>
      <c r="B132" s="196" t="s">
        <v>3811</v>
      </c>
      <c r="C132" s="196">
        <v>213115</v>
      </c>
      <c r="D132" s="197" t="s">
        <v>3812</v>
      </c>
    </row>
    <row r="133" spans="1:4" ht="34.5" customHeight="1" x14ac:dyDescent="0.2">
      <c r="A133" s="195">
        <v>4911</v>
      </c>
      <c r="B133" s="196" t="s">
        <v>3813</v>
      </c>
      <c r="C133" s="196">
        <v>221111</v>
      </c>
      <c r="D133" s="197" t="s">
        <v>3814</v>
      </c>
    </row>
    <row r="134" spans="1:4" ht="34.5" customHeight="1" x14ac:dyDescent="0.2">
      <c r="A134" s="195">
        <v>4931</v>
      </c>
      <c r="B134" s="196" t="s">
        <v>3815</v>
      </c>
      <c r="C134" s="196">
        <v>221111</v>
      </c>
      <c r="D134" s="197" t="s">
        <v>3814</v>
      </c>
    </row>
    <row r="135" spans="1:4" ht="17.25" customHeight="1" x14ac:dyDescent="0.2">
      <c r="A135" s="195">
        <v>4939</v>
      </c>
      <c r="B135" s="196" t="s">
        <v>3816</v>
      </c>
      <c r="C135" s="196">
        <v>221111</v>
      </c>
      <c r="D135" s="197" t="s">
        <v>3814</v>
      </c>
    </row>
    <row r="136" spans="1:4" ht="34.5" customHeight="1" x14ac:dyDescent="0.2">
      <c r="A136" s="195">
        <v>4911</v>
      </c>
      <c r="B136" s="196" t="s">
        <v>3813</v>
      </c>
      <c r="C136" s="196">
        <v>221112</v>
      </c>
      <c r="D136" s="197" t="s">
        <v>3817</v>
      </c>
    </row>
    <row r="137" spans="1:4" ht="34.5" customHeight="1" x14ac:dyDescent="0.2">
      <c r="A137" s="195">
        <v>4931</v>
      </c>
      <c r="B137" s="196" t="s">
        <v>3815</v>
      </c>
      <c r="C137" s="196">
        <v>221112</v>
      </c>
      <c r="D137" s="197" t="s">
        <v>3817</v>
      </c>
    </row>
    <row r="138" spans="1:4" ht="17.25" customHeight="1" x14ac:dyDescent="0.2">
      <c r="A138" s="195">
        <v>4939</v>
      </c>
      <c r="B138" s="196" t="s">
        <v>3816</v>
      </c>
      <c r="C138" s="196">
        <v>221112</v>
      </c>
      <c r="D138" s="197" t="s">
        <v>3817</v>
      </c>
    </row>
    <row r="139" spans="1:4" ht="34.5" customHeight="1" x14ac:dyDescent="0.2">
      <c r="A139" s="195">
        <v>4911</v>
      </c>
      <c r="B139" s="196" t="s">
        <v>3813</v>
      </c>
      <c r="C139" s="196">
        <v>221113</v>
      </c>
      <c r="D139" s="197" t="s">
        <v>3818</v>
      </c>
    </row>
    <row r="140" spans="1:4" ht="17.25" customHeight="1" x14ac:dyDescent="0.2">
      <c r="A140" s="195">
        <v>4931</v>
      </c>
      <c r="B140" s="196" t="s">
        <v>3815</v>
      </c>
      <c r="C140" s="196">
        <v>221113</v>
      </c>
      <c r="D140" s="197" t="s">
        <v>3818</v>
      </c>
    </row>
    <row r="141" spans="1:4" ht="34.5" customHeight="1" x14ac:dyDescent="0.2">
      <c r="A141" s="195">
        <v>4939</v>
      </c>
      <c r="B141" s="196" t="s">
        <v>3816</v>
      </c>
      <c r="C141" s="196">
        <v>221113</v>
      </c>
      <c r="D141" s="197" t="s">
        <v>3818</v>
      </c>
    </row>
    <row r="142" spans="1:4" ht="17.25" customHeight="1" x14ac:dyDescent="0.2">
      <c r="A142" s="195">
        <v>4911</v>
      </c>
      <c r="B142" s="196" t="s">
        <v>3813</v>
      </c>
      <c r="C142" s="196">
        <v>221114</v>
      </c>
      <c r="D142" s="197" t="s">
        <v>3819</v>
      </c>
    </row>
    <row r="143" spans="1:4" ht="34.5" customHeight="1" x14ac:dyDescent="0.2">
      <c r="A143" s="195">
        <v>4931</v>
      </c>
      <c r="B143" s="196" t="s">
        <v>3815</v>
      </c>
      <c r="C143" s="196">
        <v>221114</v>
      </c>
      <c r="D143" s="197" t="s">
        <v>3819</v>
      </c>
    </row>
    <row r="144" spans="1:4" ht="17.25" customHeight="1" x14ac:dyDescent="0.2">
      <c r="A144" s="195">
        <v>4939</v>
      </c>
      <c r="B144" s="196" t="s">
        <v>3816</v>
      </c>
      <c r="C144" s="196">
        <v>221114</v>
      </c>
      <c r="D144" s="197" t="s">
        <v>3819</v>
      </c>
    </row>
    <row r="145" spans="1:4" ht="17.25" customHeight="1" x14ac:dyDescent="0.2">
      <c r="A145" s="195">
        <v>4911</v>
      </c>
      <c r="B145" s="196" t="s">
        <v>3813</v>
      </c>
      <c r="C145" s="196">
        <v>221115</v>
      </c>
      <c r="D145" s="197" t="s">
        <v>3820</v>
      </c>
    </row>
    <row r="146" spans="1:4" ht="17.25" customHeight="1" x14ac:dyDescent="0.2">
      <c r="A146" s="195">
        <v>4931</v>
      </c>
      <c r="B146" s="196" t="s">
        <v>3815</v>
      </c>
      <c r="C146" s="196">
        <v>221115</v>
      </c>
      <c r="D146" s="197" t="s">
        <v>3820</v>
      </c>
    </row>
    <row r="147" spans="1:4" ht="34.5" customHeight="1" x14ac:dyDescent="0.2">
      <c r="A147" s="195">
        <v>4939</v>
      </c>
      <c r="B147" s="196" t="s">
        <v>3816</v>
      </c>
      <c r="C147" s="196">
        <v>221115</v>
      </c>
      <c r="D147" s="197" t="s">
        <v>3820</v>
      </c>
    </row>
    <row r="148" spans="1:4" ht="17.25" customHeight="1" x14ac:dyDescent="0.2">
      <c r="A148" s="195">
        <v>4911</v>
      </c>
      <c r="B148" s="196" t="s">
        <v>3813</v>
      </c>
      <c r="C148" s="196">
        <v>221116</v>
      </c>
      <c r="D148" s="197" t="s">
        <v>3821</v>
      </c>
    </row>
    <row r="149" spans="1:4" ht="34.5" customHeight="1" x14ac:dyDescent="0.2">
      <c r="A149" s="195">
        <v>4931</v>
      </c>
      <c r="B149" s="196" t="s">
        <v>3815</v>
      </c>
      <c r="C149" s="196">
        <v>221116</v>
      </c>
      <c r="D149" s="197" t="s">
        <v>3821</v>
      </c>
    </row>
    <row r="150" spans="1:4" ht="34.5" customHeight="1" x14ac:dyDescent="0.2">
      <c r="A150" s="195">
        <v>4939</v>
      </c>
      <c r="B150" s="196" t="s">
        <v>3816</v>
      </c>
      <c r="C150" s="196">
        <v>221116</v>
      </c>
      <c r="D150" s="197" t="s">
        <v>3821</v>
      </c>
    </row>
    <row r="151" spans="1:4" ht="17.25" customHeight="1" x14ac:dyDescent="0.2">
      <c r="A151" s="195">
        <v>4911</v>
      </c>
      <c r="B151" s="196" t="s">
        <v>3813</v>
      </c>
      <c r="C151" s="196">
        <v>221117</v>
      </c>
      <c r="D151" s="197" t="s">
        <v>3822</v>
      </c>
    </row>
    <row r="152" spans="1:4" ht="17.25" customHeight="1" x14ac:dyDescent="0.2">
      <c r="A152" s="195">
        <v>4931</v>
      </c>
      <c r="B152" s="196" t="s">
        <v>3815</v>
      </c>
      <c r="C152" s="196">
        <v>221117</v>
      </c>
      <c r="D152" s="197" t="s">
        <v>3822</v>
      </c>
    </row>
    <row r="153" spans="1:4" ht="34.5" customHeight="1" x14ac:dyDescent="0.2">
      <c r="A153" s="195">
        <v>4939</v>
      </c>
      <c r="B153" s="196" t="s">
        <v>3816</v>
      </c>
      <c r="C153" s="196">
        <v>221117</v>
      </c>
      <c r="D153" s="197" t="s">
        <v>3822</v>
      </c>
    </row>
    <row r="154" spans="1:4" ht="34.5" customHeight="1" x14ac:dyDescent="0.2">
      <c r="A154" s="195">
        <v>4911</v>
      </c>
      <c r="B154" s="196" t="s">
        <v>3813</v>
      </c>
      <c r="C154" s="196">
        <v>221118</v>
      </c>
      <c r="D154" s="197" t="s">
        <v>3823</v>
      </c>
    </row>
    <row r="155" spans="1:4" ht="34.5" customHeight="1" x14ac:dyDescent="0.2">
      <c r="A155" s="195">
        <v>4931</v>
      </c>
      <c r="B155" s="196" t="s">
        <v>3815</v>
      </c>
      <c r="C155" s="196">
        <v>221118</v>
      </c>
      <c r="D155" s="197" t="s">
        <v>3823</v>
      </c>
    </row>
    <row r="156" spans="1:4" ht="34.5" customHeight="1" x14ac:dyDescent="0.2">
      <c r="A156" s="195">
        <v>4939</v>
      </c>
      <c r="B156" s="196" t="s">
        <v>3816</v>
      </c>
      <c r="C156" s="196">
        <v>221118</v>
      </c>
      <c r="D156" s="197" t="s">
        <v>3823</v>
      </c>
    </row>
    <row r="157" spans="1:4" ht="17.25" customHeight="1" x14ac:dyDescent="0.2">
      <c r="A157" s="195">
        <v>4911</v>
      </c>
      <c r="B157" s="196" t="s">
        <v>3813</v>
      </c>
      <c r="C157" s="196">
        <v>221121</v>
      </c>
      <c r="D157" s="197" t="s">
        <v>3824</v>
      </c>
    </row>
    <row r="158" spans="1:4" ht="34.5" customHeight="1" x14ac:dyDescent="0.2">
      <c r="A158" s="195">
        <v>4931</v>
      </c>
      <c r="B158" s="196" t="s">
        <v>3815</v>
      </c>
      <c r="C158" s="196">
        <v>221121</v>
      </c>
      <c r="D158" s="197" t="s">
        <v>3824</v>
      </c>
    </row>
    <row r="159" spans="1:4" ht="34.5" customHeight="1" x14ac:dyDescent="0.2">
      <c r="A159" s="195">
        <v>4939</v>
      </c>
      <c r="B159" s="196" t="s">
        <v>3816</v>
      </c>
      <c r="C159" s="196">
        <v>221121</v>
      </c>
      <c r="D159" s="197" t="s">
        <v>3824</v>
      </c>
    </row>
    <row r="160" spans="1:4" ht="34.5" customHeight="1" x14ac:dyDescent="0.2">
      <c r="A160" s="195">
        <v>4911</v>
      </c>
      <c r="B160" s="196" t="s">
        <v>3813</v>
      </c>
      <c r="C160" s="196">
        <v>221122</v>
      </c>
      <c r="D160" s="197" t="s">
        <v>3825</v>
      </c>
    </row>
    <row r="161" spans="1:4" ht="34.5" customHeight="1" x14ac:dyDescent="0.2">
      <c r="A161" s="195">
        <v>4931</v>
      </c>
      <c r="B161" s="196" t="s">
        <v>3815</v>
      </c>
      <c r="C161" s="196">
        <v>221122</v>
      </c>
      <c r="D161" s="197" t="s">
        <v>3825</v>
      </c>
    </row>
    <row r="162" spans="1:4" ht="17.25" customHeight="1" x14ac:dyDescent="0.2">
      <c r="A162" s="195">
        <v>4939</v>
      </c>
      <c r="B162" s="196" t="s">
        <v>3816</v>
      </c>
      <c r="C162" s="196">
        <v>221122</v>
      </c>
      <c r="D162" s="197" t="s">
        <v>3825</v>
      </c>
    </row>
    <row r="163" spans="1:4" ht="34.5" customHeight="1" x14ac:dyDescent="0.2">
      <c r="A163" s="195">
        <v>4923</v>
      </c>
      <c r="B163" s="196" t="s">
        <v>3826</v>
      </c>
      <c r="C163" s="196">
        <v>221210</v>
      </c>
      <c r="D163" s="197" t="s">
        <v>3827</v>
      </c>
    </row>
    <row r="164" spans="1:4" ht="34.5" customHeight="1" x14ac:dyDescent="0.2">
      <c r="A164" s="195">
        <v>4924</v>
      </c>
      <c r="B164" s="196" t="s">
        <v>2628</v>
      </c>
      <c r="C164" s="196">
        <v>221210</v>
      </c>
      <c r="D164" s="197" t="s">
        <v>3827</v>
      </c>
    </row>
    <row r="165" spans="1:4" ht="17.25" customHeight="1" x14ac:dyDescent="0.2">
      <c r="A165" s="195">
        <v>4925</v>
      </c>
      <c r="B165" s="196" t="s">
        <v>3828</v>
      </c>
      <c r="C165" s="196">
        <v>221210</v>
      </c>
      <c r="D165" s="197" t="s">
        <v>3827</v>
      </c>
    </row>
    <row r="166" spans="1:4" ht="17.25" customHeight="1" x14ac:dyDescent="0.2">
      <c r="A166" s="195">
        <v>4931</v>
      </c>
      <c r="B166" s="196" t="s">
        <v>3815</v>
      </c>
      <c r="C166" s="196">
        <v>221210</v>
      </c>
      <c r="D166" s="197" t="s">
        <v>3827</v>
      </c>
    </row>
    <row r="167" spans="1:4" ht="17.25" customHeight="1" x14ac:dyDescent="0.2">
      <c r="A167" s="195">
        <v>4932</v>
      </c>
      <c r="B167" s="196" t="s">
        <v>3829</v>
      </c>
      <c r="C167" s="196">
        <v>221210</v>
      </c>
      <c r="D167" s="197" t="s">
        <v>3827</v>
      </c>
    </row>
    <row r="168" spans="1:4" ht="34.5" customHeight="1" x14ac:dyDescent="0.2">
      <c r="A168" s="195">
        <v>4939</v>
      </c>
      <c r="B168" s="196" t="s">
        <v>3816</v>
      </c>
      <c r="C168" s="196">
        <v>221210</v>
      </c>
      <c r="D168" s="197" t="s">
        <v>3827</v>
      </c>
    </row>
    <row r="169" spans="1:4" ht="17.25" customHeight="1" x14ac:dyDescent="0.2">
      <c r="A169" s="195">
        <v>4941</v>
      </c>
      <c r="B169" s="196" t="s">
        <v>3830</v>
      </c>
      <c r="C169" s="196">
        <v>221310</v>
      </c>
      <c r="D169" s="197" t="s">
        <v>3831</v>
      </c>
    </row>
    <row r="170" spans="1:4" ht="17.25" customHeight="1" x14ac:dyDescent="0.2">
      <c r="A170" s="195">
        <v>4971</v>
      </c>
      <c r="B170" s="196" t="s">
        <v>3832</v>
      </c>
      <c r="C170" s="196">
        <v>221310</v>
      </c>
      <c r="D170" s="197" t="s">
        <v>3831</v>
      </c>
    </row>
    <row r="171" spans="1:4" ht="17.25" customHeight="1" x14ac:dyDescent="0.2">
      <c r="A171" s="195">
        <v>4952</v>
      </c>
      <c r="B171" s="196" t="s">
        <v>1544</v>
      </c>
      <c r="C171" s="196">
        <v>221320</v>
      </c>
      <c r="D171" s="197" t="s">
        <v>3833</v>
      </c>
    </row>
    <row r="172" spans="1:4" ht="17.25" customHeight="1" x14ac:dyDescent="0.2">
      <c r="A172" s="195">
        <v>4961</v>
      </c>
      <c r="B172" s="196" t="s">
        <v>3834</v>
      </c>
      <c r="C172" s="196">
        <v>221330</v>
      </c>
      <c r="D172" s="197" t="s">
        <v>3835</v>
      </c>
    </row>
    <row r="173" spans="1:4" ht="17.25" customHeight="1" x14ac:dyDescent="0.2">
      <c r="A173" s="195">
        <v>1521</v>
      </c>
      <c r="B173" s="196" t="s">
        <v>3836</v>
      </c>
      <c r="C173" s="196">
        <v>236115</v>
      </c>
      <c r="D173" s="197" t="s">
        <v>3837</v>
      </c>
    </row>
    <row r="174" spans="1:4" ht="17.25" customHeight="1" x14ac:dyDescent="0.2">
      <c r="A174" s="195">
        <v>8741</v>
      </c>
      <c r="B174" s="196" t="s">
        <v>3838</v>
      </c>
      <c r="C174" s="196">
        <v>236115</v>
      </c>
      <c r="D174" s="197" t="s">
        <v>3837</v>
      </c>
    </row>
    <row r="175" spans="1:4" ht="17.25" customHeight="1" x14ac:dyDescent="0.2">
      <c r="A175" s="195">
        <v>1522</v>
      </c>
      <c r="B175" s="196" t="s">
        <v>3839</v>
      </c>
      <c r="C175" s="196">
        <v>236116</v>
      </c>
      <c r="D175" s="197" t="s">
        <v>3840</v>
      </c>
    </row>
    <row r="176" spans="1:4" ht="17.25" customHeight="1" x14ac:dyDescent="0.2">
      <c r="A176" s="195">
        <v>8741</v>
      </c>
      <c r="B176" s="196" t="s">
        <v>3838</v>
      </c>
      <c r="C176" s="196">
        <v>236116</v>
      </c>
      <c r="D176" s="197" t="s">
        <v>3840</v>
      </c>
    </row>
    <row r="177" spans="1:4" ht="17.25" customHeight="1" x14ac:dyDescent="0.2">
      <c r="A177" s="195">
        <v>1531</v>
      </c>
      <c r="B177" s="196" t="s">
        <v>3841</v>
      </c>
      <c r="C177" s="196">
        <v>236117</v>
      </c>
      <c r="D177" s="197" t="s">
        <v>3842</v>
      </c>
    </row>
    <row r="178" spans="1:4" ht="17.25" customHeight="1" x14ac:dyDescent="0.2">
      <c r="A178" s="195">
        <v>1521</v>
      </c>
      <c r="B178" s="196" t="s">
        <v>3836</v>
      </c>
      <c r="C178" s="196">
        <v>236118</v>
      </c>
      <c r="D178" s="197" t="s">
        <v>3843</v>
      </c>
    </row>
    <row r="179" spans="1:4" ht="17.25" customHeight="1" x14ac:dyDescent="0.2">
      <c r="A179" s="195">
        <v>1522</v>
      </c>
      <c r="B179" s="196" t="s">
        <v>3839</v>
      </c>
      <c r="C179" s="196">
        <v>236118</v>
      </c>
      <c r="D179" s="197" t="s">
        <v>3843</v>
      </c>
    </row>
    <row r="180" spans="1:4" ht="34.5" customHeight="1" x14ac:dyDescent="0.2">
      <c r="A180" s="195">
        <v>1531</v>
      </c>
      <c r="B180" s="196" t="s">
        <v>3841</v>
      </c>
      <c r="C180" s="196">
        <v>236118</v>
      </c>
      <c r="D180" s="197" t="s">
        <v>3843</v>
      </c>
    </row>
    <row r="181" spans="1:4" ht="17.25" customHeight="1" x14ac:dyDescent="0.2">
      <c r="A181" s="195">
        <v>8741</v>
      </c>
      <c r="B181" s="196" t="s">
        <v>3838</v>
      </c>
      <c r="C181" s="196">
        <v>236118</v>
      </c>
      <c r="D181" s="197" t="s">
        <v>3843</v>
      </c>
    </row>
    <row r="182" spans="1:4" ht="17.25" customHeight="1" x14ac:dyDescent="0.2">
      <c r="A182" s="195">
        <v>1531</v>
      </c>
      <c r="B182" s="196" t="s">
        <v>3841</v>
      </c>
      <c r="C182" s="196">
        <v>236210</v>
      </c>
      <c r="D182" s="197" t="s">
        <v>3844</v>
      </c>
    </row>
    <row r="183" spans="1:4" ht="34.5" customHeight="1" x14ac:dyDescent="0.2">
      <c r="A183" s="195">
        <v>1541</v>
      </c>
      <c r="B183" s="196" t="s">
        <v>3845</v>
      </c>
      <c r="C183" s="196">
        <v>236210</v>
      </c>
      <c r="D183" s="197" t="s">
        <v>3844</v>
      </c>
    </row>
    <row r="184" spans="1:4" ht="34.5" customHeight="1" x14ac:dyDescent="0.2">
      <c r="A184" s="195">
        <v>1629</v>
      </c>
      <c r="B184" s="196" t="s">
        <v>3846</v>
      </c>
      <c r="C184" s="196">
        <v>236210</v>
      </c>
      <c r="D184" s="197" t="s">
        <v>3844</v>
      </c>
    </row>
    <row r="185" spans="1:4" ht="34.5" customHeight="1" x14ac:dyDescent="0.2">
      <c r="A185" s="195">
        <v>8741</v>
      </c>
      <c r="B185" s="196" t="s">
        <v>3838</v>
      </c>
      <c r="C185" s="196">
        <v>236210</v>
      </c>
      <c r="D185" s="197" t="s">
        <v>3844</v>
      </c>
    </row>
    <row r="186" spans="1:4" ht="34.5" customHeight="1" x14ac:dyDescent="0.2">
      <c r="A186" s="195">
        <v>1522</v>
      </c>
      <c r="B186" s="196" t="s">
        <v>3839</v>
      </c>
      <c r="C186" s="196">
        <v>236220</v>
      </c>
      <c r="D186" s="197" t="s">
        <v>3847</v>
      </c>
    </row>
    <row r="187" spans="1:4" ht="17.25" customHeight="1" x14ac:dyDescent="0.2">
      <c r="A187" s="195">
        <v>1531</v>
      </c>
      <c r="B187" s="196" t="s">
        <v>3841</v>
      </c>
      <c r="C187" s="196">
        <v>236220</v>
      </c>
      <c r="D187" s="197" t="s">
        <v>3847</v>
      </c>
    </row>
    <row r="188" spans="1:4" ht="17.25" customHeight="1" x14ac:dyDescent="0.2">
      <c r="A188" s="195">
        <v>1541</v>
      </c>
      <c r="B188" s="196" t="s">
        <v>3845</v>
      </c>
      <c r="C188" s="196">
        <v>236220</v>
      </c>
      <c r="D188" s="197" t="s">
        <v>3847</v>
      </c>
    </row>
    <row r="189" spans="1:4" ht="17.25" customHeight="1" x14ac:dyDescent="0.2">
      <c r="A189" s="195">
        <v>1542</v>
      </c>
      <c r="B189" s="196" t="s">
        <v>3848</v>
      </c>
      <c r="C189" s="196">
        <v>236220</v>
      </c>
      <c r="D189" s="197" t="s">
        <v>3847</v>
      </c>
    </row>
    <row r="190" spans="1:4" ht="17.25" customHeight="1" x14ac:dyDescent="0.2">
      <c r="A190" s="195">
        <v>1799</v>
      </c>
      <c r="B190" s="196" t="s">
        <v>3849</v>
      </c>
      <c r="C190" s="196">
        <v>236220</v>
      </c>
      <c r="D190" s="197" t="s">
        <v>3847</v>
      </c>
    </row>
    <row r="191" spans="1:4" ht="34.5" customHeight="1" x14ac:dyDescent="0.2">
      <c r="A191" s="195">
        <v>8741</v>
      </c>
      <c r="B191" s="196" t="s">
        <v>3838</v>
      </c>
      <c r="C191" s="196">
        <v>236220</v>
      </c>
      <c r="D191" s="197" t="s">
        <v>3847</v>
      </c>
    </row>
    <row r="192" spans="1:4" ht="17.25" customHeight="1" x14ac:dyDescent="0.2">
      <c r="A192" s="195">
        <v>1623</v>
      </c>
      <c r="B192" s="196" t="s">
        <v>3850</v>
      </c>
      <c r="C192" s="196">
        <v>237110</v>
      </c>
      <c r="D192" s="197" t="s">
        <v>3851</v>
      </c>
    </row>
    <row r="193" spans="1:4" ht="34.5" customHeight="1" x14ac:dyDescent="0.2">
      <c r="A193" s="195">
        <v>1629</v>
      </c>
      <c r="B193" s="196" t="s">
        <v>3846</v>
      </c>
      <c r="C193" s="196">
        <v>237110</v>
      </c>
      <c r="D193" s="197" t="s">
        <v>3851</v>
      </c>
    </row>
    <row r="194" spans="1:4" ht="34.5" customHeight="1" x14ac:dyDescent="0.2">
      <c r="A194" s="195">
        <v>1781</v>
      </c>
      <c r="B194" s="196" t="s">
        <v>3852</v>
      </c>
      <c r="C194" s="196">
        <v>237110</v>
      </c>
      <c r="D194" s="197" t="s">
        <v>3851</v>
      </c>
    </row>
    <row r="195" spans="1:4" ht="17.25" customHeight="1" x14ac:dyDescent="0.2">
      <c r="A195" s="195">
        <v>8741</v>
      </c>
      <c r="B195" s="196" t="s">
        <v>3838</v>
      </c>
      <c r="C195" s="196">
        <v>237110</v>
      </c>
      <c r="D195" s="197" t="s">
        <v>3851</v>
      </c>
    </row>
    <row r="196" spans="1:4" ht="34.5" customHeight="1" x14ac:dyDescent="0.2">
      <c r="A196" s="195">
        <v>1389</v>
      </c>
      <c r="B196" s="196" t="s">
        <v>3806</v>
      </c>
      <c r="C196" s="196">
        <v>237120</v>
      </c>
      <c r="D196" s="197" t="s">
        <v>3853</v>
      </c>
    </row>
    <row r="197" spans="1:4" ht="17.25" customHeight="1" x14ac:dyDescent="0.2">
      <c r="A197" s="195">
        <v>1623</v>
      </c>
      <c r="B197" s="196" t="s">
        <v>3850</v>
      </c>
      <c r="C197" s="196">
        <v>237120</v>
      </c>
      <c r="D197" s="197" t="s">
        <v>3853</v>
      </c>
    </row>
    <row r="198" spans="1:4" ht="17.25" customHeight="1" x14ac:dyDescent="0.2">
      <c r="A198" s="195">
        <v>1629</v>
      </c>
      <c r="B198" s="196" t="s">
        <v>3846</v>
      </c>
      <c r="C198" s="196">
        <v>237120</v>
      </c>
      <c r="D198" s="197" t="s">
        <v>3853</v>
      </c>
    </row>
    <row r="199" spans="1:4" ht="17.25" customHeight="1" x14ac:dyDescent="0.2">
      <c r="A199" s="195">
        <v>8741</v>
      </c>
      <c r="B199" s="196" t="s">
        <v>3838</v>
      </c>
      <c r="C199" s="196">
        <v>237120</v>
      </c>
      <c r="D199" s="197" t="s">
        <v>3853</v>
      </c>
    </row>
    <row r="200" spans="1:4" ht="17.25" customHeight="1" x14ac:dyDescent="0.2">
      <c r="A200" s="195">
        <v>1623</v>
      </c>
      <c r="B200" s="196" t="s">
        <v>3850</v>
      </c>
      <c r="C200" s="196">
        <v>237130</v>
      </c>
      <c r="D200" s="197" t="s">
        <v>3854</v>
      </c>
    </row>
    <row r="201" spans="1:4" ht="17.25" customHeight="1" x14ac:dyDescent="0.2">
      <c r="A201" s="195">
        <v>1629</v>
      </c>
      <c r="B201" s="196" t="s">
        <v>3846</v>
      </c>
      <c r="C201" s="196">
        <v>237130</v>
      </c>
      <c r="D201" s="197" t="s">
        <v>3854</v>
      </c>
    </row>
    <row r="202" spans="1:4" ht="17.25" customHeight="1" x14ac:dyDescent="0.2">
      <c r="A202" s="195">
        <v>8741</v>
      </c>
      <c r="B202" s="196" t="s">
        <v>3838</v>
      </c>
      <c r="C202" s="196">
        <v>237130</v>
      </c>
      <c r="D202" s="197" t="s">
        <v>3854</v>
      </c>
    </row>
    <row r="203" spans="1:4" ht="17.25" customHeight="1" x14ac:dyDescent="0.2">
      <c r="A203" s="195">
        <v>6552</v>
      </c>
      <c r="B203" s="196" t="s">
        <v>3855</v>
      </c>
      <c r="C203" s="196">
        <v>237210</v>
      </c>
      <c r="D203" s="197" t="s">
        <v>3856</v>
      </c>
    </row>
    <row r="204" spans="1:4" ht="17.25" customHeight="1" x14ac:dyDescent="0.2">
      <c r="A204" s="195">
        <v>1611</v>
      </c>
      <c r="B204" s="196" t="s">
        <v>3857</v>
      </c>
      <c r="C204" s="196">
        <v>237310</v>
      </c>
      <c r="D204" s="197" t="s">
        <v>3858</v>
      </c>
    </row>
    <row r="205" spans="1:4" ht="17.25" customHeight="1" x14ac:dyDescent="0.2">
      <c r="A205" s="195">
        <v>1622</v>
      </c>
      <c r="B205" s="196" t="s">
        <v>3859</v>
      </c>
      <c r="C205" s="196">
        <v>237310</v>
      </c>
      <c r="D205" s="197" t="s">
        <v>3858</v>
      </c>
    </row>
    <row r="206" spans="1:4" ht="17.25" customHeight="1" x14ac:dyDescent="0.2">
      <c r="A206" s="195">
        <v>1721</v>
      </c>
      <c r="B206" s="196" t="s">
        <v>3860</v>
      </c>
      <c r="C206" s="196">
        <v>237310</v>
      </c>
      <c r="D206" s="197" t="s">
        <v>3858</v>
      </c>
    </row>
    <row r="207" spans="1:4" ht="17.25" customHeight="1" x14ac:dyDescent="0.2">
      <c r="A207" s="195">
        <v>8741</v>
      </c>
      <c r="B207" s="196" t="s">
        <v>3838</v>
      </c>
      <c r="C207" s="196">
        <v>237310</v>
      </c>
      <c r="D207" s="197" t="s">
        <v>3858</v>
      </c>
    </row>
    <row r="208" spans="1:4" ht="28.7" customHeight="1" x14ac:dyDescent="0.2">
      <c r="A208" s="195">
        <v>1622</v>
      </c>
      <c r="B208" s="196" t="s">
        <v>3859</v>
      </c>
      <c r="C208" s="196">
        <v>237990</v>
      </c>
      <c r="D208" s="197" t="s">
        <v>3861</v>
      </c>
    </row>
    <row r="209" spans="1:4" ht="17.25" customHeight="1" x14ac:dyDescent="0.2">
      <c r="A209" s="195">
        <v>1629</v>
      </c>
      <c r="B209" s="196" t="s">
        <v>3846</v>
      </c>
      <c r="C209" s="196">
        <v>237990</v>
      </c>
      <c r="D209" s="197" t="s">
        <v>3861</v>
      </c>
    </row>
    <row r="210" spans="1:4" ht="34.5" customHeight="1" x14ac:dyDescent="0.2">
      <c r="A210" s="195">
        <v>1799</v>
      </c>
      <c r="B210" s="196" t="s">
        <v>3849</v>
      </c>
      <c r="C210" s="196">
        <v>237990</v>
      </c>
      <c r="D210" s="197" t="s">
        <v>3861</v>
      </c>
    </row>
    <row r="211" spans="1:4" ht="17.25" customHeight="1" x14ac:dyDescent="0.2">
      <c r="A211" s="195">
        <v>8741</v>
      </c>
      <c r="B211" s="196" t="s">
        <v>3838</v>
      </c>
      <c r="C211" s="196">
        <v>237990</v>
      </c>
      <c r="D211" s="197" t="s">
        <v>3861</v>
      </c>
    </row>
    <row r="212" spans="1:4" ht="17.25" customHeight="1" x14ac:dyDescent="0.2">
      <c r="A212" s="195">
        <v>1771</v>
      </c>
      <c r="B212" s="196" t="s">
        <v>3862</v>
      </c>
      <c r="C212" s="196">
        <v>238110</v>
      </c>
      <c r="D212" s="197" t="s">
        <v>3863</v>
      </c>
    </row>
    <row r="213" spans="1:4" ht="17.25" customHeight="1" x14ac:dyDescent="0.2">
      <c r="A213" s="195">
        <v>1791</v>
      </c>
      <c r="B213" s="196" t="s">
        <v>3864</v>
      </c>
      <c r="C213" s="196">
        <v>238120</v>
      </c>
      <c r="D213" s="197" t="s">
        <v>3865</v>
      </c>
    </row>
    <row r="214" spans="1:4" ht="34.5" customHeight="1" x14ac:dyDescent="0.2">
      <c r="A214" s="195">
        <v>1751</v>
      </c>
      <c r="B214" s="196" t="s">
        <v>3866</v>
      </c>
      <c r="C214" s="196">
        <v>238130</v>
      </c>
      <c r="D214" s="197" t="s">
        <v>3867</v>
      </c>
    </row>
    <row r="215" spans="1:4" ht="34.5" customHeight="1" x14ac:dyDescent="0.2">
      <c r="A215" s="195">
        <v>1741</v>
      </c>
      <c r="B215" s="196" t="s">
        <v>3868</v>
      </c>
      <c r="C215" s="196">
        <v>238140</v>
      </c>
      <c r="D215" s="197" t="s">
        <v>3869</v>
      </c>
    </row>
    <row r="216" spans="1:4" ht="17.25" customHeight="1" x14ac:dyDescent="0.2">
      <c r="A216" s="195">
        <v>1771</v>
      </c>
      <c r="B216" s="196" t="s">
        <v>3862</v>
      </c>
      <c r="C216" s="196">
        <v>238140</v>
      </c>
      <c r="D216" s="197" t="s">
        <v>3869</v>
      </c>
    </row>
    <row r="217" spans="1:4" ht="34.5" customHeight="1" x14ac:dyDescent="0.2">
      <c r="A217" s="195">
        <v>1793</v>
      </c>
      <c r="B217" s="196" t="s">
        <v>3870</v>
      </c>
      <c r="C217" s="196">
        <v>238150</v>
      </c>
      <c r="D217" s="197" t="s">
        <v>3871</v>
      </c>
    </row>
    <row r="218" spans="1:4" ht="17.25" customHeight="1" x14ac:dyDescent="0.2">
      <c r="A218" s="195">
        <v>1799</v>
      </c>
      <c r="B218" s="196" t="s">
        <v>3849</v>
      </c>
      <c r="C218" s="196">
        <v>238150</v>
      </c>
      <c r="D218" s="197" t="s">
        <v>3871</v>
      </c>
    </row>
    <row r="219" spans="1:4" ht="34.5" customHeight="1" x14ac:dyDescent="0.2">
      <c r="A219" s="195">
        <v>1761</v>
      </c>
      <c r="B219" s="196" t="s">
        <v>3872</v>
      </c>
      <c r="C219" s="196">
        <v>238160</v>
      </c>
      <c r="D219" s="197" t="s">
        <v>3873</v>
      </c>
    </row>
    <row r="220" spans="1:4" ht="17.25" customHeight="1" x14ac:dyDescent="0.2">
      <c r="A220" s="195">
        <v>1761</v>
      </c>
      <c r="B220" s="196" t="s">
        <v>3872</v>
      </c>
      <c r="C220" s="196">
        <v>238170</v>
      </c>
      <c r="D220" s="197" t="s">
        <v>3874</v>
      </c>
    </row>
    <row r="221" spans="1:4" ht="17.25" customHeight="1" x14ac:dyDescent="0.2">
      <c r="A221" s="195">
        <v>1791</v>
      </c>
      <c r="B221" s="196" t="s">
        <v>3864</v>
      </c>
      <c r="C221" s="196">
        <v>238190</v>
      </c>
      <c r="D221" s="197" t="s">
        <v>3875</v>
      </c>
    </row>
    <row r="222" spans="1:4" ht="28.7" customHeight="1" x14ac:dyDescent="0.2">
      <c r="A222" s="195">
        <v>1799</v>
      </c>
      <c r="B222" s="196" t="s">
        <v>3849</v>
      </c>
      <c r="C222" s="196">
        <v>238190</v>
      </c>
      <c r="D222" s="197" t="s">
        <v>3875</v>
      </c>
    </row>
    <row r="223" spans="1:4" ht="34.5" customHeight="1" x14ac:dyDescent="0.2">
      <c r="A223" s="195">
        <v>1711</v>
      </c>
      <c r="B223" s="196" t="s">
        <v>3876</v>
      </c>
      <c r="C223" s="196">
        <v>238210</v>
      </c>
      <c r="D223" s="197" t="s">
        <v>2652</v>
      </c>
    </row>
    <row r="224" spans="1:4" ht="17.25" customHeight="1" x14ac:dyDescent="0.2">
      <c r="A224" s="195">
        <v>1731</v>
      </c>
      <c r="B224" s="196" t="s">
        <v>3877</v>
      </c>
      <c r="C224" s="196">
        <v>238210</v>
      </c>
      <c r="D224" s="197" t="s">
        <v>2652</v>
      </c>
    </row>
    <row r="225" spans="1:4" ht="34.5" customHeight="1" x14ac:dyDescent="0.2">
      <c r="A225" s="195">
        <v>1711</v>
      </c>
      <c r="B225" s="196" t="s">
        <v>3876</v>
      </c>
      <c r="C225" s="196">
        <v>238220</v>
      </c>
      <c r="D225" s="197" t="s">
        <v>3878</v>
      </c>
    </row>
    <row r="226" spans="1:4" ht="34.5" customHeight="1" x14ac:dyDescent="0.2">
      <c r="A226" s="195">
        <v>1791</v>
      </c>
      <c r="B226" s="196" t="s">
        <v>3864</v>
      </c>
      <c r="C226" s="196">
        <v>238220</v>
      </c>
      <c r="D226" s="197" t="s">
        <v>3878</v>
      </c>
    </row>
    <row r="227" spans="1:4" ht="17.25" customHeight="1" x14ac:dyDescent="0.2">
      <c r="A227" s="195">
        <v>1796</v>
      </c>
      <c r="B227" s="196" t="s">
        <v>3879</v>
      </c>
      <c r="C227" s="196">
        <v>238220</v>
      </c>
      <c r="D227" s="197" t="s">
        <v>3878</v>
      </c>
    </row>
    <row r="228" spans="1:4" ht="17.25" customHeight="1" x14ac:dyDescent="0.2">
      <c r="A228" s="195">
        <v>7699</v>
      </c>
      <c r="B228" s="196" t="s">
        <v>3762</v>
      </c>
      <c r="C228" s="196">
        <v>238220</v>
      </c>
      <c r="D228" s="197" t="s">
        <v>3878</v>
      </c>
    </row>
    <row r="229" spans="1:4" ht="17.25" customHeight="1" x14ac:dyDescent="0.2">
      <c r="A229" s="195">
        <v>1796</v>
      </c>
      <c r="B229" s="196" t="s">
        <v>3879</v>
      </c>
      <c r="C229" s="196">
        <v>238290</v>
      </c>
      <c r="D229" s="197" t="s">
        <v>3880</v>
      </c>
    </row>
    <row r="230" spans="1:4" ht="17.25" customHeight="1" x14ac:dyDescent="0.2">
      <c r="A230" s="195">
        <v>1799</v>
      </c>
      <c r="B230" s="196" t="s">
        <v>3849</v>
      </c>
      <c r="C230" s="196">
        <v>238290</v>
      </c>
      <c r="D230" s="197" t="s">
        <v>3880</v>
      </c>
    </row>
    <row r="231" spans="1:4" ht="17.25" customHeight="1" x14ac:dyDescent="0.2">
      <c r="A231" s="195">
        <v>7622</v>
      </c>
      <c r="B231" s="196" t="s">
        <v>3881</v>
      </c>
      <c r="C231" s="196">
        <v>238290</v>
      </c>
      <c r="D231" s="197" t="s">
        <v>3880</v>
      </c>
    </row>
    <row r="232" spans="1:4" ht="34.5" customHeight="1" x14ac:dyDescent="0.2">
      <c r="A232" s="195">
        <v>1742</v>
      </c>
      <c r="B232" s="196" t="s">
        <v>3882</v>
      </c>
      <c r="C232" s="196">
        <v>238310</v>
      </c>
      <c r="D232" s="197" t="s">
        <v>3883</v>
      </c>
    </row>
    <row r="233" spans="1:4" ht="17.25" customHeight="1" x14ac:dyDescent="0.2">
      <c r="A233" s="195">
        <v>1743</v>
      </c>
      <c r="B233" s="196" t="s">
        <v>3884</v>
      </c>
      <c r="C233" s="196">
        <v>238310</v>
      </c>
      <c r="D233" s="197" t="s">
        <v>3883</v>
      </c>
    </row>
    <row r="234" spans="1:4" ht="17.25" customHeight="1" x14ac:dyDescent="0.2">
      <c r="A234" s="195">
        <v>1752</v>
      </c>
      <c r="B234" s="196" t="s">
        <v>3885</v>
      </c>
      <c r="C234" s="196">
        <v>238310</v>
      </c>
      <c r="D234" s="197" t="s">
        <v>3883</v>
      </c>
    </row>
    <row r="235" spans="1:4" ht="17.25" customHeight="1" x14ac:dyDescent="0.2">
      <c r="A235" s="195">
        <v>1791</v>
      </c>
      <c r="B235" s="196" t="s">
        <v>3864</v>
      </c>
      <c r="C235" s="196">
        <v>238310</v>
      </c>
      <c r="D235" s="197" t="s">
        <v>3883</v>
      </c>
    </row>
    <row r="236" spans="1:4" ht="17.25" customHeight="1" x14ac:dyDescent="0.2">
      <c r="A236" s="195">
        <v>1799</v>
      </c>
      <c r="B236" s="196" t="s">
        <v>3849</v>
      </c>
      <c r="C236" s="196">
        <v>238310</v>
      </c>
      <c r="D236" s="197" t="s">
        <v>3883</v>
      </c>
    </row>
    <row r="237" spans="1:4" ht="17.25" customHeight="1" x14ac:dyDescent="0.2">
      <c r="A237" s="195">
        <v>1721</v>
      </c>
      <c r="B237" s="196" t="s">
        <v>3860</v>
      </c>
      <c r="C237" s="196">
        <v>238320</v>
      </c>
      <c r="D237" s="197" t="s">
        <v>2656</v>
      </c>
    </row>
    <row r="238" spans="1:4" ht="17.25" customHeight="1" x14ac:dyDescent="0.2">
      <c r="A238" s="195">
        <v>1799</v>
      </c>
      <c r="B238" s="196" t="s">
        <v>3849</v>
      </c>
      <c r="C238" s="196">
        <v>238320</v>
      </c>
      <c r="D238" s="197" t="s">
        <v>2656</v>
      </c>
    </row>
    <row r="239" spans="1:4" ht="17.25" customHeight="1" x14ac:dyDescent="0.2">
      <c r="A239" s="195">
        <v>1752</v>
      </c>
      <c r="B239" s="196" t="s">
        <v>3885</v>
      </c>
      <c r="C239" s="196">
        <v>238330</v>
      </c>
      <c r="D239" s="197" t="s">
        <v>2657</v>
      </c>
    </row>
    <row r="240" spans="1:4" ht="17.25" customHeight="1" x14ac:dyDescent="0.2">
      <c r="A240" s="195">
        <v>1743</v>
      </c>
      <c r="B240" s="196" t="s">
        <v>3884</v>
      </c>
      <c r="C240" s="196">
        <v>238340</v>
      </c>
      <c r="D240" s="197" t="s">
        <v>2658</v>
      </c>
    </row>
    <row r="241" spans="1:4" ht="17.25" customHeight="1" x14ac:dyDescent="0.2">
      <c r="A241" s="195">
        <v>1751</v>
      </c>
      <c r="B241" s="196" t="s">
        <v>3866</v>
      </c>
      <c r="C241" s="196">
        <v>238350</v>
      </c>
      <c r="D241" s="197" t="s">
        <v>2659</v>
      </c>
    </row>
    <row r="242" spans="1:4" ht="34.5" customHeight="1" x14ac:dyDescent="0.2">
      <c r="A242" s="195">
        <v>1799</v>
      </c>
      <c r="B242" s="196" t="s">
        <v>3849</v>
      </c>
      <c r="C242" s="196">
        <v>238350</v>
      </c>
      <c r="D242" s="197" t="s">
        <v>2659</v>
      </c>
    </row>
    <row r="243" spans="1:4" ht="17.25" customHeight="1" x14ac:dyDescent="0.2">
      <c r="A243" s="195">
        <v>1761</v>
      </c>
      <c r="B243" s="196" t="s">
        <v>3872</v>
      </c>
      <c r="C243" s="196">
        <v>238390</v>
      </c>
      <c r="D243" s="197" t="s">
        <v>2660</v>
      </c>
    </row>
    <row r="244" spans="1:4" ht="17.25" customHeight="1" x14ac:dyDescent="0.2">
      <c r="A244" s="195">
        <v>1799</v>
      </c>
      <c r="B244" s="196" t="s">
        <v>3849</v>
      </c>
      <c r="C244" s="196">
        <v>238390</v>
      </c>
      <c r="D244" s="197" t="s">
        <v>2660</v>
      </c>
    </row>
    <row r="245" spans="1:4" ht="17.25" customHeight="1" x14ac:dyDescent="0.2">
      <c r="A245" s="195">
        <v>1081</v>
      </c>
      <c r="B245" s="196" t="s">
        <v>3809</v>
      </c>
      <c r="C245" s="196">
        <v>238910</v>
      </c>
      <c r="D245" s="197" t="s">
        <v>2661</v>
      </c>
    </row>
    <row r="246" spans="1:4" ht="34.5" customHeight="1" x14ac:dyDescent="0.2">
      <c r="A246" s="195">
        <v>1241</v>
      </c>
      <c r="B246" s="196" t="s">
        <v>3807</v>
      </c>
      <c r="C246" s="196">
        <v>238910</v>
      </c>
      <c r="D246" s="197" t="s">
        <v>2661</v>
      </c>
    </row>
    <row r="247" spans="1:4" ht="34.5" customHeight="1" x14ac:dyDescent="0.2">
      <c r="A247" s="195">
        <v>1389</v>
      </c>
      <c r="B247" s="196" t="s">
        <v>3806</v>
      </c>
      <c r="C247" s="196">
        <v>238910</v>
      </c>
      <c r="D247" s="197" t="s">
        <v>2661</v>
      </c>
    </row>
    <row r="248" spans="1:4" ht="34.5" customHeight="1" x14ac:dyDescent="0.2">
      <c r="A248" s="195">
        <v>1481</v>
      </c>
      <c r="B248" s="196" t="s">
        <v>3886</v>
      </c>
      <c r="C248" s="196">
        <v>238910</v>
      </c>
      <c r="D248" s="197" t="s">
        <v>2661</v>
      </c>
    </row>
    <row r="249" spans="1:4" ht="34.5" customHeight="1" x14ac:dyDescent="0.2">
      <c r="A249" s="195">
        <v>1629</v>
      </c>
      <c r="B249" s="196" t="s">
        <v>3846</v>
      </c>
      <c r="C249" s="196">
        <v>238910</v>
      </c>
      <c r="D249" s="197" t="s">
        <v>2661</v>
      </c>
    </row>
    <row r="250" spans="1:4" ht="34.5" customHeight="1" x14ac:dyDescent="0.2">
      <c r="A250" s="195">
        <v>1711</v>
      </c>
      <c r="B250" s="196" t="s">
        <v>3876</v>
      </c>
      <c r="C250" s="196">
        <v>238910</v>
      </c>
      <c r="D250" s="197" t="s">
        <v>2661</v>
      </c>
    </row>
    <row r="251" spans="1:4" ht="34.5" customHeight="1" x14ac:dyDescent="0.2">
      <c r="A251" s="195">
        <v>1794</v>
      </c>
      <c r="B251" s="196" t="s">
        <v>2252</v>
      </c>
      <c r="C251" s="196">
        <v>238910</v>
      </c>
      <c r="D251" s="197" t="s">
        <v>2661</v>
      </c>
    </row>
    <row r="252" spans="1:4" ht="17.25" customHeight="1" x14ac:dyDescent="0.2">
      <c r="A252" s="195">
        <v>1795</v>
      </c>
      <c r="B252" s="196" t="s">
        <v>3887</v>
      </c>
      <c r="C252" s="196">
        <v>238910</v>
      </c>
      <c r="D252" s="197" t="s">
        <v>2661</v>
      </c>
    </row>
    <row r="253" spans="1:4" ht="17.25" customHeight="1" x14ac:dyDescent="0.2">
      <c r="A253" s="195">
        <v>1799</v>
      </c>
      <c r="B253" s="196" t="s">
        <v>3849</v>
      </c>
      <c r="C253" s="196">
        <v>238910</v>
      </c>
      <c r="D253" s="197" t="s">
        <v>2661</v>
      </c>
    </row>
    <row r="254" spans="1:4" ht="17.25" customHeight="1" x14ac:dyDescent="0.2">
      <c r="A254" s="195">
        <v>7353</v>
      </c>
      <c r="B254" s="196" t="s">
        <v>3888</v>
      </c>
      <c r="C254" s="196">
        <v>238910</v>
      </c>
      <c r="D254" s="197" t="s">
        <v>2661</v>
      </c>
    </row>
    <row r="255" spans="1:4" ht="17.25" customHeight="1" x14ac:dyDescent="0.2">
      <c r="A255" s="195">
        <v>1771</v>
      </c>
      <c r="B255" s="196" t="s">
        <v>3862</v>
      </c>
      <c r="C255" s="196">
        <v>238990</v>
      </c>
      <c r="D255" s="197" t="s">
        <v>2662</v>
      </c>
    </row>
    <row r="256" spans="1:4" ht="17.25" customHeight="1" x14ac:dyDescent="0.2">
      <c r="A256" s="195">
        <v>1799</v>
      </c>
      <c r="B256" s="196" t="s">
        <v>3849</v>
      </c>
      <c r="C256" s="196">
        <v>238990</v>
      </c>
      <c r="D256" s="197" t="s">
        <v>2662</v>
      </c>
    </row>
    <row r="257" spans="1:4" ht="17.25" customHeight="1" x14ac:dyDescent="0.2">
      <c r="A257" s="195">
        <v>7353</v>
      </c>
      <c r="B257" s="196" t="s">
        <v>3888</v>
      </c>
      <c r="C257" s="196">
        <v>238990</v>
      </c>
      <c r="D257" s="197" t="s">
        <v>2662</v>
      </c>
    </row>
    <row r="258" spans="1:4" ht="28.7" customHeight="1" x14ac:dyDescent="0.2">
      <c r="A258" s="195">
        <v>2047</v>
      </c>
      <c r="B258" s="196" t="s">
        <v>3889</v>
      </c>
      <c r="C258" s="196">
        <v>311111</v>
      </c>
      <c r="D258" s="197" t="s">
        <v>3890</v>
      </c>
    </row>
    <row r="259" spans="1:4" ht="34.5" customHeight="1" x14ac:dyDescent="0.2">
      <c r="A259" s="195">
        <v>723</v>
      </c>
      <c r="B259" s="196" t="s">
        <v>3755</v>
      </c>
      <c r="C259" s="196">
        <v>311119</v>
      </c>
      <c r="D259" s="197" t="s">
        <v>3891</v>
      </c>
    </row>
    <row r="260" spans="1:4" ht="34.5" customHeight="1" x14ac:dyDescent="0.2">
      <c r="A260" s="195">
        <v>2048</v>
      </c>
      <c r="B260" s="196" t="s">
        <v>3892</v>
      </c>
      <c r="C260" s="196">
        <v>311119</v>
      </c>
      <c r="D260" s="197" t="s">
        <v>3891</v>
      </c>
    </row>
    <row r="261" spans="1:4" ht="17.25" customHeight="1" x14ac:dyDescent="0.2">
      <c r="A261" s="195">
        <v>2034</v>
      </c>
      <c r="B261" s="196" t="s">
        <v>3893</v>
      </c>
      <c r="C261" s="196">
        <v>311211</v>
      </c>
      <c r="D261" s="197" t="s">
        <v>3894</v>
      </c>
    </row>
    <row r="262" spans="1:4" ht="17.25" customHeight="1" x14ac:dyDescent="0.2">
      <c r="A262" s="195">
        <v>2041</v>
      </c>
      <c r="B262" s="196" t="s">
        <v>1980</v>
      </c>
      <c r="C262" s="196">
        <v>311211</v>
      </c>
      <c r="D262" s="197" t="s">
        <v>3894</v>
      </c>
    </row>
    <row r="263" spans="1:4" ht="17.25" customHeight="1" x14ac:dyDescent="0.2">
      <c r="A263" s="195">
        <v>2044</v>
      </c>
      <c r="B263" s="196" t="s">
        <v>2666</v>
      </c>
      <c r="C263" s="196">
        <v>311212</v>
      </c>
      <c r="D263" s="197" t="s">
        <v>3895</v>
      </c>
    </row>
    <row r="264" spans="1:4" ht="17.25" customHeight="1" x14ac:dyDescent="0.2">
      <c r="A264" s="195">
        <v>2099</v>
      </c>
      <c r="B264" s="196" t="s">
        <v>3712</v>
      </c>
      <c r="C264" s="196">
        <v>311212</v>
      </c>
      <c r="D264" s="197" t="s">
        <v>3895</v>
      </c>
    </row>
    <row r="265" spans="1:4" ht="17.25" customHeight="1" x14ac:dyDescent="0.2">
      <c r="A265" s="195">
        <v>2083</v>
      </c>
      <c r="B265" s="196" t="s">
        <v>3896</v>
      </c>
      <c r="C265" s="196">
        <v>311213</v>
      </c>
      <c r="D265" s="197" t="s">
        <v>3897</v>
      </c>
    </row>
    <row r="266" spans="1:4" ht="17.25" customHeight="1" x14ac:dyDescent="0.2">
      <c r="A266" s="195">
        <v>2046</v>
      </c>
      <c r="B266" s="196" t="s">
        <v>2668</v>
      </c>
      <c r="C266" s="196">
        <v>311221</v>
      </c>
      <c r="D266" s="197" t="s">
        <v>3898</v>
      </c>
    </row>
    <row r="267" spans="1:4" ht="17.25" customHeight="1" x14ac:dyDescent="0.2">
      <c r="A267" s="195">
        <v>2074</v>
      </c>
      <c r="B267" s="196" t="s">
        <v>3899</v>
      </c>
      <c r="C267" s="196">
        <v>311224</v>
      </c>
      <c r="D267" s="197" t="s">
        <v>3900</v>
      </c>
    </row>
    <row r="268" spans="1:4" ht="17.25" customHeight="1" x14ac:dyDescent="0.2">
      <c r="A268" s="195">
        <v>2075</v>
      </c>
      <c r="B268" s="196" t="s">
        <v>3901</v>
      </c>
      <c r="C268" s="196">
        <v>311224</v>
      </c>
      <c r="D268" s="197" t="s">
        <v>3900</v>
      </c>
    </row>
    <row r="269" spans="1:4" ht="17.25" customHeight="1" x14ac:dyDescent="0.2">
      <c r="A269" s="195">
        <v>2076</v>
      </c>
      <c r="B269" s="196" t="s">
        <v>3902</v>
      </c>
      <c r="C269" s="196">
        <v>311224</v>
      </c>
      <c r="D269" s="197" t="s">
        <v>3900</v>
      </c>
    </row>
    <row r="270" spans="1:4" ht="17.25" customHeight="1" x14ac:dyDescent="0.2">
      <c r="A270" s="195">
        <v>2079</v>
      </c>
      <c r="B270" s="196" t="s">
        <v>3903</v>
      </c>
      <c r="C270" s="196">
        <v>311224</v>
      </c>
      <c r="D270" s="197" t="s">
        <v>3900</v>
      </c>
    </row>
    <row r="271" spans="1:4" ht="17.25" customHeight="1" x14ac:dyDescent="0.2">
      <c r="A271" s="195">
        <v>2079</v>
      </c>
      <c r="B271" s="196" t="s">
        <v>3903</v>
      </c>
      <c r="C271" s="196">
        <v>311224</v>
      </c>
      <c r="D271" s="197" t="s">
        <v>3900</v>
      </c>
    </row>
    <row r="272" spans="1:4" ht="17.25" customHeight="1" x14ac:dyDescent="0.2">
      <c r="A272" s="195">
        <v>2046</v>
      </c>
      <c r="B272" s="196" t="s">
        <v>2668</v>
      </c>
      <c r="C272" s="196">
        <v>311225</v>
      </c>
      <c r="D272" s="197" t="s">
        <v>3904</v>
      </c>
    </row>
    <row r="273" spans="1:4" ht="34.5" customHeight="1" x14ac:dyDescent="0.2">
      <c r="A273" s="195">
        <v>2074</v>
      </c>
      <c r="B273" s="196" t="s">
        <v>3899</v>
      </c>
      <c r="C273" s="196">
        <v>311225</v>
      </c>
      <c r="D273" s="197" t="s">
        <v>3904</v>
      </c>
    </row>
    <row r="274" spans="1:4" ht="17.25" customHeight="1" x14ac:dyDescent="0.2">
      <c r="A274" s="195">
        <v>2075</v>
      </c>
      <c r="B274" s="196" t="s">
        <v>3901</v>
      </c>
      <c r="C274" s="196">
        <v>311225</v>
      </c>
      <c r="D274" s="197" t="s">
        <v>3904</v>
      </c>
    </row>
    <row r="275" spans="1:4" ht="34.5" customHeight="1" x14ac:dyDescent="0.2">
      <c r="A275" s="195">
        <v>2076</v>
      </c>
      <c r="B275" s="196" t="s">
        <v>3902</v>
      </c>
      <c r="C275" s="196">
        <v>311225</v>
      </c>
      <c r="D275" s="197" t="s">
        <v>3904</v>
      </c>
    </row>
    <row r="276" spans="1:4" ht="34.5" customHeight="1" x14ac:dyDescent="0.2">
      <c r="A276" s="195">
        <v>2079</v>
      </c>
      <c r="B276" s="196" t="s">
        <v>3903</v>
      </c>
      <c r="C276" s="196">
        <v>311225</v>
      </c>
      <c r="D276" s="197" t="s">
        <v>3904</v>
      </c>
    </row>
    <row r="277" spans="1:4" ht="34.5" customHeight="1" x14ac:dyDescent="0.2">
      <c r="A277" s="195">
        <v>2043</v>
      </c>
      <c r="B277" s="196" t="s">
        <v>3905</v>
      </c>
      <c r="C277" s="196">
        <v>311230</v>
      </c>
      <c r="D277" s="197" t="s">
        <v>2672</v>
      </c>
    </row>
    <row r="278" spans="1:4" ht="17.25" customHeight="1" x14ac:dyDescent="0.2">
      <c r="A278" s="195">
        <v>2063</v>
      </c>
      <c r="B278" s="196" t="s">
        <v>3906</v>
      </c>
      <c r="C278" s="196">
        <v>311313</v>
      </c>
      <c r="D278" s="197" t="s">
        <v>3907</v>
      </c>
    </row>
    <row r="279" spans="1:4" ht="17.25" customHeight="1" x14ac:dyDescent="0.2">
      <c r="A279" s="195">
        <v>2061</v>
      </c>
      <c r="B279" s="196" t="s">
        <v>3908</v>
      </c>
      <c r="C279" s="196">
        <v>311314</v>
      </c>
      <c r="D279" s="197" t="s">
        <v>3909</v>
      </c>
    </row>
    <row r="280" spans="1:4" ht="17.25" customHeight="1" x14ac:dyDescent="0.2">
      <c r="A280" s="195">
        <v>2062</v>
      </c>
      <c r="B280" s="196" t="s">
        <v>3910</v>
      </c>
      <c r="C280" s="196">
        <v>311314</v>
      </c>
      <c r="D280" s="197" t="s">
        <v>3909</v>
      </c>
    </row>
    <row r="281" spans="1:4" ht="34.5" customHeight="1" x14ac:dyDescent="0.2">
      <c r="A281" s="195">
        <v>2064</v>
      </c>
      <c r="B281" s="196" t="s">
        <v>3911</v>
      </c>
      <c r="C281" s="196">
        <v>311340</v>
      </c>
      <c r="D281" s="197" t="s">
        <v>2675</v>
      </c>
    </row>
    <row r="282" spans="1:4" ht="17.25" customHeight="1" x14ac:dyDescent="0.2">
      <c r="A282" s="195">
        <v>2067</v>
      </c>
      <c r="B282" s="196" t="s">
        <v>3912</v>
      </c>
      <c r="C282" s="196">
        <v>311340</v>
      </c>
      <c r="D282" s="197" t="s">
        <v>2675</v>
      </c>
    </row>
    <row r="283" spans="1:4" ht="17.25" customHeight="1" x14ac:dyDescent="0.2">
      <c r="A283" s="195">
        <v>2099</v>
      </c>
      <c r="B283" s="196" t="s">
        <v>3712</v>
      </c>
      <c r="C283" s="196">
        <v>311340</v>
      </c>
      <c r="D283" s="197" t="s">
        <v>2675</v>
      </c>
    </row>
    <row r="284" spans="1:4" ht="17.25" customHeight="1" x14ac:dyDescent="0.2">
      <c r="A284" s="195">
        <v>5441</v>
      </c>
      <c r="B284" s="196" t="s">
        <v>3913</v>
      </c>
      <c r="C284" s="196">
        <v>311340</v>
      </c>
      <c r="D284" s="197" t="s">
        <v>2675</v>
      </c>
    </row>
    <row r="285" spans="1:4" ht="34.5" customHeight="1" x14ac:dyDescent="0.2">
      <c r="A285" s="195">
        <v>2066</v>
      </c>
      <c r="B285" s="196" t="s">
        <v>3914</v>
      </c>
      <c r="C285" s="196">
        <v>311351</v>
      </c>
      <c r="D285" s="197" t="s">
        <v>3915</v>
      </c>
    </row>
    <row r="286" spans="1:4" ht="28.7" customHeight="1" x14ac:dyDescent="0.2">
      <c r="A286" s="195">
        <v>2064</v>
      </c>
      <c r="B286" s="196" t="s">
        <v>3911</v>
      </c>
      <c r="C286" s="196">
        <v>311352</v>
      </c>
      <c r="D286" s="197" t="s">
        <v>3916</v>
      </c>
    </row>
    <row r="287" spans="1:4" ht="34.5" customHeight="1" x14ac:dyDescent="0.2">
      <c r="A287" s="195">
        <v>2066</v>
      </c>
      <c r="B287" s="196" t="s">
        <v>3914</v>
      </c>
      <c r="C287" s="196">
        <v>311352</v>
      </c>
      <c r="D287" s="197" t="s">
        <v>3916</v>
      </c>
    </row>
    <row r="288" spans="1:4" ht="17.25" customHeight="1" x14ac:dyDescent="0.2">
      <c r="A288" s="195">
        <v>5441</v>
      </c>
      <c r="B288" s="196" t="s">
        <v>3913</v>
      </c>
      <c r="C288" s="196">
        <v>311352</v>
      </c>
      <c r="D288" s="197" t="s">
        <v>3916</v>
      </c>
    </row>
    <row r="289" spans="1:4" ht="34.5" customHeight="1" x14ac:dyDescent="0.2">
      <c r="A289" s="195">
        <v>2037</v>
      </c>
      <c r="B289" s="196" t="s">
        <v>3917</v>
      </c>
      <c r="C289" s="196">
        <v>311411</v>
      </c>
      <c r="D289" s="197" t="s">
        <v>3918</v>
      </c>
    </row>
    <row r="290" spans="1:4" ht="17.25" customHeight="1" x14ac:dyDescent="0.2">
      <c r="A290" s="195">
        <v>2038</v>
      </c>
      <c r="B290" s="196" t="s">
        <v>3919</v>
      </c>
      <c r="C290" s="196">
        <v>311412</v>
      </c>
      <c r="D290" s="197" t="s">
        <v>3920</v>
      </c>
    </row>
    <row r="291" spans="1:4" ht="34.5" customHeight="1" x14ac:dyDescent="0.2">
      <c r="A291" s="195">
        <v>2033</v>
      </c>
      <c r="B291" s="196" t="s">
        <v>3921</v>
      </c>
      <c r="C291" s="196">
        <v>311421</v>
      </c>
      <c r="D291" s="197" t="s">
        <v>3922</v>
      </c>
    </row>
    <row r="292" spans="1:4" ht="17.25" customHeight="1" x14ac:dyDescent="0.2">
      <c r="A292" s="195">
        <v>2035</v>
      </c>
      <c r="B292" s="196" t="s">
        <v>3923</v>
      </c>
      <c r="C292" s="196">
        <v>311421</v>
      </c>
      <c r="D292" s="197" t="s">
        <v>3922</v>
      </c>
    </row>
    <row r="293" spans="1:4" ht="17.25" customHeight="1" x14ac:dyDescent="0.2">
      <c r="A293" s="195">
        <v>2032</v>
      </c>
      <c r="B293" s="196" t="s">
        <v>3924</v>
      </c>
      <c r="C293" s="196">
        <v>311422</v>
      </c>
      <c r="D293" s="197" t="s">
        <v>3925</v>
      </c>
    </row>
    <row r="294" spans="1:4" ht="34.5" customHeight="1" x14ac:dyDescent="0.2">
      <c r="A294" s="195">
        <v>2034</v>
      </c>
      <c r="B294" s="196" t="s">
        <v>3893</v>
      </c>
      <c r="C294" s="196">
        <v>311423</v>
      </c>
      <c r="D294" s="197" t="s">
        <v>3926</v>
      </c>
    </row>
    <row r="295" spans="1:4" ht="17.25" customHeight="1" x14ac:dyDescent="0.2">
      <c r="A295" s="195">
        <v>2099</v>
      </c>
      <c r="B295" s="196" t="s">
        <v>3712</v>
      </c>
      <c r="C295" s="196">
        <v>311423</v>
      </c>
      <c r="D295" s="197" t="s">
        <v>3926</v>
      </c>
    </row>
    <row r="296" spans="1:4" ht="17.25" customHeight="1" x14ac:dyDescent="0.2">
      <c r="A296" s="195">
        <v>2023</v>
      </c>
      <c r="B296" s="196" t="s">
        <v>3927</v>
      </c>
      <c r="C296" s="196">
        <v>311511</v>
      </c>
      <c r="D296" s="197" t="s">
        <v>3928</v>
      </c>
    </row>
    <row r="297" spans="1:4" ht="17.25" customHeight="1" x14ac:dyDescent="0.2">
      <c r="A297" s="195">
        <v>2026</v>
      </c>
      <c r="B297" s="196" t="s">
        <v>3929</v>
      </c>
      <c r="C297" s="196">
        <v>311511</v>
      </c>
      <c r="D297" s="197" t="s">
        <v>3928</v>
      </c>
    </row>
    <row r="298" spans="1:4" ht="17.25" customHeight="1" x14ac:dyDescent="0.2">
      <c r="A298" s="195">
        <v>2021</v>
      </c>
      <c r="B298" s="196" t="s">
        <v>3930</v>
      </c>
      <c r="C298" s="196">
        <v>311512</v>
      </c>
      <c r="D298" s="197" t="s">
        <v>3931</v>
      </c>
    </row>
    <row r="299" spans="1:4" ht="17.25" customHeight="1" x14ac:dyDescent="0.2">
      <c r="A299" s="195">
        <v>2022</v>
      </c>
      <c r="B299" s="196" t="s">
        <v>3932</v>
      </c>
      <c r="C299" s="196">
        <v>311513</v>
      </c>
      <c r="D299" s="197" t="s">
        <v>3933</v>
      </c>
    </row>
    <row r="300" spans="1:4" ht="17.25" customHeight="1" x14ac:dyDescent="0.2">
      <c r="A300" s="195">
        <v>2023</v>
      </c>
      <c r="B300" s="196" t="s">
        <v>3927</v>
      </c>
      <c r="C300" s="196">
        <v>311514</v>
      </c>
      <c r="D300" s="197" t="s">
        <v>3934</v>
      </c>
    </row>
    <row r="301" spans="1:4" ht="17.25" customHeight="1" x14ac:dyDescent="0.2">
      <c r="A301" s="195">
        <v>2026</v>
      </c>
      <c r="B301" s="196" t="s">
        <v>3929</v>
      </c>
      <c r="C301" s="196">
        <v>311514</v>
      </c>
      <c r="D301" s="197" t="s">
        <v>3934</v>
      </c>
    </row>
    <row r="302" spans="1:4" ht="17.25" customHeight="1" x14ac:dyDescent="0.2">
      <c r="A302" s="195">
        <v>2024</v>
      </c>
      <c r="B302" s="196" t="s">
        <v>3935</v>
      </c>
      <c r="C302" s="196">
        <v>311520</v>
      </c>
      <c r="D302" s="197" t="s">
        <v>2687</v>
      </c>
    </row>
    <row r="303" spans="1:4" ht="17.25" customHeight="1" x14ac:dyDescent="0.2">
      <c r="A303" s="195">
        <v>751</v>
      </c>
      <c r="B303" s="196" t="s">
        <v>3760</v>
      </c>
      <c r="C303" s="196">
        <v>311611</v>
      </c>
      <c r="D303" s="197" t="s">
        <v>3936</v>
      </c>
    </row>
    <row r="304" spans="1:4" ht="17.25" customHeight="1" x14ac:dyDescent="0.2">
      <c r="A304" s="195">
        <v>2011</v>
      </c>
      <c r="B304" s="196" t="s">
        <v>3937</v>
      </c>
      <c r="C304" s="196">
        <v>311611</v>
      </c>
      <c r="D304" s="197" t="s">
        <v>3936</v>
      </c>
    </row>
    <row r="305" spans="1:4" ht="34.5" customHeight="1" x14ac:dyDescent="0.2">
      <c r="A305" s="195">
        <v>2048</v>
      </c>
      <c r="B305" s="196" t="s">
        <v>3892</v>
      </c>
      <c r="C305" s="196">
        <v>311611</v>
      </c>
      <c r="D305" s="197" t="s">
        <v>3936</v>
      </c>
    </row>
    <row r="306" spans="1:4" ht="17.25" customHeight="1" x14ac:dyDescent="0.2">
      <c r="A306" s="195">
        <v>2013</v>
      </c>
      <c r="B306" s="196" t="s">
        <v>3938</v>
      </c>
      <c r="C306" s="196">
        <v>311612</v>
      </c>
      <c r="D306" s="197" t="s">
        <v>3939</v>
      </c>
    </row>
    <row r="307" spans="1:4" ht="17.25" customHeight="1" x14ac:dyDescent="0.2">
      <c r="A307" s="195">
        <v>5147</v>
      </c>
      <c r="B307" s="196" t="s">
        <v>3940</v>
      </c>
      <c r="C307" s="196">
        <v>311612</v>
      </c>
      <c r="D307" s="197" t="s">
        <v>3939</v>
      </c>
    </row>
    <row r="308" spans="1:4" ht="17.25" customHeight="1" x14ac:dyDescent="0.2">
      <c r="A308" s="195">
        <v>2013</v>
      </c>
      <c r="B308" s="196" t="s">
        <v>3938</v>
      </c>
      <c r="C308" s="196">
        <v>311613</v>
      </c>
      <c r="D308" s="197" t="s">
        <v>3941</v>
      </c>
    </row>
    <row r="309" spans="1:4" ht="17.25" customHeight="1" x14ac:dyDescent="0.2">
      <c r="A309" s="195">
        <v>2077</v>
      </c>
      <c r="B309" s="196" t="s">
        <v>3942</v>
      </c>
      <c r="C309" s="196">
        <v>311613</v>
      </c>
      <c r="D309" s="197" t="s">
        <v>3941</v>
      </c>
    </row>
    <row r="310" spans="1:4" ht="17.25" customHeight="1" x14ac:dyDescent="0.2">
      <c r="A310" s="195">
        <v>2015</v>
      </c>
      <c r="B310" s="196" t="s">
        <v>3943</v>
      </c>
      <c r="C310" s="196">
        <v>311615</v>
      </c>
      <c r="D310" s="197" t="s">
        <v>3944</v>
      </c>
    </row>
    <row r="311" spans="1:4" ht="17.25" customHeight="1" x14ac:dyDescent="0.2">
      <c r="A311" s="195">
        <v>2077</v>
      </c>
      <c r="B311" s="196" t="s">
        <v>3942</v>
      </c>
      <c r="C311" s="196">
        <v>311710</v>
      </c>
      <c r="D311" s="197" t="s">
        <v>2692</v>
      </c>
    </row>
    <row r="312" spans="1:4" ht="17.25" customHeight="1" x14ac:dyDescent="0.2">
      <c r="A312" s="195">
        <v>2077</v>
      </c>
      <c r="B312" s="196" t="s">
        <v>3942</v>
      </c>
      <c r="C312" s="196">
        <v>311710</v>
      </c>
      <c r="D312" s="197" t="s">
        <v>2692</v>
      </c>
    </row>
    <row r="313" spans="1:4" ht="17.25" customHeight="1" x14ac:dyDescent="0.2">
      <c r="A313" s="195">
        <v>2091</v>
      </c>
      <c r="B313" s="196" t="s">
        <v>3945</v>
      </c>
      <c r="C313" s="196">
        <v>311710</v>
      </c>
      <c r="D313" s="197" t="s">
        <v>2692</v>
      </c>
    </row>
    <row r="314" spans="1:4" ht="17.25" customHeight="1" x14ac:dyDescent="0.2">
      <c r="A314" s="195">
        <v>2092</v>
      </c>
      <c r="B314" s="196" t="s">
        <v>3946</v>
      </c>
      <c r="C314" s="196">
        <v>311710</v>
      </c>
      <c r="D314" s="197" t="s">
        <v>2692</v>
      </c>
    </row>
    <row r="315" spans="1:4" ht="17.25" customHeight="1" x14ac:dyDescent="0.2">
      <c r="A315" s="195">
        <v>5461</v>
      </c>
      <c r="B315" s="196" t="s">
        <v>2693</v>
      </c>
      <c r="C315" s="196">
        <v>311811</v>
      </c>
      <c r="D315" s="197" t="s">
        <v>3947</v>
      </c>
    </row>
    <row r="316" spans="1:4" ht="17.25" customHeight="1" x14ac:dyDescent="0.2">
      <c r="A316" s="195">
        <v>2051</v>
      </c>
      <c r="B316" s="196" t="s">
        <v>3948</v>
      </c>
      <c r="C316" s="196">
        <v>311812</v>
      </c>
      <c r="D316" s="197" t="s">
        <v>3949</v>
      </c>
    </row>
    <row r="317" spans="1:4" ht="17.25" customHeight="1" x14ac:dyDescent="0.2">
      <c r="A317" s="195">
        <v>2052</v>
      </c>
      <c r="B317" s="196" t="s">
        <v>3950</v>
      </c>
      <c r="C317" s="196">
        <v>311812</v>
      </c>
      <c r="D317" s="197" t="s">
        <v>3949</v>
      </c>
    </row>
    <row r="318" spans="1:4" ht="17.25" customHeight="1" x14ac:dyDescent="0.2">
      <c r="A318" s="195">
        <v>2053</v>
      </c>
      <c r="B318" s="196" t="s">
        <v>3951</v>
      </c>
      <c r="C318" s="196">
        <v>311813</v>
      </c>
      <c r="D318" s="197" t="s">
        <v>3952</v>
      </c>
    </row>
    <row r="319" spans="1:4" ht="17.25" customHeight="1" x14ac:dyDescent="0.2">
      <c r="A319" s="195">
        <v>2052</v>
      </c>
      <c r="B319" s="196" t="s">
        <v>3950</v>
      </c>
      <c r="C319" s="196">
        <v>311821</v>
      </c>
      <c r="D319" s="197" t="s">
        <v>3953</v>
      </c>
    </row>
    <row r="320" spans="1:4" ht="17.25" customHeight="1" x14ac:dyDescent="0.2">
      <c r="A320" s="195">
        <v>2045</v>
      </c>
      <c r="B320" s="196" t="s">
        <v>3954</v>
      </c>
      <c r="C320" s="196">
        <v>311824</v>
      </c>
      <c r="D320" s="197" t="s">
        <v>3955</v>
      </c>
    </row>
    <row r="321" spans="1:4" ht="17.25" customHeight="1" x14ac:dyDescent="0.2">
      <c r="A321" s="195">
        <v>2098</v>
      </c>
      <c r="B321" s="196" t="s">
        <v>3956</v>
      </c>
      <c r="C321" s="196">
        <v>311824</v>
      </c>
      <c r="D321" s="197" t="s">
        <v>3955</v>
      </c>
    </row>
    <row r="322" spans="1:4" ht="17.25" customHeight="1" x14ac:dyDescent="0.2">
      <c r="A322" s="195">
        <v>2099</v>
      </c>
      <c r="B322" s="196" t="s">
        <v>3712</v>
      </c>
      <c r="C322" s="196">
        <v>311824</v>
      </c>
      <c r="D322" s="197" t="s">
        <v>3955</v>
      </c>
    </row>
    <row r="323" spans="1:4" ht="17.25" customHeight="1" x14ac:dyDescent="0.2">
      <c r="A323" s="195">
        <v>2099</v>
      </c>
      <c r="B323" s="196" t="s">
        <v>3712</v>
      </c>
      <c r="C323" s="196">
        <v>311830</v>
      </c>
      <c r="D323" s="197" t="s">
        <v>2698</v>
      </c>
    </row>
    <row r="324" spans="1:4" ht="17.25" customHeight="1" x14ac:dyDescent="0.2">
      <c r="A324" s="195">
        <v>2068</v>
      </c>
      <c r="B324" s="196" t="s">
        <v>3957</v>
      </c>
      <c r="C324" s="196">
        <v>311911</v>
      </c>
      <c r="D324" s="197" t="s">
        <v>3958</v>
      </c>
    </row>
    <row r="325" spans="1:4" ht="17.25" customHeight="1" x14ac:dyDescent="0.2">
      <c r="A325" s="195">
        <v>2099</v>
      </c>
      <c r="B325" s="196" t="s">
        <v>3712</v>
      </c>
      <c r="C325" s="196">
        <v>311911</v>
      </c>
      <c r="D325" s="197" t="s">
        <v>3958</v>
      </c>
    </row>
    <row r="326" spans="1:4" ht="17.25" customHeight="1" x14ac:dyDescent="0.2">
      <c r="A326" s="195">
        <v>2052</v>
      </c>
      <c r="B326" s="196" t="s">
        <v>3950</v>
      </c>
      <c r="C326" s="196">
        <v>311919</v>
      </c>
      <c r="D326" s="197" t="s">
        <v>3959</v>
      </c>
    </row>
    <row r="327" spans="1:4" ht="17.25" customHeight="1" x14ac:dyDescent="0.2">
      <c r="A327" s="195">
        <v>2096</v>
      </c>
      <c r="B327" s="196" t="s">
        <v>3960</v>
      </c>
      <c r="C327" s="196">
        <v>311919</v>
      </c>
      <c r="D327" s="197" t="s">
        <v>3959</v>
      </c>
    </row>
    <row r="328" spans="1:4" ht="17.25" customHeight="1" x14ac:dyDescent="0.2">
      <c r="A328" s="195">
        <v>2043</v>
      </c>
      <c r="B328" s="196" t="s">
        <v>3905</v>
      </c>
      <c r="C328" s="196">
        <v>311920</v>
      </c>
      <c r="D328" s="197" t="s">
        <v>3961</v>
      </c>
    </row>
    <row r="329" spans="1:4" ht="17.25" customHeight="1" x14ac:dyDescent="0.2">
      <c r="A329" s="195">
        <v>2087</v>
      </c>
      <c r="B329" s="196" t="s">
        <v>3962</v>
      </c>
      <c r="C329" s="196">
        <v>311920</v>
      </c>
      <c r="D329" s="197" t="s">
        <v>3961</v>
      </c>
    </row>
    <row r="330" spans="1:4" ht="17.25" customHeight="1" x14ac:dyDescent="0.2">
      <c r="A330" s="195">
        <v>2095</v>
      </c>
      <c r="B330" s="196" t="s">
        <v>3963</v>
      </c>
      <c r="C330" s="196">
        <v>311920</v>
      </c>
      <c r="D330" s="197" t="s">
        <v>3961</v>
      </c>
    </row>
    <row r="331" spans="1:4" ht="17.25" customHeight="1" x14ac:dyDescent="0.2">
      <c r="A331" s="195">
        <v>2099</v>
      </c>
      <c r="B331" s="196" t="s">
        <v>3712</v>
      </c>
      <c r="C331" s="196">
        <v>311920</v>
      </c>
      <c r="D331" s="197" t="s">
        <v>3961</v>
      </c>
    </row>
    <row r="332" spans="1:4" ht="17.25" customHeight="1" x14ac:dyDescent="0.2">
      <c r="A332" s="195">
        <v>2087</v>
      </c>
      <c r="B332" s="196" t="s">
        <v>3962</v>
      </c>
      <c r="C332" s="196">
        <v>311930</v>
      </c>
      <c r="D332" s="197" t="s">
        <v>2702</v>
      </c>
    </row>
    <row r="333" spans="1:4" ht="17.25" customHeight="1" x14ac:dyDescent="0.2">
      <c r="A333" s="195">
        <v>2035</v>
      </c>
      <c r="B333" s="196" t="s">
        <v>3923</v>
      </c>
      <c r="C333" s="196">
        <v>311941</v>
      </c>
      <c r="D333" s="197" t="s">
        <v>3964</v>
      </c>
    </row>
    <row r="334" spans="1:4" ht="17.25" customHeight="1" x14ac:dyDescent="0.2">
      <c r="A334" s="195">
        <v>2099</v>
      </c>
      <c r="B334" s="196" t="s">
        <v>3712</v>
      </c>
      <c r="C334" s="196">
        <v>311941</v>
      </c>
      <c r="D334" s="197" t="s">
        <v>3964</v>
      </c>
    </row>
    <row r="335" spans="1:4" ht="34.5" customHeight="1" x14ac:dyDescent="0.2">
      <c r="A335" s="195">
        <v>2082</v>
      </c>
      <c r="B335" s="196" t="s">
        <v>3965</v>
      </c>
      <c r="C335" s="196">
        <v>311942</v>
      </c>
      <c r="D335" s="197" t="s">
        <v>3966</v>
      </c>
    </row>
    <row r="336" spans="1:4" ht="17.25" customHeight="1" x14ac:dyDescent="0.2">
      <c r="A336" s="195">
        <v>2087</v>
      </c>
      <c r="B336" s="196" t="s">
        <v>3962</v>
      </c>
      <c r="C336" s="196">
        <v>311942</v>
      </c>
      <c r="D336" s="197" t="s">
        <v>3966</v>
      </c>
    </row>
    <row r="337" spans="1:4" ht="17.25" customHeight="1" x14ac:dyDescent="0.2">
      <c r="A337" s="195">
        <v>2099</v>
      </c>
      <c r="B337" s="196" t="s">
        <v>3712</v>
      </c>
      <c r="C337" s="196">
        <v>311942</v>
      </c>
      <c r="D337" s="197" t="s">
        <v>3966</v>
      </c>
    </row>
    <row r="338" spans="1:4" ht="34.5" customHeight="1" x14ac:dyDescent="0.2">
      <c r="A338" s="195">
        <v>2899</v>
      </c>
      <c r="B338" s="196" t="s">
        <v>3967</v>
      </c>
      <c r="C338" s="196">
        <v>311942</v>
      </c>
      <c r="D338" s="197" t="s">
        <v>3966</v>
      </c>
    </row>
    <row r="339" spans="1:4" ht="17.25" customHeight="1" x14ac:dyDescent="0.2">
      <c r="A339" s="195">
        <v>2099</v>
      </c>
      <c r="B339" s="196" t="s">
        <v>3712</v>
      </c>
      <c r="C339" s="196">
        <v>311991</v>
      </c>
      <c r="D339" s="197" t="s">
        <v>3968</v>
      </c>
    </row>
    <row r="340" spans="1:4" ht="17.25" customHeight="1" x14ac:dyDescent="0.2">
      <c r="A340" s="195">
        <v>2015</v>
      </c>
      <c r="B340" s="196" t="s">
        <v>3943</v>
      </c>
      <c r="C340" s="196">
        <v>311999</v>
      </c>
      <c r="D340" s="197" t="s">
        <v>3969</v>
      </c>
    </row>
    <row r="341" spans="1:4" ht="17.25" customHeight="1" x14ac:dyDescent="0.2">
      <c r="A341" s="195">
        <v>2032</v>
      </c>
      <c r="B341" s="196" t="s">
        <v>3924</v>
      </c>
      <c r="C341" s="196">
        <v>311999</v>
      </c>
      <c r="D341" s="197" t="s">
        <v>3969</v>
      </c>
    </row>
    <row r="342" spans="1:4" ht="17.25" customHeight="1" x14ac:dyDescent="0.2">
      <c r="A342" s="195">
        <v>2034</v>
      </c>
      <c r="B342" s="196" t="s">
        <v>3893</v>
      </c>
      <c r="C342" s="196">
        <v>311999</v>
      </c>
      <c r="D342" s="197" t="s">
        <v>3969</v>
      </c>
    </row>
    <row r="343" spans="1:4" ht="34.5" customHeight="1" x14ac:dyDescent="0.2">
      <c r="A343" s="195">
        <v>2087</v>
      </c>
      <c r="B343" s="196" t="s">
        <v>3962</v>
      </c>
      <c r="C343" s="196">
        <v>311999</v>
      </c>
      <c r="D343" s="197" t="s">
        <v>3969</v>
      </c>
    </row>
    <row r="344" spans="1:4" ht="17.25" customHeight="1" x14ac:dyDescent="0.2">
      <c r="A344" s="195">
        <v>2099</v>
      </c>
      <c r="B344" s="196" t="s">
        <v>3712</v>
      </c>
      <c r="C344" s="196">
        <v>311999</v>
      </c>
      <c r="D344" s="197" t="s">
        <v>3969</v>
      </c>
    </row>
    <row r="345" spans="1:4" ht="17.25" customHeight="1" x14ac:dyDescent="0.2">
      <c r="A345" s="195">
        <v>2086</v>
      </c>
      <c r="B345" s="196" t="s">
        <v>3970</v>
      </c>
      <c r="C345" s="196">
        <v>312111</v>
      </c>
      <c r="D345" s="197" t="s">
        <v>3971</v>
      </c>
    </row>
    <row r="346" spans="1:4" ht="34.5" customHeight="1" x14ac:dyDescent="0.2">
      <c r="A346" s="195">
        <v>2086</v>
      </c>
      <c r="B346" s="196" t="s">
        <v>3970</v>
      </c>
      <c r="C346" s="196">
        <v>312112</v>
      </c>
      <c r="D346" s="197" t="s">
        <v>3972</v>
      </c>
    </row>
    <row r="347" spans="1:4" ht="34.5" customHeight="1" x14ac:dyDescent="0.2">
      <c r="A347" s="195">
        <v>5149</v>
      </c>
      <c r="B347" s="196" t="s">
        <v>3973</v>
      </c>
      <c r="C347" s="196">
        <v>312112</v>
      </c>
      <c r="D347" s="197" t="s">
        <v>3972</v>
      </c>
    </row>
    <row r="348" spans="1:4" ht="17.25" customHeight="1" x14ac:dyDescent="0.2">
      <c r="A348" s="195">
        <v>2097</v>
      </c>
      <c r="B348" s="196" t="s">
        <v>3974</v>
      </c>
      <c r="C348" s="196">
        <v>312113</v>
      </c>
      <c r="D348" s="197" t="s">
        <v>3975</v>
      </c>
    </row>
    <row r="349" spans="1:4" ht="34.5" customHeight="1" x14ac:dyDescent="0.2">
      <c r="A349" s="195">
        <v>2082</v>
      </c>
      <c r="B349" s="196" t="s">
        <v>3965</v>
      </c>
      <c r="C349" s="196">
        <v>312120</v>
      </c>
      <c r="D349" s="197" t="s">
        <v>2710</v>
      </c>
    </row>
    <row r="350" spans="1:4" ht="34.5" customHeight="1" x14ac:dyDescent="0.2">
      <c r="A350" s="195">
        <v>2084</v>
      </c>
      <c r="B350" s="196" t="s">
        <v>3976</v>
      </c>
      <c r="C350" s="196">
        <v>312130</v>
      </c>
      <c r="D350" s="197" t="s">
        <v>3977</v>
      </c>
    </row>
    <row r="351" spans="1:4" ht="17.25" customHeight="1" x14ac:dyDescent="0.2">
      <c r="A351" s="195">
        <v>2085</v>
      </c>
      <c r="B351" s="196" t="s">
        <v>3978</v>
      </c>
      <c r="C351" s="196">
        <v>312130</v>
      </c>
      <c r="D351" s="197" t="s">
        <v>3977</v>
      </c>
    </row>
    <row r="352" spans="1:4" ht="34.5" customHeight="1" x14ac:dyDescent="0.2">
      <c r="A352" s="195">
        <v>2085</v>
      </c>
      <c r="B352" s="196" t="s">
        <v>3978</v>
      </c>
      <c r="C352" s="196">
        <v>312140</v>
      </c>
      <c r="D352" s="197" t="s">
        <v>3979</v>
      </c>
    </row>
    <row r="353" spans="1:4" ht="34.5" customHeight="1" x14ac:dyDescent="0.2">
      <c r="A353" s="195">
        <v>2111</v>
      </c>
      <c r="B353" s="196" t="s">
        <v>3980</v>
      </c>
      <c r="C353" s="196">
        <v>312230</v>
      </c>
      <c r="D353" s="197" t="s">
        <v>3981</v>
      </c>
    </row>
    <row r="354" spans="1:4" ht="28.7" customHeight="1" x14ac:dyDescent="0.2">
      <c r="A354" s="195">
        <v>2121</v>
      </c>
      <c r="B354" s="196" t="s">
        <v>3982</v>
      </c>
      <c r="C354" s="196">
        <v>312230</v>
      </c>
      <c r="D354" s="197" t="s">
        <v>3981</v>
      </c>
    </row>
    <row r="355" spans="1:4" ht="34.5" customHeight="1" x14ac:dyDescent="0.2">
      <c r="A355" s="195">
        <v>2131</v>
      </c>
      <c r="B355" s="196" t="s">
        <v>3983</v>
      </c>
      <c r="C355" s="196">
        <v>312230</v>
      </c>
      <c r="D355" s="197" t="s">
        <v>3981</v>
      </c>
    </row>
    <row r="356" spans="1:4" ht="34.5" customHeight="1" x14ac:dyDescent="0.2">
      <c r="A356" s="195">
        <v>2141</v>
      </c>
      <c r="B356" s="196" t="s">
        <v>3984</v>
      </c>
      <c r="C356" s="196">
        <v>312230</v>
      </c>
      <c r="D356" s="197" t="s">
        <v>3981</v>
      </c>
    </row>
    <row r="357" spans="1:4" ht="17.25" customHeight="1" x14ac:dyDescent="0.2">
      <c r="A357" s="195">
        <v>2141</v>
      </c>
      <c r="B357" s="196" t="s">
        <v>3984</v>
      </c>
      <c r="C357" s="196">
        <v>312230</v>
      </c>
      <c r="D357" s="197" t="s">
        <v>3981</v>
      </c>
    </row>
    <row r="358" spans="1:4" ht="34.5" customHeight="1" x14ac:dyDescent="0.2">
      <c r="A358" s="195">
        <v>7389</v>
      </c>
      <c r="B358" s="196" t="s">
        <v>3985</v>
      </c>
      <c r="C358" s="196">
        <v>312230</v>
      </c>
      <c r="D358" s="197" t="s">
        <v>3981</v>
      </c>
    </row>
    <row r="359" spans="1:4" ht="34.5" customHeight="1" x14ac:dyDescent="0.2">
      <c r="A359" s="195">
        <v>2281</v>
      </c>
      <c r="B359" s="196" t="s">
        <v>3986</v>
      </c>
      <c r="C359" s="196">
        <v>313110</v>
      </c>
      <c r="D359" s="197" t="s">
        <v>3987</v>
      </c>
    </row>
    <row r="360" spans="1:4" ht="17.25" customHeight="1" x14ac:dyDescent="0.2">
      <c r="A360" s="195">
        <v>2282</v>
      </c>
      <c r="B360" s="196" t="s">
        <v>3988</v>
      </c>
      <c r="C360" s="196">
        <v>313110</v>
      </c>
      <c r="D360" s="197" t="s">
        <v>3987</v>
      </c>
    </row>
    <row r="361" spans="1:4" ht="34.5" customHeight="1" x14ac:dyDescent="0.2">
      <c r="A361" s="195">
        <v>2284</v>
      </c>
      <c r="B361" s="196" t="s">
        <v>3989</v>
      </c>
      <c r="C361" s="196">
        <v>313110</v>
      </c>
      <c r="D361" s="197" t="s">
        <v>3987</v>
      </c>
    </row>
    <row r="362" spans="1:4" ht="34.5" customHeight="1" x14ac:dyDescent="0.2">
      <c r="A362" s="195">
        <v>2298</v>
      </c>
      <c r="B362" s="196" t="s">
        <v>3990</v>
      </c>
      <c r="C362" s="196">
        <v>313110</v>
      </c>
      <c r="D362" s="197" t="s">
        <v>3987</v>
      </c>
    </row>
    <row r="363" spans="1:4" ht="17.25" customHeight="1" x14ac:dyDescent="0.2">
      <c r="A363" s="195">
        <v>2299</v>
      </c>
      <c r="B363" s="196" t="s">
        <v>3991</v>
      </c>
      <c r="C363" s="196">
        <v>313110</v>
      </c>
      <c r="D363" s="197" t="s">
        <v>3987</v>
      </c>
    </row>
    <row r="364" spans="1:4" ht="34.5" customHeight="1" x14ac:dyDescent="0.2">
      <c r="A364" s="195">
        <v>2299</v>
      </c>
      <c r="B364" s="196" t="s">
        <v>3991</v>
      </c>
      <c r="C364" s="196">
        <v>313110</v>
      </c>
      <c r="D364" s="197" t="s">
        <v>3987</v>
      </c>
    </row>
    <row r="365" spans="1:4" ht="34.5" customHeight="1" x14ac:dyDescent="0.2">
      <c r="A365" s="195">
        <v>2299</v>
      </c>
      <c r="B365" s="196" t="s">
        <v>3991</v>
      </c>
      <c r="C365" s="196">
        <v>313110</v>
      </c>
      <c r="D365" s="197" t="s">
        <v>3987</v>
      </c>
    </row>
    <row r="366" spans="1:4" ht="17.25" customHeight="1" x14ac:dyDescent="0.2">
      <c r="A366" s="195">
        <v>2211</v>
      </c>
      <c r="B366" s="196" t="s">
        <v>3992</v>
      </c>
      <c r="C366" s="196">
        <v>313210</v>
      </c>
      <c r="D366" s="197" t="s">
        <v>2715</v>
      </c>
    </row>
    <row r="367" spans="1:4" ht="34.5" customHeight="1" x14ac:dyDescent="0.2">
      <c r="A367" s="195">
        <v>2221</v>
      </c>
      <c r="B367" s="196" t="s">
        <v>3993</v>
      </c>
      <c r="C367" s="196">
        <v>313210</v>
      </c>
      <c r="D367" s="197" t="s">
        <v>2715</v>
      </c>
    </row>
    <row r="368" spans="1:4" ht="17.25" customHeight="1" x14ac:dyDescent="0.2">
      <c r="A368" s="195">
        <v>2231</v>
      </c>
      <c r="B368" s="196" t="s">
        <v>3994</v>
      </c>
      <c r="C368" s="196">
        <v>313210</v>
      </c>
      <c r="D368" s="197" t="s">
        <v>2715</v>
      </c>
    </row>
    <row r="369" spans="1:4" ht="34.5" customHeight="1" x14ac:dyDescent="0.2">
      <c r="A369" s="195">
        <v>2299</v>
      </c>
      <c r="B369" s="196" t="s">
        <v>3991</v>
      </c>
      <c r="C369" s="196">
        <v>313210</v>
      </c>
      <c r="D369" s="197" t="s">
        <v>2715</v>
      </c>
    </row>
    <row r="370" spans="1:4" ht="17.25" customHeight="1" x14ac:dyDescent="0.2">
      <c r="A370" s="195">
        <v>2241</v>
      </c>
      <c r="B370" s="196" t="s">
        <v>3995</v>
      </c>
      <c r="C370" s="196">
        <v>313220</v>
      </c>
      <c r="D370" s="197" t="s">
        <v>2716</v>
      </c>
    </row>
    <row r="371" spans="1:4" ht="34.5" customHeight="1" x14ac:dyDescent="0.2">
      <c r="A371" s="195">
        <v>2299</v>
      </c>
      <c r="B371" s="196" t="s">
        <v>3991</v>
      </c>
      <c r="C371" s="196">
        <v>313220</v>
      </c>
      <c r="D371" s="197" t="s">
        <v>2716</v>
      </c>
    </row>
    <row r="372" spans="1:4" ht="34.5" customHeight="1" x14ac:dyDescent="0.2">
      <c r="A372" s="195">
        <v>2397</v>
      </c>
      <c r="B372" s="196" t="s">
        <v>3996</v>
      </c>
      <c r="C372" s="196">
        <v>313220</v>
      </c>
      <c r="D372" s="197" t="s">
        <v>2716</v>
      </c>
    </row>
    <row r="373" spans="1:4" ht="17.25" customHeight="1" x14ac:dyDescent="0.2">
      <c r="A373" s="195">
        <v>2297</v>
      </c>
      <c r="B373" s="196" t="s">
        <v>3997</v>
      </c>
      <c r="C373" s="196">
        <v>313230</v>
      </c>
      <c r="D373" s="197" t="s">
        <v>2717</v>
      </c>
    </row>
    <row r="374" spans="1:4" ht="34.5" customHeight="1" x14ac:dyDescent="0.2">
      <c r="A374" s="195">
        <v>2299</v>
      </c>
      <c r="B374" s="196" t="s">
        <v>3991</v>
      </c>
      <c r="C374" s="196">
        <v>313230</v>
      </c>
      <c r="D374" s="197" t="s">
        <v>2717</v>
      </c>
    </row>
    <row r="375" spans="1:4" ht="34.5" customHeight="1" x14ac:dyDescent="0.2">
      <c r="A375" s="195">
        <v>2257</v>
      </c>
      <c r="B375" s="196" t="s">
        <v>3998</v>
      </c>
      <c r="C375" s="196">
        <v>313240</v>
      </c>
      <c r="D375" s="197" t="s">
        <v>2718</v>
      </c>
    </row>
    <row r="376" spans="1:4" ht="17.25" customHeight="1" x14ac:dyDescent="0.2">
      <c r="A376" s="195">
        <v>2258</v>
      </c>
      <c r="B376" s="196" t="s">
        <v>3999</v>
      </c>
      <c r="C376" s="196">
        <v>313240</v>
      </c>
      <c r="D376" s="197" t="s">
        <v>2718</v>
      </c>
    </row>
    <row r="377" spans="1:4" ht="34.5" customHeight="1" x14ac:dyDescent="0.2">
      <c r="A377" s="195">
        <v>2259</v>
      </c>
      <c r="B377" s="196" t="s">
        <v>4000</v>
      </c>
      <c r="C377" s="196">
        <v>313240</v>
      </c>
      <c r="D377" s="197" t="s">
        <v>2718</v>
      </c>
    </row>
    <row r="378" spans="1:4" ht="34.5" customHeight="1" x14ac:dyDescent="0.2">
      <c r="A378" s="195">
        <v>2259</v>
      </c>
      <c r="B378" s="196" t="s">
        <v>4000</v>
      </c>
      <c r="C378" s="196">
        <v>313240</v>
      </c>
      <c r="D378" s="197" t="s">
        <v>2718</v>
      </c>
    </row>
    <row r="379" spans="1:4" ht="17.25" customHeight="1" x14ac:dyDescent="0.2">
      <c r="A379" s="195">
        <v>2231</v>
      </c>
      <c r="B379" s="196" t="s">
        <v>3994</v>
      </c>
      <c r="C379" s="196">
        <v>313310</v>
      </c>
      <c r="D379" s="197" t="s">
        <v>4001</v>
      </c>
    </row>
    <row r="380" spans="1:4" ht="34.5" customHeight="1" x14ac:dyDescent="0.2">
      <c r="A380" s="195">
        <v>2231</v>
      </c>
      <c r="B380" s="196" t="s">
        <v>3994</v>
      </c>
      <c r="C380" s="196">
        <v>313310</v>
      </c>
      <c r="D380" s="197" t="s">
        <v>4001</v>
      </c>
    </row>
    <row r="381" spans="1:4" ht="17.25" customHeight="1" x14ac:dyDescent="0.2">
      <c r="A381" s="195">
        <v>2251</v>
      </c>
      <c r="B381" s="196" t="s">
        <v>4002</v>
      </c>
      <c r="C381" s="196">
        <v>313310</v>
      </c>
      <c r="D381" s="197" t="s">
        <v>4001</v>
      </c>
    </row>
    <row r="382" spans="1:4" ht="34.5" customHeight="1" x14ac:dyDescent="0.2">
      <c r="A382" s="195">
        <v>2252</v>
      </c>
      <c r="B382" s="196" t="s">
        <v>4003</v>
      </c>
      <c r="C382" s="196">
        <v>313310</v>
      </c>
      <c r="D382" s="197" t="s">
        <v>4001</v>
      </c>
    </row>
    <row r="383" spans="1:4" ht="34.5" customHeight="1" x14ac:dyDescent="0.2">
      <c r="A383" s="195">
        <v>2253</v>
      </c>
      <c r="B383" s="196" t="s">
        <v>4004</v>
      </c>
      <c r="C383" s="196">
        <v>313310</v>
      </c>
      <c r="D383" s="197" t="s">
        <v>4001</v>
      </c>
    </row>
    <row r="384" spans="1:4" ht="34.5" customHeight="1" x14ac:dyDescent="0.2">
      <c r="A384" s="195">
        <v>2254</v>
      </c>
      <c r="B384" s="196" t="s">
        <v>4005</v>
      </c>
      <c r="C384" s="196">
        <v>313310</v>
      </c>
      <c r="D384" s="197" t="s">
        <v>4001</v>
      </c>
    </row>
    <row r="385" spans="1:4" ht="17.25" customHeight="1" x14ac:dyDescent="0.2">
      <c r="A385" s="195">
        <v>2257</v>
      </c>
      <c r="B385" s="196" t="s">
        <v>3998</v>
      </c>
      <c r="C385" s="196">
        <v>313310</v>
      </c>
      <c r="D385" s="197" t="s">
        <v>4001</v>
      </c>
    </row>
    <row r="386" spans="1:4" ht="17.25" customHeight="1" x14ac:dyDescent="0.2">
      <c r="A386" s="195">
        <v>2258</v>
      </c>
      <c r="B386" s="196" t="s">
        <v>3999</v>
      </c>
      <c r="C386" s="196">
        <v>313310</v>
      </c>
      <c r="D386" s="197" t="s">
        <v>4001</v>
      </c>
    </row>
    <row r="387" spans="1:4" ht="34.5" customHeight="1" x14ac:dyDescent="0.2">
      <c r="A387" s="195">
        <v>2259</v>
      </c>
      <c r="B387" s="196" t="s">
        <v>4000</v>
      </c>
      <c r="C387" s="196">
        <v>313310</v>
      </c>
      <c r="D387" s="197" t="s">
        <v>4001</v>
      </c>
    </row>
    <row r="388" spans="1:4" ht="34.5" customHeight="1" x14ac:dyDescent="0.2">
      <c r="A388" s="195">
        <v>2261</v>
      </c>
      <c r="B388" s="196" t="s">
        <v>4006</v>
      </c>
      <c r="C388" s="196">
        <v>313310</v>
      </c>
      <c r="D388" s="197" t="s">
        <v>4001</v>
      </c>
    </row>
    <row r="389" spans="1:4" ht="34.5" customHeight="1" x14ac:dyDescent="0.2">
      <c r="A389" s="195">
        <v>2262</v>
      </c>
      <c r="B389" s="196" t="s">
        <v>4007</v>
      </c>
      <c r="C389" s="196">
        <v>313310</v>
      </c>
      <c r="D389" s="197" t="s">
        <v>4001</v>
      </c>
    </row>
    <row r="390" spans="1:4" ht="34.5" customHeight="1" x14ac:dyDescent="0.2">
      <c r="A390" s="195">
        <v>2269</v>
      </c>
      <c r="B390" s="196" t="s">
        <v>4008</v>
      </c>
      <c r="C390" s="196">
        <v>313310</v>
      </c>
      <c r="D390" s="197" t="s">
        <v>4001</v>
      </c>
    </row>
    <row r="391" spans="1:4" ht="17.25" customHeight="1" x14ac:dyDescent="0.2">
      <c r="A391" s="195">
        <v>2269</v>
      </c>
      <c r="B391" s="196" t="s">
        <v>4008</v>
      </c>
      <c r="C391" s="196">
        <v>313310</v>
      </c>
      <c r="D391" s="197" t="s">
        <v>4001</v>
      </c>
    </row>
    <row r="392" spans="1:4" ht="34.5" customHeight="1" x14ac:dyDescent="0.2">
      <c r="A392" s="195">
        <v>2284</v>
      </c>
      <c r="B392" s="196" t="s">
        <v>3989</v>
      </c>
      <c r="C392" s="196">
        <v>313310</v>
      </c>
      <c r="D392" s="197" t="s">
        <v>4001</v>
      </c>
    </row>
    <row r="393" spans="1:4" ht="34.5" customHeight="1" x14ac:dyDescent="0.2">
      <c r="A393" s="195">
        <v>2299</v>
      </c>
      <c r="B393" s="196" t="s">
        <v>3991</v>
      </c>
      <c r="C393" s="196">
        <v>313310</v>
      </c>
      <c r="D393" s="197" t="s">
        <v>4001</v>
      </c>
    </row>
    <row r="394" spans="1:4" ht="34.5" customHeight="1" x14ac:dyDescent="0.2">
      <c r="A394" s="195">
        <v>5131</v>
      </c>
      <c r="B394" s="196" t="s">
        <v>4009</v>
      </c>
      <c r="C394" s="196">
        <v>313310</v>
      </c>
      <c r="D394" s="197" t="s">
        <v>4001</v>
      </c>
    </row>
    <row r="395" spans="1:4" ht="17.25" customHeight="1" x14ac:dyDescent="0.2">
      <c r="A395" s="195">
        <v>5131</v>
      </c>
      <c r="B395" s="196" t="s">
        <v>4009</v>
      </c>
      <c r="C395" s="196">
        <v>313310</v>
      </c>
      <c r="D395" s="197" t="s">
        <v>4001</v>
      </c>
    </row>
    <row r="396" spans="1:4" ht="17.25" customHeight="1" x14ac:dyDescent="0.2">
      <c r="A396" s="195">
        <v>7389</v>
      </c>
      <c r="B396" s="196" t="s">
        <v>3985</v>
      </c>
      <c r="C396" s="196">
        <v>313310</v>
      </c>
      <c r="D396" s="197" t="s">
        <v>4001</v>
      </c>
    </row>
    <row r="397" spans="1:4" ht="34.5" customHeight="1" x14ac:dyDescent="0.2">
      <c r="A397" s="195">
        <v>2295</v>
      </c>
      <c r="B397" s="196" t="s">
        <v>4010</v>
      </c>
      <c r="C397" s="196">
        <v>313320</v>
      </c>
      <c r="D397" s="197" t="s">
        <v>2720</v>
      </c>
    </row>
    <row r="398" spans="1:4" ht="34.5" customHeight="1" x14ac:dyDescent="0.2">
      <c r="A398" s="195">
        <v>3069</v>
      </c>
      <c r="B398" s="196" t="s">
        <v>4011</v>
      </c>
      <c r="C398" s="196">
        <v>313320</v>
      </c>
      <c r="D398" s="197" t="s">
        <v>2720</v>
      </c>
    </row>
    <row r="399" spans="1:4" ht="34.5" customHeight="1" x14ac:dyDescent="0.2">
      <c r="A399" s="195">
        <v>2273</v>
      </c>
      <c r="B399" s="196" t="s">
        <v>4012</v>
      </c>
      <c r="C399" s="196">
        <v>314110</v>
      </c>
      <c r="D399" s="197" t="s">
        <v>2721</v>
      </c>
    </row>
    <row r="400" spans="1:4" ht="17.25" customHeight="1" x14ac:dyDescent="0.2">
      <c r="A400" s="195">
        <v>2391</v>
      </c>
      <c r="B400" s="196" t="s">
        <v>4013</v>
      </c>
      <c r="C400" s="196">
        <v>314120</v>
      </c>
      <c r="D400" s="197" t="s">
        <v>2722</v>
      </c>
    </row>
    <row r="401" spans="1:4" ht="17.25" customHeight="1" x14ac:dyDescent="0.2">
      <c r="A401" s="195">
        <v>2392</v>
      </c>
      <c r="B401" s="196" t="s">
        <v>4014</v>
      </c>
      <c r="C401" s="196">
        <v>314120</v>
      </c>
      <c r="D401" s="197" t="s">
        <v>2722</v>
      </c>
    </row>
    <row r="402" spans="1:4" ht="34.5" customHeight="1" x14ac:dyDescent="0.2">
      <c r="A402" s="195">
        <v>5714</v>
      </c>
      <c r="B402" s="196" t="s">
        <v>4015</v>
      </c>
      <c r="C402" s="196">
        <v>314120</v>
      </c>
      <c r="D402" s="197" t="s">
        <v>2722</v>
      </c>
    </row>
    <row r="403" spans="1:4" ht="34.5" customHeight="1" x14ac:dyDescent="0.2">
      <c r="A403" s="195">
        <v>5714</v>
      </c>
      <c r="B403" s="196" t="s">
        <v>4015</v>
      </c>
      <c r="C403" s="196">
        <v>314120</v>
      </c>
      <c r="D403" s="197" t="s">
        <v>2722</v>
      </c>
    </row>
    <row r="404" spans="1:4" ht="34.5" customHeight="1" x14ac:dyDescent="0.2">
      <c r="A404" s="195">
        <v>2392</v>
      </c>
      <c r="B404" s="196" t="s">
        <v>4014</v>
      </c>
      <c r="C404" s="196">
        <v>314910</v>
      </c>
      <c r="D404" s="197" t="s">
        <v>4016</v>
      </c>
    </row>
    <row r="405" spans="1:4" ht="34.5" customHeight="1" x14ac:dyDescent="0.2">
      <c r="A405" s="195">
        <v>2393</v>
      </c>
      <c r="B405" s="196" t="s">
        <v>4017</v>
      </c>
      <c r="C405" s="196">
        <v>314910</v>
      </c>
      <c r="D405" s="197" t="s">
        <v>4016</v>
      </c>
    </row>
    <row r="406" spans="1:4" ht="34.5" customHeight="1" x14ac:dyDescent="0.2">
      <c r="A406" s="195">
        <v>2394</v>
      </c>
      <c r="B406" s="196" t="s">
        <v>4018</v>
      </c>
      <c r="C406" s="196">
        <v>314910</v>
      </c>
      <c r="D406" s="197" t="s">
        <v>4016</v>
      </c>
    </row>
    <row r="407" spans="1:4" ht="34.5" customHeight="1" x14ac:dyDescent="0.2">
      <c r="A407" s="195">
        <v>3069</v>
      </c>
      <c r="B407" s="196" t="s">
        <v>4011</v>
      </c>
      <c r="C407" s="196">
        <v>314910</v>
      </c>
      <c r="D407" s="197" t="s">
        <v>4016</v>
      </c>
    </row>
    <row r="408" spans="1:4" ht="17.25" customHeight="1" x14ac:dyDescent="0.2">
      <c r="A408" s="195">
        <v>2296</v>
      </c>
      <c r="B408" s="196" t="s">
        <v>4019</v>
      </c>
      <c r="C408" s="196">
        <v>314994</v>
      </c>
      <c r="D408" s="197" t="s">
        <v>4020</v>
      </c>
    </row>
    <row r="409" spans="1:4" ht="17.25" customHeight="1" x14ac:dyDescent="0.2">
      <c r="A409" s="195">
        <v>2298</v>
      </c>
      <c r="B409" s="196" t="s">
        <v>3990</v>
      </c>
      <c r="C409" s="196">
        <v>314994</v>
      </c>
      <c r="D409" s="197" t="s">
        <v>4020</v>
      </c>
    </row>
    <row r="410" spans="1:4" ht="34.5" customHeight="1" x14ac:dyDescent="0.2">
      <c r="A410" s="195">
        <v>2299</v>
      </c>
      <c r="B410" s="196" t="s">
        <v>3991</v>
      </c>
      <c r="C410" s="196">
        <v>314999</v>
      </c>
      <c r="D410" s="197" t="s">
        <v>4021</v>
      </c>
    </row>
    <row r="411" spans="1:4" ht="34.5" customHeight="1" x14ac:dyDescent="0.2">
      <c r="A411" s="195">
        <v>2311</v>
      </c>
      <c r="B411" s="196" t="s">
        <v>4022</v>
      </c>
      <c r="C411" s="196">
        <v>314999</v>
      </c>
      <c r="D411" s="197" t="s">
        <v>4021</v>
      </c>
    </row>
    <row r="412" spans="1:4" ht="34.5" customHeight="1" x14ac:dyDescent="0.2">
      <c r="A412" s="195">
        <v>2321</v>
      </c>
      <c r="B412" s="196" t="s">
        <v>4023</v>
      </c>
      <c r="C412" s="196">
        <v>314999</v>
      </c>
      <c r="D412" s="197" t="s">
        <v>4021</v>
      </c>
    </row>
    <row r="413" spans="1:4" ht="34.5" customHeight="1" x14ac:dyDescent="0.2">
      <c r="A413" s="195">
        <v>2322</v>
      </c>
      <c r="B413" s="196" t="s">
        <v>4024</v>
      </c>
      <c r="C413" s="196">
        <v>314999</v>
      </c>
      <c r="D413" s="197" t="s">
        <v>4021</v>
      </c>
    </row>
    <row r="414" spans="1:4" ht="34.5" customHeight="1" x14ac:dyDescent="0.2">
      <c r="A414" s="195">
        <v>2323</v>
      </c>
      <c r="B414" s="196" t="s">
        <v>4025</v>
      </c>
      <c r="C414" s="196">
        <v>314999</v>
      </c>
      <c r="D414" s="197" t="s">
        <v>4021</v>
      </c>
    </row>
    <row r="415" spans="1:4" ht="34.5" customHeight="1" x14ac:dyDescent="0.2">
      <c r="A415" s="195">
        <v>2325</v>
      </c>
      <c r="B415" s="196" t="s">
        <v>4026</v>
      </c>
      <c r="C415" s="196">
        <v>314999</v>
      </c>
      <c r="D415" s="197" t="s">
        <v>4021</v>
      </c>
    </row>
    <row r="416" spans="1:4" ht="34.5" customHeight="1" x14ac:dyDescent="0.2">
      <c r="A416" s="195">
        <v>2326</v>
      </c>
      <c r="B416" s="196" t="s">
        <v>4027</v>
      </c>
      <c r="C416" s="196">
        <v>314999</v>
      </c>
      <c r="D416" s="197" t="s">
        <v>4021</v>
      </c>
    </row>
    <row r="417" spans="1:4" ht="34.5" customHeight="1" x14ac:dyDescent="0.2">
      <c r="A417" s="195">
        <v>2329</v>
      </c>
      <c r="B417" s="196" t="s">
        <v>4028</v>
      </c>
      <c r="C417" s="196">
        <v>314999</v>
      </c>
      <c r="D417" s="197" t="s">
        <v>4021</v>
      </c>
    </row>
    <row r="418" spans="1:4" ht="34.5" customHeight="1" x14ac:dyDescent="0.2">
      <c r="A418" s="195">
        <v>2331</v>
      </c>
      <c r="B418" s="196" t="s">
        <v>4029</v>
      </c>
      <c r="C418" s="196">
        <v>314999</v>
      </c>
      <c r="D418" s="197" t="s">
        <v>4021</v>
      </c>
    </row>
    <row r="419" spans="1:4" ht="34.5" customHeight="1" x14ac:dyDescent="0.2">
      <c r="A419" s="195">
        <v>2335</v>
      </c>
      <c r="B419" s="196" t="s">
        <v>4030</v>
      </c>
      <c r="C419" s="196">
        <v>314999</v>
      </c>
      <c r="D419" s="197" t="s">
        <v>4021</v>
      </c>
    </row>
    <row r="420" spans="1:4" ht="17.25" customHeight="1" x14ac:dyDescent="0.2">
      <c r="A420" s="195">
        <v>2337</v>
      </c>
      <c r="B420" s="196" t="s">
        <v>4031</v>
      </c>
      <c r="C420" s="196">
        <v>314999</v>
      </c>
      <c r="D420" s="197" t="s">
        <v>4021</v>
      </c>
    </row>
    <row r="421" spans="1:4" ht="17.25" customHeight="1" x14ac:dyDescent="0.2">
      <c r="A421" s="195">
        <v>2339</v>
      </c>
      <c r="B421" s="196" t="s">
        <v>4032</v>
      </c>
      <c r="C421" s="196">
        <v>314999</v>
      </c>
      <c r="D421" s="197" t="s">
        <v>4021</v>
      </c>
    </row>
    <row r="422" spans="1:4" ht="17.25" customHeight="1" x14ac:dyDescent="0.2">
      <c r="A422" s="195">
        <v>2341</v>
      </c>
      <c r="B422" s="196" t="s">
        <v>4033</v>
      </c>
      <c r="C422" s="196">
        <v>314999</v>
      </c>
      <c r="D422" s="197" t="s">
        <v>4021</v>
      </c>
    </row>
    <row r="423" spans="1:4" ht="34.5" customHeight="1" x14ac:dyDescent="0.2">
      <c r="A423" s="195">
        <v>2341</v>
      </c>
      <c r="B423" s="196" t="s">
        <v>4033</v>
      </c>
      <c r="C423" s="196">
        <v>314999</v>
      </c>
      <c r="D423" s="197" t="s">
        <v>4021</v>
      </c>
    </row>
    <row r="424" spans="1:4" ht="34.5" customHeight="1" x14ac:dyDescent="0.2">
      <c r="A424" s="195">
        <v>2342</v>
      </c>
      <c r="B424" s="196" t="s">
        <v>4034</v>
      </c>
      <c r="C424" s="196">
        <v>314999</v>
      </c>
      <c r="D424" s="197" t="s">
        <v>4021</v>
      </c>
    </row>
    <row r="425" spans="1:4" ht="17.25" customHeight="1" x14ac:dyDescent="0.2">
      <c r="A425" s="195">
        <v>2353</v>
      </c>
      <c r="B425" s="196" t="s">
        <v>4035</v>
      </c>
      <c r="C425" s="196">
        <v>314999</v>
      </c>
      <c r="D425" s="197" t="s">
        <v>4021</v>
      </c>
    </row>
    <row r="426" spans="1:4" ht="17.25" customHeight="1" x14ac:dyDescent="0.2">
      <c r="A426" s="195">
        <v>2353</v>
      </c>
      <c r="B426" s="196" t="s">
        <v>4035</v>
      </c>
      <c r="C426" s="196">
        <v>314999</v>
      </c>
      <c r="D426" s="197" t="s">
        <v>4021</v>
      </c>
    </row>
    <row r="427" spans="1:4" ht="34.5" customHeight="1" x14ac:dyDescent="0.2">
      <c r="A427" s="195">
        <v>2361</v>
      </c>
      <c r="B427" s="196" t="s">
        <v>4036</v>
      </c>
      <c r="C427" s="196">
        <v>314999</v>
      </c>
      <c r="D427" s="197" t="s">
        <v>4021</v>
      </c>
    </row>
    <row r="428" spans="1:4" ht="34.5" customHeight="1" x14ac:dyDescent="0.2">
      <c r="A428" s="195">
        <v>2361</v>
      </c>
      <c r="B428" s="196" t="s">
        <v>4036</v>
      </c>
      <c r="C428" s="196">
        <v>314999</v>
      </c>
      <c r="D428" s="197" t="s">
        <v>4021</v>
      </c>
    </row>
    <row r="429" spans="1:4" ht="34.5" customHeight="1" x14ac:dyDescent="0.2">
      <c r="A429" s="195">
        <v>2369</v>
      </c>
      <c r="B429" s="196" t="s">
        <v>4037</v>
      </c>
      <c r="C429" s="196">
        <v>314999</v>
      </c>
      <c r="D429" s="197" t="s">
        <v>4021</v>
      </c>
    </row>
    <row r="430" spans="1:4" ht="17.25" customHeight="1" x14ac:dyDescent="0.2">
      <c r="A430" s="195">
        <v>2369</v>
      </c>
      <c r="B430" s="196" t="s">
        <v>4037</v>
      </c>
      <c r="C430" s="196">
        <v>314999</v>
      </c>
      <c r="D430" s="197" t="s">
        <v>4021</v>
      </c>
    </row>
    <row r="431" spans="1:4" ht="17.25" customHeight="1" x14ac:dyDescent="0.2">
      <c r="A431" s="195">
        <v>2371</v>
      </c>
      <c r="B431" s="196" t="s">
        <v>4038</v>
      </c>
      <c r="C431" s="196">
        <v>314999</v>
      </c>
      <c r="D431" s="197" t="s">
        <v>4021</v>
      </c>
    </row>
    <row r="432" spans="1:4" ht="34.5" customHeight="1" x14ac:dyDescent="0.2">
      <c r="A432" s="195">
        <v>2371</v>
      </c>
      <c r="B432" s="196" t="s">
        <v>4038</v>
      </c>
      <c r="C432" s="196">
        <v>314999</v>
      </c>
      <c r="D432" s="197" t="s">
        <v>4021</v>
      </c>
    </row>
    <row r="433" spans="1:4" ht="34.5" customHeight="1" x14ac:dyDescent="0.2">
      <c r="A433" s="195">
        <v>2381</v>
      </c>
      <c r="B433" s="196" t="s">
        <v>4039</v>
      </c>
      <c r="C433" s="196">
        <v>314999</v>
      </c>
      <c r="D433" s="197" t="s">
        <v>4021</v>
      </c>
    </row>
    <row r="434" spans="1:4" ht="34.5" customHeight="1" x14ac:dyDescent="0.2">
      <c r="A434" s="195">
        <v>2381</v>
      </c>
      <c r="B434" s="196" t="s">
        <v>4039</v>
      </c>
      <c r="C434" s="196">
        <v>314999</v>
      </c>
      <c r="D434" s="197" t="s">
        <v>4021</v>
      </c>
    </row>
    <row r="435" spans="1:4" ht="34.5" customHeight="1" x14ac:dyDescent="0.2">
      <c r="A435" s="195">
        <v>2384</v>
      </c>
      <c r="B435" s="196" t="s">
        <v>4040</v>
      </c>
      <c r="C435" s="196">
        <v>314999</v>
      </c>
      <c r="D435" s="197" t="s">
        <v>4021</v>
      </c>
    </row>
    <row r="436" spans="1:4" ht="17.25" customHeight="1" x14ac:dyDescent="0.2">
      <c r="A436" s="195">
        <v>2384</v>
      </c>
      <c r="B436" s="196" t="s">
        <v>4040</v>
      </c>
      <c r="C436" s="196">
        <v>314999</v>
      </c>
      <c r="D436" s="197" t="s">
        <v>4021</v>
      </c>
    </row>
    <row r="437" spans="1:4" ht="17.25" customHeight="1" x14ac:dyDescent="0.2">
      <c r="A437" s="195">
        <v>2385</v>
      </c>
      <c r="B437" s="196" t="s">
        <v>4041</v>
      </c>
      <c r="C437" s="196">
        <v>314999</v>
      </c>
      <c r="D437" s="197" t="s">
        <v>4021</v>
      </c>
    </row>
    <row r="438" spans="1:4" ht="34.5" customHeight="1" x14ac:dyDescent="0.2">
      <c r="A438" s="195">
        <v>2385</v>
      </c>
      <c r="B438" s="196" t="s">
        <v>4041</v>
      </c>
      <c r="C438" s="196">
        <v>314999</v>
      </c>
      <c r="D438" s="197" t="s">
        <v>4021</v>
      </c>
    </row>
    <row r="439" spans="1:4" ht="34.5" customHeight="1" x14ac:dyDescent="0.2">
      <c r="A439" s="195">
        <v>2386</v>
      </c>
      <c r="B439" s="196" t="s">
        <v>4042</v>
      </c>
      <c r="C439" s="196">
        <v>314999</v>
      </c>
      <c r="D439" s="197" t="s">
        <v>4021</v>
      </c>
    </row>
    <row r="440" spans="1:4" ht="34.5" customHeight="1" x14ac:dyDescent="0.2">
      <c r="A440" s="195">
        <v>2386</v>
      </c>
      <c r="B440" s="196" t="s">
        <v>4042</v>
      </c>
      <c r="C440" s="196">
        <v>314999</v>
      </c>
      <c r="D440" s="197" t="s">
        <v>4021</v>
      </c>
    </row>
    <row r="441" spans="1:4" ht="34.5" customHeight="1" x14ac:dyDescent="0.2">
      <c r="A441" s="195">
        <v>2387</v>
      </c>
      <c r="B441" s="196" t="s">
        <v>4043</v>
      </c>
      <c r="C441" s="196">
        <v>314999</v>
      </c>
      <c r="D441" s="197" t="s">
        <v>4021</v>
      </c>
    </row>
    <row r="442" spans="1:4" ht="34.5" customHeight="1" x14ac:dyDescent="0.2">
      <c r="A442" s="195">
        <v>2387</v>
      </c>
      <c r="B442" s="196" t="s">
        <v>4043</v>
      </c>
      <c r="C442" s="196">
        <v>314999</v>
      </c>
      <c r="D442" s="197" t="s">
        <v>4021</v>
      </c>
    </row>
    <row r="443" spans="1:4" ht="17.25" customHeight="1" x14ac:dyDescent="0.2">
      <c r="A443" s="195">
        <v>2389</v>
      </c>
      <c r="B443" s="196" t="s">
        <v>4044</v>
      </c>
      <c r="C443" s="196">
        <v>314999</v>
      </c>
      <c r="D443" s="197" t="s">
        <v>4021</v>
      </c>
    </row>
    <row r="444" spans="1:4" ht="34.5" customHeight="1" x14ac:dyDescent="0.2">
      <c r="A444" s="195">
        <v>2389</v>
      </c>
      <c r="B444" s="196" t="s">
        <v>4044</v>
      </c>
      <c r="C444" s="196">
        <v>314999</v>
      </c>
      <c r="D444" s="197" t="s">
        <v>4021</v>
      </c>
    </row>
    <row r="445" spans="1:4" ht="34.5" customHeight="1" x14ac:dyDescent="0.2">
      <c r="A445" s="195">
        <v>2392</v>
      </c>
      <c r="B445" s="196" t="s">
        <v>4014</v>
      </c>
      <c r="C445" s="196">
        <v>314999</v>
      </c>
      <c r="D445" s="197" t="s">
        <v>4021</v>
      </c>
    </row>
    <row r="446" spans="1:4" ht="34.5" customHeight="1" x14ac:dyDescent="0.2">
      <c r="A446" s="195">
        <v>2395</v>
      </c>
      <c r="B446" s="196" t="s">
        <v>4045</v>
      </c>
      <c r="C446" s="196">
        <v>314999</v>
      </c>
      <c r="D446" s="197" t="s">
        <v>4021</v>
      </c>
    </row>
    <row r="447" spans="1:4" ht="17.25" customHeight="1" x14ac:dyDescent="0.2">
      <c r="A447" s="195">
        <v>2395</v>
      </c>
      <c r="B447" s="196" t="s">
        <v>4045</v>
      </c>
      <c r="C447" s="196">
        <v>314999</v>
      </c>
      <c r="D447" s="197" t="s">
        <v>4021</v>
      </c>
    </row>
    <row r="448" spans="1:4" ht="17.25" customHeight="1" x14ac:dyDescent="0.2">
      <c r="A448" s="195">
        <v>2395</v>
      </c>
      <c r="B448" s="196" t="s">
        <v>4045</v>
      </c>
      <c r="C448" s="196">
        <v>314999</v>
      </c>
      <c r="D448" s="197" t="s">
        <v>4021</v>
      </c>
    </row>
    <row r="449" spans="1:4" ht="17.25" customHeight="1" x14ac:dyDescent="0.2">
      <c r="A449" s="195">
        <v>2396</v>
      </c>
      <c r="B449" s="196" t="s">
        <v>4046</v>
      </c>
      <c r="C449" s="196">
        <v>314999</v>
      </c>
      <c r="D449" s="197" t="s">
        <v>4021</v>
      </c>
    </row>
    <row r="450" spans="1:4" ht="34.5" customHeight="1" x14ac:dyDescent="0.2">
      <c r="A450" s="195">
        <v>2396</v>
      </c>
      <c r="B450" s="196" t="s">
        <v>4046</v>
      </c>
      <c r="C450" s="196">
        <v>314999</v>
      </c>
      <c r="D450" s="197" t="s">
        <v>4021</v>
      </c>
    </row>
    <row r="451" spans="1:4" ht="34.5" customHeight="1" x14ac:dyDescent="0.2">
      <c r="A451" s="195">
        <v>2396</v>
      </c>
      <c r="B451" s="196" t="s">
        <v>4046</v>
      </c>
      <c r="C451" s="196">
        <v>314999</v>
      </c>
      <c r="D451" s="197" t="s">
        <v>4021</v>
      </c>
    </row>
    <row r="452" spans="1:4" ht="17.25" customHeight="1" x14ac:dyDescent="0.2">
      <c r="A452" s="195">
        <v>2399</v>
      </c>
      <c r="B452" s="196" t="s">
        <v>4047</v>
      </c>
      <c r="C452" s="196">
        <v>314999</v>
      </c>
      <c r="D452" s="197" t="s">
        <v>4021</v>
      </c>
    </row>
    <row r="453" spans="1:4" ht="17.25" customHeight="1" x14ac:dyDescent="0.2">
      <c r="A453" s="195">
        <v>2399</v>
      </c>
      <c r="B453" s="196" t="s">
        <v>4047</v>
      </c>
      <c r="C453" s="196">
        <v>314999</v>
      </c>
      <c r="D453" s="197" t="s">
        <v>4021</v>
      </c>
    </row>
    <row r="454" spans="1:4" ht="34.5" customHeight="1" x14ac:dyDescent="0.2">
      <c r="A454" s="195">
        <v>2399</v>
      </c>
      <c r="B454" s="196" t="s">
        <v>4047</v>
      </c>
      <c r="C454" s="196">
        <v>314999</v>
      </c>
      <c r="D454" s="197" t="s">
        <v>4021</v>
      </c>
    </row>
    <row r="455" spans="1:4" ht="34.5" customHeight="1" x14ac:dyDescent="0.2">
      <c r="A455" s="195">
        <v>3151</v>
      </c>
      <c r="B455" s="196" t="s">
        <v>4048</v>
      </c>
      <c r="C455" s="196">
        <v>314999</v>
      </c>
      <c r="D455" s="197" t="s">
        <v>4021</v>
      </c>
    </row>
    <row r="456" spans="1:4" ht="34.5" customHeight="1" x14ac:dyDescent="0.2">
      <c r="A456" s="195">
        <v>3151</v>
      </c>
      <c r="B456" s="196" t="s">
        <v>4048</v>
      </c>
      <c r="C456" s="196">
        <v>314999</v>
      </c>
      <c r="D456" s="197" t="s">
        <v>4021</v>
      </c>
    </row>
    <row r="457" spans="1:4" ht="17.25" customHeight="1" x14ac:dyDescent="0.2">
      <c r="A457" s="195">
        <v>3569</v>
      </c>
      <c r="B457" s="196" t="s">
        <v>4049</v>
      </c>
      <c r="C457" s="196">
        <v>314999</v>
      </c>
      <c r="D457" s="197" t="s">
        <v>4021</v>
      </c>
    </row>
    <row r="458" spans="1:4" ht="17.25" customHeight="1" x14ac:dyDescent="0.2">
      <c r="A458" s="195">
        <v>7389</v>
      </c>
      <c r="B458" s="196" t="s">
        <v>3985</v>
      </c>
      <c r="C458" s="196">
        <v>314999</v>
      </c>
      <c r="D458" s="197" t="s">
        <v>4021</v>
      </c>
    </row>
    <row r="459" spans="1:4" ht="34.5" customHeight="1" x14ac:dyDescent="0.2">
      <c r="A459" s="195">
        <v>2253</v>
      </c>
      <c r="B459" s="196" t="s">
        <v>4004</v>
      </c>
      <c r="C459" s="196">
        <v>315120</v>
      </c>
      <c r="D459" s="197" t="s">
        <v>2727</v>
      </c>
    </row>
    <row r="460" spans="1:4" ht="17.25" customHeight="1" x14ac:dyDescent="0.2">
      <c r="A460" s="195">
        <v>2253</v>
      </c>
      <c r="B460" s="196" t="s">
        <v>4004</v>
      </c>
      <c r="C460" s="196">
        <v>315120</v>
      </c>
      <c r="D460" s="197" t="s">
        <v>2727</v>
      </c>
    </row>
    <row r="461" spans="1:4" ht="34.5" customHeight="1" x14ac:dyDescent="0.2">
      <c r="A461" s="195">
        <v>2254</v>
      </c>
      <c r="B461" s="196" t="s">
        <v>4005</v>
      </c>
      <c r="C461" s="196">
        <v>315120</v>
      </c>
      <c r="D461" s="197" t="s">
        <v>2727</v>
      </c>
    </row>
    <row r="462" spans="1:4" ht="17.25" customHeight="1" x14ac:dyDescent="0.2">
      <c r="A462" s="195">
        <v>2259</v>
      </c>
      <c r="B462" s="196" t="s">
        <v>4000</v>
      </c>
      <c r="C462" s="196">
        <v>315120</v>
      </c>
      <c r="D462" s="197" t="s">
        <v>2727</v>
      </c>
    </row>
    <row r="463" spans="1:4" ht="17.25" customHeight="1" x14ac:dyDescent="0.2">
      <c r="A463" s="195">
        <v>2259</v>
      </c>
      <c r="B463" s="196" t="s">
        <v>4000</v>
      </c>
      <c r="C463" s="196">
        <v>315120</v>
      </c>
      <c r="D463" s="197" t="s">
        <v>2727</v>
      </c>
    </row>
    <row r="464" spans="1:4" ht="17.25" customHeight="1" x14ac:dyDescent="0.2">
      <c r="A464" s="195">
        <v>2251</v>
      </c>
      <c r="B464" s="196" t="s">
        <v>4002</v>
      </c>
      <c r="C464" s="196">
        <v>315120</v>
      </c>
      <c r="D464" s="197" t="s">
        <v>2727</v>
      </c>
    </row>
    <row r="465" spans="1:4" ht="34.5" customHeight="1" x14ac:dyDescent="0.2">
      <c r="A465" s="195">
        <v>2252</v>
      </c>
      <c r="B465" s="196" t="s">
        <v>4003</v>
      </c>
      <c r="C465" s="196">
        <v>315120</v>
      </c>
      <c r="D465" s="197" t="s">
        <v>2727</v>
      </c>
    </row>
    <row r="466" spans="1:4" ht="17.25" customHeight="1" x14ac:dyDescent="0.2">
      <c r="A466" s="195">
        <v>2252</v>
      </c>
      <c r="B466" s="196" t="s">
        <v>4003</v>
      </c>
      <c r="C466" s="196">
        <v>315120</v>
      </c>
      <c r="D466" s="197" t="s">
        <v>2727</v>
      </c>
    </row>
    <row r="467" spans="1:4" ht="17.25" customHeight="1" x14ac:dyDescent="0.2">
      <c r="A467" s="195">
        <v>2311</v>
      </c>
      <c r="B467" s="196" t="s">
        <v>4022</v>
      </c>
      <c r="C467" s="196">
        <v>315210</v>
      </c>
      <c r="D467" s="197" t="s">
        <v>4050</v>
      </c>
    </row>
    <row r="468" spans="1:4" ht="17.25" customHeight="1" x14ac:dyDescent="0.2">
      <c r="A468" s="195">
        <v>2321</v>
      </c>
      <c r="B468" s="196" t="s">
        <v>4023</v>
      </c>
      <c r="C468" s="196">
        <v>315210</v>
      </c>
      <c r="D468" s="197" t="s">
        <v>4050</v>
      </c>
    </row>
    <row r="469" spans="1:4" ht="34.5" customHeight="1" x14ac:dyDescent="0.2">
      <c r="A469" s="195">
        <v>2322</v>
      </c>
      <c r="B469" s="196" t="s">
        <v>4024</v>
      </c>
      <c r="C469" s="196">
        <v>315210</v>
      </c>
      <c r="D469" s="197" t="s">
        <v>4050</v>
      </c>
    </row>
    <row r="470" spans="1:4" ht="34.5" customHeight="1" x14ac:dyDescent="0.2">
      <c r="A470" s="195">
        <v>2323</v>
      </c>
      <c r="B470" s="196" t="s">
        <v>4025</v>
      </c>
      <c r="C470" s="196">
        <v>315210</v>
      </c>
      <c r="D470" s="197" t="s">
        <v>4050</v>
      </c>
    </row>
    <row r="471" spans="1:4" ht="34.5" customHeight="1" x14ac:dyDescent="0.2">
      <c r="A471" s="195">
        <v>2325</v>
      </c>
      <c r="B471" s="196" t="s">
        <v>4026</v>
      </c>
      <c r="C471" s="196">
        <v>315210</v>
      </c>
      <c r="D471" s="197" t="s">
        <v>4050</v>
      </c>
    </row>
    <row r="472" spans="1:4" ht="17.25" customHeight="1" x14ac:dyDescent="0.2">
      <c r="A472" s="195">
        <v>2326</v>
      </c>
      <c r="B472" s="196" t="s">
        <v>4027</v>
      </c>
      <c r="C472" s="196">
        <v>315210</v>
      </c>
      <c r="D472" s="197" t="s">
        <v>4050</v>
      </c>
    </row>
    <row r="473" spans="1:4" ht="17.25" customHeight="1" x14ac:dyDescent="0.2">
      <c r="A473" s="195">
        <v>2329</v>
      </c>
      <c r="B473" s="196" t="s">
        <v>4028</v>
      </c>
      <c r="C473" s="196">
        <v>315210</v>
      </c>
      <c r="D473" s="197" t="s">
        <v>4050</v>
      </c>
    </row>
    <row r="474" spans="1:4" ht="34.5" customHeight="1" x14ac:dyDescent="0.2">
      <c r="A474" s="195">
        <v>2331</v>
      </c>
      <c r="B474" s="196" t="s">
        <v>4029</v>
      </c>
      <c r="C474" s="196">
        <v>315210</v>
      </c>
      <c r="D474" s="197" t="s">
        <v>4050</v>
      </c>
    </row>
    <row r="475" spans="1:4" ht="34.5" customHeight="1" x14ac:dyDescent="0.2">
      <c r="A475" s="195">
        <v>2335</v>
      </c>
      <c r="B475" s="196" t="s">
        <v>4030</v>
      </c>
      <c r="C475" s="196">
        <v>315210</v>
      </c>
      <c r="D475" s="197" t="s">
        <v>4050</v>
      </c>
    </row>
    <row r="476" spans="1:4" ht="34.5" customHeight="1" x14ac:dyDescent="0.2">
      <c r="A476" s="195">
        <v>2337</v>
      </c>
      <c r="B476" s="196" t="s">
        <v>4031</v>
      </c>
      <c r="C476" s="196">
        <v>315210</v>
      </c>
      <c r="D476" s="197" t="s">
        <v>4050</v>
      </c>
    </row>
    <row r="477" spans="1:4" ht="17.25" customHeight="1" x14ac:dyDescent="0.2">
      <c r="A477" s="195">
        <v>2339</v>
      </c>
      <c r="B477" s="196" t="s">
        <v>4032</v>
      </c>
      <c r="C477" s="196">
        <v>315210</v>
      </c>
      <c r="D477" s="197" t="s">
        <v>4050</v>
      </c>
    </row>
    <row r="478" spans="1:4" ht="17.25" customHeight="1" x14ac:dyDescent="0.2">
      <c r="A478" s="195">
        <v>2341</v>
      </c>
      <c r="B478" s="196" t="s">
        <v>4033</v>
      </c>
      <c r="C478" s="196">
        <v>315210</v>
      </c>
      <c r="D478" s="197" t="s">
        <v>4050</v>
      </c>
    </row>
    <row r="479" spans="1:4" ht="34.5" customHeight="1" x14ac:dyDescent="0.2">
      <c r="A479" s="195">
        <v>2341</v>
      </c>
      <c r="B479" s="196" t="s">
        <v>4033</v>
      </c>
      <c r="C479" s="196">
        <v>315210</v>
      </c>
      <c r="D479" s="197" t="s">
        <v>4050</v>
      </c>
    </row>
    <row r="480" spans="1:4" ht="17.25" customHeight="1" x14ac:dyDescent="0.2">
      <c r="A480" s="195">
        <v>2342</v>
      </c>
      <c r="B480" s="196" t="s">
        <v>4034</v>
      </c>
      <c r="C480" s="196">
        <v>315210</v>
      </c>
      <c r="D480" s="197" t="s">
        <v>4050</v>
      </c>
    </row>
    <row r="481" spans="1:4" ht="34.5" customHeight="1" x14ac:dyDescent="0.2">
      <c r="A481" s="195">
        <v>2353</v>
      </c>
      <c r="B481" s="196" t="s">
        <v>4035</v>
      </c>
      <c r="C481" s="196">
        <v>315210</v>
      </c>
      <c r="D481" s="197" t="s">
        <v>4050</v>
      </c>
    </row>
    <row r="482" spans="1:4" ht="34.5" customHeight="1" x14ac:dyDescent="0.2">
      <c r="A482" s="195">
        <v>2353</v>
      </c>
      <c r="B482" s="196" t="s">
        <v>4035</v>
      </c>
      <c r="C482" s="196">
        <v>315210</v>
      </c>
      <c r="D482" s="197" t="s">
        <v>4050</v>
      </c>
    </row>
    <row r="483" spans="1:4" ht="34.5" customHeight="1" x14ac:dyDescent="0.2">
      <c r="A483" s="195">
        <v>2361</v>
      </c>
      <c r="B483" s="196" t="s">
        <v>4036</v>
      </c>
      <c r="C483" s="196">
        <v>315210</v>
      </c>
      <c r="D483" s="197" t="s">
        <v>4050</v>
      </c>
    </row>
    <row r="484" spans="1:4" ht="34.5" customHeight="1" x14ac:dyDescent="0.2">
      <c r="A484" s="195">
        <v>2361</v>
      </c>
      <c r="B484" s="196" t="s">
        <v>4036</v>
      </c>
      <c r="C484" s="196">
        <v>315210</v>
      </c>
      <c r="D484" s="197" t="s">
        <v>4050</v>
      </c>
    </row>
    <row r="485" spans="1:4" ht="34.5" customHeight="1" x14ac:dyDescent="0.2">
      <c r="A485" s="195">
        <v>2369</v>
      </c>
      <c r="B485" s="196" t="s">
        <v>4037</v>
      </c>
      <c r="C485" s="196">
        <v>315210</v>
      </c>
      <c r="D485" s="197" t="s">
        <v>4050</v>
      </c>
    </row>
    <row r="486" spans="1:4" ht="17.25" customHeight="1" x14ac:dyDescent="0.2">
      <c r="A486" s="195">
        <v>2369</v>
      </c>
      <c r="B486" s="196" t="s">
        <v>4037</v>
      </c>
      <c r="C486" s="196">
        <v>315210</v>
      </c>
      <c r="D486" s="197" t="s">
        <v>4050</v>
      </c>
    </row>
    <row r="487" spans="1:4" ht="17.25" customHeight="1" x14ac:dyDescent="0.2">
      <c r="A487" s="195">
        <v>2371</v>
      </c>
      <c r="B487" s="196" t="s">
        <v>4038</v>
      </c>
      <c r="C487" s="196">
        <v>315210</v>
      </c>
      <c r="D487" s="197" t="s">
        <v>4050</v>
      </c>
    </row>
    <row r="488" spans="1:4" ht="34.5" customHeight="1" x14ac:dyDescent="0.2">
      <c r="A488" s="195">
        <v>2371</v>
      </c>
      <c r="B488" s="196" t="s">
        <v>4038</v>
      </c>
      <c r="C488" s="196">
        <v>315210</v>
      </c>
      <c r="D488" s="197" t="s">
        <v>4050</v>
      </c>
    </row>
    <row r="489" spans="1:4" ht="34.5" customHeight="1" x14ac:dyDescent="0.2">
      <c r="A489" s="195">
        <v>2381</v>
      </c>
      <c r="B489" s="196" t="s">
        <v>4039</v>
      </c>
      <c r="C489" s="196">
        <v>315210</v>
      </c>
      <c r="D489" s="197" t="s">
        <v>4050</v>
      </c>
    </row>
    <row r="490" spans="1:4" ht="17.25" customHeight="1" x14ac:dyDescent="0.2">
      <c r="A490" s="195">
        <v>2381</v>
      </c>
      <c r="B490" s="196" t="s">
        <v>4039</v>
      </c>
      <c r="C490" s="196">
        <v>315210</v>
      </c>
      <c r="D490" s="197" t="s">
        <v>4050</v>
      </c>
    </row>
    <row r="491" spans="1:4" ht="17.25" customHeight="1" x14ac:dyDescent="0.2">
      <c r="A491" s="195">
        <v>2384</v>
      </c>
      <c r="B491" s="196" t="s">
        <v>4040</v>
      </c>
      <c r="C491" s="196">
        <v>315210</v>
      </c>
      <c r="D491" s="197" t="s">
        <v>4050</v>
      </c>
    </row>
    <row r="492" spans="1:4" ht="17.25" customHeight="1" x14ac:dyDescent="0.2">
      <c r="A492" s="195">
        <v>2384</v>
      </c>
      <c r="B492" s="196" t="s">
        <v>4040</v>
      </c>
      <c r="C492" s="196">
        <v>315210</v>
      </c>
      <c r="D492" s="197" t="s">
        <v>4050</v>
      </c>
    </row>
    <row r="493" spans="1:4" ht="17.25" customHeight="1" x14ac:dyDescent="0.2">
      <c r="A493" s="195">
        <v>2385</v>
      </c>
      <c r="B493" s="196" t="s">
        <v>4041</v>
      </c>
      <c r="C493" s="196">
        <v>315210</v>
      </c>
      <c r="D493" s="197" t="s">
        <v>4050</v>
      </c>
    </row>
    <row r="494" spans="1:4" ht="17.25" customHeight="1" x14ac:dyDescent="0.2">
      <c r="A494" s="195">
        <v>2385</v>
      </c>
      <c r="B494" s="196" t="s">
        <v>4041</v>
      </c>
      <c r="C494" s="196">
        <v>315210</v>
      </c>
      <c r="D494" s="197" t="s">
        <v>4050</v>
      </c>
    </row>
    <row r="495" spans="1:4" ht="34.5" customHeight="1" x14ac:dyDescent="0.2">
      <c r="A495" s="195">
        <v>2386</v>
      </c>
      <c r="B495" s="196" t="s">
        <v>4042</v>
      </c>
      <c r="C495" s="196">
        <v>315210</v>
      </c>
      <c r="D495" s="197" t="s">
        <v>4050</v>
      </c>
    </row>
    <row r="496" spans="1:4" ht="17.25" customHeight="1" x14ac:dyDescent="0.2">
      <c r="A496" s="195">
        <v>2386</v>
      </c>
      <c r="B496" s="196" t="s">
        <v>4042</v>
      </c>
      <c r="C496" s="196">
        <v>315210</v>
      </c>
      <c r="D496" s="197" t="s">
        <v>4050</v>
      </c>
    </row>
    <row r="497" spans="1:4" ht="17.25" customHeight="1" x14ac:dyDescent="0.2">
      <c r="A497" s="195">
        <v>2387</v>
      </c>
      <c r="B497" s="196" t="s">
        <v>4043</v>
      </c>
      <c r="C497" s="196">
        <v>315210</v>
      </c>
      <c r="D497" s="197" t="s">
        <v>4050</v>
      </c>
    </row>
    <row r="498" spans="1:4" ht="17.25" customHeight="1" x14ac:dyDescent="0.2">
      <c r="A498" s="195">
        <v>2387</v>
      </c>
      <c r="B498" s="196" t="s">
        <v>4043</v>
      </c>
      <c r="C498" s="196">
        <v>315210</v>
      </c>
      <c r="D498" s="197" t="s">
        <v>4050</v>
      </c>
    </row>
    <row r="499" spans="1:4" ht="34.5" customHeight="1" x14ac:dyDescent="0.2">
      <c r="A499" s="195">
        <v>2389</v>
      </c>
      <c r="B499" s="196" t="s">
        <v>4044</v>
      </c>
      <c r="C499" s="196">
        <v>315210</v>
      </c>
      <c r="D499" s="197" t="s">
        <v>4050</v>
      </c>
    </row>
    <row r="500" spans="1:4" ht="17.25" customHeight="1" x14ac:dyDescent="0.2">
      <c r="A500" s="195">
        <v>2389</v>
      </c>
      <c r="B500" s="196" t="s">
        <v>4044</v>
      </c>
      <c r="C500" s="196">
        <v>315210</v>
      </c>
      <c r="D500" s="197" t="s">
        <v>4050</v>
      </c>
    </row>
    <row r="501" spans="1:4" ht="17.25" customHeight="1" x14ac:dyDescent="0.2">
      <c r="A501" s="195">
        <v>2395</v>
      </c>
      <c r="B501" s="196" t="s">
        <v>4045</v>
      </c>
      <c r="C501" s="196">
        <v>315210</v>
      </c>
      <c r="D501" s="197" t="s">
        <v>4050</v>
      </c>
    </row>
    <row r="502" spans="1:4" ht="34.5" customHeight="1" x14ac:dyDescent="0.2">
      <c r="A502" s="195">
        <v>2395</v>
      </c>
      <c r="B502" s="196" t="s">
        <v>4045</v>
      </c>
      <c r="C502" s="196">
        <v>315210</v>
      </c>
      <c r="D502" s="197" t="s">
        <v>4050</v>
      </c>
    </row>
    <row r="503" spans="1:4" ht="17.25" customHeight="1" x14ac:dyDescent="0.2">
      <c r="A503" s="195">
        <v>2396</v>
      </c>
      <c r="B503" s="196" t="s">
        <v>4046</v>
      </c>
      <c r="C503" s="196">
        <v>315210</v>
      </c>
      <c r="D503" s="197" t="s">
        <v>4050</v>
      </c>
    </row>
    <row r="504" spans="1:4" ht="17.25" customHeight="1" x14ac:dyDescent="0.2">
      <c r="A504" s="195">
        <v>2396</v>
      </c>
      <c r="B504" s="196" t="s">
        <v>4046</v>
      </c>
      <c r="C504" s="196">
        <v>315210</v>
      </c>
      <c r="D504" s="197" t="s">
        <v>4050</v>
      </c>
    </row>
    <row r="505" spans="1:4" ht="34.5" customHeight="1" x14ac:dyDescent="0.2">
      <c r="A505" s="195">
        <v>2399</v>
      </c>
      <c r="B505" s="196" t="s">
        <v>4047</v>
      </c>
      <c r="C505" s="196">
        <v>315210</v>
      </c>
      <c r="D505" s="197" t="s">
        <v>4050</v>
      </c>
    </row>
    <row r="506" spans="1:4" ht="34.5" customHeight="1" x14ac:dyDescent="0.2">
      <c r="A506" s="195">
        <v>2399</v>
      </c>
      <c r="B506" s="196" t="s">
        <v>4047</v>
      </c>
      <c r="C506" s="196">
        <v>315210</v>
      </c>
      <c r="D506" s="197" t="s">
        <v>4050</v>
      </c>
    </row>
    <row r="507" spans="1:4" ht="34.5" customHeight="1" x14ac:dyDescent="0.2">
      <c r="A507" s="195">
        <v>3151</v>
      </c>
      <c r="B507" s="196" t="s">
        <v>4048</v>
      </c>
      <c r="C507" s="196">
        <v>315210</v>
      </c>
      <c r="D507" s="197" t="s">
        <v>4050</v>
      </c>
    </row>
    <row r="508" spans="1:4" ht="34.5" customHeight="1" x14ac:dyDescent="0.2">
      <c r="A508" s="195">
        <v>3151</v>
      </c>
      <c r="B508" s="196" t="s">
        <v>4048</v>
      </c>
      <c r="C508" s="196">
        <v>315210</v>
      </c>
      <c r="D508" s="197" t="s">
        <v>4050</v>
      </c>
    </row>
    <row r="509" spans="1:4" ht="17.25" customHeight="1" x14ac:dyDescent="0.2">
      <c r="A509" s="195">
        <v>2329</v>
      </c>
      <c r="B509" s="196" t="s">
        <v>4028</v>
      </c>
      <c r="C509" s="196">
        <v>315250</v>
      </c>
      <c r="D509" s="197" t="s">
        <v>4051</v>
      </c>
    </row>
    <row r="510" spans="1:4" ht="17.25" customHeight="1" x14ac:dyDescent="0.2">
      <c r="A510" s="195">
        <v>2339</v>
      </c>
      <c r="B510" s="196" t="s">
        <v>4032</v>
      </c>
      <c r="C510" s="196">
        <v>315250</v>
      </c>
      <c r="D510" s="197" t="s">
        <v>4051</v>
      </c>
    </row>
    <row r="511" spans="1:4" ht="17.25" customHeight="1" x14ac:dyDescent="0.2">
      <c r="A511" s="195">
        <v>2371</v>
      </c>
      <c r="B511" s="196" t="s">
        <v>4038</v>
      </c>
      <c r="C511" s="196">
        <v>315250</v>
      </c>
      <c r="D511" s="197" t="s">
        <v>4051</v>
      </c>
    </row>
    <row r="512" spans="1:4" ht="17.25" customHeight="1" x14ac:dyDescent="0.2">
      <c r="A512" s="195">
        <v>2385</v>
      </c>
      <c r="B512" s="196" t="s">
        <v>4041</v>
      </c>
      <c r="C512" s="196">
        <v>315250</v>
      </c>
      <c r="D512" s="197" t="s">
        <v>4051</v>
      </c>
    </row>
    <row r="513" spans="1:4" ht="34.5" customHeight="1" x14ac:dyDescent="0.2">
      <c r="A513" s="195">
        <v>2386</v>
      </c>
      <c r="B513" s="196" t="s">
        <v>4042</v>
      </c>
      <c r="C513" s="196">
        <v>315250</v>
      </c>
      <c r="D513" s="197" t="s">
        <v>4051</v>
      </c>
    </row>
    <row r="514" spans="1:4" ht="34.5" customHeight="1" x14ac:dyDescent="0.2">
      <c r="A514" s="195">
        <v>2389</v>
      </c>
      <c r="B514" s="196" t="s">
        <v>4044</v>
      </c>
      <c r="C514" s="196">
        <v>315250</v>
      </c>
      <c r="D514" s="197" t="s">
        <v>4051</v>
      </c>
    </row>
    <row r="515" spans="1:4" ht="17.25" customHeight="1" x14ac:dyDescent="0.2">
      <c r="A515" s="195">
        <v>3069</v>
      </c>
      <c r="B515" s="196" t="s">
        <v>4011</v>
      </c>
      <c r="C515" s="196">
        <v>315250</v>
      </c>
      <c r="D515" s="197" t="s">
        <v>4051</v>
      </c>
    </row>
    <row r="516" spans="1:4" ht="34.5" customHeight="1" x14ac:dyDescent="0.2">
      <c r="A516" s="195">
        <v>2311</v>
      </c>
      <c r="B516" s="196" t="s">
        <v>4022</v>
      </c>
      <c r="C516" s="196">
        <v>315250</v>
      </c>
      <c r="D516" s="197" t="s">
        <v>4051</v>
      </c>
    </row>
    <row r="517" spans="1:4" ht="17.25" customHeight="1" x14ac:dyDescent="0.2">
      <c r="A517" s="195">
        <v>2321</v>
      </c>
      <c r="B517" s="196" t="s">
        <v>4023</v>
      </c>
      <c r="C517" s="196">
        <v>315250</v>
      </c>
      <c r="D517" s="197" t="s">
        <v>4051</v>
      </c>
    </row>
    <row r="518" spans="1:4" ht="34.5" customHeight="1" x14ac:dyDescent="0.2">
      <c r="A518" s="195">
        <v>2322</v>
      </c>
      <c r="B518" s="196" t="s">
        <v>4024</v>
      </c>
      <c r="C518" s="196">
        <v>315250</v>
      </c>
      <c r="D518" s="197" t="s">
        <v>4051</v>
      </c>
    </row>
    <row r="519" spans="1:4" ht="43.35" customHeight="1" x14ac:dyDescent="0.2">
      <c r="A519" s="195">
        <v>2325</v>
      </c>
      <c r="B519" s="196" t="s">
        <v>4026</v>
      </c>
      <c r="C519" s="196">
        <v>315250</v>
      </c>
      <c r="D519" s="197" t="s">
        <v>4051</v>
      </c>
    </row>
    <row r="520" spans="1:4" ht="34.5" customHeight="1" x14ac:dyDescent="0.2">
      <c r="A520" s="195">
        <v>2326</v>
      </c>
      <c r="B520" s="196" t="s">
        <v>4027</v>
      </c>
      <c r="C520" s="196">
        <v>315250</v>
      </c>
      <c r="D520" s="197" t="s">
        <v>4051</v>
      </c>
    </row>
    <row r="521" spans="1:4" ht="34.5" customHeight="1" x14ac:dyDescent="0.2">
      <c r="A521" s="195">
        <v>2329</v>
      </c>
      <c r="B521" s="196" t="s">
        <v>4028</v>
      </c>
      <c r="C521" s="196">
        <v>315250</v>
      </c>
      <c r="D521" s="197" t="s">
        <v>4051</v>
      </c>
    </row>
    <row r="522" spans="1:4" ht="17.25" customHeight="1" x14ac:dyDescent="0.2">
      <c r="A522" s="195">
        <v>2341</v>
      </c>
      <c r="B522" s="196" t="s">
        <v>4033</v>
      </c>
      <c r="C522" s="196">
        <v>315250</v>
      </c>
      <c r="D522" s="197" t="s">
        <v>4051</v>
      </c>
    </row>
    <row r="523" spans="1:4" ht="34.5" customHeight="1" x14ac:dyDescent="0.2">
      <c r="A523" s="195">
        <v>2361</v>
      </c>
      <c r="B523" s="196" t="s">
        <v>4036</v>
      </c>
      <c r="C523" s="196">
        <v>315250</v>
      </c>
      <c r="D523" s="197" t="s">
        <v>4051</v>
      </c>
    </row>
    <row r="524" spans="1:4" ht="34.5" customHeight="1" x14ac:dyDescent="0.2">
      <c r="A524" s="195">
        <v>2369</v>
      </c>
      <c r="B524" s="196" t="s">
        <v>4037</v>
      </c>
      <c r="C524" s="196">
        <v>315250</v>
      </c>
      <c r="D524" s="197" t="s">
        <v>4051</v>
      </c>
    </row>
    <row r="525" spans="1:4" ht="34.5" customHeight="1" x14ac:dyDescent="0.2">
      <c r="A525" s="195">
        <v>2369</v>
      </c>
      <c r="B525" s="196" t="s">
        <v>4037</v>
      </c>
      <c r="C525" s="196">
        <v>315250</v>
      </c>
      <c r="D525" s="197" t="s">
        <v>4051</v>
      </c>
    </row>
    <row r="526" spans="1:4" ht="34.5" customHeight="1" x14ac:dyDescent="0.2">
      <c r="A526" s="195">
        <v>2369</v>
      </c>
      <c r="B526" s="196" t="s">
        <v>4037</v>
      </c>
      <c r="C526" s="196">
        <v>315250</v>
      </c>
      <c r="D526" s="197" t="s">
        <v>4051</v>
      </c>
    </row>
    <row r="527" spans="1:4" ht="17.25" customHeight="1" x14ac:dyDescent="0.2">
      <c r="A527" s="195">
        <v>2369</v>
      </c>
      <c r="B527" s="196" t="s">
        <v>4037</v>
      </c>
      <c r="C527" s="196">
        <v>315250</v>
      </c>
      <c r="D527" s="197" t="s">
        <v>4051</v>
      </c>
    </row>
    <row r="528" spans="1:4" ht="34.5" customHeight="1" x14ac:dyDescent="0.2">
      <c r="A528" s="195">
        <v>2384</v>
      </c>
      <c r="B528" s="196" t="s">
        <v>4040</v>
      </c>
      <c r="C528" s="196">
        <v>315250</v>
      </c>
      <c r="D528" s="197" t="s">
        <v>4051</v>
      </c>
    </row>
    <row r="529" spans="1:4" ht="34.5" customHeight="1" x14ac:dyDescent="0.2">
      <c r="A529" s="195">
        <v>2385</v>
      </c>
      <c r="B529" s="196" t="s">
        <v>4041</v>
      </c>
      <c r="C529" s="196">
        <v>315250</v>
      </c>
      <c r="D529" s="197" t="s">
        <v>4051</v>
      </c>
    </row>
    <row r="530" spans="1:4" ht="17.25" customHeight="1" x14ac:dyDescent="0.2">
      <c r="A530" s="195">
        <v>2385</v>
      </c>
      <c r="B530" s="196" t="s">
        <v>4041</v>
      </c>
      <c r="C530" s="196">
        <v>315250</v>
      </c>
      <c r="D530" s="197" t="s">
        <v>4051</v>
      </c>
    </row>
    <row r="531" spans="1:4" ht="34.5" customHeight="1" x14ac:dyDescent="0.2">
      <c r="A531" s="195">
        <v>5699</v>
      </c>
      <c r="B531" s="196" t="s">
        <v>4052</v>
      </c>
      <c r="C531" s="196">
        <v>315250</v>
      </c>
      <c r="D531" s="197" t="s">
        <v>4051</v>
      </c>
    </row>
    <row r="532" spans="1:4" ht="34.5" customHeight="1" x14ac:dyDescent="0.2">
      <c r="A532" s="195">
        <v>5699</v>
      </c>
      <c r="B532" s="196" t="s">
        <v>4052</v>
      </c>
      <c r="C532" s="196">
        <v>315250</v>
      </c>
      <c r="D532" s="197" t="s">
        <v>4051</v>
      </c>
    </row>
    <row r="533" spans="1:4" ht="17.25" customHeight="1" x14ac:dyDescent="0.2">
      <c r="A533" s="195">
        <v>2331</v>
      </c>
      <c r="B533" s="196" t="s">
        <v>4029</v>
      </c>
      <c r="C533" s="196">
        <v>315250</v>
      </c>
      <c r="D533" s="197" t="s">
        <v>4051</v>
      </c>
    </row>
    <row r="534" spans="1:4" ht="34.5" customHeight="1" x14ac:dyDescent="0.2">
      <c r="A534" s="195">
        <v>2335</v>
      </c>
      <c r="B534" s="196" t="s">
        <v>4030</v>
      </c>
      <c r="C534" s="196">
        <v>315250</v>
      </c>
      <c r="D534" s="197" t="s">
        <v>4051</v>
      </c>
    </row>
    <row r="535" spans="1:4" ht="34.5" customHeight="1" x14ac:dyDescent="0.2">
      <c r="A535" s="195">
        <v>2337</v>
      </c>
      <c r="B535" s="196" t="s">
        <v>4031</v>
      </c>
      <c r="C535" s="196">
        <v>315250</v>
      </c>
      <c r="D535" s="197" t="s">
        <v>4051</v>
      </c>
    </row>
    <row r="536" spans="1:4" ht="17.25" customHeight="1" x14ac:dyDescent="0.2">
      <c r="A536" s="195">
        <v>2339</v>
      </c>
      <c r="B536" s="196" t="s">
        <v>4032</v>
      </c>
      <c r="C536" s="196">
        <v>315250</v>
      </c>
      <c r="D536" s="197" t="s">
        <v>4051</v>
      </c>
    </row>
    <row r="537" spans="1:4" ht="34.5" customHeight="1" x14ac:dyDescent="0.2">
      <c r="A537" s="195">
        <v>2341</v>
      </c>
      <c r="B537" s="196" t="s">
        <v>4033</v>
      </c>
      <c r="C537" s="196">
        <v>315250</v>
      </c>
      <c r="D537" s="197" t="s">
        <v>4051</v>
      </c>
    </row>
    <row r="538" spans="1:4" ht="34.5" customHeight="1" x14ac:dyDescent="0.2">
      <c r="A538" s="195">
        <v>2341</v>
      </c>
      <c r="B538" s="196" t="s">
        <v>4033</v>
      </c>
      <c r="C538" s="196">
        <v>315250</v>
      </c>
      <c r="D538" s="197" t="s">
        <v>4051</v>
      </c>
    </row>
    <row r="539" spans="1:4" ht="17.25" customHeight="1" x14ac:dyDescent="0.2">
      <c r="A539" s="195">
        <v>2342</v>
      </c>
      <c r="B539" s="196" t="s">
        <v>4034</v>
      </c>
      <c r="C539" s="196">
        <v>315250</v>
      </c>
      <c r="D539" s="197" t="s">
        <v>4051</v>
      </c>
    </row>
    <row r="540" spans="1:4" ht="34.5" customHeight="1" x14ac:dyDescent="0.2">
      <c r="A540" s="195">
        <v>2361</v>
      </c>
      <c r="B540" s="196" t="s">
        <v>4036</v>
      </c>
      <c r="C540" s="196">
        <v>315250</v>
      </c>
      <c r="D540" s="197" t="s">
        <v>4051</v>
      </c>
    </row>
    <row r="541" spans="1:4" ht="34.5" customHeight="1" x14ac:dyDescent="0.2">
      <c r="A541" s="195">
        <v>2361</v>
      </c>
      <c r="B541" s="196" t="s">
        <v>4036</v>
      </c>
      <c r="C541" s="196">
        <v>315250</v>
      </c>
      <c r="D541" s="197" t="s">
        <v>4051</v>
      </c>
    </row>
    <row r="542" spans="1:4" ht="17.25" customHeight="1" x14ac:dyDescent="0.2">
      <c r="A542" s="195">
        <v>2361</v>
      </c>
      <c r="B542" s="196" t="s">
        <v>4036</v>
      </c>
      <c r="C542" s="196">
        <v>315250</v>
      </c>
      <c r="D542" s="197" t="s">
        <v>4051</v>
      </c>
    </row>
    <row r="543" spans="1:4" ht="34.5" customHeight="1" x14ac:dyDescent="0.2">
      <c r="A543" s="195">
        <v>2369</v>
      </c>
      <c r="B543" s="196" t="s">
        <v>4037</v>
      </c>
      <c r="C543" s="196">
        <v>315250</v>
      </c>
      <c r="D543" s="197" t="s">
        <v>4051</v>
      </c>
    </row>
    <row r="544" spans="1:4" ht="17.25" customHeight="1" x14ac:dyDescent="0.2">
      <c r="A544" s="195">
        <v>2369</v>
      </c>
      <c r="B544" s="196" t="s">
        <v>4037</v>
      </c>
      <c r="C544" s="196">
        <v>315250</v>
      </c>
      <c r="D544" s="197" t="s">
        <v>4051</v>
      </c>
    </row>
    <row r="545" spans="1:4" ht="17.25" customHeight="1" x14ac:dyDescent="0.2">
      <c r="A545" s="195">
        <v>2369</v>
      </c>
      <c r="B545" s="196" t="s">
        <v>4037</v>
      </c>
      <c r="C545" s="196">
        <v>315250</v>
      </c>
      <c r="D545" s="197" t="s">
        <v>4051</v>
      </c>
    </row>
    <row r="546" spans="1:4" ht="43.35" customHeight="1" x14ac:dyDescent="0.2">
      <c r="A546" s="195">
        <v>2369</v>
      </c>
      <c r="B546" s="196" t="s">
        <v>4037</v>
      </c>
      <c r="C546" s="196">
        <v>315250</v>
      </c>
      <c r="D546" s="197" t="s">
        <v>4051</v>
      </c>
    </row>
    <row r="547" spans="1:4" ht="34.5" customHeight="1" x14ac:dyDescent="0.2">
      <c r="A547" s="195">
        <v>2384</v>
      </c>
      <c r="B547" s="196" t="s">
        <v>4040</v>
      </c>
      <c r="C547" s="196">
        <v>315250</v>
      </c>
      <c r="D547" s="197" t="s">
        <v>4051</v>
      </c>
    </row>
    <row r="548" spans="1:4" ht="17.25" customHeight="1" x14ac:dyDescent="0.2">
      <c r="A548" s="195">
        <v>2385</v>
      </c>
      <c r="B548" s="196" t="s">
        <v>4041</v>
      </c>
      <c r="C548" s="196">
        <v>315250</v>
      </c>
      <c r="D548" s="197" t="s">
        <v>4051</v>
      </c>
    </row>
    <row r="549" spans="1:4" ht="34.5" customHeight="1" x14ac:dyDescent="0.2">
      <c r="A549" s="195">
        <v>2385</v>
      </c>
      <c r="B549" s="196" t="s">
        <v>4041</v>
      </c>
      <c r="C549" s="196">
        <v>315250</v>
      </c>
      <c r="D549" s="197" t="s">
        <v>4051</v>
      </c>
    </row>
    <row r="550" spans="1:4" ht="17.25" customHeight="1" x14ac:dyDescent="0.2">
      <c r="A550" s="195">
        <v>2385</v>
      </c>
      <c r="B550" s="196" t="s">
        <v>4041</v>
      </c>
      <c r="C550" s="196">
        <v>315250</v>
      </c>
      <c r="D550" s="197" t="s">
        <v>4051</v>
      </c>
    </row>
    <row r="551" spans="1:4" ht="17.25" customHeight="1" x14ac:dyDescent="0.2">
      <c r="A551" s="195">
        <v>2389</v>
      </c>
      <c r="B551" s="196" t="s">
        <v>4044</v>
      </c>
      <c r="C551" s="196">
        <v>315250</v>
      </c>
      <c r="D551" s="197" t="s">
        <v>4051</v>
      </c>
    </row>
    <row r="552" spans="1:4" ht="34.5" customHeight="1" x14ac:dyDescent="0.2">
      <c r="A552" s="195">
        <v>5699</v>
      </c>
      <c r="B552" s="196" t="s">
        <v>4052</v>
      </c>
      <c r="C552" s="196">
        <v>315250</v>
      </c>
      <c r="D552" s="197" t="s">
        <v>4051</v>
      </c>
    </row>
    <row r="553" spans="1:4" ht="17.25" customHeight="1" x14ac:dyDescent="0.2">
      <c r="A553" s="195">
        <v>2323</v>
      </c>
      <c r="B553" s="196" t="s">
        <v>4025</v>
      </c>
      <c r="C553" s="196">
        <v>315990</v>
      </c>
      <c r="D553" s="197" t="s">
        <v>4053</v>
      </c>
    </row>
    <row r="554" spans="1:4" ht="17.25" customHeight="1" x14ac:dyDescent="0.2">
      <c r="A554" s="195">
        <v>2339</v>
      </c>
      <c r="B554" s="196" t="s">
        <v>4032</v>
      </c>
      <c r="C554" s="196">
        <v>315990</v>
      </c>
      <c r="D554" s="197" t="s">
        <v>4053</v>
      </c>
    </row>
    <row r="555" spans="1:4" ht="17.25" customHeight="1" x14ac:dyDescent="0.2">
      <c r="A555" s="195">
        <v>2353</v>
      </c>
      <c r="B555" s="196" t="s">
        <v>4035</v>
      </c>
      <c r="C555" s="196">
        <v>315990</v>
      </c>
      <c r="D555" s="197" t="s">
        <v>4053</v>
      </c>
    </row>
    <row r="556" spans="1:4" ht="17.25" customHeight="1" x14ac:dyDescent="0.2">
      <c r="A556" s="195">
        <v>2381</v>
      </c>
      <c r="B556" s="196" t="s">
        <v>4039</v>
      </c>
      <c r="C556" s="196">
        <v>315990</v>
      </c>
      <c r="D556" s="197" t="s">
        <v>4053</v>
      </c>
    </row>
    <row r="557" spans="1:4" ht="17.25" customHeight="1" x14ac:dyDescent="0.2">
      <c r="A557" s="195">
        <v>2385</v>
      </c>
      <c r="B557" s="196" t="s">
        <v>4041</v>
      </c>
      <c r="C557" s="196">
        <v>315990</v>
      </c>
      <c r="D557" s="197" t="s">
        <v>4053</v>
      </c>
    </row>
    <row r="558" spans="1:4" ht="17.25" customHeight="1" x14ac:dyDescent="0.2">
      <c r="A558" s="195">
        <v>2387</v>
      </c>
      <c r="B558" s="196" t="s">
        <v>4043</v>
      </c>
      <c r="C558" s="196">
        <v>315990</v>
      </c>
      <c r="D558" s="197" t="s">
        <v>4053</v>
      </c>
    </row>
    <row r="559" spans="1:4" ht="17.25" customHeight="1" x14ac:dyDescent="0.2">
      <c r="A559" s="195">
        <v>2389</v>
      </c>
      <c r="B559" s="196" t="s">
        <v>4044</v>
      </c>
      <c r="C559" s="196">
        <v>315990</v>
      </c>
      <c r="D559" s="197" t="s">
        <v>4053</v>
      </c>
    </row>
    <row r="560" spans="1:4" ht="34.5" customHeight="1" x14ac:dyDescent="0.2">
      <c r="A560" s="195">
        <v>2396</v>
      </c>
      <c r="B560" s="196" t="s">
        <v>4046</v>
      </c>
      <c r="C560" s="196">
        <v>315990</v>
      </c>
      <c r="D560" s="197" t="s">
        <v>4053</v>
      </c>
    </row>
    <row r="561" spans="1:4" ht="34.5" customHeight="1" x14ac:dyDescent="0.2">
      <c r="A561" s="195">
        <v>2399</v>
      </c>
      <c r="B561" s="196" t="s">
        <v>4047</v>
      </c>
      <c r="C561" s="196">
        <v>315990</v>
      </c>
      <c r="D561" s="197" t="s">
        <v>4053</v>
      </c>
    </row>
    <row r="562" spans="1:4" ht="34.5" customHeight="1" x14ac:dyDescent="0.2">
      <c r="A562" s="195">
        <v>3069</v>
      </c>
      <c r="B562" s="196" t="s">
        <v>4011</v>
      </c>
      <c r="C562" s="196">
        <v>315990</v>
      </c>
      <c r="D562" s="197" t="s">
        <v>4053</v>
      </c>
    </row>
    <row r="563" spans="1:4" ht="34.5" customHeight="1" x14ac:dyDescent="0.2">
      <c r="A563" s="195">
        <v>3151</v>
      </c>
      <c r="B563" s="196" t="s">
        <v>4048</v>
      </c>
      <c r="C563" s="196">
        <v>315990</v>
      </c>
      <c r="D563" s="197" t="s">
        <v>4053</v>
      </c>
    </row>
    <row r="564" spans="1:4" ht="17.25" customHeight="1" x14ac:dyDescent="0.2">
      <c r="A564" s="195">
        <v>3111</v>
      </c>
      <c r="B564" s="196" t="s">
        <v>4054</v>
      </c>
      <c r="C564" s="196">
        <v>316110</v>
      </c>
      <c r="D564" s="197" t="s">
        <v>2735</v>
      </c>
    </row>
    <row r="565" spans="1:4" ht="34.5" customHeight="1" x14ac:dyDescent="0.2">
      <c r="A565" s="195">
        <v>3999</v>
      </c>
      <c r="B565" s="196" t="s">
        <v>4055</v>
      </c>
      <c r="C565" s="196">
        <v>316110</v>
      </c>
      <c r="D565" s="197" t="s">
        <v>2735</v>
      </c>
    </row>
    <row r="566" spans="1:4" ht="34.5" customHeight="1" x14ac:dyDescent="0.2">
      <c r="A566" s="195">
        <v>3021</v>
      </c>
      <c r="B566" s="196" t="s">
        <v>4056</v>
      </c>
      <c r="C566" s="196">
        <v>316210</v>
      </c>
      <c r="D566" s="197" t="s">
        <v>4057</v>
      </c>
    </row>
    <row r="567" spans="1:4" ht="34.5" customHeight="1" x14ac:dyDescent="0.2">
      <c r="A567" s="195">
        <v>3142</v>
      </c>
      <c r="B567" s="196" t="s">
        <v>4058</v>
      </c>
      <c r="C567" s="196">
        <v>316210</v>
      </c>
      <c r="D567" s="197" t="s">
        <v>4057</v>
      </c>
    </row>
    <row r="568" spans="1:4" ht="34.5" customHeight="1" x14ac:dyDescent="0.2">
      <c r="A568" s="195">
        <v>3143</v>
      </c>
      <c r="B568" s="196" t="s">
        <v>4059</v>
      </c>
      <c r="C568" s="196">
        <v>316210</v>
      </c>
      <c r="D568" s="197" t="s">
        <v>4057</v>
      </c>
    </row>
    <row r="569" spans="1:4" ht="17.25" customHeight="1" x14ac:dyDescent="0.2">
      <c r="A569" s="195">
        <v>3144</v>
      </c>
      <c r="B569" s="196" t="s">
        <v>4060</v>
      </c>
      <c r="C569" s="196">
        <v>316210</v>
      </c>
      <c r="D569" s="197" t="s">
        <v>4057</v>
      </c>
    </row>
    <row r="570" spans="1:4" ht="34.5" customHeight="1" x14ac:dyDescent="0.2">
      <c r="A570" s="195">
        <v>3149</v>
      </c>
      <c r="B570" s="196" t="s">
        <v>4061</v>
      </c>
      <c r="C570" s="196">
        <v>316210</v>
      </c>
      <c r="D570" s="197" t="s">
        <v>4057</v>
      </c>
    </row>
    <row r="571" spans="1:4" ht="34.5" customHeight="1" x14ac:dyDescent="0.2">
      <c r="A571" s="195">
        <v>3131</v>
      </c>
      <c r="B571" s="196" t="s">
        <v>4062</v>
      </c>
      <c r="C571" s="196">
        <v>316990</v>
      </c>
      <c r="D571" s="197" t="s">
        <v>4063</v>
      </c>
    </row>
    <row r="572" spans="1:4" ht="17.25" customHeight="1" x14ac:dyDescent="0.2">
      <c r="A572" s="195">
        <v>3161</v>
      </c>
      <c r="B572" s="196" t="s">
        <v>4064</v>
      </c>
      <c r="C572" s="196">
        <v>316990</v>
      </c>
      <c r="D572" s="197" t="s">
        <v>4063</v>
      </c>
    </row>
    <row r="573" spans="1:4" ht="34.5" customHeight="1" x14ac:dyDescent="0.2">
      <c r="A573" s="195">
        <v>3172</v>
      </c>
      <c r="B573" s="196" t="s">
        <v>4065</v>
      </c>
      <c r="C573" s="196">
        <v>316990</v>
      </c>
      <c r="D573" s="197" t="s">
        <v>4063</v>
      </c>
    </row>
    <row r="574" spans="1:4" ht="17.25" customHeight="1" x14ac:dyDescent="0.2">
      <c r="A574" s="195">
        <v>3199</v>
      </c>
      <c r="B574" s="196" t="s">
        <v>4066</v>
      </c>
      <c r="C574" s="196">
        <v>316990</v>
      </c>
      <c r="D574" s="197" t="s">
        <v>4063</v>
      </c>
    </row>
    <row r="575" spans="1:4" ht="17.25" customHeight="1" x14ac:dyDescent="0.2">
      <c r="A575" s="195">
        <v>3171</v>
      </c>
      <c r="B575" s="196" t="s">
        <v>4067</v>
      </c>
      <c r="C575" s="196">
        <v>316990</v>
      </c>
      <c r="D575" s="197" t="s">
        <v>4063</v>
      </c>
    </row>
    <row r="576" spans="1:4" ht="17.25" customHeight="1" x14ac:dyDescent="0.2">
      <c r="A576" s="195">
        <v>2421</v>
      </c>
      <c r="B576" s="196" t="s">
        <v>4068</v>
      </c>
      <c r="C576" s="196">
        <v>321113</v>
      </c>
      <c r="D576" s="197" t="s">
        <v>4069</v>
      </c>
    </row>
    <row r="577" spans="1:4" ht="34.5" customHeight="1" x14ac:dyDescent="0.2">
      <c r="A577" s="195">
        <v>2426</v>
      </c>
      <c r="B577" s="196" t="s">
        <v>4070</v>
      </c>
      <c r="C577" s="196">
        <v>321113</v>
      </c>
      <c r="D577" s="197" t="s">
        <v>4069</v>
      </c>
    </row>
    <row r="578" spans="1:4" ht="34.5" customHeight="1" x14ac:dyDescent="0.2">
      <c r="A578" s="195">
        <v>2429</v>
      </c>
      <c r="B578" s="196" t="s">
        <v>4071</v>
      </c>
      <c r="C578" s="196">
        <v>321113</v>
      </c>
      <c r="D578" s="197" t="s">
        <v>4069</v>
      </c>
    </row>
    <row r="579" spans="1:4" ht="17.25" customHeight="1" x14ac:dyDescent="0.2">
      <c r="A579" s="195">
        <v>2491</v>
      </c>
      <c r="B579" s="196" t="s">
        <v>4072</v>
      </c>
      <c r="C579" s="196">
        <v>321114</v>
      </c>
      <c r="D579" s="197" t="s">
        <v>4073</v>
      </c>
    </row>
    <row r="580" spans="1:4" ht="34.5" customHeight="1" x14ac:dyDescent="0.2">
      <c r="A580" s="195">
        <v>2435</v>
      </c>
      <c r="B580" s="196" t="s">
        <v>4074</v>
      </c>
      <c r="C580" s="196">
        <v>321211</v>
      </c>
      <c r="D580" s="197" t="s">
        <v>4075</v>
      </c>
    </row>
    <row r="581" spans="1:4" ht="17.25" customHeight="1" x14ac:dyDescent="0.2">
      <c r="A581" s="195">
        <v>2436</v>
      </c>
      <c r="B581" s="196" t="s">
        <v>4076</v>
      </c>
      <c r="C581" s="196">
        <v>321212</v>
      </c>
      <c r="D581" s="197" t="s">
        <v>4077</v>
      </c>
    </row>
    <row r="582" spans="1:4" ht="34.5" customHeight="1" x14ac:dyDescent="0.2">
      <c r="A582" s="195">
        <v>2439</v>
      </c>
      <c r="B582" s="196" t="s">
        <v>4078</v>
      </c>
      <c r="C582" s="196">
        <v>321215</v>
      </c>
      <c r="D582" s="197" t="s">
        <v>4079</v>
      </c>
    </row>
    <row r="583" spans="1:4" ht="17.25" customHeight="1" x14ac:dyDescent="0.2">
      <c r="A583" s="195">
        <v>2439</v>
      </c>
      <c r="B583" s="196" t="s">
        <v>4078</v>
      </c>
      <c r="C583" s="196">
        <v>321215</v>
      </c>
      <c r="D583" s="197" t="s">
        <v>4079</v>
      </c>
    </row>
    <row r="584" spans="1:4" ht="34.5" customHeight="1" x14ac:dyDescent="0.2">
      <c r="A584" s="195">
        <v>2493</v>
      </c>
      <c r="B584" s="196" t="s">
        <v>4080</v>
      </c>
      <c r="C584" s="196">
        <v>321219</v>
      </c>
      <c r="D584" s="197" t="s">
        <v>4081</v>
      </c>
    </row>
    <row r="585" spans="1:4" ht="17.25" customHeight="1" x14ac:dyDescent="0.2">
      <c r="A585" s="195">
        <v>2431</v>
      </c>
      <c r="B585" s="196" t="s">
        <v>4082</v>
      </c>
      <c r="C585" s="196">
        <v>321911</v>
      </c>
      <c r="D585" s="197" t="s">
        <v>4083</v>
      </c>
    </row>
    <row r="586" spans="1:4" ht="17.25" customHeight="1" x14ac:dyDescent="0.2">
      <c r="A586" s="195">
        <v>2421</v>
      </c>
      <c r="B586" s="196" t="s">
        <v>4068</v>
      </c>
      <c r="C586" s="196">
        <v>321912</v>
      </c>
      <c r="D586" s="197" t="s">
        <v>4084</v>
      </c>
    </row>
    <row r="587" spans="1:4" ht="34.5" customHeight="1" x14ac:dyDescent="0.2">
      <c r="A587" s="195">
        <v>2426</v>
      </c>
      <c r="B587" s="196" t="s">
        <v>4070</v>
      </c>
      <c r="C587" s="196">
        <v>321912</v>
      </c>
      <c r="D587" s="197" t="s">
        <v>4084</v>
      </c>
    </row>
    <row r="588" spans="1:4" ht="17.25" customHeight="1" x14ac:dyDescent="0.2">
      <c r="A588" s="195">
        <v>2421</v>
      </c>
      <c r="B588" s="196" t="s">
        <v>4068</v>
      </c>
      <c r="C588" s="196">
        <v>321918</v>
      </c>
      <c r="D588" s="197" t="s">
        <v>4085</v>
      </c>
    </row>
    <row r="589" spans="1:4" ht="17.25" customHeight="1" x14ac:dyDescent="0.2">
      <c r="A589" s="195">
        <v>2426</v>
      </c>
      <c r="B589" s="196" t="s">
        <v>4070</v>
      </c>
      <c r="C589" s="196">
        <v>321918</v>
      </c>
      <c r="D589" s="197" t="s">
        <v>4085</v>
      </c>
    </row>
    <row r="590" spans="1:4" ht="17.25" customHeight="1" x14ac:dyDescent="0.2">
      <c r="A590" s="195">
        <v>2431</v>
      </c>
      <c r="B590" s="196" t="s">
        <v>4082</v>
      </c>
      <c r="C590" s="196">
        <v>321918</v>
      </c>
      <c r="D590" s="197" t="s">
        <v>4085</v>
      </c>
    </row>
    <row r="591" spans="1:4" ht="17.25" customHeight="1" x14ac:dyDescent="0.2">
      <c r="A591" s="195">
        <v>2421</v>
      </c>
      <c r="B591" s="196" t="s">
        <v>4068</v>
      </c>
      <c r="C591" s="196">
        <v>321920</v>
      </c>
      <c r="D591" s="197" t="s">
        <v>2751</v>
      </c>
    </row>
    <row r="592" spans="1:4" ht="17.25" customHeight="1" x14ac:dyDescent="0.2">
      <c r="A592" s="195">
        <v>2429</v>
      </c>
      <c r="B592" s="196" t="s">
        <v>4071</v>
      </c>
      <c r="C592" s="196">
        <v>321920</v>
      </c>
      <c r="D592" s="197" t="s">
        <v>2751</v>
      </c>
    </row>
    <row r="593" spans="1:4" ht="17.25" customHeight="1" x14ac:dyDescent="0.2">
      <c r="A593" s="195">
        <v>2441</v>
      </c>
      <c r="B593" s="196" t="s">
        <v>4086</v>
      </c>
      <c r="C593" s="196">
        <v>321920</v>
      </c>
      <c r="D593" s="197" t="s">
        <v>2751</v>
      </c>
    </row>
    <row r="594" spans="1:4" ht="34.5" customHeight="1" x14ac:dyDescent="0.2">
      <c r="A594" s="195">
        <v>2448</v>
      </c>
      <c r="B594" s="196" t="s">
        <v>4087</v>
      </c>
      <c r="C594" s="196">
        <v>321920</v>
      </c>
      <c r="D594" s="197" t="s">
        <v>2751</v>
      </c>
    </row>
    <row r="595" spans="1:4" ht="34.5" customHeight="1" x14ac:dyDescent="0.2">
      <c r="A595" s="195">
        <v>2449</v>
      </c>
      <c r="B595" s="196" t="s">
        <v>4088</v>
      </c>
      <c r="C595" s="196">
        <v>321920</v>
      </c>
      <c r="D595" s="197" t="s">
        <v>2751</v>
      </c>
    </row>
    <row r="596" spans="1:4" ht="34.5" customHeight="1" x14ac:dyDescent="0.2">
      <c r="A596" s="195">
        <v>2499</v>
      </c>
      <c r="B596" s="196" t="s">
        <v>4089</v>
      </c>
      <c r="C596" s="196">
        <v>321920</v>
      </c>
      <c r="D596" s="197" t="s">
        <v>2751</v>
      </c>
    </row>
    <row r="597" spans="1:4" ht="34.5" customHeight="1" x14ac:dyDescent="0.2">
      <c r="A597" s="195">
        <v>2451</v>
      </c>
      <c r="B597" s="196" t="s">
        <v>4090</v>
      </c>
      <c r="C597" s="196">
        <v>321991</v>
      </c>
      <c r="D597" s="197" t="s">
        <v>4091</v>
      </c>
    </row>
    <row r="598" spans="1:4" ht="34.5" customHeight="1" x14ac:dyDescent="0.2">
      <c r="A598" s="195">
        <v>2452</v>
      </c>
      <c r="B598" s="196" t="s">
        <v>4092</v>
      </c>
      <c r="C598" s="196">
        <v>321992</v>
      </c>
      <c r="D598" s="197" t="s">
        <v>4093</v>
      </c>
    </row>
    <row r="599" spans="1:4" ht="34.5" customHeight="1" x14ac:dyDescent="0.2">
      <c r="A599" s="195">
        <v>2421</v>
      </c>
      <c r="B599" s="196" t="s">
        <v>4068</v>
      </c>
      <c r="C599" s="196">
        <v>321999</v>
      </c>
      <c r="D599" s="197" t="s">
        <v>4094</v>
      </c>
    </row>
    <row r="600" spans="1:4" ht="34.5" customHeight="1" x14ac:dyDescent="0.2">
      <c r="A600" s="195">
        <v>2429</v>
      </c>
      <c r="B600" s="196" t="s">
        <v>4071</v>
      </c>
      <c r="C600" s="196">
        <v>321999</v>
      </c>
      <c r="D600" s="197" t="s">
        <v>4094</v>
      </c>
    </row>
    <row r="601" spans="1:4" ht="34.5" customHeight="1" x14ac:dyDescent="0.2">
      <c r="A601" s="195">
        <v>2499</v>
      </c>
      <c r="B601" s="196" t="s">
        <v>4089</v>
      </c>
      <c r="C601" s="196">
        <v>321999</v>
      </c>
      <c r="D601" s="197" t="s">
        <v>4094</v>
      </c>
    </row>
    <row r="602" spans="1:4" ht="17.25" customHeight="1" x14ac:dyDescent="0.2">
      <c r="A602" s="195">
        <v>2517</v>
      </c>
      <c r="B602" s="196" t="s">
        <v>4095</v>
      </c>
      <c r="C602" s="196">
        <v>321999</v>
      </c>
      <c r="D602" s="197" t="s">
        <v>4094</v>
      </c>
    </row>
    <row r="603" spans="1:4" ht="34.5" customHeight="1" x14ac:dyDescent="0.2">
      <c r="A603" s="195">
        <v>3131</v>
      </c>
      <c r="B603" s="196" t="s">
        <v>4062</v>
      </c>
      <c r="C603" s="196">
        <v>321999</v>
      </c>
      <c r="D603" s="197" t="s">
        <v>4094</v>
      </c>
    </row>
    <row r="604" spans="1:4" ht="34.5" customHeight="1" x14ac:dyDescent="0.2">
      <c r="A604" s="195">
        <v>3999</v>
      </c>
      <c r="B604" s="196" t="s">
        <v>4055</v>
      </c>
      <c r="C604" s="196">
        <v>321999</v>
      </c>
      <c r="D604" s="197" t="s">
        <v>4094</v>
      </c>
    </row>
    <row r="605" spans="1:4" ht="34.5" customHeight="1" x14ac:dyDescent="0.2">
      <c r="A605" s="195">
        <v>2611</v>
      </c>
      <c r="B605" s="196" t="s">
        <v>2755</v>
      </c>
      <c r="C605" s="196">
        <v>322110</v>
      </c>
      <c r="D605" s="197" t="s">
        <v>4096</v>
      </c>
    </row>
    <row r="606" spans="1:4" ht="34.5" customHeight="1" x14ac:dyDescent="0.2">
      <c r="A606" s="195">
        <v>2611</v>
      </c>
      <c r="B606" s="196" t="s">
        <v>2755</v>
      </c>
      <c r="C606" s="196">
        <v>322120</v>
      </c>
      <c r="D606" s="197" t="s">
        <v>4097</v>
      </c>
    </row>
    <row r="607" spans="1:4" ht="34.5" customHeight="1" x14ac:dyDescent="0.2">
      <c r="A607" s="195">
        <v>2621</v>
      </c>
      <c r="B607" s="196" t="s">
        <v>2757</v>
      </c>
      <c r="C607" s="196">
        <v>322120</v>
      </c>
      <c r="D607" s="197" t="s">
        <v>4097</v>
      </c>
    </row>
    <row r="608" spans="1:4" ht="17.25" customHeight="1" x14ac:dyDescent="0.2">
      <c r="A608" s="195">
        <v>2611</v>
      </c>
      <c r="B608" s="196" t="s">
        <v>2755</v>
      </c>
      <c r="C608" s="196">
        <v>322120</v>
      </c>
      <c r="D608" s="197" t="s">
        <v>4097</v>
      </c>
    </row>
    <row r="609" spans="1:4" ht="17.25" customHeight="1" x14ac:dyDescent="0.2">
      <c r="A609" s="195">
        <v>2621</v>
      </c>
      <c r="B609" s="196" t="s">
        <v>2757</v>
      </c>
      <c r="C609" s="196">
        <v>322120</v>
      </c>
      <c r="D609" s="197" t="s">
        <v>4097</v>
      </c>
    </row>
    <row r="610" spans="1:4" ht="34.5" customHeight="1" x14ac:dyDescent="0.2">
      <c r="A610" s="195">
        <v>2611</v>
      </c>
      <c r="B610" s="196" t="s">
        <v>2755</v>
      </c>
      <c r="C610" s="196">
        <v>322130</v>
      </c>
      <c r="D610" s="197" t="s">
        <v>4098</v>
      </c>
    </row>
    <row r="611" spans="1:4" ht="34.5" customHeight="1" x14ac:dyDescent="0.2">
      <c r="A611" s="195">
        <v>2631</v>
      </c>
      <c r="B611" s="196" t="s">
        <v>2759</v>
      </c>
      <c r="C611" s="196">
        <v>322130</v>
      </c>
      <c r="D611" s="197" t="s">
        <v>4098</v>
      </c>
    </row>
    <row r="612" spans="1:4" ht="34.5" customHeight="1" x14ac:dyDescent="0.2">
      <c r="A612" s="195">
        <v>2653</v>
      </c>
      <c r="B612" s="196" t="s">
        <v>4099</v>
      </c>
      <c r="C612" s="196">
        <v>322211</v>
      </c>
      <c r="D612" s="197" t="s">
        <v>4100</v>
      </c>
    </row>
    <row r="613" spans="1:4" ht="17.25" customHeight="1" x14ac:dyDescent="0.2">
      <c r="A613" s="195">
        <v>2679</v>
      </c>
      <c r="B613" s="196" t="s">
        <v>4101</v>
      </c>
      <c r="C613" s="196">
        <v>322211</v>
      </c>
      <c r="D613" s="197" t="s">
        <v>4100</v>
      </c>
    </row>
    <row r="614" spans="1:4" ht="17.25" customHeight="1" x14ac:dyDescent="0.2">
      <c r="A614" s="195">
        <v>2657</v>
      </c>
      <c r="B614" s="196" t="s">
        <v>4102</v>
      </c>
      <c r="C614" s="196">
        <v>322212</v>
      </c>
      <c r="D614" s="197" t="s">
        <v>4103</v>
      </c>
    </row>
    <row r="615" spans="1:4" ht="17.25" customHeight="1" x14ac:dyDescent="0.2">
      <c r="A615" s="195">
        <v>2652</v>
      </c>
      <c r="B615" s="196" t="s">
        <v>4104</v>
      </c>
      <c r="C615" s="196">
        <v>322219</v>
      </c>
      <c r="D615" s="197" t="s">
        <v>4105</v>
      </c>
    </row>
    <row r="616" spans="1:4" ht="34.5" customHeight="1" x14ac:dyDescent="0.2">
      <c r="A616" s="195">
        <v>2655</v>
      </c>
      <c r="B616" s="196" t="s">
        <v>4106</v>
      </c>
      <c r="C616" s="196">
        <v>322219</v>
      </c>
      <c r="D616" s="197" t="s">
        <v>4105</v>
      </c>
    </row>
    <row r="617" spans="1:4" ht="17.25" customHeight="1" x14ac:dyDescent="0.2">
      <c r="A617" s="195">
        <v>2656</v>
      </c>
      <c r="B617" s="196" t="s">
        <v>4107</v>
      </c>
      <c r="C617" s="196">
        <v>322219</v>
      </c>
      <c r="D617" s="197" t="s">
        <v>4105</v>
      </c>
    </row>
    <row r="618" spans="1:4" ht="17.25" customHeight="1" x14ac:dyDescent="0.2">
      <c r="A618" s="195">
        <v>2671</v>
      </c>
      <c r="B618" s="196" t="s">
        <v>4108</v>
      </c>
      <c r="C618" s="196">
        <v>322220</v>
      </c>
      <c r="D618" s="197" t="s">
        <v>2763</v>
      </c>
    </row>
    <row r="619" spans="1:4" ht="34.5" customHeight="1" x14ac:dyDescent="0.2">
      <c r="A619" s="195">
        <v>2672</v>
      </c>
      <c r="B619" s="196" t="s">
        <v>4109</v>
      </c>
      <c r="C619" s="196">
        <v>322220</v>
      </c>
      <c r="D619" s="197" t="s">
        <v>2763</v>
      </c>
    </row>
    <row r="620" spans="1:4" ht="17.25" customHeight="1" x14ac:dyDescent="0.2">
      <c r="A620" s="195">
        <v>2673</v>
      </c>
      <c r="B620" s="196" t="s">
        <v>4110</v>
      </c>
      <c r="C620" s="196">
        <v>322220</v>
      </c>
      <c r="D620" s="197" t="s">
        <v>2763</v>
      </c>
    </row>
    <row r="621" spans="1:4" ht="17.25" customHeight="1" x14ac:dyDescent="0.2">
      <c r="A621" s="195">
        <v>2674</v>
      </c>
      <c r="B621" s="196" t="s">
        <v>4111</v>
      </c>
      <c r="C621" s="196">
        <v>322220</v>
      </c>
      <c r="D621" s="197" t="s">
        <v>2763</v>
      </c>
    </row>
    <row r="622" spans="1:4" ht="34.5" customHeight="1" x14ac:dyDescent="0.2">
      <c r="A622" s="195">
        <v>2675</v>
      </c>
      <c r="B622" s="196" t="s">
        <v>4112</v>
      </c>
      <c r="C622" s="196">
        <v>322220</v>
      </c>
      <c r="D622" s="197" t="s">
        <v>2763</v>
      </c>
    </row>
    <row r="623" spans="1:4" ht="34.5" customHeight="1" x14ac:dyDescent="0.2">
      <c r="A623" s="195">
        <v>2679</v>
      </c>
      <c r="B623" s="196" t="s">
        <v>4101</v>
      </c>
      <c r="C623" s="196">
        <v>322220</v>
      </c>
      <c r="D623" s="197" t="s">
        <v>2763</v>
      </c>
    </row>
    <row r="624" spans="1:4" ht="34.5" customHeight="1" x14ac:dyDescent="0.2">
      <c r="A624" s="195">
        <v>3497</v>
      </c>
      <c r="B624" s="196" t="s">
        <v>4113</v>
      </c>
      <c r="C624" s="196">
        <v>322220</v>
      </c>
      <c r="D624" s="197" t="s">
        <v>2763</v>
      </c>
    </row>
    <row r="625" spans="1:4" ht="17.25" customHeight="1" x14ac:dyDescent="0.2">
      <c r="A625" s="195">
        <v>2675</v>
      </c>
      <c r="B625" s="196" t="s">
        <v>4112</v>
      </c>
      <c r="C625" s="196">
        <v>322230</v>
      </c>
      <c r="D625" s="197" t="s">
        <v>2764</v>
      </c>
    </row>
    <row r="626" spans="1:4" ht="17.25" customHeight="1" x14ac:dyDescent="0.2">
      <c r="A626" s="195">
        <v>2677</v>
      </c>
      <c r="B626" s="196" t="s">
        <v>4114</v>
      </c>
      <c r="C626" s="196">
        <v>322230</v>
      </c>
      <c r="D626" s="197" t="s">
        <v>2764</v>
      </c>
    </row>
    <row r="627" spans="1:4" ht="34.5" customHeight="1" x14ac:dyDescent="0.2">
      <c r="A627" s="195">
        <v>2678</v>
      </c>
      <c r="B627" s="196" t="s">
        <v>4115</v>
      </c>
      <c r="C627" s="196">
        <v>322230</v>
      </c>
      <c r="D627" s="197" t="s">
        <v>2764</v>
      </c>
    </row>
    <row r="628" spans="1:4" ht="34.5" customHeight="1" x14ac:dyDescent="0.2">
      <c r="A628" s="195">
        <v>2679</v>
      </c>
      <c r="B628" s="196" t="s">
        <v>4101</v>
      </c>
      <c r="C628" s="196">
        <v>322230</v>
      </c>
      <c r="D628" s="197" t="s">
        <v>2764</v>
      </c>
    </row>
    <row r="629" spans="1:4" ht="17.25" customHeight="1" x14ac:dyDescent="0.2">
      <c r="A629" s="195">
        <v>2676</v>
      </c>
      <c r="B629" s="196" t="s">
        <v>4116</v>
      </c>
      <c r="C629" s="196">
        <v>322291</v>
      </c>
      <c r="D629" s="197" t="s">
        <v>4117</v>
      </c>
    </row>
    <row r="630" spans="1:4" ht="28.7" customHeight="1" x14ac:dyDescent="0.2">
      <c r="A630" s="195">
        <v>3842</v>
      </c>
      <c r="B630" s="196" t="s">
        <v>4118</v>
      </c>
      <c r="C630" s="196">
        <v>322291</v>
      </c>
      <c r="D630" s="197" t="s">
        <v>4117</v>
      </c>
    </row>
    <row r="631" spans="1:4" ht="28.7" customHeight="1" x14ac:dyDescent="0.2">
      <c r="A631" s="195">
        <v>2675</v>
      </c>
      <c r="B631" s="196" t="s">
        <v>4112</v>
      </c>
      <c r="C631" s="196">
        <v>322299</v>
      </c>
      <c r="D631" s="197" t="s">
        <v>4119</v>
      </c>
    </row>
    <row r="632" spans="1:4" ht="34.5" customHeight="1" x14ac:dyDescent="0.2">
      <c r="A632" s="195">
        <v>2679</v>
      </c>
      <c r="B632" s="196" t="s">
        <v>4101</v>
      </c>
      <c r="C632" s="196">
        <v>322299</v>
      </c>
      <c r="D632" s="197" t="s">
        <v>4119</v>
      </c>
    </row>
    <row r="633" spans="1:4" ht="34.5" customHeight="1" x14ac:dyDescent="0.2">
      <c r="A633" s="195">
        <v>2752</v>
      </c>
      <c r="B633" s="196" t="s">
        <v>4120</v>
      </c>
      <c r="C633" s="196">
        <v>323111</v>
      </c>
      <c r="D633" s="197" t="s">
        <v>4121</v>
      </c>
    </row>
    <row r="634" spans="1:4" ht="17.25" customHeight="1" x14ac:dyDescent="0.2">
      <c r="A634" s="195">
        <v>2752</v>
      </c>
      <c r="B634" s="196" t="s">
        <v>4120</v>
      </c>
      <c r="C634" s="196">
        <v>323111</v>
      </c>
      <c r="D634" s="197" t="s">
        <v>4121</v>
      </c>
    </row>
    <row r="635" spans="1:4" ht="34.5" customHeight="1" x14ac:dyDescent="0.2">
      <c r="A635" s="195">
        <v>2754</v>
      </c>
      <c r="B635" s="196" t="s">
        <v>4122</v>
      </c>
      <c r="C635" s="196">
        <v>323111</v>
      </c>
      <c r="D635" s="197" t="s">
        <v>4121</v>
      </c>
    </row>
    <row r="636" spans="1:4" ht="17.25" customHeight="1" x14ac:dyDescent="0.2">
      <c r="A636" s="195">
        <v>2759</v>
      </c>
      <c r="B636" s="196" t="s">
        <v>4123</v>
      </c>
      <c r="C636" s="196">
        <v>323111</v>
      </c>
      <c r="D636" s="197" t="s">
        <v>4121</v>
      </c>
    </row>
    <row r="637" spans="1:4" ht="17.25" customHeight="1" x14ac:dyDescent="0.2">
      <c r="A637" s="195">
        <v>2759</v>
      </c>
      <c r="B637" s="196" t="s">
        <v>4123</v>
      </c>
      <c r="C637" s="196">
        <v>323111</v>
      </c>
      <c r="D637" s="197" t="s">
        <v>4121</v>
      </c>
    </row>
    <row r="638" spans="1:4" ht="17.25" customHeight="1" x14ac:dyDescent="0.2">
      <c r="A638" s="195">
        <v>2759</v>
      </c>
      <c r="B638" s="196" t="s">
        <v>4123</v>
      </c>
      <c r="C638" s="196">
        <v>323111</v>
      </c>
      <c r="D638" s="197" t="s">
        <v>4121</v>
      </c>
    </row>
    <row r="639" spans="1:4" ht="17.25" customHeight="1" x14ac:dyDescent="0.2">
      <c r="A639" s="195">
        <v>2759</v>
      </c>
      <c r="B639" s="196" t="s">
        <v>4123</v>
      </c>
      <c r="C639" s="196">
        <v>323111</v>
      </c>
      <c r="D639" s="197" t="s">
        <v>4121</v>
      </c>
    </row>
    <row r="640" spans="1:4" ht="34.5" customHeight="1" x14ac:dyDescent="0.2">
      <c r="A640" s="195">
        <v>2761</v>
      </c>
      <c r="B640" s="196" t="s">
        <v>4124</v>
      </c>
      <c r="C640" s="196">
        <v>323111</v>
      </c>
      <c r="D640" s="197" t="s">
        <v>4121</v>
      </c>
    </row>
    <row r="641" spans="1:4" ht="17.25" customHeight="1" x14ac:dyDescent="0.2">
      <c r="A641" s="195">
        <v>2771</v>
      </c>
      <c r="B641" s="196" t="s">
        <v>4125</v>
      </c>
      <c r="C641" s="196">
        <v>323111</v>
      </c>
      <c r="D641" s="197" t="s">
        <v>4121</v>
      </c>
    </row>
    <row r="642" spans="1:4" ht="17.25" customHeight="1" x14ac:dyDescent="0.2">
      <c r="A642" s="195">
        <v>2771</v>
      </c>
      <c r="B642" s="196" t="s">
        <v>4125</v>
      </c>
      <c r="C642" s="196">
        <v>323111</v>
      </c>
      <c r="D642" s="197" t="s">
        <v>4121</v>
      </c>
    </row>
    <row r="643" spans="1:4" ht="34.5" customHeight="1" x14ac:dyDescent="0.2">
      <c r="A643" s="195">
        <v>2771</v>
      </c>
      <c r="B643" s="196" t="s">
        <v>4125</v>
      </c>
      <c r="C643" s="196">
        <v>323111</v>
      </c>
      <c r="D643" s="197" t="s">
        <v>4121</v>
      </c>
    </row>
    <row r="644" spans="1:4" ht="17.25" customHeight="1" x14ac:dyDescent="0.2">
      <c r="A644" s="195">
        <v>2771</v>
      </c>
      <c r="B644" s="196" t="s">
        <v>4125</v>
      </c>
      <c r="C644" s="196">
        <v>323111</v>
      </c>
      <c r="D644" s="197" t="s">
        <v>4121</v>
      </c>
    </row>
    <row r="645" spans="1:4" ht="17.25" customHeight="1" x14ac:dyDescent="0.2">
      <c r="A645" s="195">
        <v>2782</v>
      </c>
      <c r="B645" s="196" t="s">
        <v>4126</v>
      </c>
      <c r="C645" s="196">
        <v>323111</v>
      </c>
      <c r="D645" s="197" t="s">
        <v>4121</v>
      </c>
    </row>
    <row r="646" spans="1:4" ht="34.5" customHeight="1" x14ac:dyDescent="0.2">
      <c r="A646" s="195">
        <v>2782</v>
      </c>
      <c r="B646" s="196" t="s">
        <v>4126</v>
      </c>
      <c r="C646" s="196">
        <v>323111</v>
      </c>
      <c r="D646" s="197" t="s">
        <v>4121</v>
      </c>
    </row>
    <row r="647" spans="1:4" ht="17.25" customHeight="1" x14ac:dyDescent="0.2">
      <c r="A647" s="195">
        <v>7334</v>
      </c>
      <c r="B647" s="196" t="s">
        <v>4127</v>
      </c>
      <c r="C647" s="196">
        <v>323111</v>
      </c>
      <c r="D647" s="197" t="s">
        <v>4121</v>
      </c>
    </row>
    <row r="648" spans="1:4" ht="34.5" customHeight="1" x14ac:dyDescent="0.2">
      <c r="A648" s="195">
        <v>2396</v>
      </c>
      <c r="B648" s="196" t="s">
        <v>4046</v>
      </c>
      <c r="C648" s="196">
        <v>323113</v>
      </c>
      <c r="D648" s="197" t="s">
        <v>4128</v>
      </c>
    </row>
    <row r="649" spans="1:4" ht="34.5" customHeight="1" x14ac:dyDescent="0.2">
      <c r="A649" s="195">
        <v>2759</v>
      </c>
      <c r="B649" s="196" t="s">
        <v>4123</v>
      </c>
      <c r="C649" s="196">
        <v>323113</v>
      </c>
      <c r="D649" s="197" t="s">
        <v>4128</v>
      </c>
    </row>
    <row r="650" spans="1:4" ht="34.5" customHeight="1" x14ac:dyDescent="0.2">
      <c r="A650" s="195">
        <v>2771</v>
      </c>
      <c r="B650" s="196" t="s">
        <v>4125</v>
      </c>
      <c r="C650" s="196">
        <v>323113</v>
      </c>
      <c r="D650" s="197" t="s">
        <v>4128</v>
      </c>
    </row>
    <row r="651" spans="1:4" ht="17.25" customHeight="1" x14ac:dyDescent="0.2">
      <c r="A651" s="195">
        <v>3993</v>
      </c>
      <c r="B651" s="196" t="s">
        <v>4129</v>
      </c>
      <c r="C651" s="196">
        <v>323113</v>
      </c>
      <c r="D651" s="197" t="s">
        <v>4128</v>
      </c>
    </row>
    <row r="652" spans="1:4" ht="17.25" customHeight="1" x14ac:dyDescent="0.2">
      <c r="A652" s="195">
        <v>2732</v>
      </c>
      <c r="B652" s="196" t="s">
        <v>4130</v>
      </c>
      <c r="C652" s="196">
        <v>323117</v>
      </c>
      <c r="D652" s="197" t="s">
        <v>4131</v>
      </c>
    </row>
    <row r="653" spans="1:4" ht="17.25" customHeight="1" x14ac:dyDescent="0.2">
      <c r="A653" s="195">
        <v>2789</v>
      </c>
      <c r="B653" s="196" t="s">
        <v>4132</v>
      </c>
      <c r="C653" s="196">
        <v>323120</v>
      </c>
      <c r="D653" s="197" t="s">
        <v>4133</v>
      </c>
    </row>
    <row r="654" spans="1:4" ht="34.5" customHeight="1" x14ac:dyDescent="0.2">
      <c r="A654" s="195">
        <v>2791</v>
      </c>
      <c r="B654" s="196" t="s">
        <v>4134</v>
      </c>
      <c r="C654" s="196">
        <v>323120</v>
      </c>
      <c r="D654" s="197" t="s">
        <v>4133</v>
      </c>
    </row>
    <row r="655" spans="1:4" ht="17.25" customHeight="1" x14ac:dyDescent="0.2">
      <c r="A655" s="195">
        <v>2796</v>
      </c>
      <c r="B655" s="196" t="s">
        <v>4135</v>
      </c>
      <c r="C655" s="196">
        <v>323120</v>
      </c>
      <c r="D655" s="197" t="s">
        <v>4133</v>
      </c>
    </row>
    <row r="656" spans="1:4" ht="17.25" customHeight="1" x14ac:dyDescent="0.2">
      <c r="A656" s="195">
        <v>2911</v>
      </c>
      <c r="B656" s="196" t="s">
        <v>2107</v>
      </c>
      <c r="C656" s="196">
        <v>324110</v>
      </c>
      <c r="D656" s="197" t="s">
        <v>2770</v>
      </c>
    </row>
    <row r="657" spans="1:4" ht="17.25" customHeight="1" x14ac:dyDescent="0.2">
      <c r="A657" s="195">
        <v>2951</v>
      </c>
      <c r="B657" s="196" t="s">
        <v>4136</v>
      </c>
      <c r="C657" s="196">
        <v>324121</v>
      </c>
      <c r="D657" s="197" t="s">
        <v>4137</v>
      </c>
    </row>
    <row r="658" spans="1:4" ht="34.5" customHeight="1" x14ac:dyDescent="0.2">
      <c r="A658" s="195">
        <v>2952</v>
      </c>
      <c r="B658" s="196" t="s">
        <v>4138</v>
      </c>
      <c r="C658" s="196">
        <v>324122</v>
      </c>
      <c r="D658" s="197" t="s">
        <v>4139</v>
      </c>
    </row>
    <row r="659" spans="1:4" ht="17.25" customHeight="1" x14ac:dyDescent="0.2">
      <c r="A659" s="195">
        <v>2992</v>
      </c>
      <c r="B659" s="196" t="s">
        <v>2174</v>
      </c>
      <c r="C659" s="196">
        <v>324191</v>
      </c>
      <c r="D659" s="197" t="s">
        <v>4140</v>
      </c>
    </row>
    <row r="660" spans="1:4" ht="34.5" customHeight="1" x14ac:dyDescent="0.2">
      <c r="A660" s="195">
        <v>2999</v>
      </c>
      <c r="B660" s="196" t="s">
        <v>4141</v>
      </c>
      <c r="C660" s="196">
        <v>324199</v>
      </c>
      <c r="D660" s="197" t="s">
        <v>4142</v>
      </c>
    </row>
    <row r="661" spans="1:4" ht="17.25" customHeight="1" x14ac:dyDescent="0.2">
      <c r="A661" s="195">
        <v>3312</v>
      </c>
      <c r="B661" s="196" t="s">
        <v>4143</v>
      </c>
      <c r="C661" s="196">
        <v>324199</v>
      </c>
      <c r="D661" s="197" t="s">
        <v>4142</v>
      </c>
    </row>
    <row r="662" spans="1:4" ht="34.5" customHeight="1" x14ac:dyDescent="0.2">
      <c r="A662" s="195">
        <v>2865</v>
      </c>
      <c r="B662" s="196" t="s">
        <v>4144</v>
      </c>
      <c r="C662" s="196">
        <v>325110</v>
      </c>
      <c r="D662" s="197" t="s">
        <v>2775</v>
      </c>
    </row>
    <row r="663" spans="1:4" ht="17.25" customHeight="1" x14ac:dyDescent="0.2">
      <c r="A663" s="195">
        <v>2869</v>
      </c>
      <c r="B663" s="196" t="s">
        <v>4145</v>
      </c>
      <c r="C663" s="196">
        <v>325110</v>
      </c>
      <c r="D663" s="197" t="s">
        <v>2775</v>
      </c>
    </row>
    <row r="664" spans="1:4" ht="34.5" customHeight="1" x14ac:dyDescent="0.2">
      <c r="A664" s="195">
        <v>2813</v>
      </c>
      <c r="B664" s="196" t="s">
        <v>4146</v>
      </c>
      <c r="C664" s="196">
        <v>325120</v>
      </c>
      <c r="D664" s="197" t="s">
        <v>2776</v>
      </c>
    </row>
    <row r="665" spans="1:4" ht="34.5" customHeight="1" x14ac:dyDescent="0.2">
      <c r="A665" s="195">
        <v>2869</v>
      </c>
      <c r="B665" s="196" t="s">
        <v>4145</v>
      </c>
      <c r="C665" s="196">
        <v>325120</v>
      </c>
      <c r="D665" s="197" t="s">
        <v>2776</v>
      </c>
    </row>
    <row r="666" spans="1:4" ht="34.5" customHeight="1" x14ac:dyDescent="0.2">
      <c r="A666" s="195">
        <v>2816</v>
      </c>
      <c r="B666" s="196" t="s">
        <v>4147</v>
      </c>
      <c r="C666" s="196">
        <v>325130</v>
      </c>
      <c r="D666" s="197" t="s">
        <v>2777</v>
      </c>
    </row>
    <row r="667" spans="1:4" ht="34.5" customHeight="1" x14ac:dyDescent="0.2">
      <c r="A667" s="195">
        <v>2819</v>
      </c>
      <c r="B667" s="196" t="s">
        <v>3767</v>
      </c>
      <c r="C667" s="196">
        <v>325130</v>
      </c>
      <c r="D667" s="197" t="s">
        <v>2777</v>
      </c>
    </row>
    <row r="668" spans="1:4" ht="17.25" customHeight="1" x14ac:dyDescent="0.2">
      <c r="A668" s="195">
        <v>2865</v>
      </c>
      <c r="B668" s="196" t="s">
        <v>4144</v>
      </c>
      <c r="C668" s="196">
        <v>325130</v>
      </c>
      <c r="D668" s="197" t="s">
        <v>2777</v>
      </c>
    </row>
    <row r="669" spans="1:4" ht="17.25" customHeight="1" x14ac:dyDescent="0.2">
      <c r="A669" s="195">
        <v>2812</v>
      </c>
      <c r="B669" s="196" t="s">
        <v>2216</v>
      </c>
      <c r="C669" s="196">
        <v>325180</v>
      </c>
      <c r="D669" s="197" t="s">
        <v>4148</v>
      </c>
    </row>
    <row r="670" spans="1:4" ht="34.5" customHeight="1" x14ac:dyDescent="0.2">
      <c r="A670" s="195">
        <v>2816</v>
      </c>
      <c r="B670" s="196" t="s">
        <v>4147</v>
      </c>
      <c r="C670" s="196">
        <v>325180</v>
      </c>
      <c r="D670" s="197" t="s">
        <v>4148</v>
      </c>
    </row>
    <row r="671" spans="1:4" ht="34.5" customHeight="1" x14ac:dyDescent="0.2">
      <c r="A671" s="195">
        <v>2819</v>
      </c>
      <c r="B671" s="196" t="s">
        <v>3767</v>
      </c>
      <c r="C671" s="196">
        <v>325180</v>
      </c>
      <c r="D671" s="197" t="s">
        <v>4148</v>
      </c>
    </row>
    <row r="672" spans="1:4" ht="34.5" customHeight="1" x14ac:dyDescent="0.2">
      <c r="A672" s="195">
        <v>2869</v>
      </c>
      <c r="B672" s="196" t="s">
        <v>4145</v>
      </c>
      <c r="C672" s="196">
        <v>325180</v>
      </c>
      <c r="D672" s="197" t="s">
        <v>4148</v>
      </c>
    </row>
    <row r="673" spans="1:4" ht="17.25" customHeight="1" x14ac:dyDescent="0.2">
      <c r="A673" s="195">
        <v>2895</v>
      </c>
      <c r="B673" s="196" t="s">
        <v>4149</v>
      </c>
      <c r="C673" s="196">
        <v>325180</v>
      </c>
      <c r="D673" s="197" t="s">
        <v>4148</v>
      </c>
    </row>
    <row r="674" spans="1:4" ht="17.25" customHeight="1" x14ac:dyDescent="0.2">
      <c r="A674" s="195">
        <v>2869</v>
      </c>
      <c r="B674" s="196" t="s">
        <v>4145</v>
      </c>
      <c r="C674" s="196">
        <v>325193</v>
      </c>
      <c r="D674" s="197" t="s">
        <v>4150</v>
      </c>
    </row>
    <row r="675" spans="1:4" ht="17.25" customHeight="1" x14ac:dyDescent="0.2">
      <c r="A675" s="195">
        <v>2861</v>
      </c>
      <c r="B675" s="196" t="s">
        <v>4151</v>
      </c>
      <c r="C675" s="196">
        <v>325194</v>
      </c>
      <c r="D675" s="197" t="s">
        <v>4152</v>
      </c>
    </row>
    <row r="676" spans="1:4" ht="17.25" customHeight="1" x14ac:dyDescent="0.2">
      <c r="A676" s="195">
        <v>2865</v>
      </c>
      <c r="B676" s="196" t="s">
        <v>4144</v>
      </c>
      <c r="C676" s="196">
        <v>325194</v>
      </c>
      <c r="D676" s="197" t="s">
        <v>4152</v>
      </c>
    </row>
    <row r="677" spans="1:4" ht="34.5" customHeight="1" x14ac:dyDescent="0.2">
      <c r="A677" s="195">
        <v>2869</v>
      </c>
      <c r="B677" s="196" t="s">
        <v>4145</v>
      </c>
      <c r="C677" s="196">
        <v>325194</v>
      </c>
      <c r="D677" s="197" t="s">
        <v>4152</v>
      </c>
    </row>
    <row r="678" spans="1:4" ht="17.25" customHeight="1" x14ac:dyDescent="0.2">
      <c r="A678" s="195">
        <v>2869</v>
      </c>
      <c r="B678" s="196" t="s">
        <v>4145</v>
      </c>
      <c r="C678" s="196">
        <v>325199</v>
      </c>
      <c r="D678" s="197" t="s">
        <v>4153</v>
      </c>
    </row>
    <row r="679" spans="1:4" ht="17.25" customHeight="1" x14ac:dyDescent="0.2">
      <c r="A679" s="195">
        <v>2899</v>
      </c>
      <c r="B679" s="196" t="s">
        <v>3967</v>
      </c>
      <c r="C679" s="196">
        <v>325199</v>
      </c>
      <c r="D679" s="197" t="s">
        <v>4153</v>
      </c>
    </row>
    <row r="680" spans="1:4" ht="17.25" customHeight="1" x14ac:dyDescent="0.2">
      <c r="A680" s="195">
        <v>2821</v>
      </c>
      <c r="B680" s="196" t="s">
        <v>4154</v>
      </c>
      <c r="C680" s="196">
        <v>325211</v>
      </c>
      <c r="D680" s="197" t="s">
        <v>4155</v>
      </c>
    </row>
    <row r="681" spans="1:4" ht="34.5" customHeight="1" x14ac:dyDescent="0.2">
      <c r="A681" s="195">
        <v>2822</v>
      </c>
      <c r="B681" s="196" t="s">
        <v>1662</v>
      </c>
      <c r="C681" s="196">
        <v>325212</v>
      </c>
      <c r="D681" s="197" t="s">
        <v>4156</v>
      </c>
    </row>
    <row r="682" spans="1:4" ht="28.7" customHeight="1" x14ac:dyDescent="0.2">
      <c r="A682" s="195">
        <v>2823</v>
      </c>
      <c r="B682" s="196" t="s">
        <v>4157</v>
      </c>
      <c r="C682" s="196">
        <v>325220</v>
      </c>
      <c r="D682" s="197" t="s">
        <v>2781</v>
      </c>
    </row>
    <row r="683" spans="1:4" ht="17.25" customHeight="1" x14ac:dyDescent="0.2">
      <c r="A683" s="195">
        <v>2824</v>
      </c>
      <c r="B683" s="196" t="s">
        <v>4158</v>
      </c>
      <c r="C683" s="196">
        <v>325220</v>
      </c>
      <c r="D683" s="197" t="s">
        <v>2781</v>
      </c>
    </row>
    <row r="684" spans="1:4" ht="34.5" customHeight="1" x14ac:dyDescent="0.2">
      <c r="A684" s="195">
        <v>2873</v>
      </c>
      <c r="B684" s="196" t="s">
        <v>4159</v>
      </c>
      <c r="C684" s="196">
        <v>325311</v>
      </c>
      <c r="D684" s="197" t="s">
        <v>4160</v>
      </c>
    </row>
    <row r="685" spans="1:4" ht="34.5" customHeight="1" x14ac:dyDescent="0.2">
      <c r="A685" s="195">
        <v>2874</v>
      </c>
      <c r="B685" s="196" t="s">
        <v>4161</v>
      </c>
      <c r="C685" s="196">
        <v>325312</v>
      </c>
      <c r="D685" s="197" t="s">
        <v>4162</v>
      </c>
    </row>
    <row r="686" spans="1:4" ht="34.5" customHeight="1" x14ac:dyDescent="0.2">
      <c r="A686" s="195">
        <v>2875</v>
      </c>
      <c r="B686" s="196" t="s">
        <v>4163</v>
      </c>
      <c r="C686" s="196">
        <v>325314</v>
      </c>
      <c r="D686" s="197" t="s">
        <v>4164</v>
      </c>
    </row>
    <row r="687" spans="1:4" ht="34.5" customHeight="1" x14ac:dyDescent="0.2">
      <c r="A687" s="195">
        <v>2875</v>
      </c>
      <c r="B687" s="196" t="s">
        <v>4163</v>
      </c>
      <c r="C687" s="196">
        <v>325315</v>
      </c>
      <c r="D687" s="197" t="s">
        <v>2787</v>
      </c>
    </row>
    <row r="688" spans="1:4" ht="17.25" customHeight="1" x14ac:dyDescent="0.2">
      <c r="A688" s="195">
        <v>2879</v>
      </c>
      <c r="B688" s="196" t="s">
        <v>4165</v>
      </c>
      <c r="C688" s="196">
        <v>325320</v>
      </c>
      <c r="D688" s="197" t="s">
        <v>2788</v>
      </c>
    </row>
    <row r="689" spans="1:4" ht="17.25" customHeight="1" x14ac:dyDescent="0.2">
      <c r="A689" s="195">
        <v>2833</v>
      </c>
      <c r="B689" s="196" t="s">
        <v>4166</v>
      </c>
      <c r="C689" s="196">
        <v>325411</v>
      </c>
      <c r="D689" s="197" t="s">
        <v>4167</v>
      </c>
    </row>
    <row r="690" spans="1:4" ht="34.5" customHeight="1" x14ac:dyDescent="0.2">
      <c r="A690" s="195">
        <v>2834</v>
      </c>
      <c r="B690" s="196" t="s">
        <v>4168</v>
      </c>
      <c r="C690" s="196">
        <v>325412</v>
      </c>
      <c r="D690" s="197" t="s">
        <v>4169</v>
      </c>
    </row>
    <row r="691" spans="1:4" ht="34.5" customHeight="1" x14ac:dyDescent="0.2">
      <c r="A691" s="195">
        <v>2835</v>
      </c>
      <c r="B691" s="196" t="s">
        <v>4170</v>
      </c>
      <c r="C691" s="196">
        <v>325412</v>
      </c>
      <c r="D691" s="197" t="s">
        <v>4169</v>
      </c>
    </row>
    <row r="692" spans="1:4" ht="17.25" customHeight="1" x14ac:dyDescent="0.2">
      <c r="A692" s="195">
        <v>2835</v>
      </c>
      <c r="B692" s="196" t="s">
        <v>4170</v>
      </c>
      <c r="C692" s="196">
        <v>325413</v>
      </c>
      <c r="D692" s="197" t="s">
        <v>4171</v>
      </c>
    </row>
    <row r="693" spans="1:4" ht="34.5" customHeight="1" x14ac:dyDescent="0.2">
      <c r="A693" s="195">
        <v>2836</v>
      </c>
      <c r="B693" s="196" t="s">
        <v>4172</v>
      </c>
      <c r="C693" s="196">
        <v>325414</v>
      </c>
      <c r="D693" s="197" t="s">
        <v>4173</v>
      </c>
    </row>
    <row r="694" spans="1:4" ht="34.5" customHeight="1" x14ac:dyDescent="0.2">
      <c r="A694" s="195">
        <v>2851</v>
      </c>
      <c r="B694" s="196" t="s">
        <v>4174</v>
      </c>
      <c r="C694" s="196">
        <v>325510</v>
      </c>
      <c r="D694" s="197" t="s">
        <v>2793</v>
      </c>
    </row>
    <row r="695" spans="1:4" ht="17.25" customHeight="1" x14ac:dyDescent="0.2">
      <c r="A695" s="195">
        <v>2899</v>
      </c>
      <c r="B695" s="196" t="s">
        <v>3967</v>
      </c>
      <c r="C695" s="196">
        <v>325510</v>
      </c>
      <c r="D695" s="197" t="s">
        <v>2793</v>
      </c>
    </row>
    <row r="696" spans="1:4" ht="17.25" customHeight="1" x14ac:dyDescent="0.2">
      <c r="A696" s="195">
        <v>2891</v>
      </c>
      <c r="B696" s="196" t="s">
        <v>4175</v>
      </c>
      <c r="C696" s="196">
        <v>325520</v>
      </c>
      <c r="D696" s="197" t="s">
        <v>2794</v>
      </c>
    </row>
    <row r="697" spans="1:4" ht="34.5" customHeight="1" x14ac:dyDescent="0.2">
      <c r="A697" s="195">
        <v>2841</v>
      </c>
      <c r="B697" s="196" t="s">
        <v>4176</v>
      </c>
      <c r="C697" s="196">
        <v>325611</v>
      </c>
      <c r="D697" s="197" t="s">
        <v>4177</v>
      </c>
    </row>
    <row r="698" spans="1:4" ht="34.5" customHeight="1" x14ac:dyDescent="0.2">
      <c r="A698" s="195">
        <v>2844</v>
      </c>
      <c r="B698" s="196" t="s">
        <v>4178</v>
      </c>
      <c r="C698" s="196">
        <v>325611</v>
      </c>
      <c r="D698" s="197" t="s">
        <v>4177</v>
      </c>
    </row>
    <row r="699" spans="1:4" ht="17.25" customHeight="1" x14ac:dyDescent="0.2">
      <c r="A699" s="195">
        <v>2842</v>
      </c>
      <c r="B699" s="196" t="s">
        <v>4179</v>
      </c>
      <c r="C699" s="196">
        <v>325612</v>
      </c>
      <c r="D699" s="197" t="s">
        <v>4180</v>
      </c>
    </row>
    <row r="700" spans="1:4" ht="34.5" customHeight="1" x14ac:dyDescent="0.2">
      <c r="A700" s="195">
        <v>2843</v>
      </c>
      <c r="B700" s="196" t="s">
        <v>4181</v>
      </c>
      <c r="C700" s="196">
        <v>325613</v>
      </c>
      <c r="D700" s="197" t="s">
        <v>4182</v>
      </c>
    </row>
    <row r="701" spans="1:4" ht="34.5" customHeight="1" x14ac:dyDescent="0.2">
      <c r="A701" s="195">
        <v>2844</v>
      </c>
      <c r="B701" s="196" t="s">
        <v>4178</v>
      </c>
      <c r="C701" s="196">
        <v>325620</v>
      </c>
      <c r="D701" s="197" t="s">
        <v>2798</v>
      </c>
    </row>
    <row r="702" spans="1:4" ht="34.5" customHeight="1" x14ac:dyDescent="0.2">
      <c r="A702" s="195">
        <v>2893</v>
      </c>
      <c r="B702" s="196" t="s">
        <v>4183</v>
      </c>
      <c r="C702" s="196">
        <v>325910</v>
      </c>
      <c r="D702" s="197" t="s">
        <v>2799</v>
      </c>
    </row>
    <row r="703" spans="1:4" ht="17.25" customHeight="1" x14ac:dyDescent="0.2">
      <c r="A703" s="195">
        <v>2892</v>
      </c>
      <c r="B703" s="196" t="s">
        <v>2370</v>
      </c>
      <c r="C703" s="196">
        <v>325920</v>
      </c>
      <c r="D703" s="197" t="s">
        <v>2800</v>
      </c>
    </row>
    <row r="704" spans="1:4" ht="17.25" customHeight="1" x14ac:dyDescent="0.2">
      <c r="A704" s="195">
        <v>3087</v>
      </c>
      <c r="B704" s="196" t="s">
        <v>4184</v>
      </c>
      <c r="C704" s="196">
        <v>325991</v>
      </c>
      <c r="D704" s="197" t="s">
        <v>4185</v>
      </c>
    </row>
    <row r="705" spans="1:4" ht="17.25" customHeight="1" x14ac:dyDescent="0.2">
      <c r="A705" s="195">
        <v>3861</v>
      </c>
      <c r="B705" s="196" t="s">
        <v>4186</v>
      </c>
      <c r="C705" s="196">
        <v>325992</v>
      </c>
      <c r="D705" s="197" t="s">
        <v>4187</v>
      </c>
    </row>
    <row r="706" spans="1:4" ht="17.25" customHeight="1" x14ac:dyDescent="0.2">
      <c r="A706" s="195">
        <v>2819</v>
      </c>
      <c r="B706" s="196" t="s">
        <v>3767</v>
      </c>
      <c r="C706" s="196">
        <v>325998</v>
      </c>
      <c r="D706" s="197" t="s">
        <v>4188</v>
      </c>
    </row>
    <row r="707" spans="1:4" ht="34.5" customHeight="1" x14ac:dyDescent="0.2">
      <c r="A707" s="195">
        <v>2869</v>
      </c>
      <c r="B707" s="196" t="s">
        <v>4145</v>
      </c>
      <c r="C707" s="196">
        <v>325998</v>
      </c>
      <c r="D707" s="197" t="s">
        <v>4188</v>
      </c>
    </row>
    <row r="708" spans="1:4" ht="34.5" customHeight="1" x14ac:dyDescent="0.2">
      <c r="A708" s="195">
        <v>2899</v>
      </c>
      <c r="B708" s="196" t="s">
        <v>3967</v>
      </c>
      <c r="C708" s="196">
        <v>325998</v>
      </c>
      <c r="D708" s="197" t="s">
        <v>4188</v>
      </c>
    </row>
    <row r="709" spans="1:4" ht="17.25" customHeight="1" x14ac:dyDescent="0.2">
      <c r="A709" s="195">
        <v>3952</v>
      </c>
      <c r="B709" s="196" t="s">
        <v>4189</v>
      </c>
      <c r="C709" s="196">
        <v>325998</v>
      </c>
      <c r="D709" s="197" t="s">
        <v>4188</v>
      </c>
    </row>
    <row r="710" spans="1:4" ht="17.25" customHeight="1" x14ac:dyDescent="0.2">
      <c r="A710" s="195">
        <v>3999</v>
      </c>
      <c r="B710" s="196" t="s">
        <v>4055</v>
      </c>
      <c r="C710" s="196">
        <v>325998</v>
      </c>
      <c r="D710" s="197" t="s">
        <v>4188</v>
      </c>
    </row>
    <row r="711" spans="1:4" ht="34.5" customHeight="1" x14ac:dyDescent="0.2">
      <c r="A711" s="195">
        <v>7389</v>
      </c>
      <c r="B711" s="196" t="s">
        <v>3985</v>
      </c>
      <c r="C711" s="196">
        <v>325998</v>
      </c>
      <c r="D711" s="197" t="s">
        <v>4188</v>
      </c>
    </row>
    <row r="712" spans="1:4" ht="34.5" customHeight="1" x14ac:dyDescent="0.2">
      <c r="A712" s="195">
        <v>2673</v>
      </c>
      <c r="B712" s="196" t="s">
        <v>4110</v>
      </c>
      <c r="C712" s="196">
        <v>326111</v>
      </c>
      <c r="D712" s="197" t="s">
        <v>4190</v>
      </c>
    </row>
    <row r="713" spans="1:4" ht="34.5" customHeight="1" x14ac:dyDescent="0.2">
      <c r="A713" s="195">
        <v>2671</v>
      </c>
      <c r="B713" s="196" t="s">
        <v>4108</v>
      </c>
      <c r="C713" s="196">
        <v>326112</v>
      </c>
      <c r="D713" s="197" t="s">
        <v>4191</v>
      </c>
    </row>
    <row r="714" spans="1:4" ht="34.5" customHeight="1" x14ac:dyDescent="0.2">
      <c r="A714" s="195">
        <v>3081</v>
      </c>
      <c r="B714" s="196" t="s">
        <v>4192</v>
      </c>
      <c r="C714" s="196">
        <v>326113</v>
      </c>
      <c r="D714" s="197" t="s">
        <v>4193</v>
      </c>
    </row>
    <row r="715" spans="1:4" ht="17.25" customHeight="1" x14ac:dyDescent="0.2">
      <c r="A715" s="195">
        <v>3082</v>
      </c>
      <c r="B715" s="196" t="s">
        <v>4194</v>
      </c>
      <c r="C715" s="196">
        <v>326121</v>
      </c>
      <c r="D715" s="197" t="s">
        <v>4195</v>
      </c>
    </row>
    <row r="716" spans="1:4" ht="34.5" customHeight="1" x14ac:dyDescent="0.2">
      <c r="A716" s="195">
        <v>3089</v>
      </c>
      <c r="B716" s="196" t="s">
        <v>4196</v>
      </c>
      <c r="C716" s="196">
        <v>326121</v>
      </c>
      <c r="D716" s="197" t="s">
        <v>4195</v>
      </c>
    </row>
    <row r="717" spans="1:4" ht="17.25" customHeight="1" x14ac:dyDescent="0.2">
      <c r="A717" s="195">
        <v>3084</v>
      </c>
      <c r="B717" s="196" t="s">
        <v>4197</v>
      </c>
      <c r="C717" s="196">
        <v>326122</v>
      </c>
      <c r="D717" s="197" t="s">
        <v>4198</v>
      </c>
    </row>
    <row r="718" spans="1:4" ht="17.25" customHeight="1" x14ac:dyDescent="0.2">
      <c r="A718" s="195">
        <v>3089</v>
      </c>
      <c r="B718" s="196" t="s">
        <v>4196</v>
      </c>
      <c r="C718" s="196">
        <v>326122</v>
      </c>
      <c r="D718" s="197" t="s">
        <v>4198</v>
      </c>
    </row>
    <row r="719" spans="1:4" ht="34.5" customHeight="1" x14ac:dyDescent="0.2">
      <c r="A719" s="195">
        <v>3083</v>
      </c>
      <c r="B719" s="196" t="s">
        <v>4199</v>
      </c>
      <c r="C719" s="196">
        <v>326130</v>
      </c>
      <c r="D719" s="197" t="s">
        <v>2809</v>
      </c>
    </row>
    <row r="720" spans="1:4" ht="34.5" customHeight="1" x14ac:dyDescent="0.2">
      <c r="A720" s="195">
        <v>3086</v>
      </c>
      <c r="B720" s="196" t="s">
        <v>4200</v>
      </c>
      <c r="C720" s="196">
        <v>326140</v>
      </c>
      <c r="D720" s="197" t="s">
        <v>2810</v>
      </c>
    </row>
    <row r="721" spans="1:4" ht="17.25" customHeight="1" x14ac:dyDescent="0.2">
      <c r="A721" s="195">
        <v>3086</v>
      </c>
      <c r="B721" s="196" t="s">
        <v>4200</v>
      </c>
      <c r="C721" s="196">
        <v>326150</v>
      </c>
      <c r="D721" s="197" t="s">
        <v>2811</v>
      </c>
    </row>
    <row r="722" spans="1:4" ht="34.5" customHeight="1" x14ac:dyDescent="0.2">
      <c r="A722" s="195">
        <v>3085</v>
      </c>
      <c r="B722" s="196" t="s">
        <v>4201</v>
      </c>
      <c r="C722" s="196">
        <v>326160</v>
      </c>
      <c r="D722" s="197" t="s">
        <v>2812</v>
      </c>
    </row>
    <row r="723" spans="1:4" ht="17.25" customHeight="1" x14ac:dyDescent="0.2">
      <c r="A723" s="195">
        <v>3088</v>
      </c>
      <c r="B723" s="196" t="s">
        <v>4202</v>
      </c>
      <c r="C723" s="196">
        <v>326191</v>
      </c>
      <c r="D723" s="197" t="s">
        <v>4203</v>
      </c>
    </row>
    <row r="724" spans="1:4" ht="34.5" customHeight="1" x14ac:dyDescent="0.2">
      <c r="A724" s="195">
        <v>3069</v>
      </c>
      <c r="B724" s="196" t="s">
        <v>4011</v>
      </c>
      <c r="C724" s="196">
        <v>326199</v>
      </c>
      <c r="D724" s="197" t="s">
        <v>4204</v>
      </c>
    </row>
    <row r="725" spans="1:4" ht="34.5" customHeight="1" x14ac:dyDescent="0.2">
      <c r="A725" s="195">
        <v>3089</v>
      </c>
      <c r="B725" s="196" t="s">
        <v>4196</v>
      </c>
      <c r="C725" s="196">
        <v>326199</v>
      </c>
      <c r="D725" s="197" t="s">
        <v>4204</v>
      </c>
    </row>
    <row r="726" spans="1:4" ht="34.5" customHeight="1" x14ac:dyDescent="0.2">
      <c r="A726" s="195">
        <v>3996</v>
      </c>
      <c r="B726" s="196" t="s">
        <v>4205</v>
      </c>
      <c r="C726" s="196">
        <v>326199</v>
      </c>
      <c r="D726" s="197" t="s">
        <v>4204</v>
      </c>
    </row>
    <row r="727" spans="1:4" ht="34.5" customHeight="1" x14ac:dyDescent="0.2">
      <c r="A727" s="195">
        <v>3999</v>
      </c>
      <c r="B727" s="196" t="s">
        <v>4055</v>
      </c>
      <c r="C727" s="196">
        <v>326199</v>
      </c>
      <c r="D727" s="197" t="s">
        <v>4204</v>
      </c>
    </row>
    <row r="728" spans="1:4" ht="34.5" customHeight="1" x14ac:dyDescent="0.2">
      <c r="A728" s="195">
        <v>3011</v>
      </c>
      <c r="B728" s="196" t="s">
        <v>1852</v>
      </c>
      <c r="C728" s="196">
        <v>326211</v>
      </c>
      <c r="D728" s="197" t="s">
        <v>4206</v>
      </c>
    </row>
    <row r="729" spans="1:4" ht="34.5" customHeight="1" x14ac:dyDescent="0.2">
      <c r="A729" s="195">
        <v>7534</v>
      </c>
      <c r="B729" s="196" t="s">
        <v>4207</v>
      </c>
      <c r="C729" s="196">
        <v>326212</v>
      </c>
      <c r="D729" s="197" t="s">
        <v>4208</v>
      </c>
    </row>
    <row r="730" spans="1:4" ht="34.5" customHeight="1" x14ac:dyDescent="0.2">
      <c r="A730" s="195">
        <v>3052</v>
      </c>
      <c r="B730" s="196" t="s">
        <v>4209</v>
      </c>
      <c r="C730" s="196">
        <v>326220</v>
      </c>
      <c r="D730" s="197" t="s">
        <v>2817</v>
      </c>
    </row>
    <row r="731" spans="1:4" ht="34.5" customHeight="1" x14ac:dyDescent="0.2">
      <c r="A731" s="195">
        <v>3061</v>
      </c>
      <c r="B731" s="196" t="s">
        <v>4210</v>
      </c>
      <c r="C731" s="196">
        <v>326291</v>
      </c>
      <c r="D731" s="197" t="s">
        <v>4211</v>
      </c>
    </row>
    <row r="732" spans="1:4" ht="17.25" customHeight="1" x14ac:dyDescent="0.2">
      <c r="A732" s="195">
        <v>3061</v>
      </c>
      <c r="B732" s="196" t="s">
        <v>4210</v>
      </c>
      <c r="C732" s="196">
        <v>326299</v>
      </c>
      <c r="D732" s="197" t="s">
        <v>4212</v>
      </c>
    </row>
    <row r="733" spans="1:4" ht="17.25" customHeight="1" x14ac:dyDescent="0.2">
      <c r="A733" s="195">
        <v>3069</v>
      </c>
      <c r="B733" s="196" t="s">
        <v>4011</v>
      </c>
      <c r="C733" s="196">
        <v>326299</v>
      </c>
      <c r="D733" s="197" t="s">
        <v>4212</v>
      </c>
    </row>
    <row r="734" spans="1:4" ht="17.25" customHeight="1" x14ac:dyDescent="0.2">
      <c r="A734" s="195">
        <v>3261</v>
      </c>
      <c r="B734" s="196" t="s">
        <v>4213</v>
      </c>
      <c r="C734" s="196">
        <v>327110</v>
      </c>
      <c r="D734" s="197" t="s">
        <v>4214</v>
      </c>
    </row>
    <row r="735" spans="1:4" ht="34.5" customHeight="1" x14ac:dyDescent="0.2">
      <c r="A735" s="195">
        <v>3262</v>
      </c>
      <c r="B735" s="196" t="s">
        <v>4215</v>
      </c>
      <c r="C735" s="196">
        <v>327110</v>
      </c>
      <c r="D735" s="197" t="s">
        <v>4214</v>
      </c>
    </row>
    <row r="736" spans="1:4" ht="17.25" customHeight="1" x14ac:dyDescent="0.2">
      <c r="A736" s="195">
        <v>3263</v>
      </c>
      <c r="B736" s="196" t="s">
        <v>4216</v>
      </c>
      <c r="C736" s="196">
        <v>327110</v>
      </c>
      <c r="D736" s="197" t="s">
        <v>4214</v>
      </c>
    </row>
    <row r="737" spans="1:4" ht="17.25" customHeight="1" x14ac:dyDescent="0.2">
      <c r="A737" s="195">
        <v>3264</v>
      </c>
      <c r="B737" s="196" t="s">
        <v>4217</v>
      </c>
      <c r="C737" s="196">
        <v>327110</v>
      </c>
      <c r="D737" s="197" t="s">
        <v>4214</v>
      </c>
    </row>
    <row r="738" spans="1:4" ht="17.25" customHeight="1" x14ac:dyDescent="0.2">
      <c r="A738" s="195">
        <v>3269</v>
      </c>
      <c r="B738" s="196" t="s">
        <v>4218</v>
      </c>
      <c r="C738" s="196">
        <v>327110</v>
      </c>
      <c r="D738" s="197" t="s">
        <v>4214</v>
      </c>
    </row>
    <row r="739" spans="1:4" ht="34.5" customHeight="1" x14ac:dyDescent="0.2">
      <c r="A739" s="195">
        <v>3299</v>
      </c>
      <c r="B739" s="196" t="s">
        <v>4219</v>
      </c>
      <c r="C739" s="196">
        <v>327110</v>
      </c>
      <c r="D739" s="197" t="s">
        <v>4214</v>
      </c>
    </row>
    <row r="740" spans="1:4" ht="17.25" customHeight="1" x14ac:dyDescent="0.2">
      <c r="A740" s="195">
        <v>5719</v>
      </c>
      <c r="B740" s="196" t="s">
        <v>4220</v>
      </c>
      <c r="C740" s="196">
        <v>327110</v>
      </c>
      <c r="D740" s="197" t="s">
        <v>4214</v>
      </c>
    </row>
    <row r="741" spans="1:4" ht="34.5" customHeight="1" x14ac:dyDescent="0.2">
      <c r="A741" s="195">
        <v>3251</v>
      </c>
      <c r="B741" s="196" t="s">
        <v>4221</v>
      </c>
      <c r="C741" s="196">
        <v>327120</v>
      </c>
      <c r="D741" s="197" t="s">
        <v>4222</v>
      </c>
    </row>
    <row r="742" spans="1:4" ht="34.5" customHeight="1" x14ac:dyDescent="0.2">
      <c r="A742" s="195">
        <v>3253</v>
      </c>
      <c r="B742" s="196" t="s">
        <v>4223</v>
      </c>
      <c r="C742" s="196">
        <v>327120</v>
      </c>
      <c r="D742" s="197" t="s">
        <v>4222</v>
      </c>
    </row>
    <row r="743" spans="1:4" ht="34.5" customHeight="1" x14ac:dyDescent="0.2">
      <c r="A743" s="195">
        <v>3255</v>
      </c>
      <c r="B743" s="196" t="s">
        <v>4224</v>
      </c>
      <c r="C743" s="196">
        <v>327120</v>
      </c>
      <c r="D743" s="197" t="s">
        <v>4222</v>
      </c>
    </row>
    <row r="744" spans="1:4" ht="34.5" customHeight="1" x14ac:dyDescent="0.2">
      <c r="A744" s="195">
        <v>3259</v>
      </c>
      <c r="B744" s="196" t="s">
        <v>4225</v>
      </c>
      <c r="C744" s="196">
        <v>327120</v>
      </c>
      <c r="D744" s="197" t="s">
        <v>4222</v>
      </c>
    </row>
    <row r="745" spans="1:4" ht="17.25" customHeight="1" x14ac:dyDescent="0.2">
      <c r="A745" s="195">
        <v>3297</v>
      </c>
      <c r="B745" s="196" t="s">
        <v>4226</v>
      </c>
      <c r="C745" s="196">
        <v>327120</v>
      </c>
      <c r="D745" s="197" t="s">
        <v>4222</v>
      </c>
    </row>
    <row r="746" spans="1:4" ht="34.5" customHeight="1" x14ac:dyDescent="0.2">
      <c r="A746" s="195">
        <v>3211</v>
      </c>
      <c r="B746" s="196" t="s">
        <v>4227</v>
      </c>
      <c r="C746" s="196">
        <v>327211</v>
      </c>
      <c r="D746" s="197" t="s">
        <v>4228</v>
      </c>
    </row>
    <row r="747" spans="1:4" ht="34.5" customHeight="1" x14ac:dyDescent="0.2">
      <c r="A747" s="195">
        <v>3229</v>
      </c>
      <c r="B747" s="196" t="s">
        <v>4229</v>
      </c>
      <c r="C747" s="196">
        <v>327212</v>
      </c>
      <c r="D747" s="197" t="s">
        <v>4230</v>
      </c>
    </row>
    <row r="748" spans="1:4" ht="17.25" customHeight="1" x14ac:dyDescent="0.2">
      <c r="A748" s="195">
        <v>3221</v>
      </c>
      <c r="B748" s="196" t="s">
        <v>4231</v>
      </c>
      <c r="C748" s="196">
        <v>327213</v>
      </c>
      <c r="D748" s="197" t="s">
        <v>4232</v>
      </c>
    </row>
    <row r="749" spans="1:4" ht="34.5" customHeight="1" x14ac:dyDescent="0.2">
      <c r="A749" s="195">
        <v>3231</v>
      </c>
      <c r="B749" s="196" t="s">
        <v>4233</v>
      </c>
      <c r="C749" s="196">
        <v>327215</v>
      </c>
      <c r="D749" s="197" t="s">
        <v>4234</v>
      </c>
    </row>
    <row r="750" spans="1:4" ht="17.25" customHeight="1" x14ac:dyDescent="0.2">
      <c r="A750" s="195">
        <v>3241</v>
      </c>
      <c r="B750" s="196" t="s">
        <v>2224</v>
      </c>
      <c r="C750" s="196">
        <v>327310</v>
      </c>
      <c r="D750" s="197" t="s">
        <v>1324</v>
      </c>
    </row>
    <row r="751" spans="1:4" ht="34.5" customHeight="1" x14ac:dyDescent="0.2">
      <c r="A751" s="195">
        <v>3273</v>
      </c>
      <c r="B751" s="196" t="s">
        <v>4235</v>
      </c>
      <c r="C751" s="196">
        <v>327320</v>
      </c>
      <c r="D751" s="197" t="s">
        <v>2826</v>
      </c>
    </row>
    <row r="752" spans="1:4" ht="34.5" customHeight="1" x14ac:dyDescent="0.2">
      <c r="A752" s="195">
        <v>3251</v>
      </c>
      <c r="B752" s="196" t="s">
        <v>4221</v>
      </c>
      <c r="C752" s="196">
        <v>327331</v>
      </c>
      <c r="D752" s="197" t="s">
        <v>4236</v>
      </c>
    </row>
    <row r="753" spans="1:4" ht="17.25" customHeight="1" x14ac:dyDescent="0.2">
      <c r="A753" s="195">
        <v>3271</v>
      </c>
      <c r="B753" s="196" t="s">
        <v>4237</v>
      </c>
      <c r="C753" s="196">
        <v>327331</v>
      </c>
      <c r="D753" s="197" t="s">
        <v>4236</v>
      </c>
    </row>
    <row r="754" spans="1:4" ht="34.5" customHeight="1" x14ac:dyDescent="0.2">
      <c r="A754" s="195">
        <v>3272</v>
      </c>
      <c r="B754" s="196" t="s">
        <v>4238</v>
      </c>
      <c r="C754" s="196">
        <v>327332</v>
      </c>
      <c r="D754" s="197" t="s">
        <v>4239</v>
      </c>
    </row>
    <row r="755" spans="1:4" ht="34.5" customHeight="1" x14ac:dyDescent="0.2">
      <c r="A755" s="195">
        <v>3272</v>
      </c>
      <c r="B755" s="196" t="s">
        <v>4238</v>
      </c>
      <c r="C755" s="196">
        <v>327390</v>
      </c>
      <c r="D755" s="197" t="s">
        <v>4240</v>
      </c>
    </row>
    <row r="756" spans="1:4" ht="34.5" customHeight="1" x14ac:dyDescent="0.2">
      <c r="A756" s="195">
        <v>3274</v>
      </c>
      <c r="B756" s="196" t="s">
        <v>4241</v>
      </c>
      <c r="C756" s="196">
        <v>327410</v>
      </c>
      <c r="D756" s="197" t="s">
        <v>2830</v>
      </c>
    </row>
    <row r="757" spans="1:4" ht="17.25" customHeight="1" x14ac:dyDescent="0.2">
      <c r="A757" s="195">
        <v>3275</v>
      </c>
      <c r="B757" s="196" t="s">
        <v>4242</v>
      </c>
      <c r="C757" s="196">
        <v>327420</v>
      </c>
      <c r="D757" s="197" t="s">
        <v>2831</v>
      </c>
    </row>
    <row r="758" spans="1:4" ht="34.5" customHeight="1" x14ac:dyDescent="0.2">
      <c r="A758" s="195">
        <v>3299</v>
      </c>
      <c r="B758" s="196" t="s">
        <v>4219</v>
      </c>
      <c r="C758" s="196">
        <v>327420</v>
      </c>
      <c r="D758" s="197" t="s">
        <v>2831</v>
      </c>
    </row>
    <row r="759" spans="1:4" ht="17.25" customHeight="1" x14ac:dyDescent="0.2">
      <c r="A759" s="195">
        <v>3291</v>
      </c>
      <c r="B759" s="196" t="s">
        <v>4243</v>
      </c>
      <c r="C759" s="196">
        <v>327910</v>
      </c>
      <c r="D759" s="197" t="s">
        <v>2832</v>
      </c>
    </row>
    <row r="760" spans="1:4" ht="34.5" customHeight="1" x14ac:dyDescent="0.2">
      <c r="A760" s="195">
        <v>3281</v>
      </c>
      <c r="B760" s="196" t="s">
        <v>4244</v>
      </c>
      <c r="C760" s="196">
        <v>327991</v>
      </c>
      <c r="D760" s="197" t="s">
        <v>4245</v>
      </c>
    </row>
    <row r="761" spans="1:4" ht="17.25" customHeight="1" x14ac:dyDescent="0.2">
      <c r="A761" s="195">
        <v>3295</v>
      </c>
      <c r="B761" s="196" t="s">
        <v>3798</v>
      </c>
      <c r="C761" s="196">
        <v>327992</v>
      </c>
      <c r="D761" s="197" t="s">
        <v>4246</v>
      </c>
    </row>
    <row r="762" spans="1:4" ht="34.5" customHeight="1" x14ac:dyDescent="0.2">
      <c r="A762" s="195">
        <v>3296</v>
      </c>
      <c r="B762" s="196" t="s">
        <v>4247</v>
      </c>
      <c r="C762" s="196">
        <v>327993</v>
      </c>
      <c r="D762" s="197" t="s">
        <v>4248</v>
      </c>
    </row>
    <row r="763" spans="1:4" ht="17.25" customHeight="1" x14ac:dyDescent="0.2">
      <c r="A763" s="195">
        <v>3272</v>
      </c>
      <c r="B763" s="196" t="s">
        <v>4238</v>
      </c>
      <c r="C763" s="196">
        <v>327999</v>
      </c>
      <c r="D763" s="197" t="s">
        <v>4249</v>
      </c>
    </row>
    <row r="764" spans="1:4" ht="17.25" customHeight="1" x14ac:dyDescent="0.2">
      <c r="A764" s="195">
        <v>3292</v>
      </c>
      <c r="B764" s="196" t="s">
        <v>4250</v>
      </c>
      <c r="C764" s="196">
        <v>327999</v>
      </c>
      <c r="D764" s="197" t="s">
        <v>4249</v>
      </c>
    </row>
    <row r="765" spans="1:4" ht="17.25" customHeight="1" x14ac:dyDescent="0.2">
      <c r="A765" s="195">
        <v>3299</v>
      </c>
      <c r="B765" s="196" t="s">
        <v>4219</v>
      </c>
      <c r="C765" s="196">
        <v>327999</v>
      </c>
      <c r="D765" s="197" t="s">
        <v>4249</v>
      </c>
    </row>
    <row r="766" spans="1:4" ht="17.25" customHeight="1" x14ac:dyDescent="0.2">
      <c r="A766" s="195">
        <v>3312</v>
      </c>
      <c r="B766" s="196" t="s">
        <v>4143</v>
      </c>
      <c r="C766" s="196">
        <v>331110</v>
      </c>
      <c r="D766" s="197" t="s">
        <v>4251</v>
      </c>
    </row>
    <row r="767" spans="1:4" ht="34.5" customHeight="1" x14ac:dyDescent="0.2">
      <c r="A767" s="195">
        <v>3313</v>
      </c>
      <c r="B767" s="196" t="s">
        <v>4252</v>
      </c>
      <c r="C767" s="196">
        <v>331110</v>
      </c>
      <c r="D767" s="197" t="s">
        <v>4251</v>
      </c>
    </row>
    <row r="768" spans="1:4" ht="34.5" customHeight="1" x14ac:dyDescent="0.2">
      <c r="A768" s="195">
        <v>3399</v>
      </c>
      <c r="B768" s="196" t="s">
        <v>4253</v>
      </c>
      <c r="C768" s="196">
        <v>331110</v>
      </c>
      <c r="D768" s="197" t="s">
        <v>4251</v>
      </c>
    </row>
    <row r="769" spans="1:4" ht="34.5" customHeight="1" x14ac:dyDescent="0.2">
      <c r="A769" s="195">
        <v>3317</v>
      </c>
      <c r="B769" s="196" t="s">
        <v>4254</v>
      </c>
      <c r="C769" s="196">
        <v>331210</v>
      </c>
      <c r="D769" s="197" t="s">
        <v>2837</v>
      </c>
    </row>
    <row r="770" spans="1:4" ht="34.5" customHeight="1" x14ac:dyDescent="0.2">
      <c r="A770" s="195">
        <v>3312</v>
      </c>
      <c r="B770" s="196" t="s">
        <v>4143</v>
      </c>
      <c r="C770" s="196">
        <v>331221</v>
      </c>
      <c r="D770" s="197" t="s">
        <v>4255</v>
      </c>
    </row>
    <row r="771" spans="1:4" ht="34.5" customHeight="1" x14ac:dyDescent="0.2">
      <c r="A771" s="195">
        <v>3316</v>
      </c>
      <c r="B771" s="196" t="s">
        <v>4256</v>
      </c>
      <c r="C771" s="196">
        <v>331221</v>
      </c>
      <c r="D771" s="197" t="s">
        <v>4255</v>
      </c>
    </row>
    <row r="772" spans="1:4" ht="43.35" customHeight="1" x14ac:dyDescent="0.2">
      <c r="A772" s="195">
        <v>3399</v>
      </c>
      <c r="B772" s="196" t="s">
        <v>4253</v>
      </c>
      <c r="C772" s="196">
        <v>331221</v>
      </c>
      <c r="D772" s="197" t="s">
        <v>4255</v>
      </c>
    </row>
    <row r="773" spans="1:4" ht="34.5" customHeight="1" x14ac:dyDescent="0.2">
      <c r="A773" s="195">
        <v>3315</v>
      </c>
      <c r="B773" s="196" t="s">
        <v>4257</v>
      </c>
      <c r="C773" s="196">
        <v>331222</v>
      </c>
      <c r="D773" s="197" t="s">
        <v>4258</v>
      </c>
    </row>
    <row r="774" spans="1:4" ht="34.5" customHeight="1" x14ac:dyDescent="0.2">
      <c r="A774" s="195">
        <v>2819</v>
      </c>
      <c r="B774" s="196" t="s">
        <v>3767</v>
      </c>
      <c r="C774" s="196">
        <v>331313</v>
      </c>
      <c r="D774" s="197" t="s">
        <v>4259</v>
      </c>
    </row>
    <row r="775" spans="1:4" ht="34.5" customHeight="1" x14ac:dyDescent="0.2">
      <c r="A775" s="195">
        <v>3334</v>
      </c>
      <c r="B775" s="196" t="s">
        <v>4260</v>
      </c>
      <c r="C775" s="196">
        <v>331313</v>
      </c>
      <c r="D775" s="197" t="s">
        <v>4259</v>
      </c>
    </row>
    <row r="776" spans="1:4" ht="34.5" customHeight="1" x14ac:dyDescent="0.2">
      <c r="A776" s="195">
        <v>3341</v>
      </c>
      <c r="B776" s="196" t="s">
        <v>4261</v>
      </c>
      <c r="C776" s="196">
        <v>331314</v>
      </c>
      <c r="D776" s="197" t="s">
        <v>4262</v>
      </c>
    </row>
    <row r="777" spans="1:4" ht="43.35" customHeight="1" x14ac:dyDescent="0.2">
      <c r="A777" s="195">
        <v>3399</v>
      </c>
      <c r="B777" s="196" t="s">
        <v>4253</v>
      </c>
      <c r="C777" s="196">
        <v>331314</v>
      </c>
      <c r="D777" s="197" t="s">
        <v>4262</v>
      </c>
    </row>
    <row r="778" spans="1:4" ht="34.5" customHeight="1" x14ac:dyDescent="0.2">
      <c r="A778" s="195">
        <v>3353</v>
      </c>
      <c r="B778" s="196" t="s">
        <v>4263</v>
      </c>
      <c r="C778" s="196">
        <v>331315</v>
      </c>
      <c r="D778" s="197" t="s">
        <v>4264</v>
      </c>
    </row>
    <row r="779" spans="1:4" ht="34.5" customHeight="1" x14ac:dyDescent="0.2">
      <c r="A779" s="195">
        <v>3354</v>
      </c>
      <c r="B779" s="196" t="s">
        <v>4265</v>
      </c>
      <c r="C779" s="196">
        <v>331318</v>
      </c>
      <c r="D779" s="197" t="s">
        <v>4266</v>
      </c>
    </row>
    <row r="780" spans="1:4" ht="43.35" customHeight="1" x14ac:dyDescent="0.2">
      <c r="A780" s="195">
        <v>3355</v>
      </c>
      <c r="B780" s="196" t="s">
        <v>4267</v>
      </c>
      <c r="C780" s="196">
        <v>331318</v>
      </c>
      <c r="D780" s="197" t="s">
        <v>4266</v>
      </c>
    </row>
    <row r="781" spans="1:4" ht="17.25" customHeight="1" x14ac:dyDescent="0.2">
      <c r="A781" s="195">
        <v>3357</v>
      </c>
      <c r="B781" s="196" t="s">
        <v>4268</v>
      </c>
      <c r="C781" s="196">
        <v>331318</v>
      </c>
      <c r="D781" s="197" t="s">
        <v>4266</v>
      </c>
    </row>
    <row r="782" spans="1:4" ht="34.5" customHeight="1" x14ac:dyDescent="0.2">
      <c r="A782" s="195">
        <v>3331</v>
      </c>
      <c r="B782" s="196" t="s">
        <v>4269</v>
      </c>
      <c r="C782" s="196">
        <v>331410</v>
      </c>
      <c r="D782" s="197" t="s">
        <v>4270</v>
      </c>
    </row>
    <row r="783" spans="1:4" ht="17.25" customHeight="1" x14ac:dyDescent="0.2">
      <c r="A783" s="195">
        <v>3339</v>
      </c>
      <c r="B783" s="196" t="s">
        <v>4271</v>
      </c>
      <c r="C783" s="196">
        <v>331410</v>
      </c>
      <c r="D783" s="197" t="s">
        <v>4270</v>
      </c>
    </row>
    <row r="784" spans="1:4" ht="17.25" customHeight="1" x14ac:dyDescent="0.2">
      <c r="A784" s="195">
        <v>3341</v>
      </c>
      <c r="B784" s="196" t="s">
        <v>4261</v>
      </c>
      <c r="C784" s="196">
        <v>331420</v>
      </c>
      <c r="D784" s="197" t="s">
        <v>2845</v>
      </c>
    </row>
    <row r="785" spans="1:4" ht="17.25" customHeight="1" x14ac:dyDescent="0.2">
      <c r="A785" s="195">
        <v>3351</v>
      </c>
      <c r="B785" s="196" t="s">
        <v>4272</v>
      </c>
      <c r="C785" s="196">
        <v>331420</v>
      </c>
      <c r="D785" s="197" t="s">
        <v>2845</v>
      </c>
    </row>
    <row r="786" spans="1:4" ht="34.5" customHeight="1" x14ac:dyDescent="0.2">
      <c r="A786" s="195">
        <v>3357</v>
      </c>
      <c r="B786" s="196" t="s">
        <v>4268</v>
      </c>
      <c r="C786" s="196">
        <v>331420</v>
      </c>
      <c r="D786" s="197" t="s">
        <v>2845</v>
      </c>
    </row>
    <row r="787" spans="1:4" ht="34.5" customHeight="1" x14ac:dyDescent="0.2">
      <c r="A787" s="195">
        <v>3399</v>
      </c>
      <c r="B787" s="196" t="s">
        <v>4253</v>
      </c>
      <c r="C787" s="196">
        <v>331420</v>
      </c>
      <c r="D787" s="197" t="s">
        <v>2845</v>
      </c>
    </row>
    <row r="788" spans="1:4" ht="17.25" customHeight="1" x14ac:dyDescent="0.2">
      <c r="A788" s="195">
        <v>3356</v>
      </c>
      <c r="B788" s="196" t="s">
        <v>4273</v>
      </c>
      <c r="C788" s="196">
        <v>331491</v>
      </c>
      <c r="D788" s="197" t="s">
        <v>4274</v>
      </c>
    </row>
    <row r="789" spans="1:4" ht="34.5" customHeight="1" x14ac:dyDescent="0.2">
      <c r="A789" s="195">
        <v>3357</v>
      </c>
      <c r="B789" s="196" t="s">
        <v>4268</v>
      </c>
      <c r="C789" s="196">
        <v>331491</v>
      </c>
      <c r="D789" s="197" t="s">
        <v>4274</v>
      </c>
    </row>
    <row r="790" spans="1:4" ht="17.25" customHeight="1" x14ac:dyDescent="0.2">
      <c r="A790" s="195">
        <v>3341</v>
      </c>
      <c r="B790" s="196" t="s">
        <v>4261</v>
      </c>
      <c r="C790" s="196">
        <v>331492</v>
      </c>
      <c r="D790" s="197" t="s">
        <v>4275</v>
      </c>
    </row>
    <row r="791" spans="1:4" ht="34.5" customHeight="1" x14ac:dyDescent="0.2">
      <c r="A791" s="195">
        <v>3399</v>
      </c>
      <c r="B791" s="196" t="s">
        <v>4253</v>
      </c>
      <c r="C791" s="196">
        <v>331492</v>
      </c>
      <c r="D791" s="197" t="s">
        <v>4275</v>
      </c>
    </row>
    <row r="792" spans="1:4" ht="34.5" customHeight="1" x14ac:dyDescent="0.2">
      <c r="A792" s="195">
        <v>3321</v>
      </c>
      <c r="B792" s="196" t="s">
        <v>4276</v>
      </c>
      <c r="C792" s="196">
        <v>331511</v>
      </c>
      <c r="D792" s="197" t="s">
        <v>4277</v>
      </c>
    </row>
    <row r="793" spans="1:4" ht="43.35" customHeight="1" x14ac:dyDescent="0.2">
      <c r="A793" s="195">
        <v>3322</v>
      </c>
      <c r="B793" s="196" t="s">
        <v>4278</v>
      </c>
      <c r="C793" s="196">
        <v>331511</v>
      </c>
      <c r="D793" s="197" t="s">
        <v>4277</v>
      </c>
    </row>
    <row r="794" spans="1:4" ht="34.5" customHeight="1" x14ac:dyDescent="0.2">
      <c r="A794" s="195">
        <v>3324</v>
      </c>
      <c r="B794" s="196" t="s">
        <v>2849</v>
      </c>
      <c r="C794" s="196">
        <v>331512</v>
      </c>
      <c r="D794" s="197" t="s">
        <v>4279</v>
      </c>
    </row>
    <row r="795" spans="1:4" ht="34.5" customHeight="1" x14ac:dyDescent="0.2">
      <c r="A795" s="195">
        <v>3325</v>
      </c>
      <c r="B795" s="196" t="s">
        <v>4280</v>
      </c>
      <c r="C795" s="196">
        <v>331513</v>
      </c>
      <c r="D795" s="197" t="s">
        <v>4281</v>
      </c>
    </row>
    <row r="796" spans="1:4" ht="17.25" customHeight="1" x14ac:dyDescent="0.2">
      <c r="A796" s="195">
        <v>3363</v>
      </c>
      <c r="B796" s="196" t="s">
        <v>4282</v>
      </c>
      <c r="C796" s="196">
        <v>331523</v>
      </c>
      <c r="D796" s="197" t="s">
        <v>4283</v>
      </c>
    </row>
    <row r="797" spans="1:4" ht="17.25" customHeight="1" x14ac:dyDescent="0.2">
      <c r="A797" s="195">
        <v>3364</v>
      </c>
      <c r="B797" s="196" t="s">
        <v>4284</v>
      </c>
      <c r="C797" s="196">
        <v>331523</v>
      </c>
      <c r="D797" s="197" t="s">
        <v>4283</v>
      </c>
    </row>
    <row r="798" spans="1:4" ht="43.35" customHeight="1" x14ac:dyDescent="0.2">
      <c r="A798" s="195">
        <v>3365</v>
      </c>
      <c r="B798" s="196" t="s">
        <v>4285</v>
      </c>
      <c r="C798" s="196">
        <v>331524</v>
      </c>
      <c r="D798" s="197" t="s">
        <v>4286</v>
      </c>
    </row>
    <row r="799" spans="1:4" ht="17.25" customHeight="1" x14ac:dyDescent="0.2">
      <c r="A799" s="195">
        <v>3366</v>
      </c>
      <c r="B799" s="196" t="s">
        <v>4287</v>
      </c>
      <c r="C799" s="196">
        <v>331529</v>
      </c>
      <c r="D799" s="197" t="s">
        <v>4288</v>
      </c>
    </row>
    <row r="800" spans="1:4" ht="17.25" customHeight="1" x14ac:dyDescent="0.2">
      <c r="A800" s="195">
        <v>3369</v>
      </c>
      <c r="B800" s="196" t="s">
        <v>4289</v>
      </c>
      <c r="C800" s="196">
        <v>331529</v>
      </c>
      <c r="D800" s="197" t="s">
        <v>4288</v>
      </c>
    </row>
    <row r="801" spans="1:4" ht="17.25" customHeight="1" x14ac:dyDescent="0.2">
      <c r="A801" s="195">
        <v>3462</v>
      </c>
      <c r="B801" s="196" t="s">
        <v>4290</v>
      </c>
      <c r="C801" s="196">
        <v>332111</v>
      </c>
      <c r="D801" s="197" t="s">
        <v>4291</v>
      </c>
    </row>
    <row r="802" spans="1:4" ht="17.25" customHeight="1" x14ac:dyDescent="0.2">
      <c r="A802" s="195">
        <v>3463</v>
      </c>
      <c r="B802" s="196" t="s">
        <v>4292</v>
      </c>
      <c r="C802" s="196">
        <v>332112</v>
      </c>
      <c r="D802" s="197" t="s">
        <v>4293</v>
      </c>
    </row>
    <row r="803" spans="1:4" ht="17.25" customHeight="1" x14ac:dyDescent="0.2">
      <c r="A803" s="195">
        <v>3449</v>
      </c>
      <c r="B803" s="196" t="s">
        <v>4294</v>
      </c>
      <c r="C803" s="196">
        <v>332114</v>
      </c>
      <c r="D803" s="197" t="s">
        <v>4295</v>
      </c>
    </row>
    <row r="804" spans="1:4" ht="34.5" customHeight="1" x14ac:dyDescent="0.2">
      <c r="A804" s="195">
        <v>3499</v>
      </c>
      <c r="B804" s="196" t="s">
        <v>4296</v>
      </c>
      <c r="C804" s="196">
        <v>332117</v>
      </c>
      <c r="D804" s="197" t="s">
        <v>4297</v>
      </c>
    </row>
    <row r="805" spans="1:4" ht="34.5" customHeight="1" x14ac:dyDescent="0.2">
      <c r="A805" s="195">
        <v>3466</v>
      </c>
      <c r="B805" s="196" t="s">
        <v>4298</v>
      </c>
      <c r="C805" s="196">
        <v>332119</v>
      </c>
      <c r="D805" s="197" t="s">
        <v>4299</v>
      </c>
    </row>
    <row r="806" spans="1:4" ht="34.5" customHeight="1" x14ac:dyDescent="0.2">
      <c r="A806" s="195">
        <v>3469</v>
      </c>
      <c r="B806" s="196" t="s">
        <v>4300</v>
      </c>
      <c r="C806" s="196">
        <v>332119</v>
      </c>
      <c r="D806" s="197" t="s">
        <v>4299</v>
      </c>
    </row>
    <row r="807" spans="1:4" ht="34.5" customHeight="1" x14ac:dyDescent="0.2">
      <c r="A807" s="195">
        <v>3421</v>
      </c>
      <c r="B807" s="196" t="s">
        <v>4301</v>
      </c>
      <c r="C807" s="196">
        <v>332215</v>
      </c>
      <c r="D807" s="197" t="s">
        <v>4302</v>
      </c>
    </row>
    <row r="808" spans="1:4" ht="34.5" customHeight="1" x14ac:dyDescent="0.2">
      <c r="A808" s="195">
        <v>3469</v>
      </c>
      <c r="B808" s="196" t="s">
        <v>4300</v>
      </c>
      <c r="C808" s="196">
        <v>332215</v>
      </c>
      <c r="D808" s="197" t="s">
        <v>4302</v>
      </c>
    </row>
    <row r="809" spans="1:4" ht="17.25" customHeight="1" x14ac:dyDescent="0.2">
      <c r="A809" s="195">
        <v>3496</v>
      </c>
      <c r="B809" s="196" t="s">
        <v>4303</v>
      </c>
      <c r="C809" s="196">
        <v>332215</v>
      </c>
      <c r="D809" s="197" t="s">
        <v>4302</v>
      </c>
    </row>
    <row r="810" spans="1:4" ht="34.5" customHeight="1" x14ac:dyDescent="0.2">
      <c r="A810" s="195">
        <v>3914</v>
      </c>
      <c r="B810" s="196" t="s">
        <v>4304</v>
      </c>
      <c r="C810" s="196">
        <v>332215</v>
      </c>
      <c r="D810" s="197" t="s">
        <v>4302</v>
      </c>
    </row>
    <row r="811" spans="1:4" ht="34.5" customHeight="1" x14ac:dyDescent="0.2">
      <c r="A811" s="195">
        <v>3999</v>
      </c>
      <c r="B811" s="196" t="s">
        <v>4055</v>
      </c>
      <c r="C811" s="196">
        <v>332215</v>
      </c>
      <c r="D811" s="197" t="s">
        <v>4302</v>
      </c>
    </row>
    <row r="812" spans="1:4" ht="34.5" customHeight="1" x14ac:dyDescent="0.2">
      <c r="A812" s="195">
        <v>3421</v>
      </c>
      <c r="B812" s="196" t="s">
        <v>4301</v>
      </c>
      <c r="C812" s="196">
        <v>332216</v>
      </c>
      <c r="D812" s="197" t="s">
        <v>4305</v>
      </c>
    </row>
    <row r="813" spans="1:4" ht="34.5" customHeight="1" x14ac:dyDescent="0.2">
      <c r="A813" s="195">
        <v>3423</v>
      </c>
      <c r="B813" s="196" t="s">
        <v>4306</v>
      </c>
      <c r="C813" s="196">
        <v>332216</v>
      </c>
      <c r="D813" s="197" t="s">
        <v>4305</v>
      </c>
    </row>
    <row r="814" spans="1:4" ht="34.5" customHeight="1" x14ac:dyDescent="0.2">
      <c r="A814" s="195">
        <v>3425</v>
      </c>
      <c r="B814" s="196" t="s">
        <v>4307</v>
      </c>
      <c r="C814" s="196">
        <v>332216</v>
      </c>
      <c r="D814" s="197" t="s">
        <v>4305</v>
      </c>
    </row>
    <row r="815" spans="1:4" ht="34.5" customHeight="1" x14ac:dyDescent="0.2">
      <c r="A815" s="195">
        <v>3523</v>
      </c>
      <c r="B815" s="196" t="s">
        <v>4308</v>
      </c>
      <c r="C815" s="196">
        <v>332216</v>
      </c>
      <c r="D815" s="197" t="s">
        <v>4305</v>
      </c>
    </row>
    <row r="816" spans="1:4" ht="17.25" customHeight="1" x14ac:dyDescent="0.2">
      <c r="A816" s="195">
        <v>3524</v>
      </c>
      <c r="B816" s="196" t="s">
        <v>4309</v>
      </c>
      <c r="C816" s="196">
        <v>332216</v>
      </c>
      <c r="D816" s="197" t="s">
        <v>4305</v>
      </c>
    </row>
    <row r="817" spans="1:4" ht="17.25" customHeight="1" x14ac:dyDescent="0.2">
      <c r="A817" s="195">
        <v>3545</v>
      </c>
      <c r="B817" s="196" t="s">
        <v>4310</v>
      </c>
      <c r="C817" s="196">
        <v>332216</v>
      </c>
      <c r="D817" s="197" t="s">
        <v>4305</v>
      </c>
    </row>
    <row r="818" spans="1:4" ht="17.25" customHeight="1" x14ac:dyDescent="0.2">
      <c r="A818" s="195">
        <v>3644</v>
      </c>
      <c r="B818" s="196" t="s">
        <v>4311</v>
      </c>
      <c r="C818" s="196">
        <v>332216</v>
      </c>
      <c r="D818" s="197" t="s">
        <v>4305</v>
      </c>
    </row>
    <row r="819" spans="1:4" ht="34.5" customHeight="1" x14ac:dyDescent="0.2">
      <c r="A819" s="195">
        <v>3999</v>
      </c>
      <c r="B819" s="196" t="s">
        <v>4055</v>
      </c>
      <c r="C819" s="196">
        <v>332216</v>
      </c>
      <c r="D819" s="197" t="s">
        <v>4305</v>
      </c>
    </row>
    <row r="820" spans="1:4" ht="17.25" customHeight="1" x14ac:dyDescent="0.2">
      <c r="A820" s="195">
        <v>3448</v>
      </c>
      <c r="B820" s="196" t="s">
        <v>4312</v>
      </c>
      <c r="C820" s="196">
        <v>332311</v>
      </c>
      <c r="D820" s="197" t="s">
        <v>4313</v>
      </c>
    </row>
    <row r="821" spans="1:4" ht="43.35" customHeight="1" x14ac:dyDescent="0.2">
      <c r="A821" s="195">
        <v>3441</v>
      </c>
      <c r="B821" s="196" t="s">
        <v>4314</v>
      </c>
      <c r="C821" s="196">
        <v>332312</v>
      </c>
      <c r="D821" s="197" t="s">
        <v>4315</v>
      </c>
    </row>
    <row r="822" spans="1:4" ht="17.25" customHeight="1" x14ac:dyDescent="0.2">
      <c r="A822" s="195">
        <v>3449</v>
      </c>
      <c r="B822" s="196" t="s">
        <v>4294</v>
      </c>
      <c r="C822" s="196">
        <v>332312</v>
      </c>
      <c r="D822" s="197" t="s">
        <v>4315</v>
      </c>
    </row>
    <row r="823" spans="1:4" ht="17.25" customHeight="1" x14ac:dyDescent="0.2">
      <c r="A823" s="195">
        <v>3443</v>
      </c>
      <c r="B823" s="196" t="s">
        <v>4316</v>
      </c>
      <c r="C823" s="196">
        <v>332313</v>
      </c>
      <c r="D823" s="197" t="s">
        <v>4317</v>
      </c>
    </row>
    <row r="824" spans="1:4" ht="17.25" customHeight="1" x14ac:dyDescent="0.2">
      <c r="A824" s="195">
        <v>3442</v>
      </c>
      <c r="B824" s="196" t="s">
        <v>4318</v>
      </c>
      <c r="C824" s="196">
        <v>332321</v>
      </c>
      <c r="D824" s="197" t="s">
        <v>4319</v>
      </c>
    </row>
    <row r="825" spans="1:4" ht="43.35" customHeight="1" x14ac:dyDescent="0.2">
      <c r="A825" s="195">
        <v>3444</v>
      </c>
      <c r="B825" s="196" t="s">
        <v>4320</v>
      </c>
      <c r="C825" s="196">
        <v>332321</v>
      </c>
      <c r="D825" s="197" t="s">
        <v>4319</v>
      </c>
    </row>
    <row r="826" spans="1:4" ht="34.5" customHeight="1" x14ac:dyDescent="0.2">
      <c r="A826" s="195">
        <v>3444</v>
      </c>
      <c r="B826" s="196" t="s">
        <v>4320</v>
      </c>
      <c r="C826" s="196">
        <v>332322</v>
      </c>
      <c r="D826" s="197" t="s">
        <v>4321</v>
      </c>
    </row>
    <row r="827" spans="1:4" ht="34.5" customHeight="1" x14ac:dyDescent="0.2">
      <c r="A827" s="195">
        <v>3446</v>
      </c>
      <c r="B827" s="196" t="s">
        <v>4322</v>
      </c>
      <c r="C827" s="196">
        <v>332323</v>
      </c>
      <c r="D827" s="197" t="s">
        <v>4323</v>
      </c>
    </row>
    <row r="828" spans="1:4" ht="17.25" customHeight="1" x14ac:dyDescent="0.2">
      <c r="A828" s="195">
        <v>3449</v>
      </c>
      <c r="B828" s="196" t="s">
        <v>4294</v>
      </c>
      <c r="C828" s="196">
        <v>332323</v>
      </c>
      <c r="D828" s="197" t="s">
        <v>4323</v>
      </c>
    </row>
    <row r="829" spans="1:4" ht="17.25" customHeight="1" x14ac:dyDescent="0.2">
      <c r="A829" s="195">
        <v>3523</v>
      </c>
      <c r="B829" s="196" t="s">
        <v>4308</v>
      </c>
      <c r="C829" s="196">
        <v>332323</v>
      </c>
      <c r="D829" s="197" t="s">
        <v>4323</v>
      </c>
    </row>
    <row r="830" spans="1:4" ht="34.5" customHeight="1" x14ac:dyDescent="0.2">
      <c r="A830" s="195">
        <v>3443</v>
      </c>
      <c r="B830" s="196" t="s">
        <v>4316</v>
      </c>
      <c r="C830" s="196">
        <v>332410</v>
      </c>
      <c r="D830" s="197" t="s">
        <v>2867</v>
      </c>
    </row>
    <row r="831" spans="1:4" ht="17.25" customHeight="1" x14ac:dyDescent="0.2">
      <c r="A831" s="195">
        <v>3559</v>
      </c>
      <c r="B831" s="196" t="s">
        <v>4324</v>
      </c>
      <c r="C831" s="196">
        <v>332410</v>
      </c>
      <c r="D831" s="197" t="s">
        <v>2867</v>
      </c>
    </row>
    <row r="832" spans="1:4" ht="34.5" customHeight="1" x14ac:dyDescent="0.2">
      <c r="A832" s="195">
        <v>3443</v>
      </c>
      <c r="B832" s="196" t="s">
        <v>4316</v>
      </c>
      <c r="C832" s="196">
        <v>332420</v>
      </c>
      <c r="D832" s="197" t="s">
        <v>2868</v>
      </c>
    </row>
    <row r="833" spans="1:4" ht="17.25" customHeight="1" x14ac:dyDescent="0.2">
      <c r="A833" s="195">
        <v>3411</v>
      </c>
      <c r="B833" s="196" t="s">
        <v>4325</v>
      </c>
      <c r="C833" s="196">
        <v>332431</v>
      </c>
      <c r="D833" s="197" t="s">
        <v>4326</v>
      </c>
    </row>
    <row r="834" spans="1:4" ht="17.25" customHeight="1" x14ac:dyDescent="0.2">
      <c r="A834" s="195">
        <v>3412</v>
      </c>
      <c r="B834" s="196" t="s">
        <v>4327</v>
      </c>
      <c r="C834" s="196">
        <v>332439</v>
      </c>
      <c r="D834" s="197" t="s">
        <v>4328</v>
      </c>
    </row>
    <row r="835" spans="1:4" ht="17.25" customHeight="1" x14ac:dyDescent="0.2">
      <c r="A835" s="195">
        <v>3429</v>
      </c>
      <c r="B835" s="196" t="s">
        <v>4329</v>
      </c>
      <c r="C835" s="196">
        <v>332439</v>
      </c>
      <c r="D835" s="197" t="s">
        <v>4328</v>
      </c>
    </row>
    <row r="836" spans="1:4" ht="34.5" customHeight="1" x14ac:dyDescent="0.2">
      <c r="A836" s="195">
        <v>3444</v>
      </c>
      <c r="B836" s="196" t="s">
        <v>4320</v>
      </c>
      <c r="C836" s="196">
        <v>332439</v>
      </c>
      <c r="D836" s="197" t="s">
        <v>4328</v>
      </c>
    </row>
    <row r="837" spans="1:4" ht="34.5" customHeight="1" x14ac:dyDescent="0.2">
      <c r="A837" s="195">
        <v>3469</v>
      </c>
      <c r="B837" s="196" t="s">
        <v>4300</v>
      </c>
      <c r="C837" s="196">
        <v>332439</v>
      </c>
      <c r="D837" s="197" t="s">
        <v>4328</v>
      </c>
    </row>
    <row r="838" spans="1:4" ht="43.35" customHeight="1" x14ac:dyDescent="0.2">
      <c r="A838" s="195">
        <v>3499</v>
      </c>
      <c r="B838" s="196" t="s">
        <v>4296</v>
      </c>
      <c r="C838" s="196">
        <v>332439</v>
      </c>
      <c r="D838" s="197" t="s">
        <v>4328</v>
      </c>
    </row>
    <row r="839" spans="1:4" ht="17.25" customHeight="1" x14ac:dyDescent="0.2">
      <c r="A839" s="195">
        <v>3537</v>
      </c>
      <c r="B839" s="196" t="s">
        <v>4330</v>
      </c>
      <c r="C839" s="196">
        <v>332439</v>
      </c>
      <c r="D839" s="197" t="s">
        <v>4328</v>
      </c>
    </row>
    <row r="840" spans="1:4" ht="34.5" customHeight="1" x14ac:dyDescent="0.2">
      <c r="A840" s="195">
        <v>3429</v>
      </c>
      <c r="B840" s="196" t="s">
        <v>4329</v>
      </c>
      <c r="C840" s="196">
        <v>332510</v>
      </c>
      <c r="D840" s="197" t="s">
        <v>2871</v>
      </c>
    </row>
    <row r="841" spans="1:4" ht="43.35" customHeight="1" x14ac:dyDescent="0.2">
      <c r="A841" s="195">
        <v>3499</v>
      </c>
      <c r="B841" s="196" t="s">
        <v>4296</v>
      </c>
      <c r="C841" s="196">
        <v>332510</v>
      </c>
      <c r="D841" s="197" t="s">
        <v>2871</v>
      </c>
    </row>
    <row r="842" spans="1:4" ht="17.25" customHeight="1" x14ac:dyDescent="0.2">
      <c r="A842" s="195">
        <v>3493</v>
      </c>
      <c r="B842" s="196" t="s">
        <v>4331</v>
      </c>
      <c r="C842" s="196">
        <v>332613</v>
      </c>
      <c r="D842" s="197" t="s">
        <v>4332</v>
      </c>
    </row>
    <row r="843" spans="1:4" ht="17.25" customHeight="1" x14ac:dyDescent="0.2">
      <c r="A843" s="195">
        <v>3495</v>
      </c>
      <c r="B843" s="196" t="s">
        <v>4333</v>
      </c>
      <c r="C843" s="196">
        <v>332613</v>
      </c>
      <c r="D843" s="197" t="s">
        <v>4332</v>
      </c>
    </row>
    <row r="844" spans="1:4" ht="17.25" customHeight="1" x14ac:dyDescent="0.2">
      <c r="A844" s="195">
        <v>3315</v>
      </c>
      <c r="B844" s="196" t="s">
        <v>4257</v>
      </c>
      <c r="C844" s="196">
        <v>332618</v>
      </c>
      <c r="D844" s="197" t="s">
        <v>4334</v>
      </c>
    </row>
    <row r="845" spans="1:4" ht="17.25" customHeight="1" x14ac:dyDescent="0.2">
      <c r="A845" s="195">
        <v>3399</v>
      </c>
      <c r="B845" s="196" t="s">
        <v>4253</v>
      </c>
      <c r="C845" s="196">
        <v>332618</v>
      </c>
      <c r="D845" s="197" t="s">
        <v>4334</v>
      </c>
    </row>
    <row r="846" spans="1:4" ht="34.5" customHeight="1" x14ac:dyDescent="0.2">
      <c r="A846" s="195">
        <v>3496</v>
      </c>
      <c r="B846" s="196" t="s">
        <v>4303</v>
      </c>
      <c r="C846" s="196">
        <v>332618</v>
      </c>
      <c r="D846" s="197" t="s">
        <v>4334</v>
      </c>
    </row>
    <row r="847" spans="1:4" ht="34.5" customHeight="1" x14ac:dyDescent="0.2">
      <c r="A847" s="195">
        <v>3599</v>
      </c>
      <c r="B847" s="196" t="s">
        <v>4335</v>
      </c>
      <c r="C847" s="196">
        <v>332710</v>
      </c>
      <c r="D847" s="197" t="s">
        <v>2874</v>
      </c>
    </row>
    <row r="848" spans="1:4" ht="34.5" customHeight="1" x14ac:dyDescent="0.2">
      <c r="A848" s="195">
        <v>3451</v>
      </c>
      <c r="B848" s="196" t="s">
        <v>4336</v>
      </c>
      <c r="C848" s="196">
        <v>332721</v>
      </c>
      <c r="D848" s="197" t="s">
        <v>4337</v>
      </c>
    </row>
    <row r="849" spans="1:4" ht="17.25" customHeight="1" x14ac:dyDescent="0.2">
      <c r="A849" s="195">
        <v>3429</v>
      </c>
      <c r="B849" s="196" t="s">
        <v>4329</v>
      </c>
      <c r="C849" s="196">
        <v>332722</v>
      </c>
      <c r="D849" s="197" t="s">
        <v>4338</v>
      </c>
    </row>
    <row r="850" spans="1:4" ht="34.5" customHeight="1" x14ac:dyDescent="0.2">
      <c r="A850" s="195">
        <v>3452</v>
      </c>
      <c r="B850" s="196" t="s">
        <v>4339</v>
      </c>
      <c r="C850" s="196">
        <v>332722</v>
      </c>
      <c r="D850" s="197" t="s">
        <v>4338</v>
      </c>
    </row>
    <row r="851" spans="1:4" ht="17.25" customHeight="1" x14ac:dyDescent="0.2">
      <c r="A851" s="195">
        <v>3398</v>
      </c>
      <c r="B851" s="196" t="s">
        <v>2877</v>
      </c>
      <c r="C851" s="196">
        <v>332811</v>
      </c>
      <c r="D851" s="197" t="s">
        <v>4340</v>
      </c>
    </row>
    <row r="852" spans="1:4" ht="34.5" customHeight="1" x14ac:dyDescent="0.2">
      <c r="A852" s="195">
        <v>3479</v>
      </c>
      <c r="B852" s="196" t="s">
        <v>4341</v>
      </c>
      <c r="C852" s="196">
        <v>332812</v>
      </c>
      <c r="D852" s="197" t="s">
        <v>4342</v>
      </c>
    </row>
    <row r="853" spans="1:4" ht="34.5" customHeight="1" x14ac:dyDescent="0.2">
      <c r="A853" s="195">
        <v>3999</v>
      </c>
      <c r="B853" s="196" t="s">
        <v>4055</v>
      </c>
      <c r="C853" s="196">
        <v>332812</v>
      </c>
      <c r="D853" s="197" t="s">
        <v>4342</v>
      </c>
    </row>
    <row r="854" spans="1:4" ht="17.25" customHeight="1" x14ac:dyDescent="0.2">
      <c r="A854" s="195">
        <v>3399</v>
      </c>
      <c r="B854" s="196" t="s">
        <v>4253</v>
      </c>
      <c r="C854" s="196">
        <v>332813</v>
      </c>
      <c r="D854" s="197" t="s">
        <v>4343</v>
      </c>
    </row>
    <row r="855" spans="1:4" ht="34.5" customHeight="1" x14ac:dyDescent="0.2">
      <c r="A855" s="195">
        <v>3471</v>
      </c>
      <c r="B855" s="196" t="s">
        <v>4344</v>
      </c>
      <c r="C855" s="196">
        <v>332813</v>
      </c>
      <c r="D855" s="197" t="s">
        <v>4343</v>
      </c>
    </row>
    <row r="856" spans="1:4" ht="43.35" customHeight="1" x14ac:dyDescent="0.2">
      <c r="A856" s="195">
        <v>3599</v>
      </c>
      <c r="B856" s="196" t="s">
        <v>4335</v>
      </c>
      <c r="C856" s="196">
        <v>332813</v>
      </c>
      <c r="D856" s="197" t="s">
        <v>4343</v>
      </c>
    </row>
    <row r="857" spans="1:4" ht="34.5" customHeight="1" x14ac:dyDescent="0.2">
      <c r="A857" s="195">
        <v>3491</v>
      </c>
      <c r="B857" s="196" t="s">
        <v>4345</v>
      </c>
      <c r="C857" s="196">
        <v>332911</v>
      </c>
      <c r="D857" s="197" t="s">
        <v>4346</v>
      </c>
    </row>
    <row r="858" spans="1:4" ht="34.5" customHeight="1" x14ac:dyDescent="0.2">
      <c r="A858" s="195">
        <v>3492</v>
      </c>
      <c r="B858" s="196" t="s">
        <v>4347</v>
      </c>
      <c r="C858" s="196">
        <v>332912</v>
      </c>
      <c r="D858" s="197" t="s">
        <v>4348</v>
      </c>
    </row>
    <row r="859" spans="1:4" ht="34.5" customHeight="1" x14ac:dyDescent="0.2">
      <c r="A859" s="195">
        <v>3728</v>
      </c>
      <c r="B859" s="196" t="s">
        <v>4349</v>
      </c>
      <c r="C859" s="196">
        <v>332912</v>
      </c>
      <c r="D859" s="197" t="s">
        <v>4348</v>
      </c>
    </row>
    <row r="860" spans="1:4" ht="34.5" customHeight="1" x14ac:dyDescent="0.2">
      <c r="A860" s="195">
        <v>3432</v>
      </c>
      <c r="B860" s="196" t="s">
        <v>4350</v>
      </c>
      <c r="C860" s="196">
        <v>332913</v>
      </c>
      <c r="D860" s="197" t="s">
        <v>4351</v>
      </c>
    </row>
    <row r="861" spans="1:4" ht="34.5" customHeight="1" x14ac:dyDescent="0.2">
      <c r="A861" s="195">
        <v>3429</v>
      </c>
      <c r="B861" s="196" t="s">
        <v>4329</v>
      </c>
      <c r="C861" s="196">
        <v>332919</v>
      </c>
      <c r="D861" s="197" t="s">
        <v>4352</v>
      </c>
    </row>
    <row r="862" spans="1:4" ht="17.25" customHeight="1" x14ac:dyDescent="0.2">
      <c r="A862" s="195">
        <v>3432</v>
      </c>
      <c r="B862" s="196" t="s">
        <v>4350</v>
      </c>
      <c r="C862" s="196">
        <v>332919</v>
      </c>
      <c r="D862" s="197" t="s">
        <v>4352</v>
      </c>
    </row>
    <row r="863" spans="1:4" ht="17.25" customHeight="1" x14ac:dyDescent="0.2">
      <c r="A863" s="195">
        <v>3494</v>
      </c>
      <c r="B863" s="196" t="s">
        <v>4353</v>
      </c>
      <c r="C863" s="196">
        <v>332919</v>
      </c>
      <c r="D863" s="197" t="s">
        <v>4352</v>
      </c>
    </row>
    <row r="864" spans="1:4" ht="17.25" customHeight="1" x14ac:dyDescent="0.2">
      <c r="A864" s="195">
        <v>3499</v>
      </c>
      <c r="B864" s="196" t="s">
        <v>4296</v>
      </c>
      <c r="C864" s="196">
        <v>332919</v>
      </c>
      <c r="D864" s="197" t="s">
        <v>4352</v>
      </c>
    </row>
    <row r="865" spans="1:4" ht="34.5" customHeight="1" x14ac:dyDescent="0.2">
      <c r="A865" s="195">
        <v>3562</v>
      </c>
      <c r="B865" s="196" t="s">
        <v>4354</v>
      </c>
      <c r="C865" s="196">
        <v>332991</v>
      </c>
      <c r="D865" s="197" t="s">
        <v>2884</v>
      </c>
    </row>
    <row r="866" spans="1:4" ht="34.5" customHeight="1" x14ac:dyDescent="0.2">
      <c r="A866" s="195">
        <v>3482</v>
      </c>
      <c r="B866" s="196" t="s">
        <v>4355</v>
      </c>
      <c r="C866" s="196">
        <v>332992</v>
      </c>
      <c r="D866" s="197" t="s">
        <v>4356</v>
      </c>
    </row>
    <row r="867" spans="1:4" ht="34.5" customHeight="1" x14ac:dyDescent="0.2">
      <c r="A867" s="195">
        <v>3483</v>
      </c>
      <c r="B867" s="196" t="s">
        <v>4357</v>
      </c>
      <c r="C867" s="196">
        <v>332993</v>
      </c>
      <c r="D867" s="197" t="s">
        <v>4358</v>
      </c>
    </row>
    <row r="868" spans="1:4" ht="34.5" customHeight="1" x14ac:dyDescent="0.2">
      <c r="A868" s="195">
        <v>3484</v>
      </c>
      <c r="B868" s="196" t="s">
        <v>4359</v>
      </c>
      <c r="C868" s="196">
        <v>332994</v>
      </c>
      <c r="D868" s="197" t="s">
        <v>4360</v>
      </c>
    </row>
    <row r="869" spans="1:4" ht="34.5" customHeight="1" x14ac:dyDescent="0.2">
      <c r="A869" s="195">
        <v>3489</v>
      </c>
      <c r="B869" s="196" t="s">
        <v>4361</v>
      </c>
      <c r="C869" s="196">
        <v>332994</v>
      </c>
      <c r="D869" s="197" t="s">
        <v>4360</v>
      </c>
    </row>
    <row r="870" spans="1:4" ht="17.25" customHeight="1" x14ac:dyDescent="0.2">
      <c r="A870" s="195">
        <v>3841</v>
      </c>
      <c r="B870" s="196" t="s">
        <v>4362</v>
      </c>
      <c r="C870" s="196">
        <v>332994</v>
      </c>
      <c r="D870" s="197" t="s">
        <v>4360</v>
      </c>
    </row>
    <row r="871" spans="1:4" ht="17.25" customHeight="1" x14ac:dyDescent="0.2">
      <c r="A871" s="195">
        <v>3498</v>
      </c>
      <c r="B871" s="196" t="s">
        <v>4363</v>
      </c>
      <c r="C871" s="196">
        <v>332996</v>
      </c>
      <c r="D871" s="197" t="s">
        <v>4364</v>
      </c>
    </row>
    <row r="872" spans="1:4" ht="17.25" customHeight="1" x14ac:dyDescent="0.2">
      <c r="A872" s="195">
        <v>3291</v>
      </c>
      <c r="B872" s="196" t="s">
        <v>4243</v>
      </c>
      <c r="C872" s="196">
        <v>332999</v>
      </c>
      <c r="D872" s="197" t="s">
        <v>4365</v>
      </c>
    </row>
    <row r="873" spans="1:4" ht="34.5" customHeight="1" x14ac:dyDescent="0.2">
      <c r="A873" s="195">
        <v>3429</v>
      </c>
      <c r="B873" s="196" t="s">
        <v>4329</v>
      </c>
      <c r="C873" s="196">
        <v>332999</v>
      </c>
      <c r="D873" s="197" t="s">
        <v>4365</v>
      </c>
    </row>
    <row r="874" spans="1:4" ht="34.5" customHeight="1" x14ac:dyDescent="0.2">
      <c r="A874" s="195">
        <v>3431</v>
      </c>
      <c r="B874" s="196" t="s">
        <v>4366</v>
      </c>
      <c r="C874" s="196">
        <v>332999</v>
      </c>
      <c r="D874" s="197" t="s">
        <v>4365</v>
      </c>
    </row>
    <row r="875" spans="1:4" ht="34.5" customHeight="1" x14ac:dyDescent="0.2">
      <c r="A875" s="195">
        <v>3432</v>
      </c>
      <c r="B875" s="196" t="s">
        <v>4350</v>
      </c>
      <c r="C875" s="196">
        <v>332999</v>
      </c>
      <c r="D875" s="197" t="s">
        <v>4365</v>
      </c>
    </row>
    <row r="876" spans="1:4" ht="17.25" customHeight="1" x14ac:dyDescent="0.2">
      <c r="A876" s="195">
        <v>3494</v>
      </c>
      <c r="B876" s="196" t="s">
        <v>4353</v>
      </c>
      <c r="C876" s="196">
        <v>332999</v>
      </c>
      <c r="D876" s="197" t="s">
        <v>4365</v>
      </c>
    </row>
    <row r="877" spans="1:4" ht="43.35" customHeight="1" x14ac:dyDescent="0.2">
      <c r="A877" s="195">
        <v>3497</v>
      </c>
      <c r="B877" s="196" t="s">
        <v>4113</v>
      </c>
      <c r="C877" s="196">
        <v>332999</v>
      </c>
      <c r="D877" s="197" t="s">
        <v>4365</v>
      </c>
    </row>
    <row r="878" spans="1:4" ht="17.25" customHeight="1" x14ac:dyDescent="0.2">
      <c r="A878" s="195">
        <v>3499</v>
      </c>
      <c r="B878" s="196" t="s">
        <v>4296</v>
      </c>
      <c r="C878" s="196">
        <v>332999</v>
      </c>
      <c r="D878" s="197" t="s">
        <v>4365</v>
      </c>
    </row>
    <row r="879" spans="1:4" ht="34.5" customHeight="1" x14ac:dyDescent="0.2">
      <c r="A879" s="195">
        <v>3537</v>
      </c>
      <c r="B879" s="196" t="s">
        <v>4330</v>
      </c>
      <c r="C879" s="196">
        <v>332999</v>
      </c>
      <c r="D879" s="197" t="s">
        <v>4365</v>
      </c>
    </row>
    <row r="880" spans="1:4" ht="17.25" customHeight="1" x14ac:dyDescent="0.2">
      <c r="A880" s="195">
        <v>3543</v>
      </c>
      <c r="B880" s="196" t="s">
        <v>4367</v>
      </c>
      <c r="C880" s="196">
        <v>332999</v>
      </c>
      <c r="D880" s="197" t="s">
        <v>4365</v>
      </c>
    </row>
    <row r="881" spans="1:4" ht="34.5" customHeight="1" x14ac:dyDescent="0.2">
      <c r="A881" s="195">
        <v>3599</v>
      </c>
      <c r="B881" s="196" t="s">
        <v>4335</v>
      </c>
      <c r="C881" s="196">
        <v>332999</v>
      </c>
      <c r="D881" s="197" t="s">
        <v>4365</v>
      </c>
    </row>
    <row r="882" spans="1:4" ht="34.5" customHeight="1" x14ac:dyDescent="0.2">
      <c r="A882" s="195">
        <v>3914</v>
      </c>
      <c r="B882" s="196" t="s">
        <v>4304</v>
      </c>
      <c r="C882" s="196">
        <v>332999</v>
      </c>
      <c r="D882" s="197" t="s">
        <v>4365</v>
      </c>
    </row>
    <row r="883" spans="1:4" ht="34.5" customHeight="1" x14ac:dyDescent="0.2">
      <c r="A883" s="195">
        <v>3999</v>
      </c>
      <c r="B883" s="196" t="s">
        <v>4055</v>
      </c>
      <c r="C883" s="196">
        <v>332999</v>
      </c>
      <c r="D883" s="197" t="s">
        <v>4365</v>
      </c>
    </row>
    <row r="884" spans="1:4" ht="34.5" customHeight="1" x14ac:dyDescent="0.2">
      <c r="A884" s="195">
        <v>3523</v>
      </c>
      <c r="B884" s="196" t="s">
        <v>4308</v>
      </c>
      <c r="C884" s="196">
        <v>333111</v>
      </c>
      <c r="D884" s="197" t="s">
        <v>4368</v>
      </c>
    </row>
    <row r="885" spans="1:4" ht="34.5" customHeight="1" x14ac:dyDescent="0.2">
      <c r="A885" s="195">
        <v>3559</v>
      </c>
      <c r="B885" s="196" t="s">
        <v>4324</v>
      </c>
      <c r="C885" s="196">
        <v>333111</v>
      </c>
      <c r="D885" s="197" t="s">
        <v>4368</v>
      </c>
    </row>
    <row r="886" spans="1:4" ht="17.25" customHeight="1" x14ac:dyDescent="0.2">
      <c r="A886" s="195">
        <v>3524</v>
      </c>
      <c r="B886" s="196" t="s">
        <v>4309</v>
      </c>
      <c r="C886" s="196">
        <v>333112</v>
      </c>
      <c r="D886" s="197" t="s">
        <v>4369</v>
      </c>
    </row>
    <row r="887" spans="1:4" ht="34.5" customHeight="1" x14ac:dyDescent="0.2">
      <c r="A887" s="195">
        <v>3531</v>
      </c>
      <c r="B887" s="196" t="s">
        <v>4370</v>
      </c>
      <c r="C887" s="196">
        <v>333120</v>
      </c>
      <c r="D887" s="197" t="s">
        <v>2892</v>
      </c>
    </row>
    <row r="888" spans="1:4" ht="34.5" customHeight="1" x14ac:dyDescent="0.2">
      <c r="A888" s="195">
        <v>3532</v>
      </c>
      <c r="B888" s="196" t="s">
        <v>4371</v>
      </c>
      <c r="C888" s="196">
        <v>333131</v>
      </c>
      <c r="D888" s="197" t="s">
        <v>4372</v>
      </c>
    </row>
    <row r="889" spans="1:4" ht="17.25" customHeight="1" x14ac:dyDescent="0.2">
      <c r="A889" s="195">
        <v>3533</v>
      </c>
      <c r="B889" s="196" t="s">
        <v>4373</v>
      </c>
      <c r="C889" s="196">
        <v>333132</v>
      </c>
      <c r="D889" s="197" t="s">
        <v>4374</v>
      </c>
    </row>
    <row r="890" spans="1:4" ht="17.25" customHeight="1" x14ac:dyDescent="0.2">
      <c r="A890" s="195">
        <v>3556</v>
      </c>
      <c r="B890" s="196" t="s">
        <v>4375</v>
      </c>
      <c r="C890" s="196">
        <v>333241</v>
      </c>
      <c r="D890" s="197" t="s">
        <v>4376</v>
      </c>
    </row>
    <row r="891" spans="1:4" ht="34.5" customHeight="1" x14ac:dyDescent="0.2">
      <c r="A891" s="195">
        <v>3559</v>
      </c>
      <c r="B891" s="196" t="s">
        <v>4324</v>
      </c>
      <c r="C891" s="196">
        <v>333242</v>
      </c>
      <c r="D891" s="197" t="s">
        <v>4377</v>
      </c>
    </row>
    <row r="892" spans="1:4" ht="17.25" customHeight="1" x14ac:dyDescent="0.2">
      <c r="A892" s="195">
        <v>3553</v>
      </c>
      <c r="B892" s="196" t="s">
        <v>4378</v>
      </c>
      <c r="C892" s="196">
        <v>333243</v>
      </c>
      <c r="D892" s="197" t="s">
        <v>4379</v>
      </c>
    </row>
    <row r="893" spans="1:4" ht="34.5" customHeight="1" x14ac:dyDescent="0.2">
      <c r="A893" s="195">
        <v>3554</v>
      </c>
      <c r="B893" s="196" t="s">
        <v>4380</v>
      </c>
      <c r="C893" s="196">
        <v>333243</v>
      </c>
      <c r="D893" s="197" t="s">
        <v>4379</v>
      </c>
    </row>
    <row r="894" spans="1:4" ht="17.25" customHeight="1" x14ac:dyDescent="0.2">
      <c r="A894" s="195">
        <v>3554</v>
      </c>
      <c r="B894" s="196" t="s">
        <v>4380</v>
      </c>
      <c r="C894" s="196">
        <v>333243</v>
      </c>
      <c r="D894" s="197" t="s">
        <v>4379</v>
      </c>
    </row>
    <row r="895" spans="1:4" ht="34.5" customHeight="1" x14ac:dyDescent="0.2">
      <c r="A895" s="195">
        <v>2599</v>
      </c>
      <c r="B895" s="196" t="s">
        <v>4381</v>
      </c>
      <c r="C895" s="196">
        <v>333248</v>
      </c>
      <c r="D895" s="197" t="s">
        <v>4382</v>
      </c>
    </row>
    <row r="896" spans="1:4" ht="17.25" customHeight="1" x14ac:dyDescent="0.2">
      <c r="A896" s="195">
        <v>3552</v>
      </c>
      <c r="B896" s="196" t="s">
        <v>1819</v>
      </c>
      <c r="C896" s="196">
        <v>333248</v>
      </c>
      <c r="D896" s="197" t="s">
        <v>4382</v>
      </c>
    </row>
    <row r="897" spans="1:4" ht="34.5" customHeight="1" x14ac:dyDescent="0.2">
      <c r="A897" s="195">
        <v>3559</v>
      </c>
      <c r="B897" s="196" t="s">
        <v>4324</v>
      </c>
      <c r="C897" s="196">
        <v>333248</v>
      </c>
      <c r="D897" s="197" t="s">
        <v>4382</v>
      </c>
    </row>
    <row r="898" spans="1:4" ht="34.5" customHeight="1" x14ac:dyDescent="0.2">
      <c r="A898" s="195">
        <v>3559</v>
      </c>
      <c r="B898" s="196" t="s">
        <v>4324</v>
      </c>
      <c r="C898" s="196">
        <v>333248</v>
      </c>
      <c r="D898" s="197" t="s">
        <v>4382</v>
      </c>
    </row>
    <row r="899" spans="1:4" ht="34.5" customHeight="1" x14ac:dyDescent="0.2">
      <c r="A899" s="195">
        <v>3639</v>
      </c>
      <c r="B899" s="196" t="s">
        <v>4383</v>
      </c>
      <c r="C899" s="196">
        <v>333248</v>
      </c>
      <c r="D899" s="197" t="s">
        <v>4382</v>
      </c>
    </row>
    <row r="900" spans="1:4" ht="34.5" customHeight="1" x14ac:dyDescent="0.2">
      <c r="A900" s="195">
        <v>3821</v>
      </c>
      <c r="B900" s="196" t="s">
        <v>4384</v>
      </c>
      <c r="C900" s="196">
        <v>333248</v>
      </c>
      <c r="D900" s="197" t="s">
        <v>4382</v>
      </c>
    </row>
    <row r="901" spans="1:4" ht="17.25" customHeight="1" x14ac:dyDescent="0.2">
      <c r="A901" s="195">
        <v>3841</v>
      </c>
      <c r="B901" s="196" t="s">
        <v>4362</v>
      </c>
      <c r="C901" s="196">
        <v>333248</v>
      </c>
      <c r="D901" s="197" t="s">
        <v>4382</v>
      </c>
    </row>
    <row r="902" spans="1:4" ht="34.5" customHeight="1" x14ac:dyDescent="0.2">
      <c r="A902" s="195">
        <v>3555</v>
      </c>
      <c r="B902" s="196" t="s">
        <v>4385</v>
      </c>
      <c r="C902" s="196">
        <v>333248</v>
      </c>
      <c r="D902" s="197" t="s">
        <v>4382</v>
      </c>
    </row>
    <row r="903" spans="1:4" ht="34.5" customHeight="1" x14ac:dyDescent="0.2">
      <c r="A903" s="195">
        <v>3577</v>
      </c>
      <c r="B903" s="196" t="s">
        <v>4386</v>
      </c>
      <c r="C903" s="196">
        <v>333310</v>
      </c>
      <c r="D903" s="197" t="s">
        <v>4387</v>
      </c>
    </row>
    <row r="904" spans="1:4" ht="34.5" customHeight="1" x14ac:dyDescent="0.2">
      <c r="A904" s="195">
        <v>3578</v>
      </c>
      <c r="B904" s="196" t="s">
        <v>4388</v>
      </c>
      <c r="C904" s="196">
        <v>333310</v>
      </c>
      <c r="D904" s="197" t="s">
        <v>4387</v>
      </c>
    </row>
    <row r="905" spans="1:4" ht="17.25" customHeight="1" x14ac:dyDescent="0.2">
      <c r="A905" s="195">
        <v>3861</v>
      </c>
      <c r="B905" s="196" t="s">
        <v>4186</v>
      </c>
      <c r="C905" s="196">
        <v>333310</v>
      </c>
      <c r="D905" s="197" t="s">
        <v>4387</v>
      </c>
    </row>
    <row r="906" spans="1:4" ht="34.5" customHeight="1" x14ac:dyDescent="0.2">
      <c r="A906" s="195">
        <v>3559</v>
      </c>
      <c r="B906" s="196" t="s">
        <v>4324</v>
      </c>
      <c r="C906" s="196">
        <v>333310</v>
      </c>
      <c r="D906" s="197" t="s">
        <v>4387</v>
      </c>
    </row>
    <row r="907" spans="1:4" ht="34.5" customHeight="1" x14ac:dyDescent="0.2">
      <c r="A907" s="195">
        <v>3578</v>
      </c>
      <c r="B907" s="196" t="s">
        <v>4388</v>
      </c>
      <c r="C907" s="196">
        <v>333310</v>
      </c>
      <c r="D907" s="197" t="s">
        <v>4387</v>
      </c>
    </row>
    <row r="908" spans="1:4" ht="17.25" customHeight="1" x14ac:dyDescent="0.2">
      <c r="A908" s="195">
        <v>3578</v>
      </c>
      <c r="B908" s="196" t="s">
        <v>4388</v>
      </c>
      <c r="C908" s="196">
        <v>333310</v>
      </c>
      <c r="D908" s="197" t="s">
        <v>4387</v>
      </c>
    </row>
    <row r="909" spans="1:4" ht="17.25" customHeight="1" x14ac:dyDescent="0.2">
      <c r="A909" s="195">
        <v>3579</v>
      </c>
      <c r="B909" s="196" t="s">
        <v>4389</v>
      </c>
      <c r="C909" s="196">
        <v>333310</v>
      </c>
      <c r="D909" s="197" t="s">
        <v>4387</v>
      </c>
    </row>
    <row r="910" spans="1:4" ht="17.25" customHeight="1" x14ac:dyDescent="0.2">
      <c r="A910" s="195">
        <v>3581</v>
      </c>
      <c r="B910" s="196" t="s">
        <v>4390</v>
      </c>
      <c r="C910" s="196">
        <v>333310</v>
      </c>
      <c r="D910" s="197" t="s">
        <v>4387</v>
      </c>
    </row>
    <row r="911" spans="1:4" ht="34.5" customHeight="1" x14ac:dyDescent="0.2">
      <c r="A911" s="195">
        <v>3582</v>
      </c>
      <c r="B911" s="196" t="s">
        <v>4391</v>
      </c>
      <c r="C911" s="196">
        <v>333310</v>
      </c>
      <c r="D911" s="197" t="s">
        <v>4387</v>
      </c>
    </row>
    <row r="912" spans="1:4" ht="34.5" customHeight="1" x14ac:dyDescent="0.2">
      <c r="A912" s="195">
        <v>3589</v>
      </c>
      <c r="B912" s="196" t="s">
        <v>4392</v>
      </c>
      <c r="C912" s="196">
        <v>333310</v>
      </c>
      <c r="D912" s="197" t="s">
        <v>4387</v>
      </c>
    </row>
    <row r="913" spans="1:4" ht="17.25" customHeight="1" x14ac:dyDescent="0.2">
      <c r="A913" s="195">
        <v>3599</v>
      </c>
      <c r="B913" s="196" t="s">
        <v>4335</v>
      </c>
      <c r="C913" s="196">
        <v>333310</v>
      </c>
      <c r="D913" s="197" t="s">
        <v>4387</v>
      </c>
    </row>
    <row r="914" spans="1:4" ht="17.25" customHeight="1" x14ac:dyDescent="0.2">
      <c r="A914" s="195">
        <v>3699</v>
      </c>
      <c r="B914" s="196" t="s">
        <v>4393</v>
      </c>
      <c r="C914" s="196">
        <v>333310</v>
      </c>
      <c r="D914" s="197" t="s">
        <v>4387</v>
      </c>
    </row>
    <row r="915" spans="1:4" ht="43.35" customHeight="1" x14ac:dyDescent="0.2">
      <c r="A915" s="195">
        <v>3999</v>
      </c>
      <c r="B915" s="196" t="s">
        <v>4055</v>
      </c>
      <c r="C915" s="196">
        <v>333310</v>
      </c>
      <c r="D915" s="197" t="s">
        <v>4387</v>
      </c>
    </row>
    <row r="916" spans="1:4" ht="42.6" customHeight="1" x14ac:dyDescent="0.2">
      <c r="A916" s="195">
        <v>3827</v>
      </c>
      <c r="B916" s="196" t="s">
        <v>4394</v>
      </c>
      <c r="C916" s="196">
        <v>333310</v>
      </c>
      <c r="D916" s="197" t="s">
        <v>4387</v>
      </c>
    </row>
    <row r="917" spans="1:4" ht="17.25" customHeight="1" x14ac:dyDescent="0.2">
      <c r="A917" s="195">
        <v>3564</v>
      </c>
      <c r="B917" s="196" t="s">
        <v>4395</v>
      </c>
      <c r="C917" s="196">
        <v>333413</v>
      </c>
      <c r="D917" s="197" t="s">
        <v>4396</v>
      </c>
    </row>
    <row r="918" spans="1:4" ht="34.5" customHeight="1" x14ac:dyDescent="0.2">
      <c r="A918" s="195">
        <v>3564</v>
      </c>
      <c r="B918" s="196" t="s">
        <v>4395</v>
      </c>
      <c r="C918" s="196">
        <v>333413</v>
      </c>
      <c r="D918" s="197" t="s">
        <v>4396</v>
      </c>
    </row>
    <row r="919" spans="1:4" ht="34.5" customHeight="1" x14ac:dyDescent="0.2">
      <c r="A919" s="195">
        <v>3433</v>
      </c>
      <c r="B919" s="196" t="s">
        <v>4397</v>
      </c>
      <c r="C919" s="196">
        <v>333414</v>
      </c>
      <c r="D919" s="197" t="s">
        <v>4398</v>
      </c>
    </row>
    <row r="920" spans="1:4" ht="34.5" customHeight="1" x14ac:dyDescent="0.2">
      <c r="A920" s="195">
        <v>3569</v>
      </c>
      <c r="B920" s="196" t="s">
        <v>4049</v>
      </c>
      <c r="C920" s="196">
        <v>333414</v>
      </c>
      <c r="D920" s="197" t="s">
        <v>4398</v>
      </c>
    </row>
    <row r="921" spans="1:4" ht="34.5" customHeight="1" x14ac:dyDescent="0.2">
      <c r="A921" s="195">
        <v>3634</v>
      </c>
      <c r="B921" s="196" t="s">
        <v>4399</v>
      </c>
      <c r="C921" s="196">
        <v>333414</v>
      </c>
      <c r="D921" s="197" t="s">
        <v>4398</v>
      </c>
    </row>
    <row r="922" spans="1:4" ht="34.5" customHeight="1" x14ac:dyDescent="0.2">
      <c r="A922" s="195">
        <v>2499</v>
      </c>
      <c r="B922" s="196" t="s">
        <v>4089</v>
      </c>
      <c r="C922" s="196">
        <v>333415</v>
      </c>
      <c r="D922" s="197" t="s">
        <v>4400</v>
      </c>
    </row>
    <row r="923" spans="1:4" ht="34.5" customHeight="1" x14ac:dyDescent="0.2">
      <c r="A923" s="195">
        <v>2599</v>
      </c>
      <c r="B923" s="196" t="s">
        <v>4381</v>
      </c>
      <c r="C923" s="196">
        <v>333415</v>
      </c>
      <c r="D923" s="197" t="s">
        <v>4400</v>
      </c>
    </row>
    <row r="924" spans="1:4" ht="17.25" customHeight="1" x14ac:dyDescent="0.2">
      <c r="A924" s="195">
        <v>3443</v>
      </c>
      <c r="B924" s="196" t="s">
        <v>4316</v>
      </c>
      <c r="C924" s="196">
        <v>333415</v>
      </c>
      <c r="D924" s="197" t="s">
        <v>4400</v>
      </c>
    </row>
    <row r="925" spans="1:4" ht="17.25" customHeight="1" x14ac:dyDescent="0.2">
      <c r="A925" s="195">
        <v>3444</v>
      </c>
      <c r="B925" s="196" t="s">
        <v>4320</v>
      </c>
      <c r="C925" s="196">
        <v>333415</v>
      </c>
      <c r="D925" s="197" t="s">
        <v>4400</v>
      </c>
    </row>
    <row r="926" spans="1:4" ht="34.5" customHeight="1" x14ac:dyDescent="0.2">
      <c r="A926" s="195">
        <v>3585</v>
      </c>
      <c r="B926" s="196" t="s">
        <v>4401</v>
      </c>
      <c r="C926" s="196">
        <v>333415</v>
      </c>
      <c r="D926" s="197" t="s">
        <v>4400</v>
      </c>
    </row>
    <row r="927" spans="1:4" ht="34.5" customHeight="1" x14ac:dyDescent="0.2">
      <c r="A927" s="195">
        <v>3821</v>
      </c>
      <c r="B927" s="196" t="s">
        <v>4384</v>
      </c>
      <c r="C927" s="196">
        <v>333415</v>
      </c>
      <c r="D927" s="197" t="s">
        <v>4400</v>
      </c>
    </row>
    <row r="928" spans="1:4" ht="34.5" customHeight="1" x14ac:dyDescent="0.2">
      <c r="A928" s="195">
        <v>3841</v>
      </c>
      <c r="B928" s="196" t="s">
        <v>4362</v>
      </c>
      <c r="C928" s="196">
        <v>333415</v>
      </c>
      <c r="D928" s="197" t="s">
        <v>4400</v>
      </c>
    </row>
    <row r="929" spans="1:4" ht="34.5" customHeight="1" x14ac:dyDescent="0.2">
      <c r="A929" s="195">
        <v>3544</v>
      </c>
      <c r="B929" s="196" t="s">
        <v>4402</v>
      </c>
      <c r="C929" s="196">
        <v>333511</v>
      </c>
      <c r="D929" s="197" t="s">
        <v>4403</v>
      </c>
    </row>
    <row r="930" spans="1:4" ht="34.5" customHeight="1" x14ac:dyDescent="0.2">
      <c r="A930" s="195">
        <v>3544</v>
      </c>
      <c r="B930" s="196" t="s">
        <v>4402</v>
      </c>
      <c r="C930" s="196">
        <v>333514</v>
      </c>
      <c r="D930" s="197" t="s">
        <v>4404</v>
      </c>
    </row>
    <row r="931" spans="1:4" ht="34.5" customHeight="1" x14ac:dyDescent="0.2">
      <c r="A931" s="195">
        <v>3545</v>
      </c>
      <c r="B931" s="196" t="s">
        <v>4310</v>
      </c>
      <c r="C931" s="196">
        <v>333515</v>
      </c>
      <c r="D931" s="197" t="s">
        <v>4405</v>
      </c>
    </row>
    <row r="932" spans="1:4" ht="34.5" customHeight="1" x14ac:dyDescent="0.2">
      <c r="A932" s="195">
        <v>3541</v>
      </c>
      <c r="B932" s="196" t="s">
        <v>4406</v>
      </c>
      <c r="C932" s="196">
        <v>333517</v>
      </c>
      <c r="D932" s="197" t="s">
        <v>4407</v>
      </c>
    </row>
    <row r="933" spans="1:4" ht="34.5" customHeight="1" x14ac:dyDescent="0.2">
      <c r="A933" s="195">
        <v>3542</v>
      </c>
      <c r="B933" s="196" t="s">
        <v>4408</v>
      </c>
      <c r="C933" s="196">
        <v>333517</v>
      </c>
      <c r="D933" s="197" t="s">
        <v>4407</v>
      </c>
    </row>
    <row r="934" spans="1:4" ht="34.5" customHeight="1" x14ac:dyDescent="0.2">
      <c r="A934" s="195">
        <v>3547</v>
      </c>
      <c r="B934" s="196" t="s">
        <v>4409</v>
      </c>
      <c r="C934" s="196">
        <v>333519</v>
      </c>
      <c r="D934" s="197" t="s">
        <v>4410</v>
      </c>
    </row>
    <row r="935" spans="1:4" ht="34.5" customHeight="1" x14ac:dyDescent="0.2">
      <c r="A935" s="195">
        <v>3549</v>
      </c>
      <c r="B935" s="196" t="s">
        <v>4411</v>
      </c>
      <c r="C935" s="196">
        <v>333519</v>
      </c>
      <c r="D935" s="197" t="s">
        <v>4410</v>
      </c>
    </row>
    <row r="936" spans="1:4" ht="34.5" customHeight="1" x14ac:dyDescent="0.2">
      <c r="A936" s="195">
        <v>3511</v>
      </c>
      <c r="B936" s="196" t="s">
        <v>4412</v>
      </c>
      <c r="C936" s="196">
        <v>333611</v>
      </c>
      <c r="D936" s="197" t="s">
        <v>4413</v>
      </c>
    </row>
    <row r="937" spans="1:4" ht="34.5" customHeight="1" x14ac:dyDescent="0.2">
      <c r="A937" s="195">
        <v>3566</v>
      </c>
      <c r="B937" s="196" t="s">
        <v>4414</v>
      </c>
      <c r="C937" s="196">
        <v>333612</v>
      </c>
      <c r="D937" s="197" t="s">
        <v>4415</v>
      </c>
    </row>
    <row r="938" spans="1:4" ht="34.5" customHeight="1" x14ac:dyDescent="0.2">
      <c r="A938" s="195">
        <v>3568</v>
      </c>
      <c r="B938" s="196" t="s">
        <v>4416</v>
      </c>
      <c r="C938" s="196">
        <v>333613</v>
      </c>
      <c r="D938" s="197" t="s">
        <v>4417</v>
      </c>
    </row>
    <row r="939" spans="1:4" ht="34.5" customHeight="1" x14ac:dyDescent="0.2">
      <c r="A939" s="195">
        <v>3519</v>
      </c>
      <c r="B939" s="196" t="s">
        <v>4418</v>
      </c>
      <c r="C939" s="196">
        <v>333618</v>
      </c>
      <c r="D939" s="197" t="s">
        <v>4419</v>
      </c>
    </row>
    <row r="940" spans="1:4" ht="43.35" customHeight="1" x14ac:dyDescent="0.2">
      <c r="A940" s="195">
        <v>3699</v>
      </c>
      <c r="B940" s="196" t="s">
        <v>4393</v>
      </c>
      <c r="C940" s="196">
        <v>333618</v>
      </c>
      <c r="D940" s="197" t="s">
        <v>4419</v>
      </c>
    </row>
    <row r="941" spans="1:4" ht="17.25" customHeight="1" x14ac:dyDescent="0.2">
      <c r="A941" s="195">
        <v>3563</v>
      </c>
      <c r="B941" s="196" t="s">
        <v>4420</v>
      </c>
      <c r="C941" s="196">
        <v>333912</v>
      </c>
      <c r="D941" s="197" t="s">
        <v>4421</v>
      </c>
    </row>
    <row r="942" spans="1:4" ht="34.5" customHeight="1" x14ac:dyDescent="0.2">
      <c r="A942" s="195">
        <v>3561</v>
      </c>
      <c r="B942" s="196" t="s">
        <v>2051</v>
      </c>
      <c r="C942" s="196">
        <v>333914</v>
      </c>
      <c r="D942" s="197" t="s">
        <v>4422</v>
      </c>
    </row>
    <row r="943" spans="1:4" ht="34.5" customHeight="1" x14ac:dyDescent="0.2">
      <c r="A943" s="195">
        <v>3586</v>
      </c>
      <c r="B943" s="196" t="s">
        <v>4423</v>
      </c>
      <c r="C943" s="196">
        <v>333914</v>
      </c>
      <c r="D943" s="197" t="s">
        <v>4422</v>
      </c>
    </row>
    <row r="944" spans="1:4" ht="34.5" customHeight="1" x14ac:dyDescent="0.2">
      <c r="A944" s="195">
        <v>3743</v>
      </c>
      <c r="B944" s="196" t="s">
        <v>4424</v>
      </c>
      <c r="C944" s="196">
        <v>333914</v>
      </c>
      <c r="D944" s="197" t="s">
        <v>4422</v>
      </c>
    </row>
    <row r="945" spans="1:4" ht="34.5" customHeight="1" x14ac:dyDescent="0.2">
      <c r="A945" s="195">
        <v>3534</v>
      </c>
      <c r="B945" s="196" t="s">
        <v>4425</v>
      </c>
      <c r="C945" s="196">
        <v>333921</v>
      </c>
      <c r="D945" s="197" t="s">
        <v>4426</v>
      </c>
    </row>
    <row r="946" spans="1:4" ht="34.5" customHeight="1" x14ac:dyDescent="0.2">
      <c r="A946" s="195">
        <v>3523</v>
      </c>
      <c r="B946" s="196" t="s">
        <v>4308</v>
      </c>
      <c r="C946" s="196">
        <v>333922</v>
      </c>
      <c r="D946" s="197" t="s">
        <v>4427</v>
      </c>
    </row>
    <row r="947" spans="1:4" ht="17.25" customHeight="1" x14ac:dyDescent="0.2">
      <c r="A947" s="195">
        <v>3535</v>
      </c>
      <c r="B947" s="196" t="s">
        <v>4428</v>
      </c>
      <c r="C947" s="196">
        <v>333922</v>
      </c>
      <c r="D947" s="197" t="s">
        <v>4427</v>
      </c>
    </row>
    <row r="948" spans="1:4" ht="17.25" customHeight="1" x14ac:dyDescent="0.2">
      <c r="A948" s="195">
        <v>3429</v>
      </c>
      <c r="B948" s="196" t="s">
        <v>4329</v>
      </c>
      <c r="C948" s="196">
        <v>333923</v>
      </c>
      <c r="D948" s="197" t="s">
        <v>4429</v>
      </c>
    </row>
    <row r="949" spans="1:4" ht="34.5" customHeight="1" x14ac:dyDescent="0.2">
      <c r="A949" s="195">
        <v>3531</v>
      </c>
      <c r="B949" s="196" t="s">
        <v>4370</v>
      </c>
      <c r="C949" s="196">
        <v>333923</v>
      </c>
      <c r="D949" s="197" t="s">
        <v>4429</v>
      </c>
    </row>
    <row r="950" spans="1:4" ht="34.5" customHeight="1" x14ac:dyDescent="0.2">
      <c r="A950" s="195">
        <v>3536</v>
      </c>
      <c r="B950" s="196" t="s">
        <v>4430</v>
      </c>
      <c r="C950" s="196">
        <v>333923</v>
      </c>
      <c r="D950" s="197" t="s">
        <v>4429</v>
      </c>
    </row>
    <row r="951" spans="1:4" ht="34.5" customHeight="1" x14ac:dyDescent="0.2">
      <c r="A951" s="195">
        <v>3496</v>
      </c>
      <c r="B951" s="196" t="s">
        <v>4303</v>
      </c>
      <c r="C951" s="196">
        <v>333924</v>
      </c>
      <c r="D951" s="197" t="s">
        <v>4431</v>
      </c>
    </row>
    <row r="952" spans="1:4" ht="34.5" customHeight="1" x14ac:dyDescent="0.2">
      <c r="A952" s="195">
        <v>3537</v>
      </c>
      <c r="B952" s="196" t="s">
        <v>4330</v>
      </c>
      <c r="C952" s="196">
        <v>333924</v>
      </c>
      <c r="D952" s="197" t="s">
        <v>4431</v>
      </c>
    </row>
    <row r="953" spans="1:4" ht="34.5" customHeight="1" x14ac:dyDescent="0.2">
      <c r="A953" s="195">
        <v>3799</v>
      </c>
      <c r="B953" s="196" t="s">
        <v>4432</v>
      </c>
      <c r="C953" s="196">
        <v>333924</v>
      </c>
      <c r="D953" s="197" t="s">
        <v>4431</v>
      </c>
    </row>
    <row r="954" spans="1:4" ht="17.25" customHeight="1" x14ac:dyDescent="0.2">
      <c r="A954" s="195">
        <v>3546</v>
      </c>
      <c r="B954" s="196" t="s">
        <v>4433</v>
      </c>
      <c r="C954" s="196">
        <v>333991</v>
      </c>
      <c r="D954" s="197" t="s">
        <v>4434</v>
      </c>
    </row>
    <row r="955" spans="1:4" ht="34.5" customHeight="1" x14ac:dyDescent="0.2">
      <c r="A955" s="195">
        <v>3548</v>
      </c>
      <c r="B955" s="196" t="s">
        <v>4435</v>
      </c>
      <c r="C955" s="196">
        <v>333992</v>
      </c>
      <c r="D955" s="197" t="s">
        <v>4436</v>
      </c>
    </row>
    <row r="956" spans="1:4" ht="34.5" customHeight="1" x14ac:dyDescent="0.2">
      <c r="A956" s="195">
        <v>3699</v>
      </c>
      <c r="B956" s="196" t="s">
        <v>4393</v>
      </c>
      <c r="C956" s="196">
        <v>333992</v>
      </c>
      <c r="D956" s="197" t="s">
        <v>4436</v>
      </c>
    </row>
    <row r="957" spans="1:4" ht="17.25" customHeight="1" x14ac:dyDescent="0.2">
      <c r="A957" s="195">
        <v>3565</v>
      </c>
      <c r="B957" s="196" t="s">
        <v>4437</v>
      </c>
      <c r="C957" s="196">
        <v>333993</v>
      </c>
      <c r="D957" s="197" t="s">
        <v>4438</v>
      </c>
    </row>
    <row r="958" spans="1:4" ht="34.5" customHeight="1" x14ac:dyDescent="0.2">
      <c r="A958" s="195">
        <v>2599</v>
      </c>
      <c r="B958" s="196" t="s">
        <v>4381</v>
      </c>
      <c r="C958" s="196">
        <v>333994</v>
      </c>
      <c r="D958" s="197" t="s">
        <v>4439</v>
      </c>
    </row>
    <row r="959" spans="1:4" ht="17.25" customHeight="1" x14ac:dyDescent="0.2">
      <c r="A959" s="195">
        <v>3567</v>
      </c>
      <c r="B959" s="196" t="s">
        <v>4440</v>
      </c>
      <c r="C959" s="196">
        <v>333994</v>
      </c>
      <c r="D959" s="197" t="s">
        <v>4439</v>
      </c>
    </row>
    <row r="960" spans="1:4" ht="34.5" customHeight="1" x14ac:dyDescent="0.2">
      <c r="A960" s="195">
        <v>3821</v>
      </c>
      <c r="B960" s="196" t="s">
        <v>4384</v>
      </c>
      <c r="C960" s="196">
        <v>333994</v>
      </c>
      <c r="D960" s="197" t="s">
        <v>4439</v>
      </c>
    </row>
    <row r="961" spans="1:4" ht="17.25" customHeight="1" x14ac:dyDescent="0.2">
      <c r="A961" s="195">
        <v>3841</v>
      </c>
      <c r="B961" s="196" t="s">
        <v>4362</v>
      </c>
      <c r="C961" s="196">
        <v>333994</v>
      </c>
      <c r="D961" s="197" t="s">
        <v>4439</v>
      </c>
    </row>
    <row r="962" spans="1:4" ht="17.25" customHeight="1" x14ac:dyDescent="0.2">
      <c r="A962" s="195">
        <v>3593</v>
      </c>
      <c r="B962" s="196" t="s">
        <v>4441</v>
      </c>
      <c r="C962" s="196">
        <v>333995</v>
      </c>
      <c r="D962" s="197" t="s">
        <v>4442</v>
      </c>
    </row>
    <row r="963" spans="1:4" ht="17.25" customHeight="1" x14ac:dyDescent="0.2">
      <c r="A963" s="195">
        <v>3594</v>
      </c>
      <c r="B963" s="196" t="s">
        <v>4443</v>
      </c>
      <c r="C963" s="196">
        <v>333996</v>
      </c>
      <c r="D963" s="198" t="s">
        <v>4444</v>
      </c>
    </row>
    <row r="964" spans="1:4" ht="34.5" customHeight="1" x14ac:dyDescent="0.2">
      <c r="A964" s="195">
        <v>2599</v>
      </c>
      <c r="B964" s="196" t="s">
        <v>4381</v>
      </c>
      <c r="C964" s="196">
        <v>333998</v>
      </c>
      <c r="D964" s="197" t="s">
        <v>4445</v>
      </c>
    </row>
    <row r="965" spans="1:4" ht="17.25" customHeight="1" x14ac:dyDescent="0.2">
      <c r="A965" s="195">
        <v>3569</v>
      </c>
      <c r="B965" s="196" t="s">
        <v>4049</v>
      </c>
      <c r="C965" s="196">
        <v>333998</v>
      </c>
      <c r="D965" s="197" t="s">
        <v>4445</v>
      </c>
    </row>
    <row r="966" spans="1:4" ht="17.25" customHeight="1" x14ac:dyDescent="0.2">
      <c r="A966" s="195">
        <v>3599</v>
      </c>
      <c r="B966" s="196" t="s">
        <v>4335</v>
      </c>
      <c r="C966" s="196">
        <v>333998</v>
      </c>
      <c r="D966" s="197" t="s">
        <v>4445</v>
      </c>
    </row>
    <row r="967" spans="1:4" ht="17.25" customHeight="1" x14ac:dyDescent="0.2">
      <c r="A967" s="195">
        <v>3821</v>
      </c>
      <c r="B967" s="196" t="s">
        <v>4384</v>
      </c>
      <c r="C967" s="196">
        <v>333998</v>
      </c>
      <c r="D967" s="197" t="s">
        <v>4445</v>
      </c>
    </row>
    <row r="968" spans="1:4" ht="17.25" customHeight="1" x14ac:dyDescent="0.2">
      <c r="A968" s="195">
        <v>3841</v>
      </c>
      <c r="B968" s="196" t="s">
        <v>4362</v>
      </c>
      <c r="C968" s="196">
        <v>333998</v>
      </c>
      <c r="D968" s="197" t="s">
        <v>4445</v>
      </c>
    </row>
    <row r="969" spans="1:4" ht="17.25" customHeight="1" x14ac:dyDescent="0.2">
      <c r="A969" s="195">
        <v>2599</v>
      </c>
      <c r="B969" s="196" t="s">
        <v>4381</v>
      </c>
      <c r="C969" s="196">
        <v>333998</v>
      </c>
      <c r="D969" s="197" t="s">
        <v>4445</v>
      </c>
    </row>
    <row r="970" spans="1:4" ht="17.25" customHeight="1" x14ac:dyDescent="0.2">
      <c r="A970" s="195">
        <v>3596</v>
      </c>
      <c r="B970" s="196" t="s">
        <v>4446</v>
      </c>
      <c r="C970" s="196">
        <v>333998</v>
      </c>
      <c r="D970" s="197" t="s">
        <v>4445</v>
      </c>
    </row>
    <row r="971" spans="1:4" ht="28.7" customHeight="1" x14ac:dyDescent="0.2">
      <c r="A971" s="195">
        <v>3821</v>
      </c>
      <c r="B971" s="196" t="s">
        <v>4384</v>
      </c>
      <c r="C971" s="196">
        <v>333998</v>
      </c>
      <c r="D971" s="197" t="s">
        <v>4445</v>
      </c>
    </row>
    <row r="972" spans="1:4" ht="34.5" customHeight="1" x14ac:dyDescent="0.2">
      <c r="A972" s="195">
        <v>3841</v>
      </c>
      <c r="B972" s="196" t="s">
        <v>4362</v>
      </c>
      <c r="C972" s="196">
        <v>333998</v>
      </c>
      <c r="D972" s="197" t="s">
        <v>4445</v>
      </c>
    </row>
    <row r="973" spans="1:4" ht="17.25" customHeight="1" x14ac:dyDescent="0.2">
      <c r="A973" s="195">
        <v>3571</v>
      </c>
      <c r="B973" s="196" t="s">
        <v>4447</v>
      </c>
      <c r="C973" s="196">
        <v>334111</v>
      </c>
      <c r="D973" s="197" t="s">
        <v>4448</v>
      </c>
    </row>
    <row r="974" spans="1:4" ht="34.5" customHeight="1" x14ac:dyDescent="0.2">
      <c r="A974" s="195">
        <v>3572</v>
      </c>
      <c r="B974" s="196" t="s">
        <v>4449</v>
      </c>
      <c r="C974" s="196">
        <v>334112</v>
      </c>
      <c r="D974" s="197" t="s">
        <v>4450</v>
      </c>
    </row>
    <row r="975" spans="1:4" ht="34.5" customHeight="1" x14ac:dyDescent="0.2">
      <c r="A975" s="195">
        <v>3575</v>
      </c>
      <c r="B975" s="196" t="s">
        <v>4451</v>
      </c>
      <c r="C975" s="196">
        <v>334118</v>
      </c>
      <c r="D975" s="197" t="s">
        <v>4452</v>
      </c>
    </row>
    <row r="976" spans="1:4" ht="34.5" customHeight="1" x14ac:dyDescent="0.2">
      <c r="A976" s="195">
        <v>3577</v>
      </c>
      <c r="B976" s="196" t="s">
        <v>4386</v>
      </c>
      <c r="C976" s="196">
        <v>334118</v>
      </c>
      <c r="D976" s="197" t="s">
        <v>4452</v>
      </c>
    </row>
    <row r="977" spans="1:4" ht="34.5" customHeight="1" x14ac:dyDescent="0.2">
      <c r="A977" s="195">
        <v>3578</v>
      </c>
      <c r="B977" s="196" t="s">
        <v>4388</v>
      </c>
      <c r="C977" s="196">
        <v>334118</v>
      </c>
      <c r="D977" s="197" t="s">
        <v>4452</v>
      </c>
    </row>
    <row r="978" spans="1:4" ht="17.25" customHeight="1" x14ac:dyDescent="0.2">
      <c r="A978" s="195">
        <v>3661</v>
      </c>
      <c r="B978" s="196" t="s">
        <v>4453</v>
      </c>
      <c r="C978" s="196">
        <v>334210</v>
      </c>
      <c r="D978" s="197" t="s">
        <v>2934</v>
      </c>
    </row>
    <row r="979" spans="1:4" ht="28.7" customHeight="1" x14ac:dyDescent="0.2">
      <c r="A979" s="195">
        <v>3663</v>
      </c>
      <c r="B979" s="196" t="s">
        <v>4454</v>
      </c>
      <c r="C979" s="196">
        <v>334220</v>
      </c>
      <c r="D979" s="197" t="s">
        <v>2935</v>
      </c>
    </row>
    <row r="980" spans="1:4" ht="43.35" customHeight="1" x14ac:dyDescent="0.2">
      <c r="A980" s="195">
        <v>3679</v>
      </c>
      <c r="B980" s="196" t="s">
        <v>4455</v>
      </c>
      <c r="C980" s="196">
        <v>334220</v>
      </c>
      <c r="D980" s="197" t="s">
        <v>2935</v>
      </c>
    </row>
    <row r="981" spans="1:4" ht="17.25" customHeight="1" x14ac:dyDescent="0.2">
      <c r="A981" s="195">
        <v>3669</v>
      </c>
      <c r="B981" s="196" t="s">
        <v>4456</v>
      </c>
      <c r="C981" s="196">
        <v>334290</v>
      </c>
      <c r="D981" s="197" t="s">
        <v>2936</v>
      </c>
    </row>
    <row r="982" spans="1:4" ht="17.25" customHeight="1" x14ac:dyDescent="0.2">
      <c r="A982" s="195">
        <v>3651</v>
      </c>
      <c r="B982" s="196" t="s">
        <v>4457</v>
      </c>
      <c r="C982" s="196">
        <v>334310</v>
      </c>
      <c r="D982" s="197" t="s">
        <v>2937</v>
      </c>
    </row>
    <row r="983" spans="1:4" ht="34.5" customHeight="1" x14ac:dyDescent="0.2">
      <c r="A983" s="195">
        <v>3679</v>
      </c>
      <c r="B983" s="196" t="s">
        <v>4455</v>
      </c>
      <c r="C983" s="196">
        <v>334310</v>
      </c>
      <c r="D983" s="197" t="s">
        <v>2937</v>
      </c>
    </row>
    <row r="984" spans="1:4" ht="43.35" customHeight="1" x14ac:dyDescent="0.2">
      <c r="A984" s="195">
        <v>3672</v>
      </c>
      <c r="B984" s="196" t="s">
        <v>4458</v>
      </c>
      <c r="C984" s="196">
        <v>334412</v>
      </c>
      <c r="D984" s="197" t="s">
        <v>4459</v>
      </c>
    </row>
    <row r="985" spans="1:4" ht="42.6" customHeight="1" x14ac:dyDescent="0.2">
      <c r="A985" s="195">
        <v>3674</v>
      </c>
      <c r="B985" s="196" t="s">
        <v>4460</v>
      </c>
      <c r="C985" s="196">
        <v>334413</v>
      </c>
      <c r="D985" s="197" t="s">
        <v>4461</v>
      </c>
    </row>
    <row r="986" spans="1:4" ht="34.5" customHeight="1" x14ac:dyDescent="0.2">
      <c r="A986" s="195">
        <v>3675</v>
      </c>
      <c r="B986" s="196" t="s">
        <v>2365</v>
      </c>
      <c r="C986" s="196">
        <v>334416</v>
      </c>
      <c r="D986" s="197" t="s">
        <v>4462</v>
      </c>
    </row>
    <row r="987" spans="1:4" ht="34.5" customHeight="1" x14ac:dyDescent="0.2">
      <c r="A987" s="195">
        <v>3676</v>
      </c>
      <c r="B987" s="196" t="s">
        <v>4463</v>
      </c>
      <c r="C987" s="196">
        <v>334416</v>
      </c>
      <c r="D987" s="197" t="s">
        <v>4462</v>
      </c>
    </row>
    <row r="988" spans="1:4" ht="17.25" customHeight="1" x14ac:dyDescent="0.2">
      <c r="A988" s="195">
        <v>3677</v>
      </c>
      <c r="B988" s="196" t="s">
        <v>4464</v>
      </c>
      <c r="C988" s="196">
        <v>334416</v>
      </c>
      <c r="D988" s="197" t="s">
        <v>4462</v>
      </c>
    </row>
    <row r="989" spans="1:4" ht="34.5" customHeight="1" x14ac:dyDescent="0.2">
      <c r="A989" s="195">
        <v>3678</v>
      </c>
      <c r="B989" s="196" t="s">
        <v>4465</v>
      </c>
      <c r="C989" s="196">
        <v>334417</v>
      </c>
      <c r="D989" s="197" t="s">
        <v>4466</v>
      </c>
    </row>
    <row r="990" spans="1:4" ht="34.5" customHeight="1" x14ac:dyDescent="0.2">
      <c r="A990" s="195">
        <v>3577</v>
      </c>
      <c r="B990" s="196" t="s">
        <v>4386</v>
      </c>
      <c r="C990" s="196">
        <v>334418</v>
      </c>
      <c r="D990" s="197" t="s">
        <v>4467</v>
      </c>
    </row>
    <row r="991" spans="1:4" ht="34.5" customHeight="1" x14ac:dyDescent="0.2">
      <c r="A991" s="195">
        <v>3661</v>
      </c>
      <c r="B991" s="196" t="s">
        <v>4453</v>
      </c>
      <c r="C991" s="196">
        <v>334418</v>
      </c>
      <c r="D991" s="197" t="s">
        <v>4467</v>
      </c>
    </row>
    <row r="992" spans="1:4" ht="34.5" customHeight="1" x14ac:dyDescent="0.2">
      <c r="A992" s="195">
        <v>3679</v>
      </c>
      <c r="B992" s="196" t="s">
        <v>4455</v>
      </c>
      <c r="C992" s="196">
        <v>334418</v>
      </c>
      <c r="D992" s="197" t="s">
        <v>4467</v>
      </c>
    </row>
    <row r="993" spans="1:4" ht="17.25" customHeight="1" x14ac:dyDescent="0.2">
      <c r="A993" s="195">
        <v>3671</v>
      </c>
      <c r="B993" s="196" t="s">
        <v>4468</v>
      </c>
      <c r="C993" s="196">
        <v>334419</v>
      </c>
      <c r="D993" s="197" t="s">
        <v>4469</v>
      </c>
    </row>
    <row r="994" spans="1:4" ht="43.35" customHeight="1" x14ac:dyDescent="0.2">
      <c r="A994" s="195">
        <v>3679</v>
      </c>
      <c r="B994" s="196" t="s">
        <v>4455</v>
      </c>
      <c r="C994" s="196">
        <v>334419</v>
      </c>
      <c r="D994" s="197" t="s">
        <v>4469</v>
      </c>
    </row>
    <row r="995" spans="1:4" ht="27.95" customHeight="1" x14ac:dyDescent="0.2">
      <c r="A995" s="195">
        <v>3842</v>
      </c>
      <c r="B995" s="196" t="s">
        <v>4118</v>
      </c>
      <c r="C995" s="196">
        <v>334510</v>
      </c>
      <c r="D995" s="197" t="s">
        <v>4470</v>
      </c>
    </row>
    <row r="996" spans="1:4" ht="34.5" customHeight="1" x14ac:dyDescent="0.2">
      <c r="A996" s="195">
        <v>3845</v>
      </c>
      <c r="B996" s="196" t="s">
        <v>4471</v>
      </c>
      <c r="C996" s="196">
        <v>334510</v>
      </c>
      <c r="D996" s="197" t="s">
        <v>4470</v>
      </c>
    </row>
    <row r="997" spans="1:4" ht="34.5" customHeight="1" x14ac:dyDescent="0.2">
      <c r="A997" s="195">
        <v>3812</v>
      </c>
      <c r="B997" s="196" t="s">
        <v>4472</v>
      </c>
      <c r="C997" s="196">
        <v>334511</v>
      </c>
      <c r="D997" s="197" t="s">
        <v>4473</v>
      </c>
    </row>
    <row r="998" spans="1:4" ht="43.35" customHeight="1" x14ac:dyDescent="0.2">
      <c r="A998" s="195">
        <v>3822</v>
      </c>
      <c r="B998" s="196" t="s">
        <v>4474</v>
      </c>
      <c r="C998" s="196">
        <v>334512</v>
      </c>
      <c r="D998" s="197" t="s">
        <v>4475</v>
      </c>
    </row>
    <row r="999" spans="1:4" ht="17.25" customHeight="1" x14ac:dyDescent="0.2">
      <c r="A999" s="195">
        <v>3823</v>
      </c>
      <c r="B999" s="196" t="s">
        <v>4476</v>
      </c>
      <c r="C999" s="196">
        <v>334513</v>
      </c>
      <c r="D999" s="197" t="s">
        <v>4477</v>
      </c>
    </row>
    <row r="1000" spans="1:4" ht="17.25" customHeight="1" x14ac:dyDescent="0.2">
      <c r="A1000" s="195">
        <v>3824</v>
      </c>
      <c r="B1000" s="196" t="s">
        <v>4478</v>
      </c>
      <c r="C1000" s="196">
        <v>334514</v>
      </c>
      <c r="D1000" s="197" t="s">
        <v>4479</v>
      </c>
    </row>
    <row r="1001" spans="1:4" ht="34.5" customHeight="1" x14ac:dyDescent="0.2">
      <c r="A1001" s="195">
        <v>3825</v>
      </c>
      <c r="B1001" s="196" t="s">
        <v>4480</v>
      </c>
      <c r="C1001" s="196">
        <v>334514</v>
      </c>
      <c r="D1001" s="197" t="s">
        <v>4479</v>
      </c>
    </row>
    <row r="1002" spans="1:4" ht="34.5" customHeight="1" x14ac:dyDescent="0.2">
      <c r="A1002" s="195">
        <v>3829</v>
      </c>
      <c r="B1002" s="196" t="s">
        <v>4481</v>
      </c>
      <c r="C1002" s="196">
        <v>334514</v>
      </c>
      <c r="D1002" s="197" t="s">
        <v>4479</v>
      </c>
    </row>
    <row r="1003" spans="1:4" ht="34.5" customHeight="1" x14ac:dyDescent="0.2">
      <c r="A1003" s="195">
        <v>3663</v>
      </c>
      <c r="B1003" s="196" t="s">
        <v>4454</v>
      </c>
      <c r="C1003" s="196">
        <v>334515</v>
      </c>
      <c r="D1003" s="197" t="s">
        <v>4482</v>
      </c>
    </row>
    <row r="1004" spans="1:4" ht="17.25" customHeight="1" x14ac:dyDescent="0.2">
      <c r="A1004" s="195">
        <v>3679</v>
      </c>
      <c r="B1004" s="196" t="s">
        <v>4455</v>
      </c>
      <c r="C1004" s="196">
        <v>334515</v>
      </c>
      <c r="D1004" s="197" t="s">
        <v>4482</v>
      </c>
    </row>
    <row r="1005" spans="1:4" ht="34.5" customHeight="1" x14ac:dyDescent="0.2">
      <c r="A1005" s="195">
        <v>3825</v>
      </c>
      <c r="B1005" s="196" t="s">
        <v>4480</v>
      </c>
      <c r="C1005" s="196">
        <v>334515</v>
      </c>
      <c r="D1005" s="197" t="s">
        <v>4482</v>
      </c>
    </row>
    <row r="1006" spans="1:4" ht="17.25" customHeight="1" x14ac:dyDescent="0.2">
      <c r="A1006" s="195">
        <v>3826</v>
      </c>
      <c r="B1006" s="196" t="s">
        <v>4483</v>
      </c>
      <c r="C1006" s="196">
        <v>334516</v>
      </c>
      <c r="D1006" s="197" t="s">
        <v>4484</v>
      </c>
    </row>
    <row r="1007" spans="1:4" ht="34.5" customHeight="1" x14ac:dyDescent="0.2">
      <c r="A1007" s="195">
        <v>3844</v>
      </c>
      <c r="B1007" s="196" t="s">
        <v>4485</v>
      </c>
      <c r="C1007" s="196">
        <v>334517</v>
      </c>
      <c r="D1007" s="197" t="s">
        <v>4486</v>
      </c>
    </row>
    <row r="1008" spans="1:4" ht="17.25" customHeight="1" x14ac:dyDescent="0.2">
      <c r="A1008" s="195">
        <v>3845</v>
      </c>
      <c r="B1008" s="196" t="s">
        <v>4471</v>
      </c>
      <c r="C1008" s="196">
        <v>334517</v>
      </c>
      <c r="D1008" s="197" t="s">
        <v>4486</v>
      </c>
    </row>
    <row r="1009" spans="1:4" ht="34.5" customHeight="1" x14ac:dyDescent="0.2">
      <c r="A1009" s="195">
        <v>3429</v>
      </c>
      <c r="B1009" s="196" t="s">
        <v>4329</v>
      </c>
      <c r="C1009" s="196">
        <v>334519</v>
      </c>
      <c r="D1009" s="197" t="s">
        <v>4487</v>
      </c>
    </row>
    <row r="1010" spans="1:4" ht="17.25" customHeight="1" x14ac:dyDescent="0.2">
      <c r="A1010" s="195">
        <v>3495</v>
      </c>
      <c r="B1010" s="196" t="s">
        <v>4333</v>
      </c>
      <c r="C1010" s="196">
        <v>334519</v>
      </c>
      <c r="D1010" s="197" t="s">
        <v>4487</v>
      </c>
    </row>
    <row r="1011" spans="1:4" ht="17.25" customHeight="1" x14ac:dyDescent="0.2">
      <c r="A1011" s="195">
        <v>3579</v>
      </c>
      <c r="B1011" s="196" t="s">
        <v>4389</v>
      </c>
      <c r="C1011" s="196">
        <v>334519</v>
      </c>
      <c r="D1011" s="197" t="s">
        <v>4487</v>
      </c>
    </row>
    <row r="1012" spans="1:4" ht="34.5" customHeight="1" x14ac:dyDescent="0.2">
      <c r="A1012" s="195">
        <v>3599</v>
      </c>
      <c r="B1012" s="196" t="s">
        <v>4335</v>
      </c>
      <c r="C1012" s="196">
        <v>334519</v>
      </c>
      <c r="D1012" s="197" t="s">
        <v>4487</v>
      </c>
    </row>
    <row r="1013" spans="1:4" ht="17.25" customHeight="1" x14ac:dyDescent="0.2">
      <c r="A1013" s="195">
        <v>3829</v>
      </c>
      <c r="B1013" s="196" t="s">
        <v>4481</v>
      </c>
      <c r="C1013" s="196">
        <v>334519</v>
      </c>
      <c r="D1013" s="197" t="s">
        <v>4487</v>
      </c>
    </row>
    <row r="1014" spans="1:4" ht="17.25" customHeight="1" x14ac:dyDescent="0.2">
      <c r="A1014" s="195">
        <v>3829</v>
      </c>
      <c r="B1014" s="196" t="s">
        <v>4481</v>
      </c>
      <c r="C1014" s="196">
        <v>334519</v>
      </c>
      <c r="D1014" s="197" t="s">
        <v>4487</v>
      </c>
    </row>
    <row r="1015" spans="1:4" ht="34.5" customHeight="1" x14ac:dyDescent="0.2">
      <c r="A1015" s="195">
        <v>3873</v>
      </c>
      <c r="B1015" s="196" t="s">
        <v>4488</v>
      </c>
      <c r="C1015" s="196">
        <v>334519</v>
      </c>
      <c r="D1015" s="197" t="s">
        <v>4487</v>
      </c>
    </row>
    <row r="1016" spans="1:4" ht="34.5" customHeight="1" x14ac:dyDescent="0.2">
      <c r="A1016" s="195">
        <v>3915</v>
      </c>
      <c r="B1016" s="196" t="s">
        <v>4489</v>
      </c>
      <c r="C1016" s="196">
        <v>334519</v>
      </c>
      <c r="D1016" s="197" t="s">
        <v>4487</v>
      </c>
    </row>
    <row r="1017" spans="1:4" ht="43.35" customHeight="1" x14ac:dyDescent="0.2">
      <c r="A1017" s="195">
        <v>3577</v>
      </c>
      <c r="B1017" s="196" t="s">
        <v>4386</v>
      </c>
      <c r="C1017" s="196">
        <v>334610</v>
      </c>
      <c r="D1017" s="197" t="s">
        <v>4490</v>
      </c>
    </row>
    <row r="1018" spans="1:4" ht="34.5" customHeight="1" x14ac:dyDescent="0.2">
      <c r="A1018" s="195">
        <v>3695</v>
      </c>
      <c r="B1018" s="196" t="s">
        <v>4491</v>
      </c>
      <c r="C1018" s="196">
        <v>334610</v>
      </c>
      <c r="D1018" s="197" t="s">
        <v>4490</v>
      </c>
    </row>
    <row r="1019" spans="1:4" ht="34.5" customHeight="1" x14ac:dyDescent="0.2">
      <c r="A1019" s="195">
        <v>3652</v>
      </c>
      <c r="B1019" s="196" t="s">
        <v>4492</v>
      </c>
      <c r="C1019" s="196">
        <v>334610</v>
      </c>
      <c r="D1019" s="197" t="s">
        <v>4490</v>
      </c>
    </row>
    <row r="1020" spans="1:4" ht="17.25" customHeight="1" x14ac:dyDescent="0.2">
      <c r="A1020" s="195">
        <v>7372</v>
      </c>
      <c r="B1020" s="196" t="s">
        <v>4493</v>
      </c>
      <c r="C1020" s="196">
        <v>334610</v>
      </c>
      <c r="D1020" s="197" t="s">
        <v>4490</v>
      </c>
    </row>
    <row r="1021" spans="1:4" ht="17.25" customHeight="1" x14ac:dyDescent="0.2">
      <c r="A1021" s="195">
        <v>7819</v>
      </c>
      <c r="B1021" s="196" t="s">
        <v>4494</v>
      </c>
      <c r="C1021" s="196">
        <v>334610</v>
      </c>
      <c r="D1021" s="197" t="s">
        <v>4490</v>
      </c>
    </row>
    <row r="1022" spans="1:4" ht="17.25" customHeight="1" x14ac:dyDescent="0.2">
      <c r="A1022" s="195">
        <v>3645</v>
      </c>
      <c r="B1022" s="196" t="s">
        <v>4495</v>
      </c>
      <c r="C1022" s="196">
        <v>335131</v>
      </c>
      <c r="D1022" s="197" t="s">
        <v>4496</v>
      </c>
    </row>
    <row r="1023" spans="1:4" ht="17.25" customHeight="1" x14ac:dyDescent="0.2">
      <c r="A1023" s="195">
        <v>3999</v>
      </c>
      <c r="B1023" s="196" t="s">
        <v>4055</v>
      </c>
      <c r="C1023" s="196">
        <v>335131</v>
      </c>
      <c r="D1023" s="197" t="s">
        <v>4496</v>
      </c>
    </row>
    <row r="1024" spans="1:4" ht="34.5" customHeight="1" x14ac:dyDescent="0.2">
      <c r="A1024" s="195">
        <v>3646</v>
      </c>
      <c r="B1024" s="196" t="s">
        <v>4497</v>
      </c>
      <c r="C1024" s="196">
        <v>335132</v>
      </c>
      <c r="D1024" s="197" t="s">
        <v>4498</v>
      </c>
    </row>
    <row r="1025" spans="1:4" ht="34.5" customHeight="1" x14ac:dyDescent="0.2">
      <c r="A1025" s="195">
        <v>3641</v>
      </c>
      <c r="B1025" s="196" t="s">
        <v>4499</v>
      </c>
      <c r="C1025" s="196">
        <v>335139</v>
      </c>
      <c r="D1025" s="197" t="s">
        <v>4500</v>
      </c>
    </row>
    <row r="1026" spans="1:4" ht="43.35" customHeight="1" x14ac:dyDescent="0.2">
      <c r="A1026" s="195">
        <v>3648</v>
      </c>
      <c r="B1026" s="196" t="s">
        <v>4501</v>
      </c>
      <c r="C1026" s="196">
        <v>335139</v>
      </c>
      <c r="D1026" s="197" t="s">
        <v>4500</v>
      </c>
    </row>
    <row r="1027" spans="1:4" ht="34.5" customHeight="1" x14ac:dyDescent="0.2">
      <c r="A1027" s="195">
        <v>3699</v>
      </c>
      <c r="B1027" s="196" t="s">
        <v>4393</v>
      </c>
      <c r="C1027" s="196">
        <v>335139</v>
      </c>
      <c r="D1027" s="197" t="s">
        <v>4500</v>
      </c>
    </row>
    <row r="1028" spans="1:4" ht="17.25" customHeight="1" x14ac:dyDescent="0.2">
      <c r="A1028" s="195">
        <v>3634</v>
      </c>
      <c r="B1028" s="196" t="s">
        <v>4399</v>
      </c>
      <c r="C1028" s="196">
        <v>335210</v>
      </c>
      <c r="D1028" s="197" t="s">
        <v>2961</v>
      </c>
    </row>
    <row r="1029" spans="1:4" ht="34.5" customHeight="1" x14ac:dyDescent="0.2">
      <c r="A1029" s="195">
        <v>3635</v>
      </c>
      <c r="B1029" s="196" t="s">
        <v>4502</v>
      </c>
      <c r="C1029" s="196">
        <v>335210</v>
      </c>
      <c r="D1029" s="197" t="s">
        <v>2961</v>
      </c>
    </row>
    <row r="1030" spans="1:4" ht="43.35" customHeight="1" x14ac:dyDescent="0.2">
      <c r="A1030" s="195">
        <v>3639</v>
      </c>
      <c r="B1030" s="196" t="s">
        <v>4383</v>
      </c>
      <c r="C1030" s="196">
        <v>335210</v>
      </c>
      <c r="D1030" s="197" t="s">
        <v>2961</v>
      </c>
    </row>
    <row r="1031" spans="1:4" ht="17.25" customHeight="1" x14ac:dyDescent="0.2">
      <c r="A1031" s="195">
        <v>3999</v>
      </c>
      <c r="B1031" s="196" t="s">
        <v>4055</v>
      </c>
      <c r="C1031" s="196">
        <v>335210</v>
      </c>
      <c r="D1031" s="197" t="s">
        <v>2961</v>
      </c>
    </row>
    <row r="1032" spans="1:4" ht="34.5" customHeight="1" x14ac:dyDescent="0.2">
      <c r="A1032" s="195">
        <v>3631</v>
      </c>
      <c r="B1032" s="196" t="s">
        <v>4503</v>
      </c>
      <c r="C1032" s="196">
        <v>335220</v>
      </c>
      <c r="D1032" s="197" t="s">
        <v>4504</v>
      </c>
    </row>
    <row r="1033" spans="1:4" ht="17.25" customHeight="1" x14ac:dyDescent="0.2">
      <c r="A1033" s="195">
        <v>3632</v>
      </c>
      <c r="B1033" s="196" t="s">
        <v>4505</v>
      </c>
      <c r="C1033" s="196">
        <v>335220</v>
      </c>
      <c r="D1033" s="197" t="s">
        <v>4504</v>
      </c>
    </row>
    <row r="1034" spans="1:4" ht="34.5" customHeight="1" x14ac:dyDescent="0.2">
      <c r="A1034" s="195">
        <v>3633</v>
      </c>
      <c r="B1034" s="196" t="s">
        <v>4506</v>
      </c>
      <c r="C1034" s="196">
        <v>335220</v>
      </c>
      <c r="D1034" s="197" t="s">
        <v>4504</v>
      </c>
    </row>
    <row r="1035" spans="1:4" ht="34.5" customHeight="1" x14ac:dyDescent="0.2">
      <c r="A1035" s="195">
        <v>3639</v>
      </c>
      <c r="B1035" s="196" t="s">
        <v>4383</v>
      </c>
      <c r="C1035" s="196">
        <v>335220</v>
      </c>
      <c r="D1035" s="197" t="s">
        <v>4504</v>
      </c>
    </row>
    <row r="1036" spans="1:4" ht="17.25" customHeight="1" x14ac:dyDescent="0.2">
      <c r="A1036" s="195">
        <v>3548</v>
      </c>
      <c r="B1036" s="196" t="s">
        <v>4435</v>
      </c>
      <c r="C1036" s="196">
        <v>335311</v>
      </c>
      <c r="D1036" s="197" t="s">
        <v>4507</v>
      </c>
    </row>
    <row r="1037" spans="1:4" ht="34.5" customHeight="1" x14ac:dyDescent="0.2">
      <c r="A1037" s="195">
        <v>3612</v>
      </c>
      <c r="B1037" s="196" t="s">
        <v>4508</v>
      </c>
      <c r="C1037" s="196">
        <v>335311</v>
      </c>
      <c r="D1037" s="197" t="s">
        <v>4507</v>
      </c>
    </row>
    <row r="1038" spans="1:4" ht="34.5" customHeight="1" x14ac:dyDescent="0.2">
      <c r="A1038" s="195">
        <v>3621</v>
      </c>
      <c r="B1038" s="196" t="s">
        <v>2203</v>
      </c>
      <c r="C1038" s="196">
        <v>335312</v>
      </c>
      <c r="D1038" s="197" t="s">
        <v>4509</v>
      </c>
    </row>
    <row r="1039" spans="1:4" ht="43.35" customHeight="1" x14ac:dyDescent="0.2">
      <c r="A1039" s="195">
        <v>7694</v>
      </c>
      <c r="B1039" s="196" t="s">
        <v>4510</v>
      </c>
      <c r="C1039" s="196">
        <v>335312</v>
      </c>
      <c r="D1039" s="197" t="s">
        <v>4509</v>
      </c>
    </row>
    <row r="1040" spans="1:4" ht="42.75" customHeight="1" x14ac:dyDescent="0.2">
      <c r="A1040" s="195">
        <v>3613</v>
      </c>
      <c r="B1040" s="196" t="s">
        <v>4511</v>
      </c>
      <c r="C1040" s="196">
        <v>335313</v>
      </c>
      <c r="D1040" s="197" t="s">
        <v>4512</v>
      </c>
    </row>
    <row r="1041" spans="1:4" ht="43.5" customHeight="1" x14ac:dyDescent="0.2">
      <c r="A1041" s="195">
        <v>3625</v>
      </c>
      <c r="B1041" s="196" t="s">
        <v>4513</v>
      </c>
      <c r="C1041" s="196">
        <v>335314</v>
      </c>
      <c r="D1041" s="197" t="s">
        <v>4514</v>
      </c>
    </row>
    <row r="1042" spans="1:4" ht="42.6" customHeight="1" x14ac:dyDescent="0.2">
      <c r="A1042" s="195">
        <v>3691</v>
      </c>
      <c r="B1042" s="196" t="s">
        <v>4515</v>
      </c>
      <c r="C1042" s="196">
        <v>335910</v>
      </c>
      <c r="D1042" s="197" t="s">
        <v>4516</v>
      </c>
    </row>
    <row r="1043" spans="1:4" ht="43.35" customHeight="1" x14ac:dyDescent="0.2">
      <c r="A1043" s="195">
        <v>3692</v>
      </c>
      <c r="B1043" s="196" t="s">
        <v>4517</v>
      </c>
      <c r="C1043" s="196">
        <v>335910</v>
      </c>
      <c r="D1043" s="197" t="s">
        <v>4516</v>
      </c>
    </row>
    <row r="1044" spans="1:4" ht="17.25" customHeight="1" x14ac:dyDescent="0.2">
      <c r="A1044" s="195">
        <v>3357</v>
      </c>
      <c r="B1044" s="196" t="s">
        <v>4268</v>
      </c>
      <c r="C1044" s="196">
        <v>335921</v>
      </c>
      <c r="D1044" s="197" t="s">
        <v>4518</v>
      </c>
    </row>
    <row r="1045" spans="1:4" ht="34.5" customHeight="1" x14ac:dyDescent="0.2">
      <c r="A1045" s="195">
        <v>3357</v>
      </c>
      <c r="B1045" s="196" t="s">
        <v>4268</v>
      </c>
      <c r="C1045" s="196">
        <v>335929</v>
      </c>
      <c r="D1045" s="197" t="s">
        <v>4519</v>
      </c>
    </row>
    <row r="1046" spans="1:4" ht="34.5" customHeight="1" x14ac:dyDescent="0.2">
      <c r="A1046" s="195">
        <v>3643</v>
      </c>
      <c r="B1046" s="196" t="s">
        <v>4520</v>
      </c>
      <c r="C1046" s="196">
        <v>335931</v>
      </c>
      <c r="D1046" s="197" t="s">
        <v>4521</v>
      </c>
    </row>
    <row r="1047" spans="1:4" ht="17.25" customHeight="1" x14ac:dyDescent="0.2">
      <c r="A1047" s="195">
        <v>3644</v>
      </c>
      <c r="B1047" s="196" t="s">
        <v>4311</v>
      </c>
      <c r="C1047" s="196">
        <v>335932</v>
      </c>
      <c r="D1047" s="197" t="s">
        <v>4522</v>
      </c>
    </row>
    <row r="1048" spans="1:4" ht="17.25" customHeight="1" x14ac:dyDescent="0.2">
      <c r="A1048" s="195">
        <v>3624</v>
      </c>
      <c r="B1048" s="196" t="s">
        <v>4523</v>
      </c>
      <c r="C1048" s="196">
        <v>335991</v>
      </c>
      <c r="D1048" s="197" t="s">
        <v>4524</v>
      </c>
    </row>
    <row r="1049" spans="1:4" ht="34.5" customHeight="1" x14ac:dyDescent="0.2">
      <c r="A1049" s="195">
        <v>3629</v>
      </c>
      <c r="B1049" s="196" t="s">
        <v>4525</v>
      </c>
      <c r="C1049" s="196">
        <v>335999</v>
      </c>
      <c r="D1049" s="197" t="s">
        <v>4526</v>
      </c>
    </row>
    <row r="1050" spans="1:4" ht="43.35" customHeight="1" x14ac:dyDescent="0.2">
      <c r="A1050" s="195">
        <v>3699</v>
      </c>
      <c r="B1050" s="196" t="s">
        <v>4393</v>
      </c>
      <c r="C1050" s="196">
        <v>335999</v>
      </c>
      <c r="D1050" s="197" t="s">
        <v>4526</v>
      </c>
    </row>
    <row r="1051" spans="1:4" ht="17.25" customHeight="1" x14ac:dyDescent="0.2">
      <c r="A1051" s="195">
        <v>3711</v>
      </c>
      <c r="B1051" s="196" t="s">
        <v>4527</v>
      </c>
      <c r="C1051" s="196">
        <v>336110</v>
      </c>
      <c r="D1051" s="197" t="s">
        <v>4528</v>
      </c>
    </row>
    <row r="1052" spans="1:4" ht="43.35" customHeight="1" x14ac:dyDescent="0.2">
      <c r="A1052" s="195">
        <v>3711</v>
      </c>
      <c r="B1052" s="196" t="s">
        <v>4527</v>
      </c>
      <c r="C1052" s="196">
        <v>336110</v>
      </c>
      <c r="D1052" s="197" t="s">
        <v>4528</v>
      </c>
    </row>
    <row r="1053" spans="1:4" ht="34.5" customHeight="1" x14ac:dyDescent="0.2">
      <c r="A1053" s="195">
        <v>3711</v>
      </c>
      <c r="B1053" s="196" t="s">
        <v>4527</v>
      </c>
      <c r="C1053" s="196">
        <v>336120</v>
      </c>
      <c r="D1053" s="197" t="s">
        <v>2979</v>
      </c>
    </row>
    <row r="1054" spans="1:4" ht="17.25" customHeight="1" x14ac:dyDescent="0.2">
      <c r="A1054" s="195">
        <v>3711</v>
      </c>
      <c r="B1054" s="196" t="s">
        <v>4527</v>
      </c>
      <c r="C1054" s="196">
        <v>336211</v>
      </c>
      <c r="D1054" s="197" t="s">
        <v>4529</v>
      </c>
    </row>
    <row r="1055" spans="1:4" ht="34.5" customHeight="1" x14ac:dyDescent="0.2">
      <c r="A1055" s="195">
        <v>3713</v>
      </c>
      <c r="B1055" s="196" t="s">
        <v>4530</v>
      </c>
      <c r="C1055" s="196">
        <v>336211</v>
      </c>
      <c r="D1055" s="197" t="s">
        <v>4529</v>
      </c>
    </row>
    <row r="1056" spans="1:4" ht="17.25" customHeight="1" x14ac:dyDescent="0.2">
      <c r="A1056" s="195">
        <v>3714</v>
      </c>
      <c r="B1056" s="196" t="s">
        <v>4531</v>
      </c>
      <c r="C1056" s="196">
        <v>336211</v>
      </c>
      <c r="D1056" s="197" t="s">
        <v>4529</v>
      </c>
    </row>
    <row r="1057" spans="1:4" ht="34.5" customHeight="1" x14ac:dyDescent="0.2">
      <c r="A1057" s="195">
        <v>3715</v>
      </c>
      <c r="B1057" s="196" t="s">
        <v>4532</v>
      </c>
      <c r="C1057" s="196">
        <v>336212</v>
      </c>
      <c r="D1057" s="197" t="s">
        <v>4533</v>
      </c>
    </row>
    <row r="1058" spans="1:4" ht="43.35" customHeight="1" x14ac:dyDescent="0.2">
      <c r="A1058" s="195">
        <v>3716</v>
      </c>
      <c r="B1058" s="196" t="s">
        <v>4534</v>
      </c>
      <c r="C1058" s="196">
        <v>336213</v>
      </c>
      <c r="D1058" s="197" t="s">
        <v>4535</v>
      </c>
    </row>
    <row r="1059" spans="1:4" ht="57.6" customHeight="1" x14ac:dyDescent="0.2">
      <c r="A1059" s="195">
        <v>3792</v>
      </c>
      <c r="B1059" s="196" t="s">
        <v>4536</v>
      </c>
      <c r="C1059" s="196">
        <v>336214</v>
      </c>
      <c r="D1059" s="197" t="s">
        <v>4537</v>
      </c>
    </row>
    <row r="1060" spans="1:4" ht="34.5" customHeight="1" x14ac:dyDescent="0.2">
      <c r="A1060" s="195">
        <v>3799</v>
      </c>
      <c r="B1060" s="196" t="s">
        <v>4432</v>
      </c>
      <c r="C1060" s="196">
        <v>336214</v>
      </c>
      <c r="D1060" s="197" t="s">
        <v>4537</v>
      </c>
    </row>
    <row r="1061" spans="1:4" ht="34.5" customHeight="1" x14ac:dyDescent="0.2">
      <c r="A1061" s="195">
        <v>3592</v>
      </c>
      <c r="B1061" s="196" t="s">
        <v>4538</v>
      </c>
      <c r="C1061" s="196">
        <v>336310</v>
      </c>
      <c r="D1061" s="197" t="s">
        <v>2984</v>
      </c>
    </row>
    <row r="1062" spans="1:4" ht="43.35" customHeight="1" x14ac:dyDescent="0.2">
      <c r="A1062" s="195">
        <v>3714</v>
      </c>
      <c r="B1062" s="196" t="s">
        <v>4531</v>
      </c>
      <c r="C1062" s="196">
        <v>336310</v>
      </c>
      <c r="D1062" s="197" t="s">
        <v>2984</v>
      </c>
    </row>
    <row r="1063" spans="1:4" ht="34.5" customHeight="1" x14ac:dyDescent="0.2">
      <c r="A1063" s="195">
        <v>3647</v>
      </c>
      <c r="B1063" s="196" t="s">
        <v>4539</v>
      </c>
      <c r="C1063" s="196">
        <v>336320</v>
      </c>
      <c r="D1063" s="197" t="s">
        <v>2985</v>
      </c>
    </row>
    <row r="1064" spans="1:4" ht="17.25" customHeight="1" x14ac:dyDescent="0.2">
      <c r="A1064" s="195">
        <v>3694</v>
      </c>
      <c r="B1064" s="196" t="s">
        <v>4540</v>
      </c>
      <c r="C1064" s="196">
        <v>336320</v>
      </c>
      <c r="D1064" s="197" t="s">
        <v>2985</v>
      </c>
    </row>
    <row r="1065" spans="1:4" ht="34.5" customHeight="1" x14ac:dyDescent="0.2">
      <c r="A1065" s="195">
        <v>3714</v>
      </c>
      <c r="B1065" s="196" t="s">
        <v>4531</v>
      </c>
      <c r="C1065" s="196">
        <v>336320</v>
      </c>
      <c r="D1065" s="197" t="s">
        <v>2985</v>
      </c>
    </row>
    <row r="1066" spans="1:4" ht="34.5" customHeight="1" x14ac:dyDescent="0.2">
      <c r="A1066" s="195">
        <v>3714</v>
      </c>
      <c r="B1066" s="196" t="s">
        <v>4531</v>
      </c>
      <c r="C1066" s="196">
        <v>336330</v>
      </c>
      <c r="D1066" s="197" t="s">
        <v>2986</v>
      </c>
    </row>
    <row r="1067" spans="1:4" ht="34.5" customHeight="1" x14ac:dyDescent="0.2">
      <c r="A1067" s="195">
        <v>3292</v>
      </c>
      <c r="B1067" s="196" t="s">
        <v>4250</v>
      </c>
      <c r="C1067" s="196">
        <v>336340</v>
      </c>
      <c r="D1067" s="197" t="s">
        <v>2987</v>
      </c>
    </row>
    <row r="1068" spans="1:4" ht="34.5" customHeight="1" x14ac:dyDescent="0.2">
      <c r="A1068" s="195">
        <v>3714</v>
      </c>
      <c r="B1068" s="196" t="s">
        <v>4531</v>
      </c>
      <c r="C1068" s="196">
        <v>336340</v>
      </c>
      <c r="D1068" s="197" t="s">
        <v>2987</v>
      </c>
    </row>
    <row r="1069" spans="1:4" ht="34.5" customHeight="1" x14ac:dyDescent="0.2">
      <c r="A1069" s="195">
        <v>3292</v>
      </c>
      <c r="B1069" s="196" t="s">
        <v>4250</v>
      </c>
      <c r="C1069" s="196">
        <v>336350</v>
      </c>
      <c r="D1069" s="197" t="s">
        <v>2988</v>
      </c>
    </row>
    <row r="1070" spans="1:4" ht="17.25" customHeight="1" x14ac:dyDescent="0.2">
      <c r="A1070" s="195">
        <v>3714</v>
      </c>
      <c r="B1070" s="196" t="s">
        <v>4531</v>
      </c>
      <c r="C1070" s="196">
        <v>336350</v>
      </c>
      <c r="D1070" s="197" t="s">
        <v>2988</v>
      </c>
    </row>
    <row r="1071" spans="1:4" ht="43.35" customHeight="1" x14ac:dyDescent="0.2">
      <c r="A1071" s="195">
        <v>2396</v>
      </c>
      <c r="B1071" s="196" t="s">
        <v>4046</v>
      </c>
      <c r="C1071" s="196">
        <v>336360</v>
      </c>
      <c r="D1071" s="197" t="s">
        <v>2989</v>
      </c>
    </row>
    <row r="1072" spans="1:4" ht="34.5" customHeight="1" x14ac:dyDescent="0.2">
      <c r="A1072" s="195">
        <v>2399</v>
      </c>
      <c r="B1072" s="196" t="s">
        <v>4047</v>
      </c>
      <c r="C1072" s="196">
        <v>336360</v>
      </c>
      <c r="D1072" s="197" t="s">
        <v>2989</v>
      </c>
    </row>
    <row r="1073" spans="1:4" ht="17.25" customHeight="1" x14ac:dyDescent="0.2">
      <c r="A1073" s="195">
        <v>2531</v>
      </c>
      <c r="B1073" s="196" t="s">
        <v>4541</v>
      </c>
      <c r="C1073" s="196">
        <v>336360</v>
      </c>
      <c r="D1073" s="197" t="s">
        <v>2989</v>
      </c>
    </row>
    <row r="1074" spans="1:4" ht="34.5" customHeight="1" x14ac:dyDescent="0.2">
      <c r="A1074" s="195">
        <v>3499</v>
      </c>
      <c r="B1074" s="196" t="s">
        <v>4296</v>
      </c>
      <c r="C1074" s="196">
        <v>336360</v>
      </c>
      <c r="D1074" s="197" t="s">
        <v>2989</v>
      </c>
    </row>
    <row r="1075" spans="1:4" ht="17.25" customHeight="1" x14ac:dyDescent="0.2">
      <c r="A1075" s="195">
        <v>3465</v>
      </c>
      <c r="B1075" s="196" t="s">
        <v>4542</v>
      </c>
      <c r="C1075" s="196">
        <v>336370</v>
      </c>
      <c r="D1075" s="197" t="s">
        <v>2990</v>
      </c>
    </row>
    <row r="1076" spans="1:4" ht="34.5" customHeight="1" x14ac:dyDescent="0.2">
      <c r="A1076" s="195">
        <v>3429</v>
      </c>
      <c r="B1076" s="196" t="s">
        <v>4329</v>
      </c>
      <c r="C1076" s="196">
        <v>336390</v>
      </c>
      <c r="D1076" s="197" t="s">
        <v>2991</v>
      </c>
    </row>
    <row r="1077" spans="1:4" ht="34.5" customHeight="1" x14ac:dyDescent="0.2">
      <c r="A1077" s="195">
        <v>3519</v>
      </c>
      <c r="B1077" s="196" t="s">
        <v>4418</v>
      </c>
      <c r="C1077" s="196">
        <v>336390</v>
      </c>
      <c r="D1077" s="197" t="s">
        <v>2991</v>
      </c>
    </row>
    <row r="1078" spans="1:4" ht="17.25" customHeight="1" x14ac:dyDescent="0.2">
      <c r="A1078" s="195">
        <v>3585</v>
      </c>
      <c r="B1078" s="196" t="s">
        <v>4401</v>
      </c>
      <c r="C1078" s="196">
        <v>336390</v>
      </c>
      <c r="D1078" s="197" t="s">
        <v>2991</v>
      </c>
    </row>
    <row r="1079" spans="1:4" ht="34.5" customHeight="1" x14ac:dyDescent="0.2">
      <c r="A1079" s="195">
        <v>3599</v>
      </c>
      <c r="B1079" s="196" t="s">
        <v>4335</v>
      </c>
      <c r="C1079" s="196">
        <v>336390</v>
      </c>
      <c r="D1079" s="197" t="s">
        <v>2991</v>
      </c>
    </row>
    <row r="1080" spans="1:4" ht="34.5" customHeight="1" x14ac:dyDescent="0.2">
      <c r="A1080" s="195">
        <v>3714</v>
      </c>
      <c r="B1080" s="196" t="s">
        <v>4531</v>
      </c>
      <c r="C1080" s="196">
        <v>336390</v>
      </c>
      <c r="D1080" s="197" t="s">
        <v>2991</v>
      </c>
    </row>
    <row r="1081" spans="1:4" ht="17.25" customHeight="1" x14ac:dyDescent="0.2">
      <c r="A1081" s="195">
        <v>3799</v>
      </c>
      <c r="B1081" s="196" t="s">
        <v>4432</v>
      </c>
      <c r="C1081" s="196">
        <v>336390</v>
      </c>
      <c r="D1081" s="197" t="s">
        <v>2991</v>
      </c>
    </row>
    <row r="1082" spans="1:4" ht="34.5" customHeight="1" x14ac:dyDescent="0.2">
      <c r="A1082" s="195">
        <v>3721</v>
      </c>
      <c r="B1082" s="196" t="s">
        <v>4543</v>
      </c>
      <c r="C1082" s="196">
        <v>336411</v>
      </c>
      <c r="D1082" s="197" t="s">
        <v>4544</v>
      </c>
    </row>
    <row r="1083" spans="1:4" ht="17.25" customHeight="1" x14ac:dyDescent="0.2">
      <c r="A1083" s="195">
        <v>3728</v>
      </c>
      <c r="B1083" s="196" t="s">
        <v>4349</v>
      </c>
      <c r="C1083" s="196">
        <v>336411</v>
      </c>
      <c r="D1083" s="197" t="s">
        <v>4544</v>
      </c>
    </row>
    <row r="1084" spans="1:4" ht="34.5" customHeight="1" x14ac:dyDescent="0.2">
      <c r="A1084" s="195">
        <v>3724</v>
      </c>
      <c r="B1084" s="196" t="s">
        <v>4545</v>
      </c>
      <c r="C1084" s="196">
        <v>336412</v>
      </c>
      <c r="D1084" s="197" t="s">
        <v>4546</v>
      </c>
    </row>
    <row r="1085" spans="1:4" ht="17.25" customHeight="1" x14ac:dyDescent="0.2">
      <c r="A1085" s="195">
        <v>3728</v>
      </c>
      <c r="B1085" s="196" t="s">
        <v>4349</v>
      </c>
      <c r="C1085" s="196">
        <v>336413</v>
      </c>
      <c r="D1085" s="197" t="s">
        <v>4547</v>
      </c>
    </row>
    <row r="1086" spans="1:4" ht="34.5" customHeight="1" x14ac:dyDescent="0.2">
      <c r="A1086" s="195">
        <v>3761</v>
      </c>
      <c r="B1086" s="196" t="s">
        <v>4548</v>
      </c>
      <c r="C1086" s="196">
        <v>336414</v>
      </c>
      <c r="D1086" s="197" t="s">
        <v>4549</v>
      </c>
    </row>
    <row r="1087" spans="1:4" ht="17.25" customHeight="1" x14ac:dyDescent="0.2">
      <c r="A1087" s="195">
        <v>3764</v>
      </c>
      <c r="B1087" s="196" t="s">
        <v>4550</v>
      </c>
      <c r="C1087" s="196">
        <v>336415</v>
      </c>
      <c r="D1087" s="197" t="s">
        <v>4551</v>
      </c>
    </row>
    <row r="1088" spans="1:4" ht="34.5" customHeight="1" x14ac:dyDescent="0.2">
      <c r="A1088" s="195">
        <v>3769</v>
      </c>
      <c r="B1088" s="196" t="s">
        <v>4552</v>
      </c>
      <c r="C1088" s="196">
        <v>336419</v>
      </c>
      <c r="D1088" s="197" t="s">
        <v>4553</v>
      </c>
    </row>
    <row r="1089" spans="1:4" ht="34.5" customHeight="1" x14ac:dyDescent="0.2">
      <c r="A1089" s="195">
        <v>3531</v>
      </c>
      <c r="B1089" s="196" t="s">
        <v>4370</v>
      </c>
      <c r="C1089" s="196">
        <v>336510</v>
      </c>
      <c r="D1089" s="197" t="s">
        <v>2998</v>
      </c>
    </row>
    <row r="1090" spans="1:4" ht="34.5" customHeight="1" x14ac:dyDescent="0.2">
      <c r="A1090" s="195">
        <v>3743</v>
      </c>
      <c r="B1090" s="196" t="s">
        <v>4424</v>
      </c>
      <c r="C1090" s="196">
        <v>336510</v>
      </c>
      <c r="D1090" s="197" t="s">
        <v>2998</v>
      </c>
    </row>
    <row r="1091" spans="1:4" ht="17.25" customHeight="1" x14ac:dyDescent="0.2">
      <c r="A1091" s="195">
        <v>3731</v>
      </c>
      <c r="B1091" s="196" t="s">
        <v>4554</v>
      </c>
      <c r="C1091" s="196">
        <v>336611</v>
      </c>
      <c r="D1091" s="197" t="s">
        <v>4555</v>
      </c>
    </row>
    <row r="1092" spans="1:4" ht="42.75" customHeight="1" x14ac:dyDescent="0.2">
      <c r="A1092" s="195">
        <v>3069</v>
      </c>
      <c r="B1092" s="196" t="s">
        <v>4011</v>
      </c>
      <c r="C1092" s="196">
        <v>336612</v>
      </c>
      <c r="D1092" s="197" t="s">
        <v>4556</v>
      </c>
    </row>
    <row r="1093" spans="1:4" ht="34.5" customHeight="1" x14ac:dyDescent="0.2">
      <c r="A1093" s="195">
        <v>3089</v>
      </c>
      <c r="B1093" s="196" t="s">
        <v>4196</v>
      </c>
      <c r="C1093" s="196">
        <v>336612</v>
      </c>
      <c r="D1093" s="197" t="s">
        <v>4556</v>
      </c>
    </row>
    <row r="1094" spans="1:4" ht="17.25" customHeight="1" x14ac:dyDescent="0.2">
      <c r="A1094" s="195">
        <v>3732</v>
      </c>
      <c r="B1094" s="196" t="s">
        <v>4557</v>
      </c>
      <c r="C1094" s="196">
        <v>336612</v>
      </c>
      <c r="D1094" s="197" t="s">
        <v>4556</v>
      </c>
    </row>
    <row r="1095" spans="1:4" ht="34.5" customHeight="1" x14ac:dyDescent="0.2">
      <c r="A1095" s="195">
        <v>3999</v>
      </c>
      <c r="B1095" s="196" t="s">
        <v>4055</v>
      </c>
      <c r="C1095" s="196">
        <v>336612</v>
      </c>
      <c r="D1095" s="197" t="s">
        <v>4556</v>
      </c>
    </row>
    <row r="1096" spans="1:4" ht="17.25" customHeight="1" x14ac:dyDescent="0.2">
      <c r="A1096" s="195">
        <v>3751</v>
      </c>
      <c r="B1096" s="196" t="s">
        <v>4558</v>
      </c>
      <c r="C1096" s="196">
        <v>336991</v>
      </c>
      <c r="D1096" s="197" t="s">
        <v>4559</v>
      </c>
    </row>
    <row r="1097" spans="1:4" ht="17.25" customHeight="1" x14ac:dyDescent="0.2">
      <c r="A1097" s="195">
        <v>3944</v>
      </c>
      <c r="B1097" s="196" t="s">
        <v>4560</v>
      </c>
      <c r="C1097" s="196">
        <v>336991</v>
      </c>
      <c r="D1097" s="197" t="s">
        <v>4559</v>
      </c>
    </row>
    <row r="1098" spans="1:4" ht="17.25" customHeight="1" x14ac:dyDescent="0.2">
      <c r="A1098" s="195">
        <v>3711</v>
      </c>
      <c r="B1098" s="196" t="s">
        <v>4527</v>
      </c>
      <c r="C1098" s="196">
        <v>336992</v>
      </c>
      <c r="D1098" s="197" t="s">
        <v>4561</v>
      </c>
    </row>
    <row r="1099" spans="1:4" ht="34.5" customHeight="1" x14ac:dyDescent="0.2">
      <c r="A1099" s="195">
        <v>3795</v>
      </c>
      <c r="B1099" s="196" t="s">
        <v>4562</v>
      </c>
      <c r="C1099" s="196">
        <v>336992</v>
      </c>
      <c r="D1099" s="197" t="s">
        <v>4561</v>
      </c>
    </row>
    <row r="1100" spans="1:4" ht="17.25" customHeight="1" x14ac:dyDescent="0.2">
      <c r="A1100" s="195">
        <v>3799</v>
      </c>
      <c r="B1100" s="196" t="s">
        <v>4432</v>
      </c>
      <c r="C1100" s="196">
        <v>336999</v>
      </c>
      <c r="D1100" s="197" t="s">
        <v>4563</v>
      </c>
    </row>
    <row r="1101" spans="1:4" ht="28.7" customHeight="1" x14ac:dyDescent="0.2">
      <c r="A1101" s="195">
        <v>2434</v>
      </c>
      <c r="B1101" s="196" t="s">
        <v>4564</v>
      </c>
      <c r="C1101" s="196">
        <v>337110</v>
      </c>
      <c r="D1101" s="197" t="s">
        <v>3004</v>
      </c>
    </row>
    <row r="1102" spans="1:4" ht="34.5" customHeight="1" x14ac:dyDescent="0.2">
      <c r="A1102" s="195">
        <v>2541</v>
      </c>
      <c r="B1102" s="196" t="s">
        <v>4565</v>
      </c>
      <c r="C1102" s="196">
        <v>337110</v>
      </c>
      <c r="D1102" s="197" t="s">
        <v>3004</v>
      </c>
    </row>
    <row r="1103" spans="1:4" ht="34.5" customHeight="1" x14ac:dyDescent="0.2">
      <c r="A1103" s="195">
        <v>5712</v>
      </c>
      <c r="B1103" s="196" t="s">
        <v>3145</v>
      </c>
      <c r="C1103" s="196">
        <v>337110</v>
      </c>
      <c r="D1103" s="197" t="s">
        <v>3004</v>
      </c>
    </row>
    <row r="1104" spans="1:4" ht="17.25" customHeight="1" x14ac:dyDescent="0.2">
      <c r="A1104" s="195">
        <v>2512</v>
      </c>
      <c r="B1104" s="196" t="s">
        <v>4566</v>
      </c>
      <c r="C1104" s="196">
        <v>337121</v>
      </c>
      <c r="D1104" s="197" t="s">
        <v>4567</v>
      </c>
    </row>
    <row r="1105" spans="1:4" ht="34.5" customHeight="1" x14ac:dyDescent="0.2">
      <c r="A1105" s="195">
        <v>2514</v>
      </c>
      <c r="B1105" s="196" t="s">
        <v>4568</v>
      </c>
      <c r="C1105" s="196">
        <v>337121</v>
      </c>
      <c r="D1105" s="197" t="s">
        <v>4567</v>
      </c>
    </row>
    <row r="1106" spans="1:4" ht="34.5" customHeight="1" x14ac:dyDescent="0.2">
      <c r="A1106" s="195">
        <v>2515</v>
      </c>
      <c r="B1106" s="196" t="s">
        <v>4569</v>
      </c>
      <c r="C1106" s="196">
        <v>337121</v>
      </c>
      <c r="D1106" s="197" t="s">
        <v>4567</v>
      </c>
    </row>
    <row r="1107" spans="1:4" ht="34.5" customHeight="1" x14ac:dyDescent="0.2">
      <c r="A1107" s="195">
        <v>5712</v>
      </c>
      <c r="B1107" s="196" t="s">
        <v>3145</v>
      </c>
      <c r="C1107" s="196">
        <v>337121</v>
      </c>
      <c r="D1107" s="197" t="s">
        <v>4567</v>
      </c>
    </row>
    <row r="1108" spans="1:4" ht="17.25" customHeight="1" x14ac:dyDescent="0.2">
      <c r="A1108" s="195">
        <v>2511</v>
      </c>
      <c r="B1108" s="196" t="s">
        <v>4570</v>
      </c>
      <c r="C1108" s="196">
        <v>337122</v>
      </c>
      <c r="D1108" s="197" t="s">
        <v>4571</v>
      </c>
    </row>
    <row r="1109" spans="1:4" ht="34.5" customHeight="1" x14ac:dyDescent="0.2">
      <c r="A1109" s="195">
        <v>5712</v>
      </c>
      <c r="B1109" s="196" t="s">
        <v>3145</v>
      </c>
      <c r="C1109" s="196">
        <v>337122</v>
      </c>
      <c r="D1109" s="197" t="s">
        <v>4571</v>
      </c>
    </row>
    <row r="1110" spans="1:4" ht="34.5" customHeight="1" x14ac:dyDescent="0.2">
      <c r="A1110" s="195">
        <v>2499</v>
      </c>
      <c r="B1110" s="196" t="s">
        <v>4089</v>
      </c>
      <c r="C1110" s="196">
        <v>337126</v>
      </c>
      <c r="D1110" s="197" t="s">
        <v>4572</v>
      </c>
    </row>
    <row r="1111" spans="1:4" ht="17.25" customHeight="1" x14ac:dyDescent="0.2">
      <c r="A1111" s="195">
        <v>2519</v>
      </c>
      <c r="B1111" s="196" t="s">
        <v>4573</v>
      </c>
      <c r="C1111" s="196">
        <v>337126</v>
      </c>
      <c r="D1111" s="197" t="s">
        <v>4572</v>
      </c>
    </row>
    <row r="1112" spans="1:4" ht="17.25" customHeight="1" x14ac:dyDescent="0.2">
      <c r="A1112" s="195">
        <v>2514</v>
      </c>
      <c r="B1112" s="196" t="s">
        <v>4568</v>
      </c>
      <c r="C1112" s="196">
        <v>337126</v>
      </c>
      <c r="D1112" s="197" t="s">
        <v>4572</v>
      </c>
    </row>
    <row r="1113" spans="1:4" ht="17.25" customHeight="1" x14ac:dyDescent="0.2">
      <c r="A1113" s="195">
        <v>2531</v>
      </c>
      <c r="B1113" s="196" t="s">
        <v>4541</v>
      </c>
      <c r="C1113" s="196">
        <v>337127</v>
      </c>
      <c r="D1113" s="197" t="s">
        <v>4574</v>
      </c>
    </row>
    <row r="1114" spans="1:4" ht="17.25" customHeight="1" x14ac:dyDescent="0.2">
      <c r="A1114" s="195">
        <v>2541</v>
      </c>
      <c r="B1114" s="196" t="s">
        <v>4565</v>
      </c>
      <c r="C1114" s="196">
        <v>337127</v>
      </c>
      <c r="D1114" s="197" t="s">
        <v>4574</v>
      </c>
    </row>
    <row r="1115" spans="1:4" ht="17.25" customHeight="1" x14ac:dyDescent="0.2">
      <c r="A1115" s="195">
        <v>2542</v>
      </c>
      <c r="B1115" s="196" t="s">
        <v>4575</v>
      </c>
      <c r="C1115" s="196">
        <v>337127</v>
      </c>
      <c r="D1115" s="197" t="s">
        <v>4574</v>
      </c>
    </row>
    <row r="1116" spans="1:4" ht="17.25" customHeight="1" x14ac:dyDescent="0.2">
      <c r="A1116" s="195">
        <v>2599</v>
      </c>
      <c r="B1116" s="196" t="s">
        <v>4381</v>
      </c>
      <c r="C1116" s="196">
        <v>337127</v>
      </c>
      <c r="D1116" s="197" t="s">
        <v>4574</v>
      </c>
    </row>
    <row r="1117" spans="1:4" ht="34.5" customHeight="1" x14ac:dyDescent="0.2">
      <c r="A1117" s="195">
        <v>2599</v>
      </c>
      <c r="B1117" s="196" t="s">
        <v>4381</v>
      </c>
      <c r="C1117" s="196">
        <v>337127</v>
      </c>
      <c r="D1117" s="197" t="s">
        <v>4574</v>
      </c>
    </row>
    <row r="1118" spans="1:4" ht="34.5" customHeight="1" x14ac:dyDescent="0.2">
      <c r="A1118" s="195">
        <v>3821</v>
      </c>
      <c r="B1118" s="196" t="s">
        <v>4384</v>
      </c>
      <c r="C1118" s="196">
        <v>337127</v>
      </c>
      <c r="D1118" s="197" t="s">
        <v>4574</v>
      </c>
    </row>
    <row r="1119" spans="1:4" ht="17.25" customHeight="1" x14ac:dyDescent="0.2">
      <c r="A1119" s="195">
        <v>3841</v>
      </c>
      <c r="B1119" s="196" t="s">
        <v>4362</v>
      </c>
      <c r="C1119" s="196">
        <v>337127</v>
      </c>
      <c r="D1119" s="197" t="s">
        <v>4574</v>
      </c>
    </row>
    <row r="1120" spans="1:4" ht="43.35" customHeight="1" x14ac:dyDescent="0.2">
      <c r="A1120" s="195">
        <v>3952</v>
      </c>
      <c r="B1120" s="196" t="s">
        <v>4189</v>
      </c>
      <c r="C1120" s="196">
        <v>337127</v>
      </c>
      <c r="D1120" s="197" t="s">
        <v>4574</v>
      </c>
    </row>
    <row r="1121" spans="1:4" ht="17.25" customHeight="1" x14ac:dyDescent="0.2">
      <c r="A1121" s="195">
        <v>3999</v>
      </c>
      <c r="B1121" s="196" t="s">
        <v>4055</v>
      </c>
      <c r="C1121" s="196">
        <v>337127</v>
      </c>
      <c r="D1121" s="197" t="s">
        <v>4574</v>
      </c>
    </row>
    <row r="1122" spans="1:4" ht="43.35" customHeight="1" x14ac:dyDescent="0.2">
      <c r="A1122" s="195">
        <v>2521</v>
      </c>
      <c r="B1122" s="196" t="s">
        <v>4576</v>
      </c>
      <c r="C1122" s="196">
        <v>337211</v>
      </c>
      <c r="D1122" s="197" t="s">
        <v>4577</v>
      </c>
    </row>
    <row r="1123" spans="1:4" ht="34.5" customHeight="1" x14ac:dyDescent="0.2">
      <c r="A1123" s="195">
        <v>2541</v>
      </c>
      <c r="B1123" s="196" t="s">
        <v>4565</v>
      </c>
      <c r="C1123" s="196">
        <v>337212</v>
      </c>
      <c r="D1123" s="197" t="s">
        <v>4578</v>
      </c>
    </row>
    <row r="1124" spans="1:4" ht="34.5" customHeight="1" x14ac:dyDescent="0.2">
      <c r="A1124" s="195">
        <v>2522</v>
      </c>
      <c r="B1124" s="196" t="s">
        <v>4579</v>
      </c>
      <c r="C1124" s="196">
        <v>337214</v>
      </c>
      <c r="D1124" s="197" t="s">
        <v>4580</v>
      </c>
    </row>
    <row r="1125" spans="1:4" ht="34.5" customHeight="1" x14ac:dyDescent="0.2">
      <c r="A1125" s="195">
        <v>2426</v>
      </c>
      <c r="B1125" s="196" t="s">
        <v>4070</v>
      </c>
      <c r="C1125" s="196">
        <v>337215</v>
      </c>
      <c r="D1125" s="197" t="s">
        <v>4581</v>
      </c>
    </row>
    <row r="1126" spans="1:4" ht="17.25" customHeight="1" x14ac:dyDescent="0.2">
      <c r="A1126" s="195">
        <v>2511</v>
      </c>
      <c r="B1126" s="196" t="s">
        <v>4570</v>
      </c>
      <c r="C1126" s="196">
        <v>337215</v>
      </c>
      <c r="D1126" s="197" t="s">
        <v>4581</v>
      </c>
    </row>
    <row r="1127" spans="1:4" ht="17.25" customHeight="1" x14ac:dyDescent="0.2">
      <c r="A1127" s="195">
        <v>2514</v>
      </c>
      <c r="B1127" s="196" t="s">
        <v>4568</v>
      </c>
      <c r="C1127" s="196">
        <v>337215</v>
      </c>
      <c r="D1127" s="197" t="s">
        <v>4581</v>
      </c>
    </row>
    <row r="1128" spans="1:4" ht="17.25" customHeight="1" x14ac:dyDescent="0.2">
      <c r="A1128" s="195">
        <v>2541</v>
      </c>
      <c r="B1128" s="196" t="s">
        <v>4565</v>
      </c>
      <c r="C1128" s="196">
        <v>337215</v>
      </c>
      <c r="D1128" s="197" t="s">
        <v>4581</v>
      </c>
    </row>
    <row r="1129" spans="1:4" ht="17.25" customHeight="1" x14ac:dyDescent="0.2">
      <c r="A1129" s="195">
        <v>2542</v>
      </c>
      <c r="B1129" s="196" t="s">
        <v>4575</v>
      </c>
      <c r="C1129" s="196">
        <v>337215</v>
      </c>
      <c r="D1129" s="197" t="s">
        <v>4581</v>
      </c>
    </row>
    <row r="1130" spans="1:4" ht="17.25" customHeight="1" x14ac:dyDescent="0.2">
      <c r="A1130" s="195">
        <v>3089</v>
      </c>
      <c r="B1130" s="196" t="s">
        <v>4196</v>
      </c>
      <c r="C1130" s="196">
        <v>337215</v>
      </c>
      <c r="D1130" s="197" t="s">
        <v>4581</v>
      </c>
    </row>
    <row r="1131" spans="1:4" ht="17.25" customHeight="1" x14ac:dyDescent="0.2">
      <c r="A1131" s="195">
        <v>3429</v>
      </c>
      <c r="B1131" s="196" t="s">
        <v>4329</v>
      </c>
      <c r="C1131" s="196">
        <v>337215</v>
      </c>
      <c r="D1131" s="197" t="s">
        <v>4581</v>
      </c>
    </row>
    <row r="1132" spans="1:4" ht="17.25" customHeight="1" x14ac:dyDescent="0.2">
      <c r="A1132" s="195">
        <v>3499</v>
      </c>
      <c r="B1132" s="196" t="s">
        <v>4296</v>
      </c>
      <c r="C1132" s="196">
        <v>337215</v>
      </c>
      <c r="D1132" s="197" t="s">
        <v>4581</v>
      </c>
    </row>
    <row r="1133" spans="1:4" ht="17.25" customHeight="1" x14ac:dyDescent="0.2">
      <c r="A1133" s="195">
        <v>2515</v>
      </c>
      <c r="B1133" s="196" t="s">
        <v>4569</v>
      </c>
      <c r="C1133" s="196">
        <v>337910</v>
      </c>
      <c r="D1133" s="197" t="s">
        <v>3015</v>
      </c>
    </row>
    <row r="1134" spans="1:4" ht="17.25" customHeight="1" x14ac:dyDescent="0.2">
      <c r="A1134" s="195">
        <v>2591</v>
      </c>
      <c r="B1134" s="196" t="s">
        <v>4582</v>
      </c>
      <c r="C1134" s="196">
        <v>337920</v>
      </c>
      <c r="D1134" s="197" t="s">
        <v>3016</v>
      </c>
    </row>
    <row r="1135" spans="1:4" ht="17.25" customHeight="1" x14ac:dyDescent="0.2">
      <c r="A1135" s="195">
        <v>3829</v>
      </c>
      <c r="B1135" s="196" t="s">
        <v>4481</v>
      </c>
      <c r="C1135" s="196">
        <v>339112</v>
      </c>
      <c r="D1135" s="197" t="s">
        <v>4583</v>
      </c>
    </row>
    <row r="1136" spans="1:4" ht="34.5" customHeight="1" x14ac:dyDescent="0.2">
      <c r="A1136" s="195">
        <v>3841</v>
      </c>
      <c r="B1136" s="196" t="s">
        <v>4362</v>
      </c>
      <c r="C1136" s="196">
        <v>339112</v>
      </c>
      <c r="D1136" s="197" t="s">
        <v>4583</v>
      </c>
    </row>
    <row r="1137" spans="1:4" ht="17.25" customHeight="1" x14ac:dyDescent="0.2">
      <c r="A1137" s="195">
        <v>2499</v>
      </c>
      <c r="B1137" s="196" t="s">
        <v>4089</v>
      </c>
      <c r="C1137" s="196">
        <v>339113</v>
      </c>
      <c r="D1137" s="197" t="s">
        <v>4584</v>
      </c>
    </row>
    <row r="1138" spans="1:4" ht="34.5" customHeight="1" x14ac:dyDescent="0.2">
      <c r="A1138" s="195">
        <v>2599</v>
      </c>
      <c r="B1138" s="196" t="s">
        <v>4381</v>
      </c>
      <c r="C1138" s="196">
        <v>339113</v>
      </c>
      <c r="D1138" s="197" t="s">
        <v>4584</v>
      </c>
    </row>
    <row r="1139" spans="1:4" ht="17.25" customHeight="1" x14ac:dyDescent="0.2">
      <c r="A1139" s="195">
        <v>3069</v>
      </c>
      <c r="B1139" s="196" t="s">
        <v>4011</v>
      </c>
      <c r="C1139" s="196">
        <v>339113</v>
      </c>
      <c r="D1139" s="197" t="s">
        <v>4584</v>
      </c>
    </row>
    <row r="1140" spans="1:4" ht="17.25" customHeight="1" x14ac:dyDescent="0.2">
      <c r="A1140" s="195">
        <v>3089</v>
      </c>
      <c r="B1140" s="196" t="s">
        <v>4196</v>
      </c>
      <c r="C1140" s="196">
        <v>339113</v>
      </c>
      <c r="D1140" s="197" t="s">
        <v>4584</v>
      </c>
    </row>
    <row r="1141" spans="1:4" ht="17.25" customHeight="1" x14ac:dyDescent="0.2">
      <c r="A1141" s="195">
        <v>3821</v>
      </c>
      <c r="B1141" s="196" t="s">
        <v>4384</v>
      </c>
      <c r="C1141" s="196">
        <v>339113</v>
      </c>
      <c r="D1141" s="197" t="s">
        <v>4584</v>
      </c>
    </row>
    <row r="1142" spans="1:4" ht="34.5" customHeight="1" x14ac:dyDescent="0.2">
      <c r="A1142" s="195">
        <v>3841</v>
      </c>
      <c r="B1142" s="196" t="s">
        <v>4362</v>
      </c>
      <c r="C1142" s="196">
        <v>339113</v>
      </c>
      <c r="D1142" s="197" t="s">
        <v>4584</v>
      </c>
    </row>
    <row r="1143" spans="1:4" ht="34.5" customHeight="1" x14ac:dyDescent="0.2">
      <c r="A1143" s="195">
        <v>3842</v>
      </c>
      <c r="B1143" s="196" t="s">
        <v>4118</v>
      </c>
      <c r="C1143" s="196">
        <v>339113</v>
      </c>
      <c r="D1143" s="197" t="s">
        <v>4584</v>
      </c>
    </row>
    <row r="1144" spans="1:4" ht="17.25" customHeight="1" x14ac:dyDescent="0.2">
      <c r="A1144" s="195">
        <v>3851</v>
      </c>
      <c r="B1144" s="196" t="s">
        <v>4585</v>
      </c>
      <c r="C1144" s="196">
        <v>339113</v>
      </c>
      <c r="D1144" s="197" t="s">
        <v>4584</v>
      </c>
    </row>
    <row r="1145" spans="1:4" ht="17.25" customHeight="1" x14ac:dyDescent="0.2">
      <c r="A1145" s="195">
        <v>5999</v>
      </c>
      <c r="B1145" s="196" t="s">
        <v>4586</v>
      </c>
      <c r="C1145" s="196">
        <v>339113</v>
      </c>
      <c r="D1145" s="197" t="s">
        <v>4584</v>
      </c>
    </row>
    <row r="1146" spans="1:4" ht="17.25" customHeight="1" x14ac:dyDescent="0.2">
      <c r="A1146" s="195">
        <v>3843</v>
      </c>
      <c r="B1146" s="196" t="s">
        <v>4587</v>
      </c>
      <c r="C1146" s="196">
        <v>339114</v>
      </c>
      <c r="D1146" s="197" t="s">
        <v>4588</v>
      </c>
    </row>
    <row r="1147" spans="1:4" ht="17.25" customHeight="1" x14ac:dyDescent="0.2">
      <c r="A1147" s="195">
        <v>3851</v>
      </c>
      <c r="B1147" s="196" t="s">
        <v>4585</v>
      </c>
      <c r="C1147" s="196">
        <v>339115</v>
      </c>
      <c r="D1147" s="197" t="s">
        <v>4589</v>
      </c>
    </row>
    <row r="1148" spans="1:4" ht="17.25" customHeight="1" x14ac:dyDescent="0.2">
      <c r="A1148" s="195">
        <v>5995</v>
      </c>
      <c r="B1148" s="196" t="s">
        <v>3165</v>
      </c>
      <c r="C1148" s="196">
        <v>339115</v>
      </c>
      <c r="D1148" s="197" t="s">
        <v>4589</v>
      </c>
    </row>
    <row r="1149" spans="1:4" ht="17.25" customHeight="1" x14ac:dyDescent="0.2">
      <c r="A1149" s="195">
        <v>8072</v>
      </c>
      <c r="B1149" s="196" t="s">
        <v>3021</v>
      </c>
      <c r="C1149" s="196">
        <v>339116</v>
      </c>
      <c r="D1149" s="197" t="s">
        <v>4590</v>
      </c>
    </row>
    <row r="1150" spans="1:4" ht="34.5" customHeight="1" x14ac:dyDescent="0.2">
      <c r="A1150" s="195">
        <v>3172</v>
      </c>
      <c r="B1150" s="196" t="s">
        <v>4065</v>
      </c>
      <c r="C1150" s="196">
        <v>339910</v>
      </c>
      <c r="D1150" s="197" t="s">
        <v>4591</v>
      </c>
    </row>
    <row r="1151" spans="1:4" ht="17.25" customHeight="1" x14ac:dyDescent="0.2">
      <c r="A1151" s="195">
        <v>3479</v>
      </c>
      <c r="B1151" s="196" t="s">
        <v>4341</v>
      </c>
      <c r="C1151" s="196">
        <v>339910</v>
      </c>
      <c r="D1151" s="197" t="s">
        <v>4591</v>
      </c>
    </row>
    <row r="1152" spans="1:4" ht="28.7" customHeight="1" x14ac:dyDescent="0.2">
      <c r="A1152" s="195">
        <v>3479</v>
      </c>
      <c r="B1152" s="196" t="s">
        <v>4341</v>
      </c>
      <c r="C1152" s="196">
        <v>339910</v>
      </c>
      <c r="D1152" s="197" t="s">
        <v>4591</v>
      </c>
    </row>
    <row r="1153" spans="1:4" ht="34.5" customHeight="1" x14ac:dyDescent="0.2">
      <c r="A1153" s="195">
        <v>3479</v>
      </c>
      <c r="B1153" s="196" t="s">
        <v>4341</v>
      </c>
      <c r="C1153" s="196">
        <v>339910</v>
      </c>
      <c r="D1153" s="197" t="s">
        <v>4591</v>
      </c>
    </row>
    <row r="1154" spans="1:4" ht="17.25" customHeight="1" x14ac:dyDescent="0.2">
      <c r="A1154" s="195">
        <v>3911</v>
      </c>
      <c r="B1154" s="196" t="s">
        <v>4592</v>
      </c>
      <c r="C1154" s="196">
        <v>339910</v>
      </c>
      <c r="D1154" s="197" t="s">
        <v>4591</v>
      </c>
    </row>
    <row r="1155" spans="1:4" ht="17.25" customHeight="1" x14ac:dyDescent="0.2">
      <c r="A1155" s="195">
        <v>3914</v>
      </c>
      <c r="B1155" s="196" t="s">
        <v>4304</v>
      </c>
      <c r="C1155" s="196">
        <v>339910</v>
      </c>
      <c r="D1155" s="197" t="s">
        <v>4591</v>
      </c>
    </row>
    <row r="1156" spans="1:4" ht="17.25" customHeight="1" x14ac:dyDescent="0.2">
      <c r="A1156" s="195">
        <v>3915</v>
      </c>
      <c r="B1156" s="196" t="s">
        <v>4489</v>
      </c>
      <c r="C1156" s="196">
        <v>339910</v>
      </c>
      <c r="D1156" s="197" t="s">
        <v>4591</v>
      </c>
    </row>
    <row r="1157" spans="1:4" ht="34.5" customHeight="1" x14ac:dyDescent="0.2">
      <c r="A1157" s="195">
        <v>3961</v>
      </c>
      <c r="B1157" s="196" t="s">
        <v>4593</v>
      </c>
      <c r="C1157" s="196">
        <v>339910</v>
      </c>
      <c r="D1157" s="197" t="s">
        <v>4591</v>
      </c>
    </row>
    <row r="1158" spans="1:4" ht="34.5" customHeight="1" x14ac:dyDescent="0.2">
      <c r="A1158" s="195">
        <v>3069</v>
      </c>
      <c r="B1158" s="196" t="s">
        <v>4011</v>
      </c>
      <c r="C1158" s="196">
        <v>339920</v>
      </c>
      <c r="D1158" s="197" t="s">
        <v>3023</v>
      </c>
    </row>
    <row r="1159" spans="1:4" ht="28.7" customHeight="1" x14ac:dyDescent="0.2">
      <c r="A1159" s="195">
        <v>3949</v>
      </c>
      <c r="B1159" s="196" t="s">
        <v>4594</v>
      </c>
      <c r="C1159" s="196">
        <v>339920</v>
      </c>
      <c r="D1159" s="197" t="s">
        <v>3023</v>
      </c>
    </row>
    <row r="1160" spans="1:4" ht="34.5" customHeight="1" x14ac:dyDescent="0.2">
      <c r="A1160" s="195">
        <v>3069</v>
      </c>
      <c r="B1160" s="196" t="s">
        <v>4011</v>
      </c>
      <c r="C1160" s="196">
        <v>339930</v>
      </c>
      <c r="D1160" s="197" t="s">
        <v>3024</v>
      </c>
    </row>
    <row r="1161" spans="1:4" ht="17.25" customHeight="1" x14ac:dyDescent="0.2">
      <c r="A1161" s="195">
        <v>3942</v>
      </c>
      <c r="B1161" s="196" t="s">
        <v>4595</v>
      </c>
      <c r="C1161" s="196">
        <v>339930</v>
      </c>
      <c r="D1161" s="197" t="s">
        <v>3024</v>
      </c>
    </row>
    <row r="1162" spans="1:4" ht="28.5" customHeight="1" x14ac:dyDescent="0.2">
      <c r="A1162" s="195">
        <v>3944</v>
      </c>
      <c r="B1162" s="196" t="s">
        <v>4560</v>
      </c>
      <c r="C1162" s="196">
        <v>339930</v>
      </c>
      <c r="D1162" s="197" t="s">
        <v>3024</v>
      </c>
    </row>
    <row r="1163" spans="1:4" ht="34.5" customHeight="1" x14ac:dyDescent="0.2">
      <c r="A1163" s="195">
        <v>3999</v>
      </c>
      <c r="B1163" s="196" t="s">
        <v>4055</v>
      </c>
      <c r="C1163" s="196">
        <v>339930</v>
      </c>
      <c r="D1163" s="197" t="s">
        <v>3024</v>
      </c>
    </row>
    <row r="1164" spans="1:4" ht="17.25" customHeight="1" x14ac:dyDescent="0.2">
      <c r="A1164" s="195">
        <v>2531</v>
      </c>
      <c r="B1164" s="196" t="s">
        <v>4541</v>
      </c>
      <c r="C1164" s="196">
        <v>339940</v>
      </c>
      <c r="D1164" s="197" t="s">
        <v>3025</v>
      </c>
    </row>
    <row r="1165" spans="1:4" ht="17.25" customHeight="1" x14ac:dyDescent="0.2">
      <c r="A1165" s="195">
        <v>3579</v>
      </c>
      <c r="B1165" s="196" t="s">
        <v>4389</v>
      </c>
      <c r="C1165" s="196">
        <v>339940</v>
      </c>
      <c r="D1165" s="197" t="s">
        <v>3025</v>
      </c>
    </row>
    <row r="1166" spans="1:4" ht="17.25" customHeight="1" x14ac:dyDescent="0.2">
      <c r="A1166" s="195">
        <v>3951</v>
      </c>
      <c r="B1166" s="196" t="s">
        <v>4596</v>
      </c>
      <c r="C1166" s="196">
        <v>339940</v>
      </c>
      <c r="D1166" s="197" t="s">
        <v>3025</v>
      </c>
    </row>
    <row r="1167" spans="1:4" ht="17.25" customHeight="1" x14ac:dyDescent="0.2">
      <c r="A1167" s="195">
        <v>3952</v>
      </c>
      <c r="B1167" s="196" t="s">
        <v>4189</v>
      </c>
      <c r="C1167" s="196">
        <v>339940</v>
      </c>
      <c r="D1167" s="197" t="s">
        <v>3025</v>
      </c>
    </row>
    <row r="1168" spans="1:4" ht="17.25" customHeight="1" x14ac:dyDescent="0.2">
      <c r="A1168" s="195">
        <v>3953</v>
      </c>
      <c r="B1168" s="196" t="s">
        <v>4597</v>
      </c>
      <c r="C1168" s="196">
        <v>339940</v>
      </c>
      <c r="D1168" s="197" t="s">
        <v>3025</v>
      </c>
    </row>
    <row r="1169" spans="1:4" ht="34.5" customHeight="1" x14ac:dyDescent="0.2">
      <c r="A1169" s="195">
        <v>3955</v>
      </c>
      <c r="B1169" s="196" t="s">
        <v>4598</v>
      </c>
      <c r="C1169" s="196">
        <v>339940</v>
      </c>
      <c r="D1169" s="197" t="s">
        <v>3025</v>
      </c>
    </row>
    <row r="1170" spans="1:4" ht="17.25" customHeight="1" x14ac:dyDescent="0.2">
      <c r="A1170" s="195">
        <v>3993</v>
      </c>
      <c r="B1170" s="196" t="s">
        <v>4129</v>
      </c>
      <c r="C1170" s="196">
        <v>339950</v>
      </c>
      <c r="D1170" s="197" t="s">
        <v>3026</v>
      </c>
    </row>
    <row r="1171" spans="1:4" ht="17.25" customHeight="1" x14ac:dyDescent="0.2">
      <c r="A1171" s="195">
        <v>3053</v>
      </c>
      <c r="B1171" s="196" t="s">
        <v>4599</v>
      </c>
      <c r="C1171" s="196">
        <v>339991</v>
      </c>
      <c r="D1171" s="197" t="s">
        <v>4600</v>
      </c>
    </row>
    <row r="1172" spans="1:4" ht="17.25" customHeight="1" x14ac:dyDescent="0.2">
      <c r="A1172" s="195">
        <v>3931</v>
      </c>
      <c r="B1172" s="196" t="s">
        <v>4601</v>
      </c>
      <c r="C1172" s="196">
        <v>339992</v>
      </c>
      <c r="D1172" s="197" t="s">
        <v>4602</v>
      </c>
    </row>
    <row r="1173" spans="1:4" ht="34.5" customHeight="1" x14ac:dyDescent="0.2">
      <c r="A1173" s="195">
        <v>3131</v>
      </c>
      <c r="B1173" s="196" t="s">
        <v>4062</v>
      </c>
      <c r="C1173" s="196">
        <v>339993</v>
      </c>
      <c r="D1173" s="197" t="s">
        <v>4603</v>
      </c>
    </row>
    <row r="1174" spans="1:4" ht="17.25" customHeight="1" x14ac:dyDescent="0.2">
      <c r="A1174" s="195">
        <v>3961</v>
      </c>
      <c r="B1174" s="196" t="s">
        <v>4593</v>
      </c>
      <c r="C1174" s="196">
        <v>339993</v>
      </c>
      <c r="D1174" s="197" t="s">
        <v>4603</v>
      </c>
    </row>
    <row r="1175" spans="1:4" ht="28.5" customHeight="1" x14ac:dyDescent="0.2">
      <c r="A1175" s="195">
        <v>3965</v>
      </c>
      <c r="B1175" s="196" t="s">
        <v>4604</v>
      </c>
      <c r="C1175" s="196">
        <v>339993</v>
      </c>
      <c r="D1175" s="197" t="s">
        <v>4603</v>
      </c>
    </row>
    <row r="1176" spans="1:4" ht="34.5" customHeight="1" x14ac:dyDescent="0.2">
      <c r="A1176" s="195">
        <v>2392</v>
      </c>
      <c r="B1176" s="196" t="s">
        <v>4014</v>
      </c>
      <c r="C1176" s="196">
        <v>339994</v>
      </c>
      <c r="D1176" s="197" t="s">
        <v>4605</v>
      </c>
    </row>
    <row r="1177" spans="1:4" ht="34.5" customHeight="1" x14ac:dyDescent="0.2">
      <c r="A1177" s="195">
        <v>3991</v>
      </c>
      <c r="B1177" s="196" t="s">
        <v>4606</v>
      </c>
      <c r="C1177" s="196">
        <v>339994</v>
      </c>
      <c r="D1177" s="197" t="s">
        <v>4605</v>
      </c>
    </row>
    <row r="1178" spans="1:4" ht="17.25" customHeight="1" x14ac:dyDescent="0.2">
      <c r="A1178" s="195">
        <v>3995</v>
      </c>
      <c r="B1178" s="196" t="s">
        <v>4607</v>
      </c>
      <c r="C1178" s="196">
        <v>339995</v>
      </c>
      <c r="D1178" s="197" t="s">
        <v>4608</v>
      </c>
    </row>
    <row r="1179" spans="1:4" ht="34.5" customHeight="1" x14ac:dyDescent="0.2">
      <c r="A1179" s="195">
        <v>2499</v>
      </c>
      <c r="B1179" s="196" t="s">
        <v>4089</v>
      </c>
      <c r="C1179" s="196">
        <v>339999</v>
      </c>
      <c r="D1179" s="197" t="s">
        <v>4609</v>
      </c>
    </row>
    <row r="1180" spans="1:4" ht="34.5" customHeight="1" x14ac:dyDescent="0.2">
      <c r="A1180" s="195">
        <v>3634</v>
      </c>
      <c r="B1180" s="196" t="s">
        <v>4399</v>
      </c>
      <c r="C1180" s="196">
        <v>339999</v>
      </c>
      <c r="D1180" s="197" t="s">
        <v>4609</v>
      </c>
    </row>
    <row r="1181" spans="1:4" ht="34.5" customHeight="1" x14ac:dyDescent="0.2">
      <c r="A1181" s="195">
        <v>3842</v>
      </c>
      <c r="B1181" s="196" t="s">
        <v>4118</v>
      </c>
      <c r="C1181" s="196">
        <v>339999</v>
      </c>
      <c r="D1181" s="197" t="s">
        <v>4609</v>
      </c>
    </row>
    <row r="1182" spans="1:4" ht="17.25" customHeight="1" x14ac:dyDescent="0.2">
      <c r="A1182" s="195">
        <v>3999</v>
      </c>
      <c r="B1182" s="196" t="s">
        <v>4055</v>
      </c>
      <c r="C1182" s="196">
        <v>339999</v>
      </c>
      <c r="D1182" s="197" t="s">
        <v>4609</v>
      </c>
    </row>
    <row r="1183" spans="1:4" ht="17.25" customHeight="1" x14ac:dyDescent="0.2">
      <c r="A1183" s="195">
        <v>5012</v>
      </c>
      <c r="B1183" s="196" t="s">
        <v>4610</v>
      </c>
      <c r="C1183" s="196">
        <v>423110</v>
      </c>
      <c r="D1183" s="197" t="s">
        <v>4611</v>
      </c>
    </row>
    <row r="1184" spans="1:4" ht="34.5" customHeight="1" x14ac:dyDescent="0.2">
      <c r="A1184" s="195">
        <v>5013</v>
      </c>
      <c r="B1184" s="196" t="s">
        <v>4612</v>
      </c>
      <c r="C1184" s="196">
        <v>423120</v>
      </c>
      <c r="D1184" s="197" t="s">
        <v>4613</v>
      </c>
    </row>
    <row r="1185" spans="1:4" ht="17.25" customHeight="1" x14ac:dyDescent="0.2">
      <c r="A1185" s="195">
        <v>5014</v>
      </c>
      <c r="B1185" s="196" t="s">
        <v>4614</v>
      </c>
      <c r="C1185" s="196">
        <v>423130</v>
      </c>
      <c r="D1185" s="197" t="s">
        <v>4615</v>
      </c>
    </row>
    <row r="1186" spans="1:4" ht="17.25" customHeight="1" x14ac:dyDescent="0.2">
      <c r="A1186" s="195">
        <v>5015</v>
      </c>
      <c r="B1186" s="196" t="s">
        <v>4616</v>
      </c>
      <c r="C1186" s="196">
        <v>423140</v>
      </c>
      <c r="D1186" s="197" t="s">
        <v>4617</v>
      </c>
    </row>
    <row r="1187" spans="1:4" ht="17.25" customHeight="1" x14ac:dyDescent="0.2">
      <c r="A1187" s="195">
        <v>5021</v>
      </c>
      <c r="B1187" s="196" t="s">
        <v>4618</v>
      </c>
      <c r="C1187" s="196">
        <v>423210</v>
      </c>
      <c r="D1187" s="197" t="s">
        <v>4619</v>
      </c>
    </row>
    <row r="1188" spans="1:4" ht="17.25" customHeight="1" x14ac:dyDescent="0.2">
      <c r="A1188" s="195">
        <v>5023</v>
      </c>
      <c r="B1188" s="196" t="s">
        <v>4620</v>
      </c>
      <c r="C1188" s="196">
        <v>423220</v>
      </c>
      <c r="D1188" s="197" t="s">
        <v>4621</v>
      </c>
    </row>
    <row r="1189" spans="1:4" ht="17.25" customHeight="1" x14ac:dyDescent="0.2">
      <c r="A1189" s="195">
        <v>5031</v>
      </c>
      <c r="B1189" s="196" t="s">
        <v>4622</v>
      </c>
      <c r="C1189" s="196">
        <v>423310</v>
      </c>
      <c r="D1189" s="197" t="s">
        <v>4623</v>
      </c>
    </row>
    <row r="1190" spans="1:4" ht="17.25" customHeight="1" x14ac:dyDescent="0.2">
      <c r="A1190" s="195">
        <v>5039</v>
      </c>
      <c r="B1190" s="196" t="s">
        <v>4624</v>
      </c>
      <c r="C1190" s="196">
        <v>423310</v>
      </c>
      <c r="D1190" s="197" t="s">
        <v>4623</v>
      </c>
    </row>
    <row r="1191" spans="1:4" ht="17.25" customHeight="1" x14ac:dyDescent="0.2">
      <c r="A1191" s="195">
        <v>5032</v>
      </c>
      <c r="B1191" s="196" t="s">
        <v>4625</v>
      </c>
      <c r="C1191" s="196">
        <v>423320</v>
      </c>
      <c r="D1191" s="197" t="s">
        <v>4626</v>
      </c>
    </row>
    <row r="1192" spans="1:4" ht="34.5" customHeight="1" x14ac:dyDescent="0.2">
      <c r="A1192" s="195">
        <v>5033</v>
      </c>
      <c r="B1192" s="196" t="s">
        <v>4627</v>
      </c>
      <c r="C1192" s="196">
        <v>423330</v>
      </c>
      <c r="D1192" s="197" t="s">
        <v>4628</v>
      </c>
    </row>
    <row r="1193" spans="1:4" ht="43.35" customHeight="1" x14ac:dyDescent="0.2">
      <c r="A1193" s="195">
        <v>5039</v>
      </c>
      <c r="B1193" s="196" t="s">
        <v>4624</v>
      </c>
      <c r="C1193" s="196">
        <v>423390</v>
      </c>
      <c r="D1193" s="197" t="s">
        <v>4629</v>
      </c>
    </row>
    <row r="1194" spans="1:4" ht="34.5" customHeight="1" x14ac:dyDescent="0.2">
      <c r="A1194" s="195">
        <v>5043</v>
      </c>
      <c r="B1194" s="196" t="s">
        <v>4186</v>
      </c>
      <c r="C1194" s="196">
        <v>423410</v>
      </c>
      <c r="D1194" s="197" t="s">
        <v>4630</v>
      </c>
    </row>
    <row r="1195" spans="1:4" ht="17.25" customHeight="1" x14ac:dyDescent="0.2">
      <c r="A1195" s="195">
        <v>5044</v>
      </c>
      <c r="B1195" s="196" t="s">
        <v>4631</v>
      </c>
      <c r="C1195" s="196">
        <v>423420</v>
      </c>
      <c r="D1195" s="197" t="s">
        <v>4632</v>
      </c>
    </row>
    <row r="1196" spans="1:4" ht="17.25" customHeight="1" x14ac:dyDescent="0.2">
      <c r="A1196" s="195">
        <v>5045</v>
      </c>
      <c r="B1196" s="196" t="s">
        <v>4633</v>
      </c>
      <c r="C1196" s="196">
        <v>423430</v>
      </c>
      <c r="D1196" s="197" t="s">
        <v>4634</v>
      </c>
    </row>
    <row r="1197" spans="1:4" ht="17.25" customHeight="1" x14ac:dyDescent="0.2">
      <c r="A1197" s="195">
        <v>5046</v>
      </c>
      <c r="B1197" s="196" t="s">
        <v>4635</v>
      </c>
      <c r="C1197" s="196">
        <v>423440</v>
      </c>
      <c r="D1197" s="197" t="s">
        <v>4636</v>
      </c>
    </row>
    <row r="1198" spans="1:4" ht="34.5" customHeight="1" x14ac:dyDescent="0.2">
      <c r="A1198" s="195">
        <v>5047</v>
      </c>
      <c r="B1198" s="196" t="s">
        <v>4637</v>
      </c>
      <c r="C1198" s="196">
        <v>423450</v>
      </c>
      <c r="D1198" s="197" t="s">
        <v>4638</v>
      </c>
    </row>
    <row r="1199" spans="1:4" ht="34.5" customHeight="1" x14ac:dyDescent="0.2">
      <c r="A1199" s="195">
        <v>5048</v>
      </c>
      <c r="B1199" s="196" t="s">
        <v>4585</v>
      </c>
      <c r="C1199" s="196">
        <v>423460</v>
      </c>
      <c r="D1199" s="197" t="s">
        <v>4639</v>
      </c>
    </row>
    <row r="1200" spans="1:4" ht="17.25" customHeight="1" x14ac:dyDescent="0.2">
      <c r="A1200" s="195">
        <v>5049</v>
      </c>
      <c r="B1200" s="196" t="s">
        <v>4640</v>
      </c>
      <c r="C1200" s="196">
        <v>423490</v>
      </c>
      <c r="D1200" s="197" t="s">
        <v>4641</v>
      </c>
    </row>
    <row r="1201" spans="1:4" ht="34.5" customHeight="1" x14ac:dyDescent="0.2">
      <c r="A1201" s="195">
        <v>5051</v>
      </c>
      <c r="B1201" s="196" t="s">
        <v>4642</v>
      </c>
      <c r="C1201" s="196">
        <v>423510</v>
      </c>
      <c r="D1201" s="197" t="s">
        <v>4643</v>
      </c>
    </row>
    <row r="1202" spans="1:4" ht="17.25" customHeight="1" x14ac:dyDescent="0.2">
      <c r="A1202" s="195">
        <v>5052</v>
      </c>
      <c r="B1202" s="196" t="s">
        <v>4644</v>
      </c>
      <c r="C1202" s="196">
        <v>423520</v>
      </c>
      <c r="D1202" s="197" t="s">
        <v>4645</v>
      </c>
    </row>
    <row r="1203" spans="1:4" ht="17.25" customHeight="1" x14ac:dyDescent="0.2">
      <c r="A1203" s="195">
        <v>5063</v>
      </c>
      <c r="B1203" s="196" t="s">
        <v>4646</v>
      </c>
      <c r="C1203" s="196">
        <v>423610</v>
      </c>
      <c r="D1203" s="197" t="s">
        <v>4647</v>
      </c>
    </row>
    <row r="1204" spans="1:4" ht="17.25" customHeight="1" x14ac:dyDescent="0.2">
      <c r="A1204" s="195">
        <v>5064</v>
      </c>
      <c r="B1204" s="196" t="s">
        <v>4648</v>
      </c>
      <c r="C1204" s="196">
        <v>423620</v>
      </c>
      <c r="D1204" s="197" t="s">
        <v>4649</v>
      </c>
    </row>
    <row r="1205" spans="1:4" ht="34.5" customHeight="1" x14ac:dyDescent="0.2">
      <c r="A1205" s="195">
        <v>5074</v>
      </c>
      <c r="B1205" s="196" t="s">
        <v>4650</v>
      </c>
      <c r="C1205" s="196">
        <v>423620</v>
      </c>
      <c r="D1205" s="197" t="s">
        <v>4649</v>
      </c>
    </row>
    <row r="1206" spans="1:4" ht="17.25" customHeight="1" x14ac:dyDescent="0.2">
      <c r="A1206" s="195">
        <v>5065</v>
      </c>
      <c r="B1206" s="196" t="s">
        <v>4651</v>
      </c>
      <c r="C1206" s="196">
        <v>423690</v>
      </c>
      <c r="D1206" s="197" t="s">
        <v>4652</v>
      </c>
    </row>
    <row r="1207" spans="1:4" ht="17.25" customHeight="1" x14ac:dyDescent="0.2">
      <c r="A1207" s="195">
        <v>5072</v>
      </c>
      <c r="B1207" s="196" t="s">
        <v>4653</v>
      </c>
      <c r="C1207" s="196">
        <v>423710</v>
      </c>
      <c r="D1207" s="197" t="s">
        <v>4654</v>
      </c>
    </row>
    <row r="1208" spans="1:4" ht="17.25" customHeight="1" x14ac:dyDescent="0.2">
      <c r="A1208" s="195">
        <v>5064</v>
      </c>
      <c r="B1208" s="196" t="s">
        <v>4648</v>
      </c>
      <c r="C1208" s="196">
        <v>423720</v>
      </c>
      <c r="D1208" s="197" t="s">
        <v>4655</v>
      </c>
    </row>
    <row r="1209" spans="1:4" ht="34.5" customHeight="1" x14ac:dyDescent="0.2">
      <c r="A1209" s="195">
        <v>5074</v>
      </c>
      <c r="B1209" s="196" t="s">
        <v>4650</v>
      </c>
      <c r="C1209" s="196">
        <v>423720</v>
      </c>
      <c r="D1209" s="197" t="s">
        <v>4655</v>
      </c>
    </row>
    <row r="1210" spans="1:4" ht="17.25" customHeight="1" x14ac:dyDescent="0.2">
      <c r="A1210" s="195">
        <v>5075</v>
      </c>
      <c r="B1210" s="196" t="s">
        <v>4656</v>
      </c>
      <c r="C1210" s="196">
        <v>423730</v>
      </c>
      <c r="D1210" s="197" t="s">
        <v>4657</v>
      </c>
    </row>
    <row r="1211" spans="1:4" ht="17.25" customHeight="1" x14ac:dyDescent="0.2">
      <c r="A1211" s="195">
        <v>5078</v>
      </c>
      <c r="B1211" s="196" t="s">
        <v>4658</v>
      </c>
      <c r="C1211" s="196">
        <v>423740</v>
      </c>
      <c r="D1211" s="197" t="s">
        <v>4659</v>
      </c>
    </row>
    <row r="1212" spans="1:4" ht="17.25" customHeight="1" x14ac:dyDescent="0.2">
      <c r="A1212" s="195">
        <v>5082</v>
      </c>
      <c r="B1212" s="196" t="s">
        <v>4660</v>
      </c>
      <c r="C1212" s="196">
        <v>423810</v>
      </c>
      <c r="D1212" s="197" t="s">
        <v>4661</v>
      </c>
    </row>
    <row r="1213" spans="1:4" ht="34.5" customHeight="1" x14ac:dyDescent="0.2">
      <c r="A1213" s="195">
        <v>5083</v>
      </c>
      <c r="B1213" s="196" t="s">
        <v>4662</v>
      </c>
      <c r="C1213" s="196">
        <v>423820</v>
      </c>
      <c r="D1213" s="197" t="s">
        <v>4663</v>
      </c>
    </row>
    <row r="1214" spans="1:4" ht="34.5" customHeight="1" x14ac:dyDescent="0.2">
      <c r="A1214" s="195">
        <v>5084</v>
      </c>
      <c r="B1214" s="196" t="s">
        <v>4664</v>
      </c>
      <c r="C1214" s="196">
        <v>423830</v>
      </c>
      <c r="D1214" s="197" t="s">
        <v>4665</v>
      </c>
    </row>
    <row r="1215" spans="1:4" ht="17.25" customHeight="1" x14ac:dyDescent="0.2">
      <c r="A1215" s="195">
        <v>5085</v>
      </c>
      <c r="B1215" s="196" t="s">
        <v>4666</v>
      </c>
      <c r="C1215" s="196">
        <v>423830</v>
      </c>
      <c r="D1215" s="197" t="s">
        <v>4665</v>
      </c>
    </row>
    <row r="1216" spans="1:4" ht="34.5" customHeight="1" x14ac:dyDescent="0.2">
      <c r="A1216" s="195">
        <v>5085</v>
      </c>
      <c r="B1216" s="196" t="s">
        <v>4666</v>
      </c>
      <c r="C1216" s="196">
        <v>423840</v>
      </c>
      <c r="D1216" s="197" t="s">
        <v>3062</v>
      </c>
    </row>
    <row r="1217" spans="1:4" ht="17.25" customHeight="1" x14ac:dyDescent="0.2">
      <c r="A1217" s="195">
        <v>5087</v>
      </c>
      <c r="B1217" s="196" t="s">
        <v>4667</v>
      </c>
      <c r="C1217" s="196">
        <v>423850</v>
      </c>
      <c r="D1217" s="197" t="s">
        <v>4668</v>
      </c>
    </row>
    <row r="1218" spans="1:4" ht="43.35" customHeight="1" x14ac:dyDescent="0.2">
      <c r="A1218" s="195">
        <v>5088</v>
      </c>
      <c r="B1218" s="196" t="s">
        <v>4669</v>
      </c>
      <c r="C1218" s="196">
        <v>423860</v>
      </c>
      <c r="D1218" s="197" t="s">
        <v>4670</v>
      </c>
    </row>
    <row r="1219" spans="1:4" ht="17.25" customHeight="1" x14ac:dyDescent="0.2">
      <c r="A1219" s="195">
        <v>5091</v>
      </c>
      <c r="B1219" s="196" t="s">
        <v>4671</v>
      </c>
      <c r="C1219" s="196">
        <v>423910</v>
      </c>
      <c r="D1219" s="197" t="s">
        <v>4672</v>
      </c>
    </row>
    <row r="1220" spans="1:4" ht="34.5" customHeight="1" x14ac:dyDescent="0.2">
      <c r="A1220" s="195">
        <v>5136</v>
      </c>
      <c r="B1220" s="196" t="s">
        <v>4673</v>
      </c>
      <c r="C1220" s="196">
        <v>423910</v>
      </c>
      <c r="D1220" s="197" t="s">
        <v>4672</v>
      </c>
    </row>
    <row r="1221" spans="1:4" ht="34.5" customHeight="1" x14ac:dyDescent="0.2">
      <c r="A1221" s="195">
        <v>5137</v>
      </c>
      <c r="B1221" s="196" t="s">
        <v>4674</v>
      </c>
      <c r="C1221" s="196">
        <v>423910</v>
      </c>
      <c r="D1221" s="197" t="s">
        <v>4672</v>
      </c>
    </row>
    <row r="1222" spans="1:4" ht="34.5" customHeight="1" x14ac:dyDescent="0.2">
      <c r="A1222" s="195">
        <v>5092</v>
      </c>
      <c r="B1222" s="196" t="s">
        <v>4675</v>
      </c>
      <c r="C1222" s="196">
        <v>423920</v>
      </c>
      <c r="D1222" s="197" t="s">
        <v>4676</v>
      </c>
    </row>
    <row r="1223" spans="1:4" ht="17.25" customHeight="1" x14ac:dyDescent="0.2">
      <c r="A1223" s="195">
        <v>5093</v>
      </c>
      <c r="B1223" s="196" t="s">
        <v>4677</v>
      </c>
      <c r="C1223" s="196">
        <v>423930</v>
      </c>
      <c r="D1223" s="197" t="s">
        <v>4678</v>
      </c>
    </row>
    <row r="1224" spans="1:4" ht="34.5" customHeight="1" x14ac:dyDescent="0.2">
      <c r="A1224" s="195">
        <v>5094</v>
      </c>
      <c r="B1224" s="196" t="s">
        <v>4679</v>
      </c>
      <c r="C1224" s="196">
        <v>423940</v>
      </c>
      <c r="D1224" s="197" t="s">
        <v>4680</v>
      </c>
    </row>
    <row r="1225" spans="1:4" ht="17.25" customHeight="1" x14ac:dyDescent="0.2">
      <c r="A1225" s="195">
        <v>5099</v>
      </c>
      <c r="B1225" s="196" t="s">
        <v>4681</v>
      </c>
      <c r="C1225" s="196">
        <v>423990</v>
      </c>
      <c r="D1225" s="197" t="s">
        <v>4682</v>
      </c>
    </row>
    <row r="1226" spans="1:4" ht="34.5" customHeight="1" x14ac:dyDescent="0.2">
      <c r="A1226" s="195">
        <v>7822</v>
      </c>
      <c r="B1226" s="196" t="s">
        <v>4683</v>
      </c>
      <c r="C1226" s="196">
        <v>423990</v>
      </c>
      <c r="D1226" s="197" t="s">
        <v>4682</v>
      </c>
    </row>
    <row r="1227" spans="1:4" ht="17.25" customHeight="1" x14ac:dyDescent="0.2">
      <c r="A1227" s="195">
        <v>5111</v>
      </c>
      <c r="B1227" s="196" t="s">
        <v>4684</v>
      </c>
      <c r="C1227" s="196">
        <v>424110</v>
      </c>
      <c r="D1227" s="197" t="s">
        <v>4685</v>
      </c>
    </row>
    <row r="1228" spans="1:4" ht="17.25" customHeight="1" x14ac:dyDescent="0.2">
      <c r="A1228" s="195">
        <v>5112</v>
      </c>
      <c r="B1228" s="196" t="s">
        <v>4686</v>
      </c>
      <c r="C1228" s="196">
        <v>424120</v>
      </c>
      <c r="D1228" s="197" t="s">
        <v>4687</v>
      </c>
    </row>
    <row r="1229" spans="1:4" ht="17.25" customHeight="1" x14ac:dyDescent="0.2">
      <c r="A1229" s="195">
        <v>5113</v>
      </c>
      <c r="B1229" s="196" t="s">
        <v>4688</v>
      </c>
      <c r="C1229" s="196">
        <v>424130</v>
      </c>
      <c r="D1229" s="197" t="s">
        <v>4689</v>
      </c>
    </row>
    <row r="1230" spans="1:4" ht="17.25" customHeight="1" x14ac:dyDescent="0.2">
      <c r="A1230" s="195">
        <v>5122</v>
      </c>
      <c r="B1230" s="196" t="s">
        <v>4690</v>
      </c>
      <c r="C1230" s="196">
        <v>424210</v>
      </c>
      <c r="D1230" s="197" t="s">
        <v>4691</v>
      </c>
    </row>
    <row r="1231" spans="1:4" ht="17.25" customHeight="1" x14ac:dyDescent="0.2">
      <c r="A1231" s="195">
        <v>5131</v>
      </c>
      <c r="B1231" s="196" t="s">
        <v>4009</v>
      </c>
      <c r="C1231" s="196">
        <v>424310</v>
      </c>
      <c r="D1231" s="197" t="s">
        <v>4692</v>
      </c>
    </row>
    <row r="1232" spans="1:4" ht="17.25" customHeight="1" x14ac:dyDescent="0.2">
      <c r="A1232" s="195">
        <v>5199</v>
      </c>
      <c r="B1232" s="196" t="s">
        <v>4693</v>
      </c>
      <c r="C1232" s="196">
        <v>424310</v>
      </c>
      <c r="D1232" s="197" t="s">
        <v>4692</v>
      </c>
    </row>
    <row r="1233" spans="1:4" ht="17.25" customHeight="1" x14ac:dyDescent="0.2">
      <c r="A1233" s="195">
        <v>5139</v>
      </c>
      <c r="B1233" s="196" t="s">
        <v>4694</v>
      </c>
      <c r="C1233" s="196">
        <v>424340</v>
      </c>
      <c r="D1233" s="197" t="s">
        <v>4695</v>
      </c>
    </row>
    <row r="1234" spans="1:4" ht="34.5" customHeight="1" x14ac:dyDescent="0.2">
      <c r="A1234" s="195">
        <v>5199</v>
      </c>
      <c r="B1234" s="196" t="s">
        <v>4693</v>
      </c>
      <c r="C1234" s="196">
        <v>424340</v>
      </c>
      <c r="D1234" s="197" t="s">
        <v>4695</v>
      </c>
    </row>
    <row r="1235" spans="1:4" ht="17.25" customHeight="1" x14ac:dyDescent="0.2">
      <c r="A1235" s="195">
        <v>5136</v>
      </c>
      <c r="B1235" s="196" t="s">
        <v>4673</v>
      </c>
      <c r="C1235" s="196">
        <v>424350</v>
      </c>
      <c r="D1235" s="197" t="s">
        <v>3077</v>
      </c>
    </row>
    <row r="1236" spans="1:4" ht="17.25" customHeight="1" x14ac:dyDescent="0.2">
      <c r="A1236" s="195">
        <v>5137</v>
      </c>
      <c r="B1236" s="196" t="s">
        <v>4674</v>
      </c>
      <c r="C1236" s="196">
        <v>424350</v>
      </c>
      <c r="D1236" s="197" t="s">
        <v>3077</v>
      </c>
    </row>
    <row r="1237" spans="1:4" ht="34.5" customHeight="1" x14ac:dyDescent="0.2">
      <c r="A1237" s="195">
        <v>5141</v>
      </c>
      <c r="B1237" s="196" t="s">
        <v>4696</v>
      </c>
      <c r="C1237" s="196">
        <v>424410</v>
      </c>
      <c r="D1237" s="197" t="s">
        <v>4697</v>
      </c>
    </row>
    <row r="1238" spans="1:4" ht="17.25" customHeight="1" x14ac:dyDescent="0.2">
      <c r="A1238" s="195">
        <v>5142</v>
      </c>
      <c r="B1238" s="196" t="s">
        <v>4698</v>
      </c>
      <c r="C1238" s="196">
        <v>424420</v>
      </c>
      <c r="D1238" s="197" t="s">
        <v>4699</v>
      </c>
    </row>
    <row r="1239" spans="1:4" ht="17.25" customHeight="1" x14ac:dyDescent="0.2">
      <c r="A1239" s="195">
        <v>5143</v>
      </c>
      <c r="B1239" s="196" t="s">
        <v>4700</v>
      </c>
      <c r="C1239" s="196">
        <v>424430</v>
      </c>
      <c r="D1239" s="197" t="s">
        <v>4701</v>
      </c>
    </row>
    <row r="1240" spans="1:4" ht="17.25" customHeight="1" x14ac:dyDescent="0.2">
      <c r="A1240" s="195">
        <v>5144</v>
      </c>
      <c r="B1240" s="196" t="s">
        <v>4702</v>
      </c>
      <c r="C1240" s="196">
        <v>424440</v>
      </c>
      <c r="D1240" s="197" t="s">
        <v>4703</v>
      </c>
    </row>
    <row r="1241" spans="1:4" ht="17.25" customHeight="1" x14ac:dyDescent="0.2">
      <c r="A1241" s="195">
        <v>5145</v>
      </c>
      <c r="B1241" s="196" t="s">
        <v>4704</v>
      </c>
      <c r="C1241" s="196">
        <v>424450</v>
      </c>
      <c r="D1241" s="197" t="s">
        <v>4705</v>
      </c>
    </row>
    <row r="1242" spans="1:4" ht="17.25" customHeight="1" x14ac:dyDescent="0.2">
      <c r="A1242" s="195">
        <v>5146</v>
      </c>
      <c r="B1242" s="196" t="s">
        <v>4706</v>
      </c>
      <c r="C1242" s="196">
        <v>424460</v>
      </c>
      <c r="D1242" s="197" t="s">
        <v>4707</v>
      </c>
    </row>
    <row r="1243" spans="1:4" ht="17.25" customHeight="1" x14ac:dyDescent="0.2">
      <c r="A1243" s="195">
        <v>5147</v>
      </c>
      <c r="B1243" s="196" t="s">
        <v>3940</v>
      </c>
      <c r="C1243" s="196">
        <v>424470</v>
      </c>
      <c r="D1243" s="197" t="s">
        <v>4708</v>
      </c>
    </row>
    <row r="1244" spans="1:4" ht="17.25" customHeight="1" x14ac:dyDescent="0.2">
      <c r="A1244" s="195">
        <v>5148</v>
      </c>
      <c r="B1244" s="196" t="s">
        <v>4709</v>
      </c>
      <c r="C1244" s="196">
        <v>424480</v>
      </c>
      <c r="D1244" s="197" t="s">
        <v>4710</v>
      </c>
    </row>
    <row r="1245" spans="1:4" ht="17.25" customHeight="1" x14ac:dyDescent="0.2">
      <c r="A1245" s="195">
        <v>5149</v>
      </c>
      <c r="B1245" s="196" t="s">
        <v>3973</v>
      </c>
      <c r="C1245" s="196">
        <v>424490</v>
      </c>
      <c r="D1245" s="197" t="s">
        <v>4711</v>
      </c>
    </row>
    <row r="1246" spans="1:4" ht="17.25" customHeight="1" x14ac:dyDescent="0.2">
      <c r="A1246" s="195">
        <v>5153</v>
      </c>
      <c r="B1246" s="196" t="s">
        <v>4712</v>
      </c>
      <c r="C1246" s="196">
        <v>424510</v>
      </c>
      <c r="D1246" s="197" t="s">
        <v>4713</v>
      </c>
    </row>
    <row r="1247" spans="1:4" ht="17.25" customHeight="1" x14ac:dyDescent="0.2">
      <c r="A1247" s="195">
        <v>5154</v>
      </c>
      <c r="B1247" s="196" t="s">
        <v>4714</v>
      </c>
      <c r="C1247" s="196">
        <v>424520</v>
      </c>
      <c r="D1247" s="197" t="s">
        <v>4715</v>
      </c>
    </row>
    <row r="1248" spans="1:4" ht="17.25" customHeight="1" x14ac:dyDescent="0.2">
      <c r="A1248" s="195">
        <v>5159</v>
      </c>
      <c r="B1248" s="196" t="s">
        <v>4716</v>
      </c>
      <c r="C1248" s="196">
        <v>424590</v>
      </c>
      <c r="D1248" s="197" t="s">
        <v>4717</v>
      </c>
    </row>
    <row r="1249" spans="1:4" ht="34.5" customHeight="1" x14ac:dyDescent="0.2">
      <c r="A1249" s="195">
        <v>5162</v>
      </c>
      <c r="B1249" s="196" t="s">
        <v>4718</v>
      </c>
      <c r="C1249" s="196">
        <v>424610</v>
      </c>
      <c r="D1249" s="197" t="s">
        <v>4719</v>
      </c>
    </row>
    <row r="1250" spans="1:4" ht="17.25" customHeight="1" x14ac:dyDescent="0.2">
      <c r="A1250" s="195">
        <v>5199</v>
      </c>
      <c r="B1250" s="196" t="s">
        <v>4693</v>
      </c>
      <c r="C1250" s="196">
        <v>424610</v>
      </c>
      <c r="D1250" s="197" t="s">
        <v>4719</v>
      </c>
    </row>
    <row r="1251" spans="1:4" ht="17.25" customHeight="1" x14ac:dyDescent="0.2">
      <c r="A1251" s="195">
        <v>5169</v>
      </c>
      <c r="B1251" s="196" t="s">
        <v>4720</v>
      </c>
      <c r="C1251" s="196">
        <v>424690</v>
      </c>
      <c r="D1251" s="197" t="s">
        <v>4721</v>
      </c>
    </row>
    <row r="1252" spans="1:4" ht="17.25" customHeight="1" x14ac:dyDescent="0.2">
      <c r="A1252" s="195">
        <v>5171</v>
      </c>
      <c r="B1252" s="196" t="s">
        <v>3093</v>
      </c>
      <c r="C1252" s="196">
        <v>424710</v>
      </c>
      <c r="D1252" s="197" t="s">
        <v>4722</v>
      </c>
    </row>
    <row r="1253" spans="1:4" ht="17.25" customHeight="1" x14ac:dyDescent="0.2">
      <c r="A1253" s="195">
        <v>5172</v>
      </c>
      <c r="B1253" s="196" t="s">
        <v>4723</v>
      </c>
      <c r="C1253" s="196">
        <v>424720</v>
      </c>
      <c r="D1253" s="197" t="s">
        <v>4724</v>
      </c>
    </row>
    <row r="1254" spans="1:4" ht="17.25" customHeight="1" x14ac:dyDescent="0.2">
      <c r="A1254" s="195">
        <v>5181</v>
      </c>
      <c r="B1254" s="196" t="s">
        <v>4725</v>
      </c>
      <c r="C1254" s="196">
        <v>424810</v>
      </c>
      <c r="D1254" s="197" t="s">
        <v>4726</v>
      </c>
    </row>
    <row r="1255" spans="1:4" ht="17.25" customHeight="1" x14ac:dyDescent="0.2">
      <c r="A1255" s="195">
        <v>5182</v>
      </c>
      <c r="B1255" s="196" t="s">
        <v>4727</v>
      </c>
      <c r="C1255" s="196">
        <v>424820</v>
      </c>
      <c r="D1255" s="197" t="s">
        <v>4728</v>
      </c>
    </row>
    <row r="1256" spans="1:4" ht="17.25" customHeight="1" x14ac:dyDescent="0.2">
      <c r="A1256" s="195">
        <v>5191</v>
      </c>
      <c r="B1256" s="196" t="s">
        <v>4729</v>
      </c>
      <c r="C1256" s="196">
        <v>424910</v>
      </c>
      <c r="D1256" s="197" t="s">
        <v>4730</v>
      </c>
    </row>
    <row r="1257" spans="1:4" ht="17.25" customHeight="1" x14ac:dyDescent="0.2">
      <c r="A1257" s="195">
        <v>5192</v>
      </c>
      <c r="B1257" s="196" t="s">
        <v>4731</v>
      </c>
      <c r="C1257" s="196">
        <v>424920</v>
      </c>
      <c r="D1257" s="197" t="s">
        <v>4732</v>
      </c>
    </row>
    <row r="1258" spans="1:4" ht="17.25" customHeight="1" x14ac:dyDescent="0.2">
      <c r="A1258" s="195">
        <v>5193</v>
      </c>
      <c r="B1258" s="196" t="s">
        <v>4733</v>
      </c>
      <c r="C1258" s="196">
        <v>424930</v>
      </c>
      <c r="D1258" s="197" t="s">
        <v>4734</v>
      </c>
    </row>
    <row r="1259" spans="1:4" ht="17.25" customHeight="1" x14ac:dyDescent="0.2">
      <c r="A1259" s="195">
        <v>5194</v>
      </c>
      <c r="B1259" s="196" t="s">
        <v>4735</v>
      </c>
      <c r="C1259" s="196">
        <v>424940</v>
      </c>
      <c r="D1259" s="197" t="s">
        <v>4736</v>
      </c>
    </row>
    <row r="1260" spans="1:4" ht="17.25" customHeight="1" x14ac:dyDescent="0.2">
      <c r="A1260" s="195">
        <v>5198</v>
      </c>
      <c r="B1260" s="196" t="s">
        <v>4737</v>
      </c>
      <c r="C1260" s="196">
        <v>424950</v>
      </c>
      <c r="D1260" s="197" t="s">
        <v>4738</v>
      </c>
    </row>
    <row r="1261" spans="1:4" ht="17.25" customHeight="1" x14ac:dyDescent="0.2">
      <c r="A1261" s="195">
        <v>5199</v>
      </c>
      <c r="B1261" s="196" t="s">
        <v>4693</v>
      </c>
      <c r="C1261" s="196">
        <v>424990</v>
      </c>
      <c r="D1261" s="197" t="s">
        <v>4739</v>
      </c>
    </row>
    <row r="1262" spans="1:4" ht="17.25" customHeight="1" x14ac:dyDescent="0.2">
      <c r="A1262" s="195">
        <v>5012</v>
      </c>
      <c r="B1262" s="196" t="s">
        <v>4610</v>
      </c>
      <c r="C1262" s="196">
        <v>425120</v>
      </c>
      <c r="D1262" s="197" t="s">
        <v>4740</v>
      </c>
    </row>
    <row r="1263" spans="1:4" ht="17.25" customHeight="1" x14ac:dyDescent="0.2">
      <c r="A1263" s="195">
        <v>5013</v>
      </c>
      <c r="B1263" s="196" t="s">
        <v>4612</v>
      </c>
      <c r="C1263" s="196">
        <v>425120</v>
      </c>
      <c r="D1263" s="197" t="s">
        <v>4740</v>
      </c>
    </row>
    <row r="1264" spans="1:4" ht="34.5" customHeight="1" x14ac:dyDescent="0.2">
      <c r="A1264" s="195">
        <v>5014</v>
      </c>
      <c r="B1264" s="196" t="s">
        <v>4614</v>
      </c>
      <c r="C1264" s="196">
        <v>425120</v>
      </c>
      <c r="D1264" s="197" t="s">
        <v>4740</v>
      </c>
    </row>
    <row r="1265" spans="1:4" ht="17.25" customHeight="1" x14ac:dyDescent="0.2">
      <c r="A1265" s="195">
        <v>5015</v>
      </c>
      <c r="B1265" s="196" t="s">
        <v>4616</v>
      </c>
      <c r="C1265" s="196">
        <v>425120</v>
      </c>
      <c r="D1265" s="197" t="s">
        <v>4740</v>
      </c>
    </row>
    <row r="1266" spans="1:4" ht="17.25" customHeight="1" x14ac:dyDescent="0.2">
      <c r="A1266" s="195">
        <v>5021</v>
      </c>
      <c r="B1266" s="196" t="s">
        <v>4618</v>
      </c>
      <c r="C1266" s="196">
        <v>425120</v>
      </c>
      <c r="D1266" s="197" t="s">
        <v>4740</v>
      </c>
    </row>
    <row r="1267" spans="1:4" ht="17.25" customHeight="1" x14ac:dyDescent="0.2">
      <c r="A1267" s="195">
        <v>5023</v>
      </c>
      <c r="B1267" s="196" t="s">
        <v>4620</v>
      </c>
      <c r="C1267" s="196">
        <v>425120</v>
      </c>
      <c r="D1267" s="197" t="s">
        <v>4740</v>
      </c>
    </row>
    <row r="1268" spans="1:4" ht="17.25" customHeight="1" x14ac:dyDescent="0.2">
      <c r="A1268" s="195">
        <v>5031</v>
      </c>
      <c r="B1268" s="196" t="s">
        <v>4622</v>
      </c>
      <c r="C1268" s="196">
        <v>425120</v>
      </c>
      <c r="D1268" s="197" t="s">
        <v>4740</v>
      </c>
    </row>
    <row r="1269" spans="1:4" ht="17.25" customHeight="1" x14ac:dyDescent="0.2">
      <c r="A1269" s="195">
        <v>5032</v>
      </c>
      <c r="B1269" s="196" t="s">
        <v>4625</v>
      </c>
      <c r="C1269" s="196">
        <v>425120</v>
      </c>
      <c r="D1269" s="197" t="s">
        <v>4740</v>
      </c>
    </row>
    <row r="1270" spans="1:4" ht="17.25" customHeight="1" x14ac:dyDescent="0.2">
      <c r="A1270" s="195">
        <v>5033</v>
      </c>
      <c r="B1270" s="196" t="s">
        <v>4627</v>
      </c>
      <c r="C1270" s="196">
        <v>425120</v>
      </c>
      <c r="D1270" s="197" t="s">
        <v>4740</v>
      </c>
    </row>
    <row r="1271" spans="1:4" ht="17.25" customHeight="1" x14ac:dyDescent="0.2">
      <c r="A1271" s="195">
        <v>5039</v>
      </c>
      <c r="B1271" s="196" t="s">
        <v>4624</v>
      </c>
      <c r="C1271" s="196">
        <v>425120</v>
      </c>
      <c r="D1271" s="197" t="s">
        <v>4740</v>
      </c>
    </row>
    <row r="1272" spans="1:4" ht="17.25" customHeight="1" x14ac:dyDescent="0.2">
      <c r="A1272" s="195">
        <v>5043</v>
      </c>
      <c r="B1272" s="196" t="s">
        <v>4186</v>
      </c>
      <c r="C1272" s="196">
        <v>425120</v>
      </c>
      <c r="D1272" s="197" t="s">
        <v>4740</v>
      </c>
    </row>
    <row r="1273" spans="1:4" ht="17.25" customHeight="1" x14ac:dyDescent="0.2">
      <c r="A1273" s="195">
        <v>5044</v>
      </c>
      <c r="B1273" s="196" t="s">
        <v>4631</v>
      </c>
      <c r="C1273" s="196">
        <v>425120</v>
      </c>
      <c r="D1273" s="197" t="s">
        <v>4740</v>
      </c>
    </row>
    <row r="1274" spans="1:4" ht="17.25" customHeight="1" x14ac:dyDescent="0.2">
      <c r="A1274" s="195">
        <v>5045</v>
      </c>
      <c r="B1274" s="196" t="s">
        <v>4633</v>
      </c>
      <c r="C1274" s="196">
        <v>425120</v>
      </c>
      <c r="D1274" s="197" t="s">
        <v>4740</v>
      </c>
    </row>
    <row r="1275" spans="1:4" ht="17.25" customHeight="1" x14ac:dyDescent="0.2">
      <c r="A1275" s="195">
        <v>5046</v>
      </c>
      <c r="B1275" s="196" t="s">
        <v>4635</v>
      </c>
      <c r="C1275" s="196">
        <v>425120</v>
      </c>
      <c r="D1275" s="197" t="s">
        <v>4740</v>
      </c>
    </row>
    <row r="1276" spans="1:4" ht="34.5" customHeight="1" x14ac:dyDescent="0.2">
      <c r="A1276" s="195">
        <v>5047</v>
      </c>
      <c r="B1276" s="196" t="s">
        <v>4637</v>
      </c>
      <c r="C1276" s="196">
        <v>425120</v>
      </c>
      <c r="D1276" s="197" t="s">
        <v>4740</v>
      </c>
    </row>
    <row r="1277" spans="1:4" ht="17.25" customHeight="1" x14ac:dyDescent="0.2">
      <c r="A1277" s="195">
        <v>5048</v>
      </c>
      <c r="B1277" s="196" t="s">
        <v>4585</v>
      </c>
      <c r="C1277" s="196">
        <v>425120</v>
      </c>
      <c r="D1277" s="197" t="s">
        <v>4740</v>
      </c>
    </row>
    <row r="1278" spans="1:4" ht="17.25" customHeight="1" x14ac:dyDescent="0.2">
      <c r="A1278" s="195">
        <v>5049</v>
      </c>
      <c r="B1278" s="196" t="s">
        <v>4640</v>
      </c>
      <c r="C1278" s="196">
        <v>425120</v>
      </c>
      <c r="D1278" s="197" t="s">
        <v>4740</v>
      </c>
    </row>
    <row r="1279" spans="1:4" ht="17.25" customHeight="1" x14ac:dyDescent="0.2">
      <c r="A1279" s="195">
        <v>5051</v>
      </c>
      <c r="B1279" s="196" t="s">
        <v>4642</v>
      </c>
      <c r="C1279" s="196">
        <v>425120</v>
      </c>
      <c r="D1279" s="197" t="s">
        <v>4740</v>
      </c>
    </row>
    <row r="1280" spans="1:4" ht="17.25" customHeight="1" x14ac:dyDescent="0.2">
      <c r="A1280" s="195">
        <v>5052</v>
      </c>
      <c r="B1280" s="196" t="s">
        <v>4644</v>
      </c>
      <c r="C1280" s="196">
        <v>425120</v>
      </c>
      <c r="D1280" s="197" t="s">
        <v>4740</v>
      </c>
    </row>
    <row r="1281" spans="1:4" ht="29.25" customHeight="1" x14ac:dyDescent="0.2">
      <c r="A1281" s="195">
        <v>5063</v>
      </c>
      <c r="B1281" s="196" t="s">
        <v>4646</v>
      </c>
      <c r="C1281" s="196">
        <v>425120</v>
      </c>
      <c r="D1281" s="197" t="s">
        <v>4740</v>
      </c>
    </row>
    <row r="1282" spans="1:4" ht="17.25" customHeight="1" x14ac:dyDescent="0.2">
      <c r="A1282" s="195">
        <v>5064</v>
      </c>
      <c r="B1282" s="196" t="s">
        <v>4648</v>
      </c>
      <c r="C1282" s="196">
        <v>425120</v>
      </c>
      <c r="D1282" s="197" t="s">
        <v>4740</v>
      </c>
    </row>
    <row r="1283" spans="1:4" ht="17.25" customHeight="1" x14ac:dyDescent="0.2">
      <c r="A1283" s="195">
        <v>5065</v>
      </c>
      <c r="B1283" s="196" t="s">
        <v>4651</v>
      </c>
      <c r="C1283" s="196">
        <v>425120</v>
      </c>
      <c r="D1283" s="197" t="s">
        <v>4740</v>
      </c>
    </row>
    <row r="1284" spans="1:4" ht="34.5" customHeight="1" x14ac:dyDescent="0.2">
      <c r="A1284" s="195">
        <v>5072</v>
      </c>
      <c r="B1284" s="196" t="s">
        <v>4653</v>
      </c>
      <c r="C1284" s="196">
        <v>425120</v>
      </c>
      <c r="D1284" s="197" t="s">
        <v>4740</v>
      </c>
    </row>
    <row r="1285" spans="1:4" ht="17.25" customHeight="1" x14ac:dyDescent="0.2">
      <c r="A1285" s="195">
        <v>5074</v>
      </c>
      <c r="B1285" s="196" t="s">
        <v>4650</v>
      </c>
      <c r="C1285" s="196">
        <v>425120</v>
      </c>
      <c r="D1285" s="197" t="s">
        <v>4740</v>
      </c>
    </row>
    <row r="1286" spans="1:4" ht="17.25" customHeight="1" x14ac:dyDescent="0.2">
      <c r="A1286" s="195">
        <v>5075</v>
      </c>
      <c r="B1286" s="196" t="s">
        <v>4656</v>
      </c>
      <c r="C1286" s="196">
        <v>425120</v>
      </c>
      <c r="D1286" s="197" t="s">
        <v>4740</v>
      </c>
    </row>
    <row r="1287" spans="1:4" ht="34.5" customHeight="1" x14ac:dyDescent="0.2">
      <c r="A1287" s="195">
        <v>5078</v>
      </c>
      <c r="B1287" s="196" t="s">
        <v>4658</v>
      </c>
      <c r="C1287" s="196">
        <v>425120</v>
      </c>
      <c r="D1287" s="197" t="s">
        <v>4740</v>
      </c>
    </row>
    <row r="1288" spans="1:4" ht="17.25" customHeight="1" x14ac:dyDescent="0.2">
      <c r="A1288" s="195">
        <v>5082</v>
      </c>
      <c r="B1288" s="196" t="s">
        <v>4660</v>
      </c>
      <c r="C1288" s="196">
        <v>425120</v>
      </c>
      <c r="D1288" s="197" t="s">
        <v>4740</v>
      </c>
    </row>
    <row r="1289" spans="1:4" ht="17.25" customHeight="1" x14ac:dyDescent="0.2">
      <c r="A1289" s="195">
        <v>5083</v>
      </c>
      <c r="B1289" s="196" t="s">
        <v>4662</v>
      </c>
      <c r="C1289" s="196">
        <v>425120</v>
      </c>
      <c r="D1289" s="197" t="s">
        <v>4740</v>
      </c>
    </row>
    <row r="1290" spans="1:4" ht="17.25" customHeight="1" x14ac:dyDescent="0.2">
      <c r="A1290" s="195">
        <v>5084</v>
      </c>
      <c r="B1290" s="196" t="s">
        <v>4664</v>
      </c>
      <c r="C1290" s="196">
        <v>425120</v>
      </c>
      <c r="D1290" s="197" t="s">
        <v>4740</v>
      </c>
    </row>
    <row r="1291" spans="1:4" ht="34.5" customHeight="1" x14ac:dyDescent="0.2">
      <c r="A1291" s="195">
        <v>5085</v>
      </c>
      <c r="B1291" s="196" t="s">
        <v>4666</v>
      </c>
      <c r="C1291" s="196">
        <v>425120</v>
      </c>
      <c r="D1291" s="197" t="s">
        <v>4740</v>
      </c>
    </row>
    <row r="1292" spans="1:4" ht="17.25" customHeight="1" x14ac:dyDescent="0.2">
      <c r="A1292" s="195">
        <v>5087</v>
      </c>
      <c r="B1292" s="196" t="s">
        <v>4667</v>
      </c>
      <c r="C1292" s="196">
        <v>425120</v>
      </c>
      <c r="D1292" s="197" t="s">
        <v>4740</v>
      </c>
    </row>
    <row r="1293" spans="1:4" ht="17.25" customHeight="1" x14ac:dyDescent="0.2">
      <c r="A1293" s="195">
        <v>5088</v>
      </c>
      <c r="B1293" s="196" t="s">
        <v>4669</v>
      </c>
      <c r="C1293" s="196">
        <v>425120</v>
      </c>
      <c r="D1293" s="197" t="s">
        <v>4740</v>
      </c>
    </row>
    <row r="1294" spans="1:4" ht="34.5" customHeight="1" x14ac:dyDescent="0.2">
      <c r="A1294" s="195">
        <v>5091</v>
      </c>
      <c r="B1294" s="196" t="s">
        <v>4671</v>
      </c>
      <c r="C1294" s="196">
        <v>425120</v>
      </c>
      <c r="D1294" s="197" t="s">
        <v>4740</v>
      </c>
    </row>
    <row r="1295" spans="1:4" ht="17.25" customHeight="1" x14ac:dyDescent="0.2">
      <c r="A1295" s="195">
        <v>5092</v>
      </c>
      <c r="B1295" s="196" t="s">
        <v>4675</v>
      </c>
      <c r="C1295" s="196">
        <v>425120</v>
      </c>
      <c r="D1295" s="197" t="s">
        <v>4740</v>
      </c>
    </row>
    <row r="1296" spans="1:4" ht="17.25" customHeight="1" x14ac:dyDescent="0.2">
      <c r="A1296" s="195">
        <v>5093</v>
      </c>
      <c r="B1296" s="196" t="s">
        <v>4677</v>
      </c>
      <c r="C1296" s="196">
        <v>425120</v>
      </c>
      <c r="D1296" s="197" t="s">
        <v>4740</v>
      </c>
    </row>
    <row r="1297" spans="1:4" ht="34.5" customHeight="1" x14ac:dyDescent="0.2">
      <c r="A1297" s="195">
        <v>5094</v>
      </c>
      <c r="B1297" s="196" t="s">
        <v>4679</v>
      </c>
      <c r="C1297" s="196">
        <v>425120</v>
      </c>
      <c r="D1297" s="197" t="s">
        <v>4740</v>
      </c>
    </row>
    <row r="1298" spans="1:4" ht="17.25" customHeight="1" x14ac:dyDescent="0.2">
      <c r="A1298" s="195">
        <v>5099</v>
      </c>
      <c r="B1298" s="196" t="s">
        <v>4681</v>
      </c>
      <c r="C1298" s="196">
        <v>425120</v>
      </c>
      <c r="D1298" s="197" t="s">
        <v>4740</v>
      </c>
    </row>
    <row r="1299" spans="1:4" ht="17.25" customHeight="1" x14ac:dyDescent="0.2">
      <c r="A1299" s="195">
        <v>5111</v>
      </c>
      <c r="B1299" s="196" t="s">
        <v>4684</v>
      </c>
      <c r="C1299" s="196">
        <v>425120</v>
      </c>
      <c r="D1299" s="197" t="s">
        <v>4740</v>
      </c>
    </row>
    <row r="1300" spans="1:4" ht="17.25" customHeight="1" x14ac:dyDescent="0.2">
      <c r="A1300" s="195">
        <v>5112</v>
      </c>
      <c r="B1300" s="196" t="s">
        <v>4686</v>
      </c>
      <c r="C1300" s="196">
        <v>425120</v>
      </c>
      <c r="D1300" s="197" t="s">
        <v>4740</v>
      </c>
    </row>
    <row r="1301" spans="1:4" ht="17.25" customHeight="1" x14ac:dyDescent="0.2">
      <c r="A1301" s="195">
        <v>5113</v>
      </c>
      <c r="B1301" s="196" t="s">
        <v>4688</v>
      </c>
      <c r="C1301" s="196">
        <v>425120</v>
      </c>
      <c r="D1301" s="197" t="s">
        <v>4740</v>
      </c>
    </row>
    <row r="1302" spans="1:4" ht="17.25" customHeight="1" x14ac:dyDescent="0.2">
      <c r="A1302" s="195">
        <v>5122</v>
      </c>
      <c r="B1302" s="196" t="s">
        <v>4690</v>
      </c>
      <c r="C1302" s="196">
        <v>425120</v>
      </c>
      <c r="D1302" s="197" t="s">
        <v>4740</v>
      </c>
    </row>
    <row r="1303" spans="1:4" ht="17.25" customHeight="1" x14ac:dyDescent="0.2">
      <c r="A1303" s="195">
        <v>5131</v>
      </c>
      <c r="B1303" s="196" t="s">
        <v>4009</v>
      </c>
      <c r="C1303" s="196">
        <v>425120</v>
      </c>
      <c r="D1303" s="197" t="s">
        <v>4740</v>
      </c>
    </row>
    <row r="1304" spans="1:4" ht="17.25" customHeight="1" x14ac:dyDescent="0.2">
      <c r="A1304" s="195">
        <v>5136</v>
      </c>
      <c r="B1304" s="196" t="s">
        <v>4673</v>
      </c>
      <c r="C1304" s="196">
        <v>425120</v>
      </c>
      <c r="D1304" s="197" t="s">
        <v>4740</v>
      </c>
    </row>
    <row r="1305" spans="1:4" ht="34.5" customHeight="1" x14ac:dyDescent="0.2">
      <c r="A1305" s="195">
        <v>5137</v>
      </c>
      <c r="B1305" s="196" t="s">
        <v>4674</v>
      </c>
      <c r="C1305" s="196">
        <v>425120</v>
      </c>
      <c r="D1305" s="197" t="s">
        <v>4740</v>
      </c>
    </row>
    <row r="1306" spans="1:4" ht="17.25" customHeight="1" x14ac:dyDescent="0.2">
      <c r="A1306" s="195">
        <v>5139</v>
      </c>
      <c r="B1306" s="196" t="s">
        <v>4694</v>
      </c>
      <c r="C1306" s="196">
        <v>425120</v>
      </c>
      <c r="D1306" s="197" t="s">
        <v>4740</v>
      </c>
    </row>
    <row r="1307" spans="1:4" ht="17.25" customHeight="1" x14ac:dyDescent="0.2">
      <c r="A1307" s="195">
        <v>5141</v>
      </c>
      <c r="B1307" s="196" t="s">
        <v>4696</v>
      </c>
      <c r="C1307" s="196">
        <v>425120</v>
      </c>
      <c r="D1307" s="197" t="s">
        <v>4740</v>
      </c>
    </row>
    <row r="1308" spans="1:4" ht="17.25" customHeight="1" x14ac:dyDescent="0.2">
      <c r="A1308" s="195">
        <v>5142</v>
      </c>
      <c r="B1308" s="196" t="s">
        <v>4698</v>
      </c>
      <c r="C1308" s="196">
        <v>425120</v>
      </c>
      <c r="D1308" s="197" t="s">
        <v>4740</v>
      </c>
    </row>
    <row r="1309" spans="1:4" ht="17.25" customHeight="1" x14ac:dyDescent="0.2">
      <c r="A1309" s="195">
        <v>5143</v>
      </c>
      <c r="B1309" s="196" t="s">
        <v>4700</v>
      </c>
      <c r="C1309" s="196">
        <v>425120</v>
      </c>
      <c r="D1309" s="197" t="s">
        <v>4740</v>
      </c>
    </row>
    <row r="1310" spans="1:4" ht="17.25" customHeight="1" x14ac:dyDescent="0.2">
      <c r="A1310" s="195">
        <v>5144</v>
      </c>
      <c r="B1310" s="196" t="s">
        <v>4702</v>
      </c>
      <c r="C1310" s="196">
        <v>425120</v>
      </c>
      <c r="D1310" s="197" t="s">
        <v>4740</v>
      </c>
    </row>
    <row r="1311" spans="1:4" ht="17.25" customHeight="1" x14ac:dyDescent="0.2">
      <c r="A1311" s="195">
        <v>5145</v>
      </c>
      <c r="B1311" s="196" t="s">
        <v>4704</v>
      </c>
      <c r="C1311" s="196">
        <v>425120</v>
      </c>
      <c r="D1311" s="197" t="s">
        <v>4740</v>
      </c>
    </row>
    <row r="1312" spans="1:4" ht="17.25" customHeight="1" x14ac:dyDescent="0.2">
      <c r="A1312" s="195">
        <v>5146</v>
      </c>
      <c r="B1312" s="196" t="s">
        <v>4706</v>
      </c>
      <c r="C1312" s="196">
        <v>425120</v>
      </c>
      <c r="D1312" s="197" t="s">
        <v>4740</v>
      </c>
    </row>
    <row r="1313" spans="1:4" ht="17.25" customHeight="1" x14ac:dyDescent="0.2">
      <c r="A1313" s="195">
        <v>5147</v>
      </c>
      <c r="B1313" s="196" t="s">
        <v>3940</v>
      </c>
      <c r="C1313" s="196">
        <v>425120</v>
      </c>
      <c r="D1313" s="197" t="s">
        <v>4740</v>
      </c>
    </row>
    <row r="1314" spans="1:4" ht="17.25" customHeight="1" x14ac:dyDescent="0.2">
      <c r="A1314" s="195">
        <v>5148</v>
      </c>
      <c r="B1314" s="196" t="s">
        <v>4709</v>
      </c>
      <c r="C1314" s="196">
        <v>425120</v>
      </c>
      <c r="D1314" s="197" t="s">
        <v>4740</v>
      </c>
    </row>
    <row r="1315" spans="1:4" ht="17.25" customHeight="1" x14ac:dyDescent="0.2">
      <c r="A1315" s="195">
        <v>5149</v>
      </c>
      <c r="B1315" s="196" t="s">
        <v>3973</v>
      </c>
      <c r="C1315" s="196">
        <v>425120</v>
      </c>
      <c r="D1315" s="197" t="s">
        <v>4740</v>
      </c>
    </row>
    <row r="1316" spans="1:4" ht="17.25" customHeight="1" x14ac:dyDescent="0.2">
      <c r="A1316" s="195">
        <v>5153</v>
      </c>
      <c r="B1316" s="196" t="s">
        <v>4712</v>
      </c>
      <c r="C1316" s="196">
        <v>425120</v>
      </c>
      <c r="D1316" s="197" t="s">
        <v>4740</v>
      </c>
    </row>
    <row r="1317" spans="1:4" ht="34.5" customHeight="1" x14ac:dyDescent="0.2">
      <c r="A1317" s="195">
        <v>5154</v>
      </c>
      <c r="B1317" s="196" t="s">
        <v>4714</v>
      </c>
      <c r="C1317" s="196">
        <v>425120</v>
      </c>
      <c r="D1317" s="197" t="s">
        <v>4740</v>
      </c>
    </row>
    <row r="1318" spans="1:4" ht="17.25" customHeight="1" x14ac:dyDescent="0.2">
      <c r="A1318" s="195">
        <v>5159</v>
      </c>
      <c r="B1318" s="196" t="s">
        <v>4716</v>
      </c>
      <c r="C1318" s="196">
        <v>425120</v>
      </c>
      <c r="D1318" s="197" t="s">
        <v>4740</v>
      </c>
    </row>
    <row r="1319" spans="1:4" ht="17.25" customHeight="1" x14ac:dyDescent="0.2">
      <c r="A1319" s="195">
        <v>5162</v>
      </c>
      <c r="B1319" s="196" t="s">
        <v>4718</v>
      </c>
      <c r="C1319" s="196">
        <v>425120</v>
      </c>
      <c r="D1319" s="197" t="s">
        <v>4740</v>
      </c>
    </row>
    <row r="1320" spans="1:4" ht="17.25" customHeight="1" x14ac:dyDescent="0.2">
      <c r="A1320" s="195">
        <v>5169</v>
      </c>
      <c r="B1320" s="196" t="s">
        <v>4720</v>
      </c>
      <c r="C1320" s="196">
        <v>425120</v>
      </c>
      <c r="D1320" s="197" t="s">
        <v>4740</v>
      </c>
    </row>
    <row r="1321" spans="1:4" ht="34.5" customHeight="1" x14ac:dyDescent="0.2">
      <c r="A1321" s="195">
        <v>5172</v>
      </c>
      <c r="B1321" s="196" t="s">
        <v>4723</v>
      </c>
      <c r="C1321" s="196">
        <v>425120</v>
      </c>
      <c r="D1321" s="197" t="s">
        <v>4740</v>
      </c>
    </row>
    <row r="1322" spans="1:4" ht="17.25" customHeight="1" x14ac:dyDescent="0.2">
      <c r="A1322" s="195">
        <v>5181</v>
      </c>
      <c r="B1322" s="196" t="s">
        <v>4725</v>
      </c>
      <c r="C1322" s="196">
        <v>425120</v>
      </c>
      <c r="D1322" s="197" t="s">
        <v>4740</v>
      </c>
    </row>
    <row r="1323" spans="1:4" ht="17.25" customHeight="1" x14ac:dyDescent="0.2">
      <c r="A1323" s="195">
        <v>5182</v>
      </c>
      <c r="B1323" s="196" t="s">
        <v>4727</v>
      </c>
      <c r="C1323" s="196">
        <v>425120</v>
      </c>
      <c r="D1323" s="197" t="s">
        <v>4740</v>
      </c>
    </row>
    <row r="1324" spans="1:4" ht="17.25" customHeight="1" x14ac:dyDescent="0.2">
      <c r="A1324" s="195">
        <v>5191</v>
      </c>
      <c r="B1324" s="196" t="s">
        <v>4729</v>
      </c>
      <c r="C1324" s="196">
        <v>425120</v>
      </c>
      <c r="D1324" s="197" t="s">
        <v>4740</v>
      </c>
    </row>
    <row r="1325" spans="1:4" ht="34.5" customHeight="1" x14ac:dyDescent="0.2">
      <c r="A1325" s="195">
        <v>5192</v>
      </c>
      <c r="B1325" s="196" t="s">
        <v>4731</v>
      </c>
      <c r="C1325" s="196">
        <v>425120</v>
      </c>
      <c r="D1325" s="197" t="s">
        <v>4740</v>
      </c>
    </row>
    <row r="1326" spans="1:4" ht="17.25" customHeight="1" x14ac:dyDescent="0.2">
      <c r="A1326" s="195">
        <v>5193</v>
      </c>
      <c r="B1326" s="196" t="s">
        <v>4733</v>
      </c>
      <c r="C1326" s="196">
        <v>425120</v>
      </c>
      <c r="D1326" s="197" t="s">
        <v>4740</v>
      </c>
    </row>
    <row r="1327" spans="1:4" ht="17.25" customHeight="1" x14ac:dyDescent="0.2">
      <c r="A1327" s="195">
        <v>5194</v>
      </c>
      <c r="B1327" s="196" t="s">
        <v>4735</v>
      </c>
      <c r="C1327" s="196">
        <v>425120</v>
      </c>
      <c r="D1327" s="197" t="s">
        <v>4740</v>
      </c>
    </row>
    <row r="1328" spans="1:4" ht="17.25" customHeight="1" x14ac:dyDescent="0.2">
      <c r="A1328" s="195">
        <v>5198</v>
      </c>
      <c r="B1328" s="196" t="s">
        <v>4737</v>
      </c>
      <c r="C1328" s="196">
        <v>425120</v>
      </c>
      <c r="D1328" s="197" t="s">
        <v>4740</v>
      </c>
    </row>
    <row r="1329" spans="1:4" ht="34.5" customHeight="1" x14ac:dyDescent="0.2">
      <c r="A1329" s="195">
        <v>5199</v>
      </c>
      <c r="B1329" s="196" t="s">
        <v>4693</v>
      </c>
      <c r="C1329" s="196">
        <v>425120</v>
      </c>
      <c r="D1329" s="197" t="s">
        <v>4740</v>
      </c>
    </row>
    <row r="1330" spans="1:4" ht="34.5" customHeight="1" x14ac:dyDescent="0.2">
      <c r="A1330" s="195">
        <v>5012</v>
      </c>
      <c r="B1330" s="196" t="s">
        <v>4610</v>
      </c>
      <c r="C1330" s="196">
        <v>425120</v>
      </c>
      <c r="D1330" s="197" t="s">
        <v>4740</v>
      </c>
    </row>
    <row r="1331" spans="1:4" ht="17.25" customHeight="1" x14ac:dyDescent="0.2">
      <c r="A1331" s="195">
        <v>5013</v>
      </c>
      <c r="B1331" s="196" t="s">
        <v>4612</v>
      </c>
      <c r="C1331" s="196">
        <v>425120</v>
      </c>
      <c r="D1331" s="197" t="s">
        <v>4740</v>
      </c>
    </row>
    <row r="1332" spans="1:4" ht="17.25" customHeight="1" x14ac:dyDescent="0.2">
      <c r="A1332" s="195">
        <v>5014</v>
      </c>
      <c r="B1332" s="196" t="s">
        <v>4614</v>
      </c>
      <c r="C1332" s="196">
        <v>425120</v>
      </c>
      <c r="D1332" s="197" t="s">
        <v>4740</v>
      </c>
    </row>
    <row r="1333" spans="1:4" ht="17.25" customHeight="1" x14ac:dyDescent="0.2">
      <c r="A1333" s="195">
        <v>5015</v>
      </c>
      <c r="B1333" s="196" t="s">
        <v>4616</v>
      </c>
      <c r="C1333" s="196">
        <v>425120</v>
      </c>
      <c r="D1333" s="197" t="s">
        <v>4740</v>
      </c>
    </row>
    <row r="1334" spans="1:4" ht="34.5" customHeight="1" x14ac:dyDescent="0.2">
      <c r="A1334" s="195">
        <v>5021</v>
      </c>
      <c r="B1334" s="196" t="s">
        <v>4618</v>
      </c>
      <c r="C1334" s="196">
        <v>425120</v>
      </c>
      <c r="D1334" s="197" t="s">
        <v>4740</v>
      </c>
    </row>
    <row r="1335" spans="1:4" ht="17.25" customHeight="1" x14ac:dyDescent="0.2">
      <c r="A1335" s="195">
        <v>5023</v>
      </c>
      <c r="B1335" s="196" t="s">
        <v>4620</v>
      </c>
      <c r="C1335" s="196">
        <v>425120</v>
      </c>
      <c r="D1335" s="197" t="s">
        <v>4740</v>
      </c>
    </row>
    <row r="1336" spans="1:4" ht="17.25" customHeight="1" x14ac:dyDescent="0.2">
      <c r="A1336" s="195">
        <v>5031</v>
      </c>
      <c r="B1336" s="196" t="s">
        <v>4622</v>
      </c>
      <c r="C1336" s="196">
        <v>425120</v>
      </c>
      <c r="D1336" s="197" t="s">
        <v>4740</v>
      </c>
    </row>
    <row r="1337" spans="1:4" ht="17.25" customHeight="1" x14ac:dyDescent="0.2">
      <c r="A1337" s="195">
        <v>5032</v>
      </c>
      <c r="B1337" s="196" t="s">
        <v>4625</v>
      </c>
      <c r="C1337" s="196">
        <v>425120</v>
      </c>
      <c r="D1337" s="197" t="s">
        <v>4740</v>
      </c>
    </row>
    <row r="1338" spans="1:4" ht="17.25" customHeight="1" x14ac:dyDescent="0.2">
      <c r="A1338" s="195">
        <v>5033</v>
      </c>
      <c r="B1338" s="196" t="s">
        <v>4627</v>
      </c>
      <c r="C1338" s="196">
        <v>425120</v>
      </c>
      <c r="D1338" s="197" t="s">
        <v>4740</v>
      </c>
    </row>
    <row r="1339" spans="1:4" ht="17.25" customHeight="1" x14ac:dyDescent="0.2">
      <c r="A1339" s="195">
        <v>5039</v>
      </c>
      <c r="B1339" s="196" t="s">
        <v>4624</v>
      </c>
      <c r="C1339" s="196">
        <v>425120</v>
      </c>
      <c r="D1339" s="197" t="s">
        <v>4740</v>
      </c>
    </row>
    <row r="1340" spans="1:4" ht="17.25" customHeight="1" x14ac:dyDescent="0.2">
      <c r="A1340" s="195">
        <v>5043</v>
      </c>
      <c r="B1340" s="196" t="s">
        <v>4186</v>
      </c>
      <c r="C1340" s="196">
        <v>425120</v>
      </c>
      <c r="D1340" s="197" t="s">
        <v>4740</v>
      </c>
    </row>
    <row r="1341" spans="1:4" ht="43.35" customHeight="1" x14ac:dyDescent="0.2">
      <c r="A1341" s="195">
        <v>5044</v>
      </c>
      <c r="B1341" s="196" t="s">
        <v>4631</v>
      </c>
      <c r="C1341" s="196">
        <v>425120</v>
      </c>
      <c r="D1341" s="197" t="s">
        <v>4740</v>
      </c>
    </row>
    <row r="1342" spans="1:4" ht="17.25" customHeight="1" x14ac:dyDescent="0.2">
      <c r="A1342" s="195">
        <v>5045</v>
      </c>
      <c r="B1342" s="196" t="s">
        <v>4633</v>
      </c>
      <c r="C1342" s="196">
        <v>425120</v>
      </c>
      <c r="D1342" s="197" t="s">
        <v>4740</v>
      </c>
    </row>
    <row r="1343" spans="1:4" ht="17.25" customHeight="1" x14ac:dyDescent="0.2">
      <c r="A1343" s="195">
        <v>5046</v>
      </c>
      <c r="B1343" s="196" t="s">
        <v>4635</v>
      </c>
      <c r="C1343" s="196">
        <v>425120</v>
      </c>
      <c r="D1343" s="197" t="s">
        <v>4740</v>
      </c>
    </row>
    <row r="1344" spans="1:4" ht="17.25" customHeight="1" x14ac:dyDescent="0.2">
      <c r="A1344" s="195">
        <v>5047</v>
      </c>
      <c r="B1344" s="196" t="s">
        <v>4637</v>
      </c>
      <c r="C1344" s="196">
        <v>425120</v>
      </c>
      <c r="D1344" s="197" t="s">
        <v>4740</v>
      </c>
    </row>
    <row r="1345" spans="1:4" ht="34.5" customHeight="1" x14ac:dyDescent="0.2">
      <c r="A1345" s="195">
        <v>5048</v>
      </c>
      <c r="B1345" s="196" t="s">
        <v>4585</v>
      </c>
      <c r="C1345" s="196">
        <v>425120</v>
      </c>
      <c r="D1345" s="197" t="s">
        <v>4740</v>
      </c>
    </row>
    <row r="1346" spans="1:4" ht="17.25" customHeight="1" x14ac:dyDescent="0.2">
      <c r="A1346" s="195">
        <v>5049</v>
      </c>
      <c r="B1346" s="196" t="s">
        <v>4640</v>
      </c>
      <c r="C1346" s="196">
        <v>425120</v>
      </c>
      <c r="D1346" s="197" t="s">
        <v>4740</v>
      </c>
    </row>
    <row r="1347" spans="1:4" ht="17.25" customHeight="1" x14ac:dyDescent="0.2">
      <c r="A1347" s="195">
        <v>5051</v>
      </c>
      <c r="B1347" s="196" t="s">
        <v>4642</v>
      </c>
      <c r="C1347" s="196">
        <v>425120</v>
      </c>
      <c r="D1347" s="197" t="s">
        <v>4740</v>
      </c>
    </row>
    <row r="1348" spans="1:4" ht="34.5" customHeight="1" x14ac:dyDescent="0.2">
      <c r="A1348" s="195">
        <v>5052</v>
      </c>
      <c r="B1348" s="196" t="s">
        <v>4644</v>
      </c>
      <c r="C1348" s="196">
        <v>425120</v>
      </c>
      <c r="D1348" s="197" t="s">
        <v>4740</v>
      </c>
    </row>
    <row r="1349" spans="1:4" ht="17.25" customHeight="1" x14ac:dyDescent="0.2">
      <c r="A1349" s="195">
        <v>5063</v>
      </c>
      <c r="B1349" s="196" t="s">
        <v>4646</v>
      </c>
      <c r="C1349" s="196">
        <v>425120</v>
      </c>
      <c r="D1349" s="197" t="s">
        <v>4740</v>
      </c>
    </row>
    <row r="1350" spans="1:4" ht="17.25" customHeight="1" x14ac:dyDescent="0.2">
      <c r="A1350" s="195">
        <v>5064</v>
      </c>
      <c r="B1350" s="196" t="s">
        <v>4648</v>
      </c>
      <c r="C1350" s="196">
        <v>425120</v>
      </c>
      <c r="D1350" s="197" t="s">
        <v>4740</v>
      </c>
    </row>
    <row r="1351" spans="1:4" ht="17.25" customHeight="1" x14ac:dyDescent="0.2">
      <c r="A1351" s="195">
        <v>5065</v>
      </c>
      <c r="B1351" s="196" t="s">
        <v>4651</v>
      </c>
      <c r="C1351" s="196">
        <v>425120</v>
      </c>
      <c r="D1351" s="197" t="s">
        <v>4740</v>
      </c>
    </row>
    <row r="1352" spans="1:4" ht="17.25" customHeight="1" x14ac:dyDescent="0.2">
      <c r="A1352" s="195">
        <v>5072</v>
      </c>
      <c r="B1352" s="196" t="s">
        <v>4653</v>
      </c>
      <c r="C1352" s="196">
        <v>425120</v>
      </c>
      <c r="D1352" s="197" t="s">
        <v>4740</v>
      </c>
    </row>
    <row r="1353" spans="1:4" ht="17.25" customHeight="1" x14ac:dyDescent="0.2">
      <c r="A1353" s="195">
        <v>5074</v>
      </c>
      <c r="B1353" s="196" t="s">
        <v>4650</v>
      </c>
      <c r="C1353" s="196">
        <v>425120</v>
      </c>
      <c r="D1353" s="197" t="s">
        <v>4740</v>
      </c>
    </row>
    <row r="1354" spans="1:4" ht="17.25" customHeight="1" x14ac:dyDescent="0.2">
      <c r="A1354" s="195">
        <v>5075</v>
      </c>
      <c r="B1354" s="196" t="s">
        <v>4656</v>
      </c>
      <c r="C1354" s="196">
        <v>425120</v>
      </c>
      <c r="D1354" s="197" t="s">
        <v>4740</v>
      </c>
    </row>
    <row r="1355" spans="1:4" ht="34.5" customHeight="1" x14ac:dyDescent="0.2">
      <c r="A1355" s="195">
        <v>5078</v>
      </c>
      <c r="B1355" s="196" t="s">
        <v>4658</v>
      </c>
      <c r="C1355" s="196">
        <v>425120</v>
      </c>
      <c r="D1355" s="197" t="s">
        <v>4740</v>
      </c>
    </row>
    <row r="1356" spans="1:4" ht="17.25" customHeight="1" x14ac:dyDescent="0.2">
      <c r="A1356" s="195">
        <v>5082</v>
      </c>
      <c r="B1356" s="196" t="s">
        <v>4660</v>
      </c>
      <c r="C1356" s="196">
        <v>425120</v>
      </c>
      <c r="D1356" s="197" t="s">
        <v>4740</v>
      </c>
    </row>
    <row r="1357" spans="1:4" ht="17.25" customHeight="1" x14ac:dyDescent="0.2">
      <c r="A1357" s="195">
        <v>5083</v>
      </c>
      <c r="B1357" s="196" t="s">
        <v>4662</v>
      </c>
      <c r="C1357" s="196">
        <v>425120</v>
      </c>
      <c r="D1357" s="197" t="s">
        <v>4740</v>
      </c>
    </row>
    <row r="1358" spans="1:4" ht="17.25" customHeight="1" x14ac:dyDescent="0.2">
      <c r="A1358" s="195">
        <v>5084</v>
      </c>
      <c r="B1358" s="196" t="s">
        <v>4664</v>
      </c>
      <c r="C1358" s="196">
        <v>425120</v>
      </c>
      <c r="D1358" s="197" t="s">
        <v>4740</v>
      </c>
    </row>
    <row r="1359" spans="1:4" ht="34.5" customHeight="1" x14ac:dyDescent="0.2">
      <c r="A1359" s="195">
        <v>5085</v>
      </c>
      <c r="B1359" s="196" t="s">
        <v>4666</v>
      </c>
      <c r="C1359" s="196">
        <v>425120</v>
      </c>
      <c r="D1359" s="197" t="s">
        <v>4740</v>
      </c>
    </row>
    <row r="1360" spans="1:4" ht="17.25" customHeight="1" x14ac:dyDescent="0.2">
      <c r="A1360" s="195">
        <v>5087</v>
      </c>
      <c r="B1360" s="196" t="s">
        <v>4667</v>
      </c>
      <c r="C1360" s="196">
        <v>425120</v>
      </c>
      <c r="D1360" s="197" t="s">
        <v>4740</v>
      </c>
    </row>
    <row r="1361" spans="1:4" ht="17.25" customHeight="1" x14ac:dyDescent="0.2">
      <c r="A1361" s="195">
        <v>5088</v>
      </c>
      <c r="B1361" s="196" t="s">
        <v>4669</v>
      </c>
      <c r="C1361" s="196">
        <v>425120</v>
      </c>
      <c r="D1361" s="197" t="s">
        <v>4740</v>
      </c>
    </row>
    <row r="1362" spans="1:4" ht="34.5" customHeight="1" x14ac:dyDescent="0.2">
      <c r="A1362" s="195">
        <v>5091</v>
      </c>
      <c r="B1362" s="196" t="s">
        <v>4671</v>
      </c>
      <c r="C1362" s="196">
        <v>425120</v>
      </c>
      <c r="D1362" s="197" t="s">
        <v>4740</v>
      </c>
    </row>
    <row r="1363" spans="1:4" ht="17.25" customHeight="1" x14ac:dyDescent="0.2">
      <c r="A1363" s="195">
        <v>5092</v>
      </c>
      <c r="B1363" s="196" t="s">
        <v>4675</v>
      </c>
      <c r="C1363" s="196">
        <v>425120</v>
      </c>
      <c r="D1363" s="197" t="s">
        <v>4740</v>
      </c>
    </row>
    <row r="1364" spans="1:4" ht="17.25" customHeight="1" x14ac:dyDescent="0.2">
      <c r="A1364" s="195">
        <v>5093</v>
      </c>
      <c r="B1364" s="196" t="s">
        <v>4677</v>
      </c>
      <c r="C1364" s="196">
        <v>425120</v>
      </c>
      <c r="D1364" s="197" t="s">
        <v>4740</v>
      </c>
    </row>
    <row r="1365" spans="1:4" ht="43.35" customHeight="1" x14ac:dyDescent="0.2">
      <c r="A1365" s="195">
        <v>5094</v>
      </c>
      <c r="B1365" s="196" t="s">
        <v>4679</v>
      </c>
      <c r="C1365" s="196">
        <v>425120</v>
      </c>
      <c r="D1365" s="197" t="s">
        <v>4740</v>
      </c>
    </row>
    <row r="1366" spans="1:4" ht="17.25" customHeight="1" x14ac:dyDescent="0.2">
      <c r="A1366" s="195">
        <v>5099</v>
      </c>
      <c r="B1366" s="196" t="s">
        <v>4681</v>
      </c>
      <c r="C1366" s="196">
        <v>425120</v>
      </c>
      <c r="D1366" s="197" t="s">
        <v>4740</v>
      </c>
    </row>
    <row r="1367" spans="1:4" ht="17.25" customHeight="1" x14ac:dyDescent="0.2">
      <c r="A1367" s="195">
        <v>5111</v>
      </c>
      <c r="B1367" s="196" t="s">
        <v>4684</v>
      </c>
      <c r="C1367" s="196">
        <v>425120</v>
      </c>
      <c r="D1367" s="197" t="s">
        <v>4740</v>
      </c>
    </row>
    <row r="1368" spans="1:4" ht="17.25" customHeight="1" x14ac:dyDescent="0.2">
      <c r="A1368" s="195">
        <v>5112</v>
      </c>
      <c r="B1368" s="196" t="s">
        <v>4686</v>
      </c>
      <c r="C1368" s="196">
        <v>425120</v>
      </c>
      <c r="D1368" s="197" t="s">
        <v>4740</v>
      </c>
    </row>
    <row r="1369" spans="1:4" ht="43.35" customHeight="1" x14ac:dyDescent="0.2">
      <c r="A1369" s="195">
        <v>5113</v>
      </c>
      <c r="B1369" s="196" t="s">
        <v>4688</v>
      </c>
      <c r="C1369" s="196">
        <v>425120</v>
      </c>
      <c r="D1369" s="197" t="s">
        <v>4740</v>
      </c>
    </row>
    <row r="1370" spans="1:4" ht="42.6" customHeight="1" x14ac:dyDescent="0.2">
      <c r="A1370" s="195">
        <v>5122</v>
      </c>
      <c r="B1370" s="196" t="s">
        <v>4690</v>
      </c>
      <c r="C1370" s="196">
        <v>425120</v>
      </c>
      <c r="D1370" s="197" t="s">
        <v>4740</v>
      </c>
    </row>
    <row r="1371" spans="1:4" ht="27.95" customHeight="1" x14ac:dyDescent="0.2">
      <c r="A1371" s="195">
        <v>5131</v>
      </c>
      <c r="B1371" s="196" t="s">
        <v>4009</v>
      </c>
      <c r="C1371" s="196">
        <v>425120</v>
      </c>
      <c r="D1371" s="197" t="s">
        <v>4740</v>
      </c>
    </row>
    <row r="1372" spans="1:4" ht="28.7" customHeight="1" x14ac:dyDescent="0.2">
      <c r="A1372" s="195">
        <v>5136</v>
      </c>
      <c r="B1372" s="196" t="s">
        <v>4673</v>
      </c>
      <c r="C1372" s="196">
        <v>425120</v>
      </c>
      <c r="D1372" s="197" t="s">
        <v>4740</v>
      </c>
    </row>
    <row r="1373" spans="1:4" ht="28.7" customHeight="1" x14ac:dyDescent="0.2">
      <c r="A1373" s="195">
        <v>5137</v>
      </c>
      <c r="B1373" s="196" t="s">
        <v>4674</v>
      </c>
      <c r="C1373" s="196">
        <v>425120</v>
      </c>
      <c r="D1373" s="197" t="s">
        <v>4740</v>
      </c>
    </row>
    <row r="1374" spans="1:4" ht="28.7" customHeight="1" x14ac:dyDescent="0.2">
      <c r="A1374" s="195">
        <v>5139</v>
      </c>
      <c r="B1374" s="196" t="s">
        <v>4694</v>
      </c>
      <c r="C1374" s="196">
        <v>425120</v>
      </c>
      <c r="D1374" s="197" t="s">
        <v>4740</v>
      </c>
    </row>
    <row r="1375" spans="1:4" ht="28.7" customHeight="1" x14ac:dyDescent="0.2">
      <c r="A1375" s="195">
        <v>5141</v>
      </c>
      <c r="B1375" s="196" t="s">
        <v>4696</v>
      </c>
      <c r="C1375" s="196">
        <v>425120</v>
      </c>
      <c r="D1375" s="197" t="s">
        <v>4740</v>
      </c>
    </row>
    <row r="1376" spans="1:4" ht="34.5" customHeight="1" x14ac:dyDescent="0.2">
      <c r="A1376" s="195">
        <v>5142</v>
      </c>
      <c r="B1376" s="196" t="s">
        <v>4698</v>
      </c>
      <c r="C1376" s="196">
        <v>425120</v>
      </c>
      <c r="D1376" s="197" t="s">
        <v>4740</v>
      </c>
    </row>
    <row r="1377" spans="1:4" ht="17.25" customHeight="1" x14ac:dyDescent="0.2">
      <c r="A1377" s="195">
        <v>5143</v>
      </c>
      <c r="B1377" s="196" t="s">
        <v>4700</v>
      </c>
      <c r="C1377" s="196">
        <v>425120</v>
      </c>
      <c r="D1377" s="197" t="s">
        <v>4740</v>
      </c>
    </row>
    <row r="1378" spans="1:4" ht="17.25" customHeight="1" x14ac:dyDescent="0.2">
      <c r="A1378" s="195">
        <v>5144</v>
      </c>
      <c r="B1378" s="196" t="s">
        <v>4702</v>
      </c>
      <c r="C1378" s="196">
        <v>425120</v>
      </c>
      <c r="D1378" s="197" t="s">
        <v>4740</v>
      </c>
    </row>
    <row r="1379" spans="1:4" ht="17.25" customHeight="1" x14ac:dyDescent="0.2">
      <c r="A1379" s="195">
        <v>5145</v>
      </c>
      <c r="B1379" s="196" t="s">
        <v>4704</v>
      </c>
      <c r="C1379" s="196">
        <v>425120</v>
      </c>
      <c r="D1379" s="197" t="s">
        <v>4740</v>
      </c>
    </row>
    <row r="1380" spans="1:4" ht="17.25" customHeight="1" x14ac:dyDescent="0.2">
      <c r="A1380" s="195">
        <v>5146</v>
      </c>
      <c r="B1380" s="196" t="s">
        <v>4706</v>
      </c>
      <c r="C1380" s="196">
        <v>425120</v>
      </c>
      <c r="D1380" s="197" t="s">
        <v>4740</v>
      </c>
    </row>
    <row r="1381" spans="1:4" ht="17.25" customHeight="1" x14ac:dyDescent="0.2">
      <c r="A1381" s="195">
        <v>5147</v>
      </c>
      <c r="B1381" s="196" t="s">
        <v>3940</v>
      </c>
      <c r="C1381" s="196">
        <v>425120</v>
      </c>
      <c r="D1381" s="197" t="s">
        <v>4740</v>
      </c>
    </row>
    <row r="1382" spans="1:4" ht="17.25" customHeight="1" x14ac:dyDescent="0.2">
      <c r="A1382" s="195">
        <v>5148</v>
      </c>
      <c r="B1382" s="196" t="s">
        <v>4709</v>
      </c>
      <c r="C1382" s="196">
        <v>425120</v>
      </c>
      <c r="D1382" s="197" t="s">
        <v>4740</v>
      </c>
    </row>
    <row r="1383" spans="1:4" ht="17.25" customHeight="1" x14ac:dyDescent="0.2">
      <c r="A1383" s="195">
        <v>5149</v>
      </c>
      <c r="B1383" s="196" t="s">
        <v>3973</v>
      </c>
      <c r="C1383" s="196">
        <v>425120</v>
      </c>
      <c r="D1383" s="197" t="s">
        <v>4740</v>
      </c>
    </row>
    <row r="1384" spans="1:4" ht="17.25" customHeight="1" x14ac:dyDescent="0.2">
      <c r="A1384" s="195">
        <v>5153</v>
      </c>
      <c r="B1384" s="196" t="s">
        <v>4712</v>
      </c>
      <c r="C1384" s="196">
        <v>425120</v>
      </c>
      <c r="D1384" s="197" t="s">
        <v>4740</v>
      </c>
    </row>
    <row r="1385" spans="1:4" ht="43.35" customHeight="1" x14ac:dyDescent="0.2">
      <c r="A1385" s="195">
        <v>5154</v>
      </c>
      <c r="B1385" s="196" t="s">
        <v>4714</v>
      </c>
      <c r="C1385" s="196">
        <v>425120</v>
      </c>
      <c r="D1385" s="197" t="s">
        <v>4740</v>
      </c>
    </row>
    <row r="1386" spans="1:4" ht="43.35" customHeight="1" x14ac:dyDescent="0.2">
      <c r="A1386" s="195">
        <v>5159</v>
      </c>
      <c r="B1386" s="196" t="s">
        <v>4716</v>
      </c>
      <c r="C1386" s="196">
        <v>425120</v>
      </c>
      <c r="D1386" s="197" t="s">
        <v>4740</v>
      </c>
    </row>
    <row r="1387" spans="1:4" ht="17.25" customHeight="1" x14ac:dyDescent="0.2">
      <c r="A1387" s="195">
        <v>5162</v>
      </c>
      <c r="B1387" s="196" t="s">
        <v>4718</v>
      </c>
      <c r="C1387" s="196">
        <v>425120</v>
      </c>
      <c r="D1387" s="197" t="s">
        <v>4740</v>
      </c>
    </row>
    <row r="1388" spans="1:4" ht="17.25" customHeight="1" x14ac:dyDescent="0.2">
      <c r="A1388" s="195">
        <v>5169</v>
      </c>
      <c r="B1388" s="196" t="s">
        <v>4720</v>
      </c>
      <c r="C1388" s="196">
        <v>425120</v>
      </c>
      <c r="D1388" s="197" t="s">
        <v>4740</v>
      </c>
    </row>
    <row r="1389" spans="1:4" ht="17.25" customHeight="1" x14ac:dyDescent="0.2">
      <c r="A1389" s="195">
        <v>5172</v>
      </c>
      <c r="B1389" s="196" t="s">
        <v>4723</v>
      </c>
      <c r="C1389" s="196">
        <v>425120</v>
      </c>
      <c r="D1389" s="197" t="s">
        <v>4740</v>
      </c>
    </row>
    <row r="1390" spans="1:4" ht="43.35" customHeight="1" x14ac:dyDescent="0.2">
      <c r="A1390" s="195">
        <v>5181</v>
      </c>
      <c r="B1390" s="196" t="s">
        <v>4725</v>
      </c>
      <c r="C1390" s="196">
        <v>425120</v>
      </c>
      <c r="D1390" s="197" t="s">
        <v>4740</v>
      </c>
    </row>
    <row r="1391" spans="1:4" ht="17.25" customHeight="1" x14ac:dyDescent="0.2">
      <c r="A1391" s="195">
        <v>5182</v>
      </c>
      <c r="B1391" s="196" t="s">
        <v>4727</v>
      </c>
      <c r="C1391" s="196">
        <v>425120</v>
      </c>
      <c r="D1391" s="197" t="s">
        <v>4740</v>
      </c>
    </row>
    <row r="1392" spans="1:4" ht="17.25" customHeight="1" x14ac:dyDescent="0.2">
      <c r="A1392" s="195">
        <v>5191</v>
      </c>
      <c r="B1392" s="196" t="s">
        <v>4729</v>
      </c>
      <c r="C1392" s="196">
        <v>425120</v>
      </c>
      <c r="D1392" s="197" t="s">
        <v>4740</v>
      </c>
    </row>
    <row r="1393" spans="1:4" ht="34.5" customHeight="1" x14ac:dyDescent="0.2">
      <c r="A1393" s="195">
        <v>5192</v>
      </c>
      <c r="B1393" s="196" t="s">
        <v>4731</v>
      </c>
      <c r="C1393" s="196">
        <v>425120</v>
      </c>
      <c r="D1393" s="197" t="s">
        <v>4740</v>
      </c>
    </row>
    <row r="1394" spans="1:4" ht="17.25" customHeight="1" x14ac:dyDescent="0.2">
      <c r="A1394" s="195">
        <v>5193</v>
      </c>
      <c r="B1394" s="196" t="s">
        <v>4733</v>
      </c>
      <c r="C1394" s="196">
        <v>425120</v>
      </c>
      <c r="D1394" s="197" t="s">
        <v>4740</v>
      </c>
    </row>
    <row r="1395" spans="1:4" ht="17.25" customHeight="1" x14ac:dyDescent="0.2">
      <c r="A1395" s="195">
        <v>5194</v>
      </c>
      <c r="B1395" s="196" t="s">
        <v>4735</v>
      </c>
      <c r="C1395" s="196">
        <v>425120</v>
      </c>
      <c r="D1395" s="197" t="s">
        <v>4740</v>
      </c>
    </row>
    <row r="1396" spans="1:4" ht="43.35" customHeight="1" x14ac:dyDescent="0.2">
      <c r="A1396" s="195">
        <v>5198</v>
      </c>
      <c r="B1396" s="196" t="s">
        <v>4737</v>
      </c>
      <c r="C1396" s="196">
        <v>425120</v>
      </c>
      <c r="D1396" s="197" t="s">
        <v>4740</v>
      </c>
    </row>
    <row r="1397" spans="1:4" ht="17.25" customHeight="1" x14ac:dyDescent="0.2">
      <c r="A1397" s="195">
        <v>5199</v>
      </c>
      <c r="B1397" s="196" t="s">
        <v>4693</v>
      </c>
      <c r="C1397" s="196">
        <v>425120</v>
      </c>
      <c r="D1397" s="197" t="s">
        <v>4740</v>
      </c>
    </row>
    <row r="1398" spans="1:4" ht="17.25" customHeight="1" x14ac:dyDescent="0.2">
      <c r="A1398" s="195">
        <v>7389</v>
      </c>
      <c r="B1398" s="196" t="s">
        <v>3985</v>
      </c>
      <c r="C1398" s="196">
        <v>425120</v>
      </c>
      <c r="D1398" s="197" t="s">
        <v>4740</v>
      </c>
    </row>
    <row r="1399" spans="1:4" ht="34.5" customHeight="1" x14ac:dyDescent="0.2">
      <c r="A1399" s="195">
        <v>5511</v>
      </c>
      <c r="B1399" s="196" t="s">
        <v>4741</v>
      </c>
      <c r="C1399" s="196">
        <v>441110</v>
      </c>
      <c r="D1399" s="197" t="s">
        <v>4742</v>
      </c>
    </row>
    <row r="1400" spans="1:4" ht="17.25" customHeight="1" x14ac:dyDescent="0.2">
      <c r="A1400" s="195">
        <v>5521</v>
      </c>
      <c r="B1400" s="196" t="s">
        <v>3107</v>
      </c>
      <c r="C1400" s="196">
        <v>441120</v>
      </c>
      <c r="D1400" s="197" t="s">
        <v>4743</v>
      </c>
    </row>
    <row r="1401" spans="1:4" ht="17.25" customHeight="1" x14ac:dyDescent="0.2">
      <c r="A1401" s="195">
        <v>5561</v>
      </c>
      <c r="B1401" s="196" t="s">
        <v>3108</v>
      </c>
      <c r="C1401" s="196">
        <v>441210</v>
      </c>
      <c r="D1401" s="197" t="s">
        <v>4744</v>
      </c>
    </row>
    <row r="1402" spans="1:4" ht="17.25" customHeight="1" x14ac:dyDescent="0.2">
      <c r="A1402" s="195">
        <v>5551</v>
      </c>
      <c r="B1402" s="196" t="s">
        <v>3109</v>
      </c>
      <c r="C1402" s="196">
        <v>441222</v>
      </c>
      <c r="D1402" s="197" t="s">
        <v>4745</v>
      </c>
    </row>
    <row r="1403" spans="1:4" ht="34.5" customHeight="1" x14ac:dyDescent="0.2">
      <c r="A1403" s="195">
        <v>5571</v>
      </c>
      <c r="B1403" s="196" t="s">
        <v>4746</v>
      </c>
      <c r="C1403" s="196">
        <v>441227</v>
      </c>
      <c r="D1403" s="197" t="s">
        <v>4747</v>
      </c>
    </row>
    <row r="1404" spans="1:4" ht="17.25" customHeight="1" x14ac:dyDescent="0.2">
      <c r="A1404" s="195">
        <v>5599</v>
      </c>
      <c r="B1404" s="196" t="s">
        <v>4748</v>
      </c>
      <c r="C1404" s="196">
        <v>441227</v>
      </c>
      <c r="D1404" s="197" t="s">
        <v>4747</v>
      </c>
    </row>
    <row r="1405" spans="1:4" ht="17.25" customHeight="1" x14ac:dyDescent="0.2">
      <c r="A1405" s="195">
        <v>5961</v>
      </c>
      <c r="B1405" s="196" t="s">
        <v>4749</v>
      </c>
      <c r="C1405" s="196">
        <v>441227</v>
      </c>
      <c r="D1405" s="197" t="s">
        <v>4747</v>
      </c>
    </row>
    <row r="1406" spans="1:4" ht="34.5" customHeight="1" x14ac:dyDescent="0.2">
      <c r="A1406" s="195">
        <v>5013</v>
      </c>
      <c r="B1406" s="196" t="s">
        <v>4612</v>
      </c>
      <c r="C1406" s="196">
        <v>441330</v>
      </c>
      <c r="D1406" s="197" t="s">
        <v>4750</v>
      </c>
    </row>
    <row r="1407" spans="1:4" ht="17.25" customHeight="1" x14ac:dyDescent="0.2">
      <c r="A1407" s="195">
        <v>5015</v>
      </c>
      <c r="B1407" s="196" t="s">
        <v>4616</v>
      </c>
      <c r="C1407" s="196">
        <v>441330</v>
      </c>
      <c r="D1407" s="197" t="s">
        <v>4750</v>
      </c>
    </row>
    <row r="1408" spans="1:4" ht="17.25" customHeight="1" x14ac:dyDescent="0.2">
      <c r="A1408" s="195">
        <v>5531</v>
      </c>
      <c r="B1408" s="196" t="s">
        <v>4751</v>
      </c>
      <c r="C1408" s="196">
        <v>441330</v>
      </c>
      <c r="D1408" s="197" t="s">
        <v>4750</v>
      </c>
    </row>
    <row r="1409" spans="1:4" ht="17.25" customHeight="1" x14ac:dyDescent="0.2">
      <c r="A1409" s="195">
        <v>5731</v>
      </c>
      <c r="B1409" s="196" t="s">
        <v>4752</v>
      </c>
      <c r="C1409" s="196">
        <v>441330</v>
      </c>
      <c r="D1409" s="197" t="s">
        <v>4750</v>
      </c>
    </row>
    <row r="1410" spans="1:4" ht="34.5" customHeight="1" x14ac:dyDescent="0.2">
      <c r="A1410" s="195">
        <v>5961</v>
      </c>
      <c r="B1410" s="196" t="s">
        <v>4749</v>
      </c>
      <c r="C1410" s="196">
        <v>441330</v>
      </c>
      <c r="D1410" s="197" t="s">
        <v>4750</v>
      </c>
    </row>
    <row r="1411" spans="1:4" ht="34.5" customHeight="1" x14ac:dyDescent="0.2">
      <c r="A1411" s="195">
        <v>5963</v>
      </c>
      <c r="B1411" s="196" t="s">
        <v>4753</v>
      </c>
      <c r="C1411" s="196">
        <v>441330</v>
      </c>
      <c r="D1411" s="197" t="s">
        <v>4750</v>
      </c>
    </row>
    <row r="1412" spans="1:4" ht="17.25" customHeight="1" x14ac:dyDescent="0.2">
      <c r="A1412" s="195">
        <v>5014</v>
      </c>
      <c r="B1412" s="196" t="s">
        <v>4614</v>
      </c>
      <c r="C1412" s="196">
        <v>441340</v>
      </c>
      <c r="D1412" s="197" t="s">
        <v>4754</v>
      </c>
    </row>
    <row r="1413" spans="1:4" ht="17.25" customHeight="1" x14ac:dyDescent="0.2">
      <c r="A1413" s="195">
        <v>5531</v>
      </c>
      <c r="B1413" s="196" t="s">
        <v>4751</v>
      </c>
      <c r="C1413" s="196">
        <v>441340</v>
      </c>
      <c r="D1413" s="197" t="s">
        <v>4754</v>
      </c>
    </row>
    <row r="1414" spans="1:4" ht="34.5" customHeight="1" x14ac:dyDescent="0.2">
      <c r="A1414" s="195">
        <v>5031</v>
      </c>
      <c r="B1414" s="196" t="s">
        <v>4622</v>
      </c>
      <c r="C1414" s="196">
        <v>444110</v>
      </c>
      <c r="D1414" s="197" t="s">
        <v>4755</v>
      </c>
    </row>
    <row r="1415" spans="1:4" ht="43.35" customHeight="1" x14ac:dyDescent="0.2">
      <c r="A1415" s="195">
        <v>5211</v>
      </c>
      <c r="B1415" s="196" t="s">
        <v>4756</v>
      </c>
      <c r="C1415" s="196">
        <v>444110</v>
      </c>
      <c r="D1415" s="197" t="s">
        <v>4755</v>
      </c>
    </row>
    <row r="1416" spans="1:4" ht="17.25" customHeight="1" x14ac:dyDescent="0.2">
      <c r="A1416" s="195">
        <v>5231</v>
      </c>
      <c r="B1416" s="196" t="s">
        <v>4757</v>
      </c>
      <c r="C1416" s="196">
        <v>444120</v>
      </c>
      <c r="D1416" s="197" t="s">
        <v>4758</v>
      </c>
    </row>
    <row r="1417" spans="1:4" ht="17.25" customHeight="1" x14ac:dyDescent="0.2">
      <c r="A1417" s="195">
        <v>5072</v>
      </c>
      <c r="B1417" s="196" t="s">
        <v>4653</v>
      </c>
      <c r="C1417" s="196">
        <v>444140</v>
      </c>
      <c r="D1417" s="197" t="s">
        <v>4759</v>
      </c>
    </row>
    <row r="1418" spans="1:4" ht="34.5" customHeight="1" x14ac:dyDescent="0.2">
      <c r="A1418" s="195">
        <v>5251</v>
      </c>
      <c r="B1418" s="196" t="s">
        <v>3119</v>
      </c>
      <c r="C1418" s="196">
        <v>444140</v>
      </c>
      <c r="D1418" s="197" t="s">
        <v>4759</v>
      </c>
    </row>
    <row r="1419" spans="1:4" ht="17.25" customHeight="1" x14ac:dyDescent="0.2">
      <c r="A1419" s="195">
        <v>7699</v>
      </c>
      <c r="B1419" s="196" t="s">
        <v>3762</v>
      </c>
      <c r="C1419" s="196">
        <v>444140</v>
      </c>
      <c r="D1419" s="197" t="s">
        <v>4759</v>
      </c>
    </row>
    <row r="1420" spans="1:4" ht="17.25" customHeight="1" x14ac:dyDescent="0.2">
      <c r="A1420" s="195">
        <v>5961</v>
      </c>
      <c r="B1420" s="196" t="s">
        <v>4749</v>
      </c>
      <c r="C1420" s="196">
        <v>444140</v>
      </c>
      <c r="D1420" s="197" t="s">
        <v>4759</v>
      </c>
    </row>
    <row r="1421" spans="1:4" ht="17.25" customHeight="1" x14ac:dyDescent="0.2">
      <c r="A1421" s="195">
        <v>5963</v>
      </c>
      <c r="B1421" s="196" t="s">
        <v>4753</v>
      </c>
      <c r="C1421" s="196">
        <v>444140</v>
      </c>
      <c r="D1421" s="197" t="s">
        <v>4759</v>
      </c>
    </row>
    <row r="1422" spans="1:4" ht="34.5" customHeight="1" x14ac:dyDescent="0.2">
      <c r="A1422" s="195">
        <v>5032</v>
      </c>
      <c r="B1422" s="196" t="s">
        <v>4625</v>
      </c>
      <c r="C1422" s="196">
        <v>444180</v>
      </c>
      <c r="D1422" s="197" t="s">
        <v>4760</v>
      </c>
    </row>
    <row r="1423" spans="1:4" ht="17.25" customHeight="1" x14ac:dyDescent="0.2">
      <c r="A1423" s="195">
        <v>5033</v>
      </c>
      <c r="B1423" s="196" t="s">
        <v>4627</v>
      </c>
      <c r="C1423" s="196">
        <v>444180</v>
      </c>
      <c r="D1423" s="197" t="s">
        <v>4760</v>
      </c>
    </row>
    <row r="1424" spans="1:4" ht="17.25" customHeight="1" x14ac:dyDescent="0.2">
      <c r="A1424" s="195">
        <v>5039</v>
      </c>
      <c r="B1424" s="196" t="s">
        <v>4624</v>
      </c>
      <c r="C1424" s="196">
        <v>444180</v>
      </c>
      <c r="D1424" s="197" t="s">
        <v>4760</v>
      </c>
    </row>
    <row r="1425" spans="1:4" ht="17.25" customHeight="1" x14ac:dyDescent="0.2">
      <c r="A1425" s="195">
        <v>5063</v>
      </c>
      <c r="B1425" s="196" t="s">
        <v>4646</v>
      </c>
      <c r="C1425" s="196">
        <v>444180</v>
      </c>
      <c r="D1425" s="197" t="s">
        <v>4760</v>
      </c>
    </row>
    <row r="1426" spans="1:4" ht="28.7" customHeight="1" x14ac:dyDescent="0.2">
      <c r="A1426" s="195">
        <v>5064</v>
      </c>
      <c r="B1426" s="196" t="s">
        <v>4648</v>
      </c>
      <c r="C1426" s="196">
        <v>444180</v>
      </c>
      <c r="D1426" s="197" t="s">
        <v>4760</v>
      </c>
    </row>
    <row r="1427" spans="1:4" ht="17.25" customHeight="1" x14ac:dyDescent="0.2">
      <c r="A1427" s="195">
        <v>5074</v>
      </c>
      <c r="B1427" s="196" t="s">
        <v>4650</v>
      </c>
      <c r="C1427" s="196">
        <v>444180</v>
      </c>
      <c r="D1427" s="197" t="s">
        <v>4760</v>
      </c>
    </row>
    <row r="1428" spans="1:4" ht="17.25" customHeight="1" x14ac:dyDescent="0.2">
      <c r="A1428" s="195">
        <v>5099</v>
      </c>
      <c r="B1428" s="196" t="s">
        <v>4681</v>
      </c>
      <c r="C1428" s="196">
        <v>444180</v>
      </c>
      <c r="D1428" s="197" t="s">
        <v>4760</v>
      </c>
    </row>
    <row r="1429" spans="1:4" ht="34.5" customHeight="1" x14ac:dyDescent="0.2">
      <c r="A1429" s="195">
        <v>5211</v>
      </c>
      <c r="B1429" s="196" t="s">
        <v>4756</v>
      </c>
      <c r="C1429" s="196">
        <v>444180</v>
      </c>
      <c r="D1429" s="197" t="s">
        <v>4760</v>
      </c>
    </row>
    <row r="1430" spans="1:4" ht="17.25" customHeight="1" x14ac:dyDescent="0.2">
      <c r="A1430" s="195">
        <v>5231</v>
      </c>
      <c r="B1430" s="196" t="s">
        <v>4757</v>
      </c>
      <c r="C1430" s="196">
        <v>444180</v>
      </c>
      <c r="D1430" s="197" t="s">
        <v>4760</v>
      </c>
    </row>
    <row r="1431" spans="1:4" ht="17.25" customHeight="1" x14ac:dyDescent="0.2">
      <c r="A1431" s="195">
        <v>5961</v>
      </c>
      <c r="B1431" s="196" t="s">
        <v>4749</v>
      </c>
      <c r="C1431" s="196">
        <v>444180</v>
      </c>
      <c r="D1431" s="197" t="s">
        <v>4760</v>
      </c>
    </row>
    <row r="1432" spans="1:4" ht="17.25" customHeight="1" x14ac:dyDescent="0.2">
      <c r="A1432" s="195">
        <v>5963</v>
      </c>
      <c r="B1432" s="196" t="s">
        <v>4753</v>
      </c>
      <c r="C1432" s="196">
        <v>444180</v>
      </c>
      <c r="D1432" s="197" t="s">
        <v>4760</v>
      </c>
    </row>
    <row r="1433" spans="1:4" ht="34.5" customHeight="1" x14ac:dyDescent="0.2">
      <c r="A1433" s="195">
        <v>5083</v>
      </c>
      <c r="B1433" s="196" t="s">
        <v>4662</v>
      </c>
      <c r="C1433" s="196">
        <v>444230</v>
      </c>
      <c r="D1433" s="197" t="s">
        <v>4761</v>
      </c>
    </row>
    <row r="1434" spans="1:4" ht="17.25" customHeight="1" x14ac:dyDescent="0.2">
      <c r="A1434" s="195">
        <v>5261</v>
      </c>
      <c r="B1434" s="196" t="s">
        <v>4762</v>
      </c>
      <c r="C1434" s="196">
        <v>444230</v>
      </c>
      <c r="D1434" s="197" t="s">
        <v>4761</v>
      </c>
    </row>
    <row r="1435" spans="1:4" ht="17.25" customHeight="1" x14ac:dyDescent="0.2">
      <c r="A1435" s="195">
        <v>7699</v>
      </c>
      <c r="B1435" s="196" t="s">
        <v>3762</v>
      </c>
      <c r="C1435" s="196">
        <v>444230</v>
      </c>
      <c r="D1435" s="197" t="s">
        <v>4761</v>
      </c>
    </row>
    <row r="1436" spans="1:4" ht="17.25" customHeight="1" x14ac:dyDescent="0.2">
      <c r="A1436" s="195">
        <v>5961</v>
      </c>
      <c r="B1436" s="196" t="s">
        <v>4749</v>
      </c>
      <c r="C1436" s="196">
        <v>444230</v>
      </c>
      <c r="D1436" s="197" t="s">
        <v>4761</v>
      </c>
    </row>
    <row r="1437" spans="1:4" ht="17.25" customHeight="1" x14ac:dyDescent="0.2">
      <c r="A1437" s="195">
        <v>5963</v>
      </c>
      <c r="B1437" s="196" t="s">
        <v>4753</v>
      </c>
      <c r="C1437" s="196">
        <v>444230</v>
      </c>
      <c r="D1437" s="197" t="s">
        <v>4761</v>
      </c>
    </row>
    <row r="1438" spans="1:4" ht="17.25" customHeight="1" x14ac:dyDescent="0.2">
      <c r="A1438" s="195">
        <v>5153</v>
      </c>
      <c r="B1438" s="196" t="s">
        <v>4712</v>
      </c>
      <c r="C1438" s="196">
        <v>444240</v>
      </c>
      <c r="D1438" s="197" t="s">
        <v>4763</v>
      </c>
    </row>
    <row r="1439" spans="1:4" ht="17.25" customHeight="1" x14ac:dyDescent="0.2">
      <c r="A1439" s="195">
        <v>5159</v>
      </c>
      <c r="B1439" s="196" t="s">
        <v>4716</v>
      </c>
      <c r="C1439" s="196">
        <v>444240</v>
      </c>
      <c r="D1439" s="197" t="s">
        <v>4763</v>
      </c>
    </row>
    <row r="1440" spans="1:4" ht="34.5" customHeight="1" x14ac:dyDescent="0.2">
      <c r="A1440" s="195">
        <v>5191</v>
      </c>
      <c r="B1440" s="196" t="s">
        <v>4729</v>
      </c>
      <c r="C1440" s="196">
        <v>444240</v>
      </c>
      <c r="D1440" s="197" t="s">
        <v>4763</v>
      </c>
    </row>
    <row r="1441" spans="1:4" ht="17.25" customHeight="1" x14ac:dyDescent="0.2">
      <c r="A1441" s="195">
        <v>5193</v>
      </c>
      <c r="B1441" s="196" t="s">
        <v>4733</v>
      </c>
      <c r="C1441" s="196">
        <v>444240</v>
      </c>
      <c r="D1441" s="197" t="s">
        <v>4763</v>
      </c>
    </row>
    <row r="1442" spans="1:4" ht="17.25" customHeight="1" x14ac:dyDescent="0.2">
      <c r="A1442" s="195">
        <v>5261</v>
      </c>
      <c r="B1442" s="196" t="s">
        <v>4762</v>
      </c>
      <c r="C1442" s="196">
        <v>444240</v>
      </c>
      <c r="D1442" s="197" t="s">
        <v>4763</v>
      </c>
    </row>
    <row r="1443" spans="1:4" ht="17.25" customHeight="1" x14ac:dyDescent="0.2">
      <c r="A1443" s="195">
        <v>5961</v>
      </c>
      <c r="B1443" s="196" t="s">
        <v>4749</v>
      </c>
      <c r="C1443" s="196">
        <v>444240</v>
      </c>
      <c r="D1443" s="197" t="s">
        <v>4763</v>
      </c>
    </row>
    <row r="1444" spans="1:4" ht="34.5" customHeight="1" x14ac:dyDescent="0.2">
      <c r="A1444" s="195">
        <v>5963</v>
      </c>
      <c r="B1444" s="196" t="s">
        <v>4753</v>
      </c>
      <c r="C1444" s="196">
        <v>444240</v>
      </c>
      <c r="D1444" s="197" t="s">
        <v>4763</v>
      </c>
    </row>
    <row r="1445" spans="1:4" ht="17.25" customHeight="1" x14ac:dyDescent="0.2">
      <c r="A1445" s="195">
        <v>5141</v>
      </c>
      <c r="B1445" s="196" t="s">
        <v>4696</v>
      </c>
      <c r="C1445" s="196">
        <v>445110</v>
      </c>
      <c r="D1445" s="197" t="s">
        <v>4764</v>
      </c>
    </row>
    <row r="1446" spans="1:4" ht="17.25" customHeight="1" x14ac:dyDescent="0.2">
      <c r="A1446" s="195">
        <v>5411</v>
      </c>
      <c r="B1446" s="196" t="s">
        <v>4765</v>
      </c>
      <c r="C1446" s="196">
        <v>445110</v>
      </c>
      <c r="D1446" s="197" t="s">
        <v>4764</v>
      </c>
    </row>
    <row r="1447" spans="1:4" ht="17.25" customHeight="1" x14ac:dyDescent="0.2">
      <c r="A1447" s="195">
        <v>5411</v>
      </c>
      <c r="B1447" s="196" t="s">
        <v>4765</v>
      </c>
      <c r="C1447" s="196">
        <v>445131</v>
      </c>
      <c r="D1447" s="199" t="s">
        <v>3129</v>
      </c>
    </row>
    <row r="1448" spans="1:4" ht="34.5" customHeight="1" x14ac:dyDescent="0.2">
      <c r="A1448" s="195">
        <v>5961</v>
      </c>
      <c r="B1448" s="196" t="s">
        <v>4749</v>
      </c>
      <c r="C1448" s="196">
        <v>445131</v>
      </c>
      <c r="D1448" s="199" t="s">
        <v>3129</v>
      </c>
    </row>
    <row r="1449" spans="1:4" ht="17.25" customHeight="1" x14ac:dyDescent="0.2">
      <c r="A1449" s="195">
        <v>5963</v>
      </c>
      <c r="B1449" s="196" t="s">
        <v>4753</v>
      </c>
      <c r="C1449" s="196">
        <v>445131</v>
      </c>
      <c r="D1449" s="199" t="s">
        <v>3129</v>
      </c>
    </row>
    <row r="1450" spans="1:4" ht="17.25" customHeight="1" x14ac:dyDescent="0.2">
      <c r="A1450" s="195">
        <v>5962</v>
      </c>
      <c r="B1450" s="196" t="s">
        <v>4766</v>
      </c>
      <c r="C1450" s="196">
        <v>445132</v>
      </c>
      <c r="D1450" s="197" t="s">
        <v>4767</v>
      </c>
    </row>
    <row r="1451" spans="1:4" ht="34.5" customHeight="1" x14ac:dyDescent="0.2">
      <c r="A1451" s="195">
        <v>5148</v>
      </c>
      <c r="B1451" s="196" t="s">
        <v>4709</v>
      </c>
      <c r="C1451" s="196">
        <v>445230</v>
      </c>
      <c r="D1451" s="197" t="s">
        <v>4768</v>
      </c>
    </row>
    <row r="1452" spans="1:4" ht="34.5" customHeight="1" x14ac:dyDescent="0.2">
      <c r="A1452" s="195">
        <v>5431</v>
      </c>
      <c r="B1452" s="196" t="s">
        <v>3131</v>
      </c>
      <c r="C1452" s="196">
        <v>445230</v>
      </c>
      <c r="D1452" s="197" t="s">
        <v>4768</v>
      </c>
    </row>
    <row r="1453" spans="1:4" ht="17.25" customHeight="1" x14ac:dyDescent="0.2">
      <c r="A1453" s="195">
        <v>5144</v>
      </c>
      <c r="B1453" s="196" t="s">
        <v>4702</v>
      </c>
      <c r="C1453" s="196">
        <v>445240</v>
      </c>
      <c r="D1453" s="197" t="s">
        <v>4769</v>
      </c>
    </row>
    <row r="1454" spans="1:4" ht="17.25" customHeight="1" x14ac:dyDescent="0.2">
      <c r="A1454" s="195">
        <v>5147</v>
      </c>
      <c r="B1454" s="196" t="s">
        <v>3940</v>
      </c>
      <c r="C1454" s="196">
        <v>445240</v>
      </c>
      <c r="D1454" s="197" t="s">
        <v>4769</v>
      </c>
    </row>
    <row r="1455" spans="1:4" ht="17.25" customHeight="1" x14ac:dyDescent="0.2">
      <c r="A1455" s="195">
        <v>5421</v>
      </c>
      <c r="B1455" s="196" t="s">
        <v>4770</v>
      </c>
      <c r="C1455" s="196">
        <v>445240</v>
      </c>
      <c r="D1455" s="197" t="s">
        <v>4769</v>
      </c>
    </row>
    <row r="1456" spans="1:4" ht="34.5" customHeight="1" x14ac:dyDescent="0.2">
      <c r="A1456" s="195">
        <v>5499</v>
      </c>
      <c r="B1456" s="196" t="s">
        <v>4771</v>
      </c>
      <c r="C1456" s="196">
        <v>445240</v>
      </c>
      <c r="D1456" s="197" t="s">
        <v>4769</v>
      </c>
    </row>
    <row r="1457" spans="1:4" ht="17.25" customHeight="1" x14ac:dyDescent="0.2">
      <c r="A1457" s="195">
        <v>5421</v>
      </c>
      <c r="B1457" s="196" t="s">
        <v>4770</v>
      </c>
      <c r="C1457" s="196">
        <v>445240</v>
      </c>
      <c r="D1457" s="197" t="s">
        <v>4769</v>
      </c>
    </row>
    <row r="1458" spans="1:4" ht="17.25" customHeight="1" x14ac:dyDescent="0.2">
      <c r="A1458" s="195">
        <v>5961</v>
      </c>
      <c r="B1458" s="196" t="s">
        <v>4749</v>
      </c>
      <c r="C1458" s="196">
        <v>445240</v>
      </c>
      <c r="D1458" s="197" t="s">
        <v>4769</v>
      </c>
    </row>
    <row r="1459" spans="1:4" ht="17.25" customHeight="1" x14ac:dyDescent="0.2">
      <c r="A1459" s="195">
        <v>5963</v>
      </c>
      <c r="B1459" s="196" t="s">
        <v>4753</v>
      </c>
      <c r="C1459" s="196">
        <v>445240</v>
      </c>
      <c r="D1459" s="197" t="s">
        <v>4769</v>
      </c>
    </row>
    <row r="1460" spans="1:4" ht="34.5" customHeight="1" x14ac:dyDescent="0.2">
      <c r="A1460" s="195">
        <v>5146</v>
      </c>
      <c r="B1460" s="196" t="s">
        <v>4706</v>
      </c>
      <c r="C1460" s="196">
        <v>445250</v>
      </c>
      <c r="D1460" s="197" t="s">
        <v>4772</v>
      </c>
    </row>
    <row r="1461" spans="1:4" ht="17.25" customHeight="1" x14ac:dyDescent="0.2">
      <c r="A1461" s="195">
        <v>5421</v>
      </c>
      <c r="B1461" s="196" t="s">
        <v>4770</v>
      </c>
      <c r="C1461" s="196">
        <v>445250</v>
      </c>
      <c r="D1461" s="197" t="s">
        <v>4772</v>
      </c>
    </row>
    <row r="1462" spans="1:4" ht="17.25" customHeight="1" x14ac:dyDescent="0.2">
      <c r="A1462" s="195">
        <v>5421</v>
      </c>
      <c r="B1462" s="196" t="s">
        <v>4770</v>
      </c>
      <c r="C1462" s="196">
        <v>445250</v>
      </c>
      <c r="D1462" s="197" t="s">
        <v>4772</v>
      </c>
    </row>
    <row r="1463" spans="1:4" ht="34.5" customHeight="1" x14ac:dyDescent="0.2">
      <c r="A1463" s="195">
        <v>5961</v>
      </c>
      <c r="B1463" s="196" t="s">
        <v>4749</v>
      </c>
      <c r="C1463" s="196">
        <v>445250</v>
      </c>
      <c r="D1463" s="197" t="s">
        <v>4772</v>
      </c>
    </row>
    <row r="1464" spans="1:4" ht="34.5" customHeight="1" x14ac:dyDescent="0.2">
      <c r="A1464" s="195">
        <v>5963</v>
      </c>
      <c r="B1464" s="196" t="s">
        <v>4753</v>
      </c>
      <c r="C1464" s="196">
        <v>445250</v>
      </c>
      <c r="D1464" s="197" t="s">
        <v>4772</v>
      </c>
    </row>
    <row r="1465" spans="1:4" ht="34.5" customHeight="1" x14ac:dyDescent="0.2">
      <c r="A1465" s="195">
        <v>5461</v>
      </c>
      <c r="B1465" s="196" t="s">
        <v>2693</v>
      </c>
      <c r="C1465" s="196">
        <v>445291</v>
      </c>
      <c r="D1465" s="197" t="s">
        <v>4773</v>
      </c>
    </row>
    <row r="1466" spans="1:4" ht="17.25" customHeight="1" x14ac:dyDescent="0.2">
      <c r="A1466" s="195">
        <v>5145</v>
      </c>
      <c r="B1466" s="196" t="s">
        <v>4704</v>
      </c>
      <c r="C1466" s="196">
        <v>445292</v>
      </c>
      <c r="D1466" s="197" t="s">
        <v>4774</v>
      </c>
    </row>
    <row r="1467" spans="1:4" ht="17.25" customHeight="1" x14ac:dyDescent="0.2">
      <c r="A1467" s="195">
        <v>5441</v>
      </c>
      <c r="B1467" s="196" t="s">
        <v>3913</v>
      </c>
      <c r="C1467" s="196">
        <v>445292</v>
      </c>
      <c r="D1467" s="197" t="s">
        <v>4774</v>
      </c>
    </row>
    <row r="1468" spans="1:4" ht="17.25" customHeight="1" x14ac:dyDescent="0.2">
      <c r="A1468" s="195">
        <v>5143</v>
      </c>
      <c r="B1468" s="196" t="s">
        <v>4700</v>
      </c>
      <c r="C1468" s="196">
        <v>445298</v>
      </c>
      <c r="D1468" s="197" t="s">
        <v>4775</v>
      </c>
    </row>
    <row r="1469" spans="1:4" ht="17.25" customHeight="1" x14ac:dyDescent="0.2">
      <c r="A1469" s="195">
        <v>5149</v>
      </c>
      <c r="B1469" s="196" t="s">
        <v>3973</v>
      </c>
      <c r="C1469" s="196">
        <v>445298</v>
      </c>
      <c r="D1469" s="197" t="s">
        <v>4775</v>
      </c>
    </row>
    <row r="1470" spans="1:4" ht="34.5" customHeight="1" x14ac:dyDescent="0.2">
      <c r="A1470" s="195">
        <v>5451</v>
      </c>
      <c r="B1470" s="196" t="s">
        <v>4776</v>
      </c>
      <c r="C1470" s="196">
        <v>445298</v>
      </c>
      <c r="D1470" s="197" t="s">
        <v>4775</v>
      </c>
    </row>
    <row r="1471" spans="1:4" ht="34.5" customHeight="1" x14ac:dyDescent="0.2">
      <c r="A1471" s="195">
        <v>5499</v>
      </c>
      <c r="B1471" s="196" t="s">
        <v>4771</v>
      </c>
      <c r="C1471" s="196">
        <v>445298</v>
      </c>
      <c r="D1471" s="197" t="s">
        <v>4775</v>
      </c>
    </row>
    <row r="1472" spans="1:4" ht="17.25" customHeight="1" x14ac:dyDescent="0.2">
      <c r="A1472" s="195">
        <v>5961</v>
      </c>
      <c r="B1472" s="196" t="s">
        <v>4749</v>
      </c>
      <c r="C1472" s="196">
        <v>445298</v>
      </c>
      <c r="D1472" s="197" t="s">
        <v>4775</v>
      </c>
    </row>
    <row r="1473" spans="1:4" ht="17.25" customHeight="1" x14ac:dyDescent="0.2">
      <c r="A1473" s="195">
        <v>5963</v>
      </c>
      <c r="B1473" s="196" t="s">
        <v>4753</v>
      </c>
      <c r="C1473" s="196">
        <v>445298</v>
      </c>
      <c r="D1473" s="197" t="s">
        <v>4775</v>
      </c>
    </row>
    <row r="1474" spans="1:4" ht="17.25" customHeight="1" x14ac:dyDescent="0.2">
      <c r="A1474" s="195">
        <v>5181</v>
      </c>
      <c r="B1474" s="196" t="s">
        <v>4725</v>
      </c>
      <c r="C1474" s="196">
        <v>445320</v>
      </c>
      <c r="D1474" s="197" t="s">
        <v>4777</v>
      </c>
    </row>
    <row r="1475" spans="1:4" ht="17.25" customHeight="1" x14ac:dyDescent="0.2">
      <c r="A1475" s="195">
        <v>5182</v>
      </c>
      <c r="B1475" s="196" t="s">
        <v>4727</v>
      </c>
      <c r="C1475" s="196">
        <v>445320</v>
      </c>
      <c r="D1475" s="197" t="s">
        <v>4777</v>
      </c>
    </row>
    <row r="1476" spans="1:4" ht="17.25" customHeight="1" x14ac:dyDescent="0.2">
      <c r="A1476" s="195">
        <v>5921</v>
      </c>
      <c r="B1476" s="196" t="s">
        <v>4778</v>
      </c>
      <c r="C1476" s="196">
        <v>445320</v>
      </c>
      <c r="D1476" s="197" t="s">
        <v>4777</v>
      </c>
    </row>
    <row r="1477" spans="1:4" ht="17.25" customHeight="1" x14ac:dyDescent="0.2">
      <c r="A1477" s="195">
        <v>5961</v>
      </c>
      <c r="B1477" s="196" t="s">
        <v>4749</v>
      </c>
      <c r="C1477" s="196">
        <v>445320</v>
      </c>
      <c r="D1477" s="197" t="s">
        <v>4777</v>
      </c>
    </row>
    <row r="1478" spans="1:4" ht="17.25" customHeight="1" x14ac:dyDescent="0.2">
      <c r="A1478" s="195">
        <v>5963</v>
      </c>
      <c r="B1478" s="196" t="s">
        <v>4753</v>
      </c>
      <c r="C1478" s="196">
        <v>445320</v>
      </c>
      <c r="D1478" s="197" t="s">
        <v>4777</v>
      </c>
    </row>
    <row r="1479" spans="1:4" ht="17.25" customHeight="1" x14ac:dyDescent="0.2">
      <c r="A1479" s="195">
        <v>5021</v>
      </c>
      <c r="B1479" s="196" t="s">
        <v>4618</v>
      </c>
      <c r="C1479" s="196">
        <v>449110</v>
      </c>
      <c r="D1479" s="197" t="s">
        <v>4779</v>
      </c>
    </row>
    <row r="1480" spans="1:4" ht="17.25" customHeight="1" x14ac:dyDescent="0.2">
      <c r="A1480" s="195">
        <v>5712</v>
      </c>
      <c r="B1480" s="196" t="s">
        <v>3145</v>
      </c>
      <c r="C1480" s="196">
        <v>449110</v>
      </c>
      <c r="D1480" s="197" t="s">
        <v>4779</v>
      </c>
    </row>
    <row r="1481" spans="1:4" ht="34.5" customHeight="1" x14ac:dyDescent="0.2">
      <c r="A1481" s="195">
        <v>5961</v>
      </c>
      <c r="B1481" s="196" t="s">
        <v>4749</v>
      </c>
      <c r="C1481" s="196">
        <v>449110</v>
      </c>
      <c r="D1481" s="197" t="s">
        <v>4779</v>
      </c>
    </row>
    <row r="1482" spans="1:4" ht="17.25" customHeight="1" x14ac:dyDescent="0.2">
      <c r="A1482" s="195">
        <v>5963</v>
      </c>
      <c r="B1482" s="196" t="s">
        <v>4753</v>
      </c>
      <c r="C1482" s="196">
        <v>449110</v>
      </c>
      <c r="D1482" s="197" t="s">
        <v>4779</v>
      </c>
    </row>
    <row r="1483" spans="1:4" ht="17.25" customHeight="1" x14ac:dyDescent="0.2">
      <c r="A1483" s="195">
        <v>5023</v>
      </c>
      <c r="B1483" s="196" t="s">
        <v>4620</v>
      </c>
      <c r="C1483" s="196">
        <v>449121</v>
      </c>
      <c r="D1483" s="197" t="s">
        <v>4780</v>
      </c>
    </row>
    <row r="1484" spans="1:4" ht="34.5" customHeight="1" x14ac:dyDescent="0.2">
      <c r="A1484" s="195">
        <v>5713</v>
      </c>
      <c r="B1484" s="196" t="s">
        <v>3147</v>
      </c>
      <c r="C1484" s="196">
        <v>449121</v>
      </c>
      <c r="D1484" s="197" t="s">
        <v>4780</v>
      </c>
    </row>
    <row r="1485" spans="1:4" ht="34.5" customHeight="1" x14ac:dyDescent="0.2">
      <c r="A1485" s="195">
        <v>5961</v>
      </c>
      <c r="B1485" s="196" t="s">
        <v>4749</v>
      </c>
      <c r="C1485" s="196">
        <v>449121</v>
      </c>
      <c r="D1485" s="197" t="s">
        <v>4780</v>
      </c>
    </row>
    <row r="1486" spans="1:4" ht="17.25" customHeight="1" x14ac:dyDescent="0.2">
      <c r="A1486" s="195">
        <v>5963</v>
      </c>
      <c r="B1486" s="196" t="s">
        <v>4753</v>
      </c>
      <c r="C1486" s="196">
        <v>449121</v>
      </c>
      <c r="D1486" s="197" t="s">
        <v>4780</v>
      </c>
    </row>
    <row r="1487" spans="1:4" ht="17.25" customHeight="1" x14ac:dyDescent="0.2">
      <c r="A1487" s="195">
        <v>5714</v>
      </c>
      <c r="B1487" s="196" t="s">
        <v>4015</v>
      </c>
      <c r="C1487" s="196">
        <v>449122</v>
      </c>
      <c r="D1487" s="197" t="s">
        <v>4781</v>
      </c>
    </row>
    <row r="1488" spans="1:4" ht="17.25" customHeight="1" x14ac:dyDescent="0.2">
      <c r="A1488" s="195">
        <v>5719</v>
      </c>
      <c r="B1488" s="196" t="s">
        <v>4220</v>
      </c>
      <c r="C1488" s="196">
        <v>449122</v>
      </c>
      <c r="D1488" s="197" t="s">
        <v>4781</v>
      </c>
    </row>
    <row r="1489" spans="1:4" ht="34.5" customHeight="1" x14ac:dyDescent="0.2">
      <c r="A1489" s="195">
        <v>5961</v>
      </c>
      <c r="B1489" s="196" t="s">
        <v>4749</v>
      </c>
      <c r="C1489" s="196">
        <v>449122</v>
      </c>
      <c r="D1489" s="197" t="s">
        <v>4781</v>
      </c>
    </row>
    <row r="1490" spans="1:4" ht="17.25" customHeight="1" x14ac:dyDescent="0.2">
      <c r="A1490" s="195">
        <v>5963</v>
      </c>
      <c r="B1490" s="196" t="s">
        <v>4753</v>
      </c>
      <c r="C1490" s="196">
        <v>449122</v>
      </c>
      <c r="D1490" s="197" t="s">
        <v>4781</v>
      </c>
    </row>
    <row r="1491" spans="1:4" ht="17.25" customHeight="1" x14ac:dyDescent="0.2">
      <c r="A1491" s="195">
        <v>5719</v>
      </c>
      <c r="B1491" s="196" t="s">
        <v>4220</v>
      </c>
      <c r="C1491" s="196">
        <v>449129</v>
      </c>
      <c r="D1491" s="197" t="s">
        <v>4782</v>
      </c>
    </row>
    <row r="1492" spans="1:4" ht="17.25" customHeight="1" x14ac:dyDescent="0.2">
      <c r="A1492" s="195">
        <v>7699</v>
      </c>
      <c r="B1492" s="196" t="s">
        <v>3762</v>
      </c>
      <c r="C1492" s="196">
        <v>449129</v>
      </c>
      <c r="D1492" s="197" t="s">
        <v>4782</v>
      </c>
    </row>
    <row r="1493" spans="1:4" ht="34.5" customHeight="1" x14ac:dyDescent="0.2">
      <c r="A1493" s="195">
        <v>5961</v>
      </c>
      <c r="B1493" s="196" t="s">
        <v>4749</v>
      </c>
      <c r="C1493" s="196">
        <v>449129</v>
      </c>
      <c r="D1493" s="197" t="s">
        <v>4782</v>
      </c>
    </row>
    <row r="1494" spans="1:4" ht="17.25" customHeight="1" x14ac:dyDescent="0.2">
      <c r="A1494" s="195">
        <v>5963</v>
      </c>
      <c r="B1494" s="196" t="s">
        <v>4753</v>
      </c>
      <c r="C1494" s="196">
        <v>449129</v>
      </c>
      <c r="D1494" s="197" t="s">
        <v>4782</v>
      </c>
    </row>
    <row r="1495" spans="1:4" ht="17.25" customHeight="1" x14ac:dyDescent="0.2">
      <c r="A1495" s="195">
        <v>5064</v>
      </c>
      <c r="B1495" s="196" t="s">
        <v>4648</v>
      </c>
      <c r="C1495" s="196">
        <v>449210</v>
      </c>
      <c r="D1495" s="197" t="s">
        <v>3154</v>
      </c>
    </row>
    <row r="1496" spans="1:4" ht="17.25" customHeight="1" x14ac:dyDescent="0.2">
      <c r="A1496" s="195">
        <v>5722</v>
      </c>
      <c r="B1496" s="196" t="s">
        <v>3153</v>
      </c>
      <c r="C1496" s="196">
        <v>449210</v>
      </c>
      <c r="D1496" s="197" t="s">
        <v>3154</v>
      </c>
    </row>
    <row r="1497" spans="1:4" ht="17.25" customHeight="1" x14ac:dyDescent="0.2">
      <c r="A1497" s="195">
        <v>7623</v>
      </c>
      <c r="B1497" s="196" t="s">
        <v>4783</v>
      </c>
      <c r="C1497" s="196">
        <v>449210</v>
      </c>
      <c r="D1497" s="197" t="s">
        <v>3154</v>
      </c>
    </row>
    <row r="1498" spans="1:4" ht="17.25" customHeight="1" x14ac:dyDescent="0.2">
      <c r="A1498" s="195">
        <v>7629</v>
      </c>
      <c r="B1498" s="196" t="s">
        <v>4784</v>
      </c>
      <c r="C1498" s="196">
        <v>449210</v>
      </c>
      <c r="D1498" s="197" t="s">
        <v>3154</v>
      </c>
    </row>
    <row r="1499" spans="1:4" ht="17.25" customHeight="1" x14ac:dyDescent="0.2">
      <c r="A1499" s="195">
        <v>5045</v>
      </c>
      <c r="B1499" s="196" t="s">
        <v>4633</v>
      </c>
      <c r="C1499" s="196">
        <v>449210</v>
      </c>
      <c r="D1499" s="197" t="s">
        <v>3154</v>
      </c>
    </row>
    <row r="1500" spans="1:4" ht="17.25" customHeight="1" x14ac:dyDescent="0.2">
      <c r="A1500" s="195">
        <v>5064</v>
      </c>
      <c r="B1500" s="196" t="s">
        <v>4648</v>
      </c>
      <c r="C1500" s="196">
        <v>449210</v>
      </c>
      <c r="D1500" s="197" t="s">
        <v>3154</v>
      </c>
    </row>
    <row r="1501" spans="1:4" ht="17.25" customHeight="1" x14ac:dyDescent="0.2">
      <c r="A1501" s="195">
        <v>5065</v>
      </c>
      <c r="B1501" s="196" t="s">
        <v>4651</v>
      </c>
      <c r="C1501" s="196">
        <v>449210</v>
      </c>
      <c r="D1501" s="197" t="s">
        <v>3154</v>
      </c>
    </row>
    <row r="1502" spans="1:4" ht="17.25" customHeight="1" x14ac:dyDescent="0.2">
      <c r="A1502" s="195">
        <v>5065</v>
      </c>
      <c r="B1502" s="196" t="s">
        <v>4651</v>
      </c>
      <c r="C1502" s="196">
        <v>449210</v>
      </c>
      <c r="D1502" s="197" t="s">
        <v>3154</v>
      </c>
    </row>
    <row r="1503" spans="1:4" ht="17.25" customHeight="1" x14ac:dyDescent="0.2">
      <c r="A1503" s="195">
        <v>5099</v>
      </c>
      <c r="B1503" s="196" t="s">
        <v>4681</v>
      </c>
      <c r="C1503" s="196">
        <v>449210</v>
      </c>
      <c r="D1503" s="197" t="s">
        <v>3154</v>
      </c>
    </row>
    <row r="1504" spans="1:4" ht="17.25" customHeight="1" x14ac:dyDescent="0.2">
      <c r="A1504" s="195">
        <v>5731</v>
      </c>
      <c r="B1504" s="196" t="s">
        <v>4752</v>
      </c>
      <c r="C1504" s="196">
        <v>449210</v>
      </c>
      <c r="D1504" s="197" t="s">
        <v>3154</v>
      </c>
    </row>
    <row r="1505" spans="1:4" ht="17.25" customHeight="1" x14ac:dyDescent="0.2">
      <c r="A1505" s="195">
        <v>5734</v>
      </c>
      <c r="B1505" s="196" t="s">
        <v>4785</v>
      </c>
      <c r="C1505" s="196">
        <v>449210</v>
      </c>
      <c r="D1505" s="197" t="s">
        <v>3154</v>
      </c>
    </row>
    <row r="1506" spans="1:4" ht="34.5" customHeight="1" x14ac:dyDescent="0.2">
      <c r="A1506" s="195">
        <v>5735</v>
      </c>
      <c r="B1506" s="196" t="s">
        <v>4786</v>
      </c>
      <c r="C1506" s="196">
        <v>449210</v>
      </c>
      <c r="D1506" s="197" t="s">
        <v>3154</v>
      </c>
    </row>
    <row r="1507" spans="1:4" ht="17.25" customHeight="1" x14ac:dyDescent="0.2">
      <c r="A1507" s="195">
        <v>5946</v>
      </c>
      <c r="B1507" s="196" t="s">
        <v>4787</v>
      </c>
      <c r="C1507" s="196">
        <v>449210</v>
      </c>
      <c r="D1507" s="197" t="s">
        <v>3154</v>
      </c>
    </row>
    <row r="1508" spans="1:4" ht="17.25" customHeight="1" x14ac:dyDescent="0.2">
      <c r="A1508" s="195">
        <v>5999</v>
      </c>
      <c r="B1508" s="196" t="s">
        <v>4586</v>
      </c>
      <c r="C1508" s="196">
        <v>449210</v>
      </c>
      <c r="D1508" s="197" t="s">
        <v>3154</v>
      </c>
    </row>
    <row r="1509" spans="1:4" ht="17.25" customHeight="1" x14ac:dyDescent="0.2">
      <c r="A1509" s="195">
        <v>7378</v>
      </c>
      <c r="B1509" s="196" t="s">
        <v>4788</v>
      </c>
      <c r="C1509" s="196">
        <v>449210</v>
      </c>
      <c r="D1509" s="197" t="s">
        <v>3154</v>
      </c>
    </row>
    <row r="1510" spans="1:4" ht="34.5" customHeight="1" x14ac:dyDescent="0.2">
      <c r="A1510" s="195">
        <v>7622</v>
      </c>
      <c r="B1510" s="196" t="s">
        <v>3881</v>
      </c>
      <c r="C1510" s="196">
        <v>449210</v>
      </c>
      <c r="D1510" s="197" t="s">
        <v>3154</v>
      </c>
    </row>
    <row r="1511" spans="1:4" ht="17.25" customHeight="1" x14ac:dyDescent="0.2">
      <c r="A1511" s="195">
        <v>5961</v>
      </c>
      <c r="B1511" s="196" t="s">
        <v>4749</v>
      </c>
      <c r="C1511" s="196">
        <v>449210</v>
      </c>
      <c r="D1511" s="197" t="s">
        <v>3154</v>
      </c>
    </row>
    <row r="1512" spans="1:4" ht="17.25" customHeight="1" x14ac:dyDescent="0.2">
      <c r="A1512" s="195">
        <v>5963</v>
      </c>
      <c r="B1512" s="196" t="s">
        <v>4753</v>
      </c>
      <c r="C1512" s="196">
        <v>449210</v>
      </c>
      <c r="D1512" s="197" t="s">
        <v>3154</v>
      </c>
    </row>
    <row r="1513" spans="1:4" ht="17.25" customHeight="1" x14ac:dyDescent="0.2">
      <c r="A1513" s="195">
        <v>5311</v>
      </c>
      <c r="B1513" s="196" t="s">
        <v>3156</v>
      </c>
      <c r="C1513" s="196">
        <v>455110</v>
      </c>
      <c r="D1513" s="197" t="s">
        <v>4789</v>
      </c>
    </row>
    <row r="1514" spans="1:4" ht="17.25" customHeight="1" x14ac:dyDescent="0.2">
      <c r="A1514" s="195">
        <v>5399</v>
      </c>
      <c r="B1514" s="196" t="s">
        <v>4790</v>
      </c>
      <c r="C1514" s="196">
        <v>455110</v>
      </c>
      <c r="D1514" s="197" t="s">
        <v>4789</v>
      </c>
    </row>
    <row r="1515" spans="1:4" ht="34.5" customHeight="1" x14ac:dyDescent="0.2">
      <c r="A1515" s="195">
        <v>5411</v>
      </c>
      <c r="B1515" s="196" t="s">
        <v>4765</v>
      </c>
      <c r="C1515" s="196">
        <v>455110</v>
      </c>
      <c r="D1515" s="197" t="s">
        <v>4789</v>
      </c>
    </row>
    <row r="1516" spans="1:4" ht="17.25" customHeight="1" x14ac:dyDescent="0.2">
      <c r="A1516" s="195">
        <v>5961</v>
      </c>
      <c r="B1516" s="196" t="s">
        <v>4749</v>
      </c>
      <c r="C1516" s="196">
        <v>455110</v>
      </c>
      <c r="D1516" s="197" t="s">
        <v>4789</v>
      </c>
    </row>
    <row r="1517" spans="1:4" ht="17.25" customHeight="1" x14ac:dyDescent="0.2">
      <c r="A1517" s="195">
        <v>5311</v>
      </c>
      <c r="B1517" s="196" t="s">
        <v>3156</v>
      </c>
      <c r="C1517" s="196">
        <v>455211</v>
      </c>
      <c r="D1517" s="197" t="s">
        <v>4791</v>
      </c>
    </row>
    <row r="1518" spans="1:4" ht="17.25" customHeight="1" x14ac:dyDescent="0.2">
      <c r="A1518" s="195">
        <v>5399</v>
      </c>
      <c r="B1518" s="196" t="s">
        <v>4790</v>
      </c>
      <c r="C1518" s="196">
        <v>455211</v>
      </c>
      <c r="D1518" s="197" t="s">
        <v>4791</v>
      </c>
    </row>
    <row r="1519" spans="1:4" ht="17.25" customHeight="1" x14ac:dyDescent="0.2">
      <c r="A1519" s="195">
        <v>5411</v>
      </c>
      <c r="B1519" s="196" t="s">
        <v>4765</v>
      </c>
      <c r="C1519" s="196">
        <v>455211</v>
      </c>
      <c r="D1519" s="197" t="s">
        <v>4791</v>
      </c>
    </row>
    <row r="1520" spans="1:4" ht="34.5" customHeight="1" x14ac:dyDescent="0.2">
      <c r="A1520" s="195">
        <v>5961</v>
      </c>
      <c r="B1520" s="196" t="s">
        <v>4749</v>
      </c>
      <c r="C1520" s="196">
        <v>455211</v>
      </c>
      <c r="D1520" s="197" t="s">
        <v>4791</v>
      </c>
    </row>
    <row r="1521" spans="1:4" ht="17.25" customHeight="1" x14ac:dyDescent="0.2">
      <c r="A1521" s="195">
        <v>5331</v>
      </c>
      <c r="B1521" s="196" t="s">
        <v>4792</v>
      </c>
      <c r="C1521" s="196">
        <v>455219</v>
      </c>
      <c r="D1521" s="197" t="s">
        <v>4793</v>
      </c>
    </row>
    <row r="1522" spans="1:4" ht="17.25" customHeight="1" x14ac:dyDescent="0.2">
      <c r="A1522" s="195">
        <v>5399</v>
      </c>
      <c r="B1522" s="196" t="s">
        <v>4790</v>
      </c>
      <c r="C1522" s="196">
        <v>455219</v>
      </c>
      <c r="D1522" s="197" t="s">
        <v>4793</v>
      </c>
    </row>
    <row r="1523" spans="1:4" ht="34.5" customHeight="1" x14ac:dyDescent="0.2">
      <c r="A1523" s="195">
        <v>5531</v>
      </c>
      <c r="B1523" s="196" t="s">
        <v>4751</v>
      </c>
      <c r="C1523" s="196">
        <v>455219</v>
      </c>
      <c r="D1523" s="197" t="s">
        <v>4793</v>
      </c>
    </row>
    <row r="1524" spans="1:4" ht="17.25" customHeight="1" x14ac:dyDescent="0.2">
      <c r="A1524" s="195">
        <v>5961</v>
      </c>
      <c r="B1524" s="196" t="s">
        <v>4749</v>
      </c>
      <c r="C1524" s="196">
        <v>455219</v>
      </c>
      <c r="D1524" s="197" t="s">
        <v>4793</v>
      </c>
    </row>
    <row r="1525" spans="1:4" ht="17.25" customHeight="1" x14ac:dyDescent="0.2">
      <c r="A1525" s="195">
        <v>5963</v>
      </c>
      <c r="B1525" s="196" t="s">
        <v>4753</v>
      </c>
      <c r="C1525" s="196">
        <v>455219</v>
      </c>
      <c r="D1525" s="197" t="s">
        <v>4793</v>
      </c>
    </row>
    <row r="1526" spans="1:4" ht="17.25" customHeight="1" x14ac:dyDescent="0.2">
      <c r="A1526" s="195">
        <v>5122</v>
      </c>
      <c r="B1526" s="196" t="s">
        <v>4690</v>
      </c>
      <c r="C1526" s="196">
        <v>456110</v>
      </c>
      <c r="D1526" s="197" t="s">
        <v>4794</v>
      </c>
    </row>
    <row r="1527" spans="1:4" ht="34.5" customHeight="1" x14ac:dyDescent="0.2">
      <c r="A1527" s="195">
        <v>5912</v>
      </c>
      <c r="B1527" s="196" t="s">
        <v>4795</v>
      </c>
      <c r="C1527" s="196">
        <v>456110</v>
      </c>
      <c r="D1527" s="197" t="s">
        <v>4794</v>
      </c>
    </row>
    <row r="1528" spans="1:4" ht="17.25" customHeight="1" x14ac:dyDescent="0.2">
      <c r="A1528" s="195">
        <v>5961</v>
      </c>
      <c r="B1528" s="196" t="s">
        <v>4749</v>
      </c>
      <c r="C1528" s="196">
        <v>456110</v>
      </c>
      <c r="D1528" s="197" t="s">
        <v>4794</v>
      </c>
    </row>
    <row r="1529" spans="1:4" ht="17.25" customHeight="1" x14ac:dyDescent="0.2">
      <c r="A1529" s="195">
        <v>5963</v>
      </c>
      <c r="B1529" s="196" t="s">
        <v>4753</v>
      </c>
      <c r="C1529" s="196">
        <v>456110</v>
      </c>
      <c r="D1529" s="197" t="s">
        <v>4794</v>
      </c>
    </row>
    <row r="1530" spans="1:4" ht="34.5" customHeight="1" x14ac:dyDescent="0.2">
      <c r="A1530" s="195">
        <v>5087</v>
      </c>
      <c r="B1530" s="196" t="s">
        <v>4667</v>
      </c>
      <c r="C1530" s="196">
        <v>456120</v>
      </c>
      <c r="D1530" s="197" t="s">
        <v>4796</v>
      </c>
    </row>
    <row r="1531" spans="1:4" ht="34.5" customHeight="1" x14ac:dyDescent="0.2">
      <c r="A1531" s="195">
        <v>5122</v>
      </c>
      <c r="B1531" s="196" t="s">
        <v>4690</v>
      </c>
      <c r="C1531" s="196">
        <v>456120</v>
      </c>
      <c r="D1531" s="197" t="s">
        <v>4796</v>
      </c>
    </row>
    <row r="1532" spans="1:4" ht="17.25" customHeight="1" x14ac:dyDescent="0.2">
      <c r="A1532" s="195">
        <v>5999</v>
      </c>
      <c r="B1532" s="196" t="s">
        <v>4586</v>
      </c>
      <c r="C1532" s="196">
        <v>456120</v>
      </c>
      <c r="D1532" s="197" t="s">
        <v>4796</v>
      </c>
    </row>
    <row r="1533" spans="1:4" ht="17.25" customHeight="1" x14ac:dyDescent="0.2">
      <c r="A1533" s="195">
        <v>5961</v>
      </c>
      <c r="B1533" s="196" t="s">
        <v>4749</v>
      </c>
      <c r="C1533" s="196">
        <v>456120</v>
      </c>
      <c r="D1533" s="197" t="s">
        <v>4796</v>
      </c>
    </row>
    <row r="1534" spans="1:4" ht="34.5" customHeight="1" x14ac:dyDescent="0.2">
      <c r="A1534" s="195">
        <v>5963</v>
      </c>
      <c r="B1534" s="196" t="s">
        <v>4753</v>
      </c>
      <c r="C1534" s="196">
        <v>456120</v>
      </c>
      <c r="D1534" s="197" t="s">
        <v>4796</v>
      </c>
    </row>
    <row r="1535" spans="1:4" ht="34.5" customHeight="1" x14ac:dyDescent="0.2">
      <c r="A1535" s="195">
        <v>5995</v>
      </c>
      <c r="B1535" s="196" t="s">
        <v>3165</v>
      </c>
      <c r="C1535" s="196">
        <v>456130</v>
      </c>
      <c r="D1535" s="197" t="s">
        <v>4797</v>
      </c>
    </row>
    <row r="1536" spans="1:4" ht="17.25" customHeight="1" x14ac:dyDescent="0.2">
      <c r="A1536" s="195">
        <v>5961</v>
      </c>
      <c r="B1536" s="196" t="s">
        <v>4749</v>
      </c>
      <c r="C1536" s="196">
        <v>456130</v>
      </c>
      <c r="D1536" s="197" t="s">
        <v>4797</v>
      </c>
    </row>
    <row r="1537" spans="1:4" ht="17.25" customHeight="1" x14ac:dyDescent="0.2">
      <c r="A1537" s="195">
        <v>5963</v>
      </c>
      <c r="B1537" s="196" t="s">
        <v>4753</v>
      </c>
      <c r="C1537" s="196">
        <v>456130</v>
      </c>
      <c r="D1537" s="197" t="s">
        <v>4797</v>
      </c>
    </row>
    <row r="1538" spans="1:4" ht="17.25" customHeight="1" x14ac:dyDescent="0.2">
      <c r="A1538" s="195">
        <v>5122</v>
      </c>
      <c r="B1538" s="196" t="s">
        <v>4690</v>
      </c>
      <c r="C1538" s="196">
        <v>456191</v>
      </c>
      <c r="D1538" s="197" t="s">
        <v>4798</v>
      </c>
    </row>
    <row r="1539" spans="1:4" ht="17.25" customHeight="1" x14ac:dyDescent="0.2">
      <c r="A1539" s="195">
        <v>5499</v>
      </c>
      <c r="B1539" s="196" t="s">
        <v>4771</v>
      </c>
      <c r="C1539" s="196">
        <v>456191</v>
      </c>
      <c r="D1539" s="197" t="s">
        <v>4798</v>
      </c>
    </row>
    <row r="1540" spans="1:4" ht="17.25" customHeight="1" x14ac:dyDescent="0.2">
      <c r="A1540" s="195">
        <v>5961</v>
      </c>
      <c r="B1540" s="196" t="s">
        <v>4749</v>
      </c>
      <c r="C1540" s="196">
        <v>456191</v>
      </c>
      <c r="D1540" s="197" t="s">
        <v>4798</v>
      </c>
    </row>
    <row r="1541" spans="1:4" ht="43.35" customHeight="1" x14ac:dyDescent="0.2">
      <c r="A1541" s="195">
        <v>5963</v>
      </c>
      <c r="B1541" s="196" t="s">
        <v>4753</v>
      </c>
      <c r="C1541" s="196">
        <v>456191</v>
      </c>
      <c r="D1541" s="197" t="s">
        <v>4798</v>
      </c>
    </row>
    <row r="1542" spans="1:4" ht="17.25" customHeight="1" x14ac:dyDescent="0.2">
      <c r="A1542" s="195">
        <v>5047</v>
      </c>
      <c r="B1542" s="196" t="s">
        <v>4637</v>
      </c>
      <c r="C1542" s="196">
        <v>456199</v>
      </c>
      <c r="D1542" s="197" t="s">
        <v>4799</v>
      </c>
    </row>
    <row r="1543" spans="1:4" ht="17.25" customHeight="1" x14ac:dyDescent="0.2">
      <c r="A1543" s="195">
        <v>5999</v>
      </c>
      <c r="B1543" s="196" t="s">
        <v>4586</v>
      </c>
      <c r="C1543" s="196">
        <v>456199</v>
      </c>
      <c r="D1543" s="197" t="s">
        <v>4799</v>
      </c>
    </row>
    <row r="1544" spans="1:4" ht="17.25" customHeight="1" x14ac:dyDescent="0.2">
      <c r="A1544" s="195">
        <v>5961</v>
      </c>
      <c r="B1544" s="196" t="s">
        <v>4749</v>
      </c>
      <c r="C1544" s="196">
        <v>456199</v>
      </c>
      <c r="D1544" s="197" t="s">
        <v>4799</v>
      </c>
    </row>
    <row r="1545" spans="1:4" ht="17.25" customHeight="1" x14ac:dyDescent="0.2">
      <c r="A1545" s="195">
        <v>5963</v>
      </c>
      <c r="B1545" s="196" t="s">
        <v>4753</v>
      </c>
      <c r="C1545" s="196">
        <v>456199</v>
      </c>
      <c r="D1545" s="197" t="s">
        <v>4799</v>
      </c>
    </row>
    <row r="1546" spans="1:4" ht="17.25" customHeight="1" x14ac:dyDescent="0.2">
      <c r="A1546" s="195">
        <v>5411</v>
      </c>
      <c r="B1546" s="196" t="s">
        <v>4765</v>
      </c>
      <c r="C1546" s="196">
        <v>457110</v>
      </c>
      <c r="D1546" s="197" t="s">
        <v>4800</v>
      </c>
    </row>
    <row r="1547" spans="1:4" ht="17.25" customHeight="1" x14ac:dyDescent="0.2">
      <c r="A1547" s="195">
        <v>5541</v>
      </c>
      <c r="B1547" s="196" t="s">
        <v>4801</v>
      </c>
      <c r="C1547" s="196">
        <v>457110</v>
      </c>
      <c r="D1547" s="197" t="s">
        <v>4800</v>
      </c>
    </row>
    <row r="1548" spans="1:4" ht="34.5" customHeight="1" x14ac:dyDescent="0.2">
      <c r="A1548" s="195">
        <v>5541</v>
      </c>
      <c r="B1548" s="196" t="s">
        <v>4801</v>
      </c>
      <c r="C1548" s="196">
        <v>457120</v>
      </c>
      <c r="D1548" s="197" t="s">
        <v>4802</v>
      </c>
    </row>
    <row r="1549" spans="1:4" ht="17.25" customHeight="1" x14ac:dyDescent="0.2">
      <c r="A1549" s="195">
        <v>5171</v>
      </c>
      <c r="B1549" s="196" t="s">
        <v>3093</v>
      </c>
      <c r="C1549" s="196">
        <v>457210</v>
      </c>
      <c r="D1549" s="197" t="s">
        <v>4803</v>
      </c>
    </row>
    <row r="1550" spans="1:4" ht="17.25" customHeight="1" x14ac:dyDescent="0.2">
      <c r="A1550" s="195">
        <v>5171</v>
      </c>
      <c r="B1550" s="196" t="s">
        <v>3093</v>
      </c>
      <c r="C1550" s="196">
        <v>457210</v>
      </c>
      <c r="D1550" s="197" t="s">
        <v>4803</v>
      </c>
    </row>
    <row r="1551" spans="1:4" ht="17.25" customHeight="1" x14ac:dyDescent="0.2">
      <c r="A1551" s="195">
        <v>5983</v>
      </c>
      <c r="B1551" s="196" t="s">
        <v>4804</v>
      </c>
      <c r="C1551" s="196">
        <v>457210</v>
      </c>
      <c r="D1551" s="197" t="s">
        <v>4803</v>
      </c>
    </row>
    <row r="1552" spans="1:4" ht="17.25" customHeight="1" x14ac:dyDescent="0.2">
      <c r="A1552" s="195">
        <v>5984</v>
      </c>
      <c r="B1552" s="196" t="s">
        <v>4805</v>
      </c>
      <c r="C1552" s="196">
        <v>457210</v>
      </c>
      <c r="D1552" s="197" t="s">
        <v>4803</v>
      </c>
    </row>
    <row r="1553" spans="1:4" ht="17.25" customHeight="1" x14ac:dyDescent="0.2">
      <c r="A1553" s="195">
        <v>5989</v>
      </c>
      <c r="B1553" s="196" t="s">
        <v>4806</v>
      </c>
      <c r="C1553" s="196">
        <v>457210</v>
      </c>
      <c r="D1553" s="197" t="s">
        <v>4803</v>
      </c>
    </row>
    <row r="1554" spans="1:4" ht="17.25" customHeight="1" x14ac:dyDescent="0.2">
      <c r="A1554" s="195">
        <v>5136</v>
      </c>
      <c r="B1554" s="196" t="s">
        <v>4673</v>
      </c>
      <c r="C1554" s="196">
        <v>458110</v>
      </c>
      <c r="D1554" s="197" t="s">
        <v>4807</v>
      </c>
    </row>
    <row r="1555" spans="1:4" ht="34.5" customHeight="1" x14ac:dyDescent="0.2">
      <c r="A1555" s="195">
        <v>5611</v>
      </c>
      <c r="B1555" s="196" t="s">
        <v>4808</v>
      </c>
      <c r="C1555" s="196">
        <v>458110</v>
      </c>
      <c r="D1555" s="197" t="s">
        <v>4807</v>
      </c>
    </row>
    <row r="1556" spans="1:4" ht="34.5" customHeight="1" x14ac:dyDescent="0.2">
      <c r="A1556" s="195">
        <v>5137</v>
      </c>
      <c r="B1556" s="196" t="s">
        <v>4674</v>
      </c>
      <c r="C1556" s="196">
        <v>458110</v>
      </c>
      <c r="D1556" s="197" t="s">
        <v>4807</v>
      </c>
    </row>
    <row r="1557" spans="1:4" ht="17.25" customHeight="1" x14ac:dyDescent="0.2">
      <c r="A1557" s="195">
        <v>5621</v>
      </c>
      <c r="B1557" s="196" t="s">
        <v>3176</v>
      </c>
      <c r="C1557" s="196">
        <v>458110</v>
      </c>
      <c r="D1557" s="197" t="s">
        <v>4807</v>
      </c>
    </row>
    <row r="1558" spans="1:4" ht="17.25" customHeight="1" x14ac:dyDescent="0.2">
      <c r="A1558" s="195">
        <v>5137</v>
      </c>
      <c r="B1558" s="196" t="s">
        <v>4674</v>
      </c>
      <c r="C1558" s="196">
        <v>458110</v>
      </c>
      <c r="D1558" s="197" t="s">
        <v>4807</v>
      </c>
    </row>
    <row r="1559" spans="1:4" ht="17.25" customHeight="1" x14ac:dyDescent="0.2">
      <c r="A1559" s="195">
        <v>5641</v>
      </c>
      <c r="B1559" s="196" t="s">
        <v>4809</v>
      </c>
      <c r="C1559" s="196">
        <v>458110</v>
      </c>
      <c r="D1559" s="197" t="s">
        <v>4807</v>
      </c>
    </row>
    <row r="1560" spans="1:4" ht="34.5" customHeight="1" x14ac:dyDescent="0.2">
      <c r="A1560" s="195">
        <v>5651</v>
      </c>
      <c r="B1560" s="196" t="s">
        <v>3178</v>
      </c>
      <c r="C1560" s="196">
        <v>458110</v>
      </c>
      <c r="D1560" s="197" t="s">
        <v>4807</v>
      </c>
    </row>
    <row r="1561" spans="1:4" ht="17.25" customHeight="1" x14ac:dyDescent="0.2">
      <c r="A1561" s="195">
        <v>5611</v>
      </c>
      <c r="B1561" s="196" t="s">
        <v>4808</v>
      </c>
      <c r="C1561" s="196">
        <v>458110</v>
      </c>
      <c r="D1561" s="197" t="s">
        <v>4807</v>
      </c>
    </row>
    <row r="1562" spans="1:4" ht="17.25" customHeight="1" x14ac:dyDescent="0.2">
      <c r="A1562" s="195">
        <v>5632</v>
      </c>
      <c r="B1562" s="196" t="s">
        <v>4810</v>
      </c>
      <c r="C1562" s="196">
        <v>458110</v>
      </c>
      <c r="D1562" s="197" t="s">
        <v>4807</v>
      </c>
    </row>
    <row r="1563" spans="1:4" ht="34.5" customHeight="1" x14ac:dyDescent="0.2">
      <c r="A1563" s="195">
        <v>5699</v>
      </c>
      <c r="B1563" s="196" t="s">
        <v>4052</v>
      </c>
      <c r="C1563" s="196">
        <v>458110</v>
      </c>
      <c r="D1563" s="197" t="s">
        <v>4807</v>
      </c>
    </row>
    <row r="1564" spans="1:4" ht="34.5" customHeight="1" x14ac:dyDescent="0.2">
      <c r="A1564" s="195">
        <v>5136</v>
      </c>
      <c r="B1564" s="196" t="s">
        <v>4673</v>
      </c>
      <c r="C1564" s="196">
        <v>458110</v>
      </c>
      <c r="D1564" s="197" t="s">
        <v>4807</v>
      </c>
    </row>
    <row r="1565" spans="1:4" ht="17.25" customHeight="1" x14ac:dyDescent="0.2">
      <c r="A1565" s="195">
        <v>5137</v>
      </c>
      <c r="B1565" s="196" t="s">
        <v>4674</v>
      </c>
      <c r="C1565" s="196">
        <v>458110</v>
      </c>
      <c r="D1565" s="197" t="s">
        <v>4807</v>
      </c>
    </row>
    <row r="1566" spans="1:4" ht="17.25" customHeight="1" x14ac:dyDescent="0.2">
      <c r="A1566" s="195">
        <v>5621</v>
      </c>
      <c r="B1566" s="196" t="s">
        <v>3176</v>
      </c>
      <c r="C1566" s="196">
        <v>458110</v>
      </c>
      <c r="D1566" s="197" t="s">
        <v>4807</v>
      </c>
    </row>
    <row r="1567" spans="1:4" ht="17.25" customHeight="1" x14ac:dyDescent="0.2">
      <c r="A1567" s="195">
        <v>5632</v>
      </c>
      <c r="B1567" s="196" t="s">
        <v>4810</v>
      </c>
      <c r="C1567" s="196">
        <v>458110</v>
      </c>
      <c r="D1567" s="197" t="s">
        <v>4807</v>
      </c>
    </row>
    <row r="1568" spans="1:4" ht="34.5" customHeight="1" x14ac:dyDescent="0.2">
      <c r="A1568" s="195">
        <v>5699</v>
      </c>
      <c r="B1568" s="196" t="s">
        <v>4052</v>
      </c>
      <c r="C1568" s="196">
        <v>458110</v>
      </c>
      <c r="D1568" s="197" t="s">
        <v>4807</v>
      </c>
    </row>
    <row r="1569" spans="1:4" ht="17.25" customHeight="1" x14ac:dyDescent="0.2">
      <c r="A1569" s="195">
        <v>5961</v>
      </c>
      <c r="B1569" s="196" t="s">
        <v>4749</v>
      </c>
      <c r="C1569" s="196">
        <v>458110</v>
      </c>
      <c r="D1569" s="197" t="s">
        <v>4807</v>
      </c>
    </row>
    <row r="1570" spans="1:4" ht="17.25" customHeight="1" x14ac:dyDescent="0.2">
      <c r="A1570" s="195">
        <v>5963</v>
      </c>
      <c r="B1570" s="196" t="s">
        <v>4753</v>
      </c>
      <c r="C1570" s="196">
        <v>458110</v>
      </c>
      <c r="D1570" s="197" t="s">
        <v>4807</v>
      </c>
    </row>
    <row r="1571" spans="1:4" ht="34.5" customHeight="1" x14ac:dyDescent="0.2">
      <c r="A1571" s="195">
        <v>5139</v>
      </c>
      <c r="B1571" s="196" t="s">
        <v>4694</v>
      </c>
      <c r="C1571" s="196">
        <v>458210</v>
      </c>
      <c r="D1571" s="197" t="s">
        <v>4811</v>
      </c>
    </row>
    <row r="1572" spans="1:4" ht="17.25" customHeight="1" x14ac:dyDescent="0.2">
      <c r="A1572" s="195">
        <v>5661</v>
      </c>
      <c r="B1572" s="196" t="s">
        <v>3181</v>
      </c>
      <c r="C1572" s="196">
        <v>458210</v>
      </c>
      <c r="D1572" s="197" t="s">
        <v>4811</v>
      </c>
    </row>
    <row r="1573" spans="1:4" ht="34.5" customHeight="1" x14ac:dyDescent="0.2">
      <c r="A1573" s="195">
        <v>5961</v>
      </c>
      <c r="B1573" s="196" t="s">
        <v>4749</v>
      </c>
      <c r="C1573" s="196">
        <v>458210</v>
      </c>
      <c r="D1573" s="197" t="s">
        <v>4811</v>
      </c>
    </row>
    <row r="1574" spans="1:4" ht="34.5" customHeight="1" x14ac:dyDescent="0.2">
      <c r="A1574" s="195">
        <v>5963</v>
      </c>
      <c r="B1574" s="196" t="s">
        <v>4753</v>
      </c>
      <c r="C1574" s="196">
        <v>458210</v>
      </c>
      <c r="D1574" s="197" t="s">
        <v>4811</v>
      </c>
    </row>
    <row r="1575" spans="1:4" ht="17.25" customHeight="1" x14ac:dyDescent="0.2">
      <c r="A1575" s="195">
        <v>5094</v>
      </c>
      <c r="B1575" s="196" t="s">
        <v>4679</v>
      </c>
      <c r="C1575" s="196">
        <v>458310</v>
      </c>
      <c r="D1575" s="197" t="s">
        <v>4812</v>
      </c>
    </row>
    <row r="1576" spans="1:4" ht="17.25" customHeight="1" x14ac:dyDescent="0.2">
      <c r="A1576" s="195">
        <v>5944</v>
      </c>
      <c r="B1576" s="196" t="s">
        <v>3183</v>
      </c>
      <c r="C1576" s="196">
        <v>458310</v>
      </c>
      <c r="D1576" s="197" t="s">
        <v>4812</v>
      </c>
    </row>
    <row r="1577" spans="1:4" ht="17.25" customHeight="1" x14ac:dyDescent="0.2">
      <c r="A1577" s="195">
        <v>7631</v>
      </c>
      <c r="B1577" s="196" t="s">
        <v>4813</v>
      </c>
      <c r="C1577" s="196">
        <v>458310</v>
      </c>
      <c r="D1577" s="197" t="s">
        <v>4812</v>
      </c>
    </row>
    <row r="1578" spans="1:4" ht="17.25" customHeight="1" x14ac:dyDescent="0.2">
      <c r="A1578" s="195">
        <v>5961</v>
      </c>
      <c r="B1578" s="196" t="s">
        <v>4749</v>
      </c>
      <c r="C1578" s="196">
        <v>458310</v>
      </c>
      <c r="D1578" s="197" t="s">
        <v>4812</v>
      </c>
    </row>
    <row r="1579" spans="1:4" ht="17.25" customHeight="1" x14ac:dyDescent="0.2">
      <c r="A1579" s="195">
        <v>5963</v>
      </c>
      <c r="B1579" s="196" t="s">
        <v>4753</v>
      </c>
      <c r="C1579" s="196">
        <v>458310</v>
      </c>
      <c r="D1579" s="197" t="s">
        <v>4812</v>
      </c>
    </row>
    <row r="1580" spans="1:4" ht="17.25" customHeight="1" x14ac:dyDescent="0.2">
      <c r="A1580" s="195">
        <v>5948</v>
      </c>
      <c r="B1580" s="196" t="s">
        <v>3185</v>
      </c>
      <c r="C1580" s="196">
        <v>458320</v>
      </c>
      <c r="D1580" s="197" t="s">
        <v>4814</v>
      </c>
    </row>
    <row r="1581" spans="1:4" ht="17.25" customHeight="1" x14ac:dyDescent="0.2">
      <c r="A1581" s="195">
        <v>5961</v>
      </c>
      <c r="B1581" s="196" t="s">
        <v>4749</v>
      </c>
      <c r="C1581" s="196">
        <v>458320</v>
      </c>
      <c r="D1581" s="197" t="s">
        <v>4814</v>
      </c>
    </row>
    <row r="1582" spans="1:4" ht="17.25" customHeight="1" x14ac:dyDescent="0.2">
      <c r="A1582" s="195">
        <v>5963</v>
      </c>
      <c r="B1582" s="196" t="s">
        <v>4753</v>
      </c>
      <c r="C1582" s="196">
        <v>458320</v>
      </c>
      <c r="D1582" s="197" t="s">
        <v>4814</v>
      </c>
    </row>
    <row r="1583" spans="1:4" ht="17.25" customHeight="1" x14ac:dyDescent="0.2">
      <c r="A1583" s="195">
        <v>5091</v>
      </c>
      <c r="B1583" s="196" t="s">
        <v>4671</v>
      </c>
      <c r="C1583" s="196">
        <v>459110</v>
      </c>
      <c r="D1583" s="197" t="s">
        <v>4815</v>
      </c>
    </row>
    <row r="1584" spans="1:4" ht="17.25" customHeight="1" x14ac:dyDescent="0.2">
      <c r="A1584" s="195">
        <v>5099</v>
      </c>
      <c r="B1584" s="196" t="s">
        <v>4681</v>
      </c>
      <c r="C1584" s="196">
        <v>459110</v>
      </c>
      <c r="D1584" s="197" t="s">
        <v>4815</v>
      </c>
    </row>
    <row r="1585" spans="1:4" ht="17.25" customHeight="1" x14ac:dyDescent="0.2">
      <c r="A1585" s="195">
        <v>5941</v>
      </c>
      <c r="B1585" s="196" t="s">
        <v>4816</v>
      </c>
      <c r="C1585" s="196">
        <v>459110</v>
      </c>
      <c r="D1585" s="197" t="s">
        <v>4815</v>
      </c>
    </row>
    <row r="1586" spans="1:4" ht="17.25" customHeight="1" x14ac:dyDescent="0.2">
      <c r="A1586" s="195">
        <v>7699</v>
      </c>
      <c r="B1586" s="196" t="s">
        <v>3762</v>
      </c>
      <c r="C1586" s="196">
        <v>459110</v>
      </c>
      <c r="D1586" s="197" t="s">
        <v>4815</v>
      </c>
    </row>
    <row r="1587" spans="1:4" ht="34.5" customHeight="1" x14ac:dyDescent="0.2">
      <c r="A1587" s="195">
        <v>5961</v>
      </c>
      <c r="B1587" s="196" t="s">
        <v>4749</v>
      </c>
      <c r="C1587" s="196">
        <v>459110</v>
      </c>
      <c r="D1587" s="197" t="s">
        <v>4815</v>
      </c>
    </row>
    <row r="1588" spans="1:4" ht="17.25" customHeight="1" x14ac:dyDescent="0.2">
      <c r="A1588" s="195">
        <v>5963</v>
      </c>
      <c r="B1588" s="196" t="s">
        <v>4753</v>
      </c>
      <c r="C1588" s="196">
        <v>459110</v>
      </c>
      <c r="D1588" s="197" t="s">
        <v>4815</v>
      </c>
    </row>
    <row r="1589" spans="1:4" ht="17.25" customHeight="1" x14ac:dyDescent="0.2">
      <c r="A1589" s="195">
        <v>5092</v>
      </c>
      <c r="B1589" s="196" t="s">
        <v>4675</v>
      </c>
      <c r="C1589" s="196">
        <v>459120</v>
      </c>
      <c r="D1589" s="197" t="s">
        <v>4817</v>
      </c>
    </row>
    <row r="1590" spans="1:4" ht="17.25" customHeight="1" x14ac:dyDescent="0.2">
      <c r="A1590" s="195">
        <v>5099</v>
      </c>
      <c r="B1590" s="196" t="s">
        <v>4681</v>
      </c>
      <c r="C1590" s="196">
        <v>459120</v>
      </c>
      <c r="D1590" s="197" t="s">
        <v>4817</v>
      </c>
    </row>
    <row r="1591" spans="1:4" ht="17.25" customHeight="1" x14ac:dyDescent="0.2">
      <c r="A1591" s="195">
        <v>5945</v>
      </c>
      <c r="B1591" s="196" t="s">
        <v>4818</v>
      </c>
      <c r="C1591" s="196">
        <v>459120</v>
      </c>
      <c r="D1591" s="197" t="s">
        <v>4817</v>
      </c>
    </row>
    <row r="1592" spans="1:4" ht="17.25" customHeight="1" x14ac:dyDescent="0.2">
      <c r="A1592" s="195">
        <v>5961</v>
      </c>
      <c r="B1592" s="196" t="s">
        <v>4749</v>
      </c>
      <c r="C1592" s="196">
        <v>459120</v>
      </c>
      <c r="D1592" s="197" t="s">
        <v>4817</v>
      </c>
    </row>
    <row r="1593" spans="1:4" ht="17.25" customHeight="1" x14ac:dyDescent="0.2">
      <c r="A1593" s="195">
        <v>5963</v>
      </c>
      <c r="B1593" s="196" t="s">
        <v>4753</v>
      </c>
      <c r="C1593" s="196">
        <v>459120</v>
      </c>
      <c r="D1593" s="197" t="s">
        <v>4817</v>
      </c>
    </row>
    <row r="1594" spans="1:4" ht="17.25" customHeight="1" x14ac:dyDescent="0.2">
      <c r="A1594" s="195">
        <v>5131</v>
      </c>
      <c r="B1594" s="196" t="s">
        <v>4009</v>
      </c>
      <c r="C1594" s="196">
        <v>459130</v>
      </c>
      <c r="D1594" s="197" t="s">
        <v>4819</v>
      </c>
    </row>
    <row r="1595" spans="1:4" ht="34.5" customHeight="1" x14ac:dyDescent="0.2">
      <c r="A1595" s="195">
        <v>5714</v>
      </c>
      <c r="B1595" s="196" t="s">
        <v>4015</v>
      </c>
      <c r="C1595" s="196">
        <v>459130</v>
      </c>
      <c r="D1595" s="197" t="s">
        <v>4819</v>
      </c>
    </row>
    <row r="1596" spans="1:4" ht="17.25" customHeight="1" x14ac:dyDescent="0.2">
      <c r="A1596" s="195">
        <v>5949</v>
      </c>
      <c r="B1596" s="196" t="s">
        <v>4820</v>
      </c>
      <c r="C1596" s="196">
        <v>459130</v>
      </c>
      <c r="D1596" s="197" t="s">
        <v>4819</v>
      </c>
    </row>
    <row r="1597" spans="1:4" ht="28.7" customHeight="1" x14ac:dyDescent="0.2">
      <c r="A1597" s="195">
        <v>5961</v>
      </c>
      <c r="B1597" s="196" t="s">
        <v>4749</v>
      </c>
      <c r="C1597" s="196">
        <v>459130</v>
      </c>
      <c r="D1597" s="197" t="s">
        <v>4819</v>
      </c>
    </row>
    <row r="1598" spans="1:4" ht="17.25" customHeight="1" x14ac:dyDescent="0.2">
      <c r="A1598" s="195">
        <v>5963</v>
      </c>
      <c r="B1598" s="196" t="s">
        <v>4753</v>
      </c>
      <c r="C1598" s="196">
        <v>459130</v>
      </c>
      <c r="D1598" s="197" t="s">
        <v>4819</v>
      </c>
    </row>
    <row r="1599" spans="1:4" ht="17.25" customHeight="1" x14ac:dyDescent="0.2">
      <c r="A1599" s="195">
        <v>5736</v>
      </c>
      <c r="B1599" s="196" t="s">
        <v>4821</v>
      </c>
      <c r="C1599" s="196">
        <v>459140</v>
      </c>
      <c r="D1599" s="197" t="s">
        <v>4822</v>
      </c>
    </row>
    <row r="1600" spans="1:4" ht="17.25" customHeight="1" x14ac:dyDescent="0.2">
      <c r="A1600" s="195">
        <v>5961</v>
      </c>
      <c r="B1600" s="196" t="s">
        <v>4749</v>
      </c>
      <c r="C1600" s="196">
        <v>459140</v>
      </c>
      <c r="D1600" s="197" t="s">
        <v>4822</v>
      </c>
    </row>
    <row r="1601" spans="1:4" ht="17.25" customHeight="1" x14ac:dyDescent="0.2">
      <c r="A1601" s="195">
        <v>5963</v>
      </c>
      <c r="B1601" s="196" t="s">
        <v>4753</v>
      </c>
      <c r="C1601" s="196">
        <v>459140</v>
      </c>
      <c r="D1601" s="197" t="s">
        <v>4822</v>
      </c>
    </row>
    <row r="1602" spans="1:4" ht="17.25" customHeight="1" x14ac:dyDescent="0.2">
      <c r="A1602" s="195">
        <v>5192</v>
      </c>
      <c r="B1602" s="196" t="s">
        <v>4731</v>
      </c>
      <c r="C1602" s="196">
        <v>459210</v>
      </c>
      <c r="D1602" s="197" t="s">
        <v>4823</v>
      </c>
    </row>
    <row r="1603" spans="1:4" ht="17.25" customHeight="1" x14ac:dyDescent="0.2">
      <c r="A1603" s="195">
        <v>5942</v>
      </c>
      <c r="B1603" s="196" t="s">
        <v>3195</v>
      </c>
      <c r="C1603" s="196">
        <v>459210</v>
      </c>
      <c r="D1603" s="197" t="s">
        <v>4823</v>
      </c>
    </row>
    <row r="1604" spans="1:4" ht="17.25" customHeight="1" x14ac:dyDescent="0.2">
      <c r="A1604" s="195">
        <v>5994</v>
      </c>
      <c r="B1604" s="196" t="s">
        <v>3197</v>
      </c>
      <c r="C1604" s="196">
        <v>459210</v>
      </c>
      <c r="D1604" s="197" t="s">
        <v>4823</v>
      </c>
    </row>
    <row r="1605" spans="1:4" ht="17.25" customHeight="1" x14ac:dyDescent="0.2">
      <c r="A1605" s="195">
        <v>5961</v>
      </c>
      <c r="B1605" s="196" t="s">
        <v>4749</v>
      </c>
      <c r="C1605" s="196">
        <v>459210</v>
      </c>
      <c r="D1605" s="197" t="s">
        <v>4823</v>
      </c>
    </row>
    <row r="1606" spans="1:4" ht="34.5" customHeight="1" x14ac:dyDescent="0.2">
      <c r="A1606" s="195">
        <v>5963</v>
      </c>
      <c r="B1606" s="196" t="s">
        <v>4753</v>
      </c>
      <c r="C1606" s="196">
        <v>459210</v>
      </c>
      <c r="D1606" s="197" t="s">
        <v>4823</v>
      </c>
    </row>
    <row r="1607" spans="1:4" ht="34.5" customHeight="1" x14ac:dyDescent="0.2">
      <c r="A1607" s="195">
        <v>5992</v>
      </c>
      <c r="B1607" s="196" t="s">
        <v>3198</v>
      </c>
      <c r="C1607" s="196">
        <v>459310</v>
      </c>
      <c r="D1607" s="197" t="s">
        <v>4824</v>
      </c>
    </row>
    <row r="1608" spans="1:4" ht="17.25" customHeight="1" x14ac:dyDescent="0.2">
      <c r="A1608" s="195">
        <v>5961</v>
      </c>
      <c r="B1608" s="196" t="s">
        <v>4749</v>
      </c>
      <c r="C1608" s="196">
        <v>459310</v>
      </c>
      <c r="D1608" s="197" t="s">
        <v>4824</v>
      </c>
    </row>
    <row r="1609" spans="1:4" ht="17.25" customHeight="1" x14ac:dyDescent="0.2">
      <c r="A1609" s="195">
        <v>5963</v>
      </c>
      <c r="B1609" s="196" t="s">
        <v>4753</v>
      </c>
      <c r="C1609" s="196">
        <v>459310</v>
      </c>
      <c r="D1609" s="197" t="s">
        <v>4824</v>
      </c>
    </row>
    <row r="1610" spans="1:4" ht="17.25" customHeight="1" x14ac:dyDescent="0.2">
      <c r="A1610" s="195">
        <v>5044</v>
      </c>
      <c r="B1610" s="196" t="s">
        <v>4631</v>
      </c>
      <c r="C1610" s="196">
        <v>459410</v>
      </c>
      <c r="D1610" s="197" t="s">
        <v>4825</v>
      </c>
    </row>
    <row r="1611" spans="1:4" ht="17.25" customHeight="1" x14ac:dyDescent="0.2">
      <c r="A1611" s="195">
        <v>5049</v>
      </c>
      <c r="B1611" s="196" t="s">
        <v>4640</v>
      </c>
      <c r="C1611" s="196">
        <v>459410</v>
      </c>
      <c r="D1611" s="197" t="s">
        <v>4825</v>
      </c>
    </row>
    <row r="1612" spans="1:4" ht="17.25" customHeight="1" x14ac:dyDescent="0.2">
      <c r="A1612" s="195">
        <v>5111</v>
      </c>
      <c r="B1612" s="196" t="s">
        <v>4684</v>
      </c>
      <c r="C1612" s="196">
        <v>459410</v>
      </c>
      <c r="D1612" s="197" t="s">
        <v>4825</v>
      </c>
    </row>
    <row r="1613" spans="1:4" ht="17.25" customHeight="1" x14ac:dyDescent="0.2">
      <c r="A1613" s="195">
        <v>5112</v>
      </c>
      <c r="B1613" s="196" t="s">
        <v>4686</v>
      </c>
      <c r="C1613" s="196">
        <v>459410</v>
      </c>
      <c r="D1613" s="197" t="s">
        <v>4825</v>
      </c>
    </row>
    <row r="1614" spans="1:4" ht="17.25" customHeight="1" x14ac:dyDescent="0.2">
      <c r="A1614" s="195">
        <v>5943</v>
      </c>
      <c r="B1614" s="196" t="s">
        <v>4826</v>
      </c>
      <c r="C1614" s="196">
        <v>459410</v>
      </c>
      <c r="D1614" s="197" t="s">
        <v>4825</v>
      </c>
    </row>
    <row r="1615" spans="1:4" ht="17.25" customHeight="1" x14ac:dyDescent="0.2">
      <c r="A1615" s="195">
        <v>5961</v>
      </c>
      <c r="B1615" s="196" t="s">
        <v>4749</v>
      </c>
      <c r="C1615" s="196">
        <v>459410</v>
      </c>
      <c r="D1615" s="197" t="s">
        <v>4825</v>
      </c>
    </row>
    <row r="1616" spans="1:4" ht="17.25" customHeight="1" x14ac:dyDescent="0.2">
      <c r="A1616" s="195">
        <v>5963</v>
      </c>
      <c r="B1616" s="196" t="s">
        <v>4753</v>
      </c>
      <c r="C1616" s="196">
        <v>459410</v>
      </c>
      <c r="D1616" s="197" t="s">
        <v>4825</v>
      </c>
    </row>
    <row r="1617" spans="1:4" ht="17.25" customHeight="1" x14ac:dyDescent="0.2">
      <c r="A1617" s="195">
        <v>5199</v>
      </c>
      <c r="B1617" s="196" t="s">
        <v>4693</v>
      </c>
      <c r="C1617" s="196">
        <v>459420</v>
      </c>
      <c r="D1617" s="197" t="s">
        <v>4827</v>
      </c>
    </row>
    <row r="1618" spans="1:4" ht="17.25" customHeight="1" x14ac:dyDescent="0.2">
      <c r="A1618" s="195">
        <v>5947</v>
      </c>
      <c r="B1618" s="196" t="s">
        <v>4828</v>
      </c>
      <c r="C1618" s="196">
        <v>459420</v>
      </c>
      <c r="D1618" s="197" t="s">
        <v>4827</v>
      </c>
    </row>
    <row r="1619" spans="1:4" ht="17.25" customHeight="1" x14ac:dyDescent="0.2">
      <c r="A1619" s="195">
        <v>5961</v>
      </c>
      <c r="B1619" s="196" t="s">
        <v>4749</v>
      </c>
      <c r="C1619" s="196">
        <v>459420</v>
      </c>
      <c r="D1619" s="197" t="s">
        <v>4827</v>
      </c>
    </row>
    <row r="1620" spans="1:4" ht="17.25" customHeight="1" x14ac:dyDescent="0.2">
      <c r="A1620" s="195">
        <v>5963</v>
      </c>
      <c r="B1620" s="196" t="s">
        <v>4753</v>
      </c>
      <c r="C1620" s="196">
        <v>459420</v>
      </c>
      <c r="D1620" s="197" t="s">
        <v>4827</v>
      </c>
    </row>
    <row r="1621" spans="1:4" ht="28.7" customHeight="1" x14ac:dyDescent="0.2">
      <c r="A1621" s="195">
        <v>5932</v>
      </c>
      <c r="B1621" s="196" t="s">
        <v>3204</v>
      </c>
      <c r="C1621" s="196">
        <v>459510</v>
      </c>
      <c r="D1621" s="197" t="s">
        <v>4829</v>
      </c>
    </row>
    <row r="1622" spans="1:4" ht="17.25" customHeight="1" x14ac:dyDescent="0.2">
      <c r="A1622" s="195">
        <v>5961</v>
      </c>
      <c r="B1622" s="196" t="s">
        <v>4749</v>
      </c>
      <c r="C1622" s="196">
        <v>459510</v>
      </c>
      <c r="D1622" s="197" t="s">
        <v>4829</v>
      </c>
    </row>
    <row r="1623" spans="1:4" ht="17.25" customHeight="1" x14ac:dyDescent="0.2">
      <c r="A1623" s="195">
        <v>5963</v>
      </c>
      <c r="B1623" s="196" t="s">
        <v>4753</v>
      </c>
      <c r="C1623" s="196">
        <v>459510</v>
      </c>
      <c r="D1623" s="197" t="s">
        <v>4829</v>
      </c>
    </row>
    <row r="1624" spans="1:4" ht="17.25" customHeight="1" x14ac:dyDescent="0.2">
      <c r="A1624" s="195">
        <v>5149</v>
      </c>
      <c r="B1624" s="196" t="s">
        <v>3973</v>
      </c>
      <c r="C1624" s="196">
        <v>459910</v>
      </c>
      <c r="D1624" s="197" t="s">
        <v>4830</v>
      </c>
    </row>
    <row r="1625" spans="1:4" ht="34.5" customHeight="1" x14ac:dyDescent="0.2">
      <c r="A1625" s="195">
        <v>5199</v>
      </c>
      <c r="B1625" s="196" t="s">
        <v>4693</v>
      </c>
      <c r="C1625" s="196">
        <v>459910</v>
      </c>
      <c r="D1625" s="197" t="s">
        <v>4830</v>
      </c>
    </row>
    <row r="1626" spans="1:4" ht="34.5" customHeight="1" x14ac:dyDescent="0.2">
      <c r="A1626" s="195">
        <v>5999</v>
      </c>
      <c r="B1626" s="196" t="s">
        <v>4586</v>
      </c>
      <c r="C1626" s="196">
        <v>459910</v>
      </c>
      <c r="D1626" s="197" t="s">
        <v>4830</v>
      </c>
    </row>
    <row r="1627" spans="1:4" ht="17.25" customHeight="1" x14ac:dyDescent="0.2">
      <c r="A1627" s="195">
        <v>5961</v>
      </c>
      <c r="B1627" s="196" t="s">
        <v>4749</v>
      </c>
      <c r="C1627" s="196">
        <v>459910</v>
      </c>
      <c r="D1627" s="197" t="s">
        <v>4830</v>
      </c>
    </row>
    <row r="1628" spans="1:4" ht="17.25" customHeight="1" x14ac:dyDescent="0.2">
      <c r="A1628" s="195">
        <v>5963</v>
      </c>
      <c r="B1628" s="196" t="s">
        <v>4753</v>
      </c>
      <c r="C1628" s="196">
        <v>459910</v>
      </c>
      <c r="D1628" s="197" t="s">
        <v>4830</v>
      </c>
    </row>
    <row r="1629" spans="1:4" ht="17.25" customHeight="1" x14ac:dyDescent="0.2">
      <c r="A1629" s="195">
        <v>5999</v>
      </c>
      <c r="B1629" s="196" t="s">
        <v>4586</v>
      </c>
      <c r="C1629" s="196">
        <v>459920</v>
      </c>
      <c r="D1629" s="197" t="s">
        <v>4831</v>
      </c>
    </row>
    <row r="1630" spans="1:4" ht="17.25" customHeight="1" x14ac:dyDescent="0.2">
      <c r="A1630" s="195">
        <v>5961</v>
      </c>
      <c r="B1630" s="196" t="s">
        <v>4749</v>
      </c>
      <c r="C1630" s="196">
        <v>459920</v>
      </c>
      <c r="D1630" s="197" t="s">
        <v>4831</v>
      </c>
    </row>
    <row r="1631" spans="1:4" ht="17.25" customHeight="1" x14ac:dyDescent="0.2">
      <c r="A1631" s="195">
        <v>5963</v>
      </c>
      <c r="B1631" s="196" t="s">
        <v>4753</v>
      </c>
      <c r="C1631" s="196">
        <v>459920</v>
      </c>
      <c r="D1631" s="197" t="s">
        <v>4831</v>
      </c>
    </row>
    <row r="1632" spans="1:4" ht="17.25" customHeight="1" x14ac:dyDescent="0.2">
      <c r="A1632" s="195">
        <v>5271</v>
      </c>
      <c r="B1632" s="196" t="s">
        <v>4832</v>
      </c>
      <c r="C1632" s="196">
        <v>459930</v>
      </c>
      <c r="D1632" s="197" t="s">
        <v>4833</v>
      </c>
    </row>
    <row r="1633" spans="1:4" ht="17.25" customHeight="1" x14ac:dyDescent="0.2">
      <c r="A1633" s="195">
        <v>5194</v>
      </c>
      <c r="B1633" s="196" t="s">
        <v>4735</v>
      </c>
      <c r="C1633" s="196">
        <v>459991</v>
      </c>
      <c r="D1633" s="197" t="s">
        <v>4834</v>
      </c>
    </row>
    <row r="1634" spans="1:4" ht="17.25" customHeight="1" x14ac:dyDescent="0.2">
      <c r="A1634" s="195">
        <v>5199</v>
      </c>
      <c r="B1634" s="196" t="s">
        <v>4693</v>
      </c>
      <c r="C1634" s="196">
        <v>459991</v>
      </c>
      <c r="D1634" s="197" t="s">
        <v>4834</v>
      </c>
    </row>
    <row r="1635" spans="1:4" ht="17.25" customHeight="1" x14ac:dyDescent="0.2">
      <c r="A1635" s="195">
        <v>5993</v>
      </c>
      <c r="B1635" s="196" t="s">
        <v>4835</v>
      </c>
      <c r="C1635" s="196">
        <v>459991</v>
      </c>
      <c r="D1635" s="197" t="s">
        <v>4834</v>
      </c>
    </row>
    <row r="1636" spans="1:4" ht="34.5" customHeight="1" x14ac:dyDescent="0.2">
      <c r="A1636" s="195">
        <v>5961</v>
      </c>
      <c r="B1636" s="196" t="s">
        <v>4749</v>
      </c>
      <c r="C1636" s="196">
        <v>459991</v>
      </c>
      <c r="D1636" s="197" t="s">
        <v>4834</v>
      </c>
    </row>
    <row r="1637" spans="1:4" ht="34.5" customHeight="1" x14ac:dyDescent="0.2">
      <c r="A1637" s="195">
        <v>5963</v>
      </c>
      <c r="B1637" s="196" t="s">
        <v>4753</v>
      </c>
      <c r="C1637" s="196">
        <v>459991</v>
      </c>
      <c r="D1637" s="197" t="s">
        <v>4834</v>
      </c>
    </row>
    <row r="1638" spans="1:4" ht="34.5" customHeight="1" x14ac:dyDescent="0.2">
      <c r="A1638" s="195">
        <v>5085</v>
      </c>
      <c r="B1638" s="196" t="s">
        <v>4666</v>
      </c>
      <c r="C1638" s="196">
        <v>459999</v>
      </c>
      <c r="D1638" s="197" t="s">
        <v>4836</v>
      </c>
    </row>
    <row r="1639" spans="1:4" ht="17.25" customHeight="1" x14ac:dyDescent="0.2">
      <c r="A1639" s="195">
        <v>5113</v>
      </c>
      <c r="B1639" s="196" t="s">
        <v>4688</v>
      </c>
      <c r="C1639" s="196">
        <v>459999</v>
      </c>
      <c r="D1639" s="197" t="s">
        <v>4836</v>
      </c>
    </row>
    <row r="1640" spans="1:4" ht="17.25" customHeight="1" x14ac:dyDescent="0.2">
      <c r="A1640" s="195">
        <v>5162</v>
      </c>
      <c r="B1640" s="196" t="s">
        <v>4718</v>
      </c>
      <c r="C1640" s="196">
        <v>459999</v>
      </c>
      <c r="D1640" s="197" t="s">
        <v>4836</v>
      </c>
    </row>
    <row r="1641" spans="1:4" ht="34.5" customHeight="1" x14ac:dyDescent="0.2">
      <c r="A1641" s="195">
        <v>5999</v>
      </c>
      <c r="B1641" s="196" t="s">
        <v>4586</v>
      </c>
      <c r="C1641" s="196">
        <v>459999</v>
      </c>
      <c r="D1641" s="197" t="s">
        <v>4836</v>
      </c>
    </row>
    <row r="1642" spans="1:4" ht="34.5" customHeight="1" x14ac:dyDescent="0.2">
      <c r="A1642" s="195">
        <v>5961</v>
      </c>
      <c r="B1642" s="196" t="s">
        <v>4749</v>
      </c>
      <c r="C1642" s="196">
        <v>459999</v>
      </c>
      <c r="D1642" s="197" t="s">
        <v>4836</v>
      </c>
    </row>
    <row r="1643" spans="1:4" ht="34.5" customHeight="1" x14ac:dyDescent="0.2">
      <c r="A1643" s="195">
        <v>5963</v>
      </c>
      <c r="B1643" s="196" t="s">
        <v>4753</v>
      </c>
      <c r="C1643" s="196">
        <v>459999</v>
      </c>
      <c r="D1643" s="197" t="s">
        <v>4836</v>
      </c>
    </row>
    <row r="1644" spans="1:4" ht="17.25" customHeight="1" x14ac:dyDescent="0.2">
      <c r="A1644" s="195">
        <v>4512</v>
      </c>
      <c r="B1644" s="196" t="s">
        <v>4837</v>
      </c>
      <c r="C1644" s="196">
        <v>481111</v>
      </c>
      <c r="D1644" s="197" t="s">
        <v>4838</v>
      </c>
    </row>
    <row r="1645" spans="1:4" ht="17.25" customHeight="1" x14ac:dyDescent="0.2">
      <c r="A1645" s="195">
        <v>4512</v>
      </c>
      <c r="B1645" s="196" t="s">
        <v>4837</v>
      </c>
      <c r="C1645" s="196">
        <v>481112</v>
      </c>
      <c r="D1645" s="197" t="s">
        <v>4839</v>
      </c>
    </row>
    <row r="1646" spans="1:4" ht="17.25" customHeight="1" x14ac:dyDescent="0.2">
      <c r="A1646" s="195">
        <v>4522</v>
      </c>
      <c r="B1646" s="196" t="s">
        <v>4840</v>
      </c>
      <c r="C1646" s="196">
        <v>481211</v>
      </c>
      <c r="D1646" s="197" t="s">
        <v>4841</v>
      </c>
    </row>
    <row r="1647" spans="1:4" ht="17.25" customHeight="1" x14ac:dyDescent="0.2">
      <c r="A1647" s="195">
        <v>4522</v>
      </c>
      <c r="B1647" s="196" t="s">
        <v>4840</v>
      </c>
      <c r="C1647" s="196">
        <v>481212</v>
      </c>
      <c r="D1647" s="197" t="s">
        <v>4842</v>
      </c>
    </row>
    <row r="1648" spans="1:4" ht="17.25" customHeight="1" x14ac:dyDescent="0.2">
      <c r="A1648" s="195">
        <v>4522</v>
      </c>
      <c r="B1648" s="196" t="s">
        <v>4840</v>
      </c>
      <c r="C1648" s="196">
        <v>481219</v>
      </c>
      <c r="D1648" s="197" t="s">
        <v>4843</v>
      </c>
    </row>
    <row r="1649" spans="1:4" ht="34.5" customHeight="1" x14ac:dyDescent="0.2">
      <c r="A1649" s="195">
        <v>7319</v>
      </c>
      <c r="B1649" s="196" t="s">
        <v>4844</v>
      </c>
      <c r="C1649" s="196">
        <v>481219</v>
      </c>
      <c r="D1649" s="197" t="s">
        <v>4843</v>
      </c>
    </row>
    <row r="1650" spans="1:4" ht="34.5" customHeight="1" x14ac:dyDescent="0.2">
      <c r="A1650" s="195">
        <v>7335</v>
      </c>
      <c r="B1650" s="196" t="s">
        <v>3438</v>
      </c>
      <c r="C1650" s="196">
        <v>481219</v>
      </c>
      <c r="D1650" s="197" t="s">
        <v>4843</v>
      </c>
    </row>
    <row r="1651" spans="1:4" ht="17.25" customHeight="1" x14ac:dyDescent="0.2">
      <c r="A1651" s="195">
        <v>7997</v>
      </c>
      <c r="B1651" s="196" t="s">
        <v>4845</v>
      </c>
      <c r="C1651" s="196">
        <v>481219</v>
      </c>
      <c r="D1651" s="197" t="s">
        <v>4843</v>
      </c>
    </row>
    <row r="1652" spans="1:4" ht="17.25" customHeight="1" x14ac:dyDescent="0.2">
      <c r="A1652" s="195">
        <v>4011</v>
      </c>
      <c r="B1652" s="196" t="s">
        <v>4846</v>
      </c>
      <c r="C1652" s="196">
        <v>482111</v>
      </c>
      <c r="D1652" s="197" t="s">
        <v>4847</v>
      </c>
    </row>
    <row r="1653" spans="1:4" ht="17.25" customHeight="1" x14ac:dyDescent="0.2">
      <c r="A1653" s="195">
        <v>4013</v>
      </c>
      <c r="B1653" s="196" t="s">
        <v>4848</v>
      </c>
      <c r="C1653" s="196">
        <v>482112</v>
      </c>
      <c r="D1653" s="197" t="s">
        <v>4849</v>
      </c>
    </row>
    <row r="1654" spans="1:4" ht="17.25" customHeight="1" x14ac:dyDescent="0.2">
      <c r="A1654" s="195">
        <v>4412</v>
      </c>
      <c r="B1654" s="196" t="s">
        <v>4850</v>
      </c>
      <c r="C1654" s="196">
        <v>483111</v>
      </c>
      <c r="D1654" s="197" t="s">
        <v>4851</v>
      </c>
    </row>
    <row r="1655" spans="1:4" ht="17.25" customHeight="1" x14ac:dyDescent="0.2">
      <c r="A1655" s="195">
        <v>4481</v>
      </c>
      <c r="B1655" s="196" t="s">
        <v>4852</v>
      </c>
      <c r="C1655" s="196">
        <v>483112</v>
      </c>
      <c r="D1655" s="197" t="s">
        <v>4853</v>
      </c>
    </row>
    <row r="1656" spans="1:4" ht="17.25" customHeight="1" x14ac:dyDescent="0.2">
      <c r="A1656" s="195">
        <v>4424</v>
      </c>
      <c r="B1656" s="196" t="s">
        <v>4854</v>
      </c>
      <c r="C1656" s="196">
        <v>483113</v>
      </c>
      <c r="D1656" s="197" t="s">
        <v>4855</v>
      </c>
    </row>
    <row r="1657" spans="1:4" ht="17.25" customHeight="1" x14ac:dyDescent="0.2">
      <c r="A1657" s="195">
        <v>4432</v>
      </c>
      <c r="B1657" s="196" t="s">
        <v>4856</v>
      </c>
      <c r="C1657" s="196">
        <v>483113</v>
      </c>
      <c r="D1657" s="197" t="s">
        <v>4855</v>
      </c>
    </row>
    <row r="1658" spans="1:4" ht="17.25" customHeight="1" x14ac:dyDescent="0.2">
      <c r="A1658" s="195">
        <v>4481</v>
      </c>
      <c r="B1658" s="196" t="s">
        <v>4852</v>
      </c>
      <c r="C1658" s="196">
        <v>483114</v>
      </c>
      <c r="D1658" s="197" t="s">
        <v>4857</v>
      </c>
    </row>
    <row r="1659" spans="1:4" ht="17.25" customHeight="1" x14ac:dyDescent="0.2">
      <c r="A1659" s="195">
        <v>4482</v>
      </c>
      <c r="B1659" s="196" t="s">
        <v>4858</v>
      </c>
      <c r="C1659" s="196">
        <v>483114</v>
      </c>
      <c r="D1659" s="197" t="s">
        <v>4857</v>
      </c>
    </row>
    <row r="1660" spans="1:4" ht="17.25" customHeight="1" x14ac:dyDescent="0.2">
      <c r="A1660" s="195">
        <v>4449</v>
      </c>
      <c r="B1660" s="196" t="s">
        <v>4859</v>
      </c>
      <c r="C1660" s="196">
        <v>483211</v>
      </c>
      <c r="D1660" s="197" t="s">
        <v>4860</v>
      </c>
    </row>
    <row r="1661" spans="1:4" ht="17.25" customHeight="1" x14ac:dyDescent="0.2">
      <c r="A1661" s="195">
        <v>4499</v>
      </c>
      <c r="B1661" s="196" t="s">
        <v>4861</v>
      </c>
      <c r="C1661" s="196">
        <v>483211</v>
      </c>
      <c r="D1661" s="197" t="s">
        <v>4860</v>
      </c>
    </row>
    <row r="1662" spans="1:4" ht="17.25" customHeight="1" x14ac:dyDescent="0.2">
      <c r="A1662" s="195">
        <v>4482</v>
      </c>
      <c r="B1662" s="196" t="s">
        <v>4858</v>
      </c>
      <c r="C1662" s="196">
        <v>483212</v>
      </c>
      <c r="D1662" s="197" t="s">
        <v>4862</v>
      </c>
    </row>
    <row r="1663" spans="1:4" ht="17.25" customHeight="1" x14ac:dyDescent="0.2">
      <c r="A1663" s="195">
        <v>4489</v>
      </c>
      <c r="B1663" s="196" t="s">
        <v>4863</v>
      </c>
      <c r="C1663" s="196">
        <v>483212</v>
      </c>
      <c r="D1663" s="197" t="s">
        <v>4862</v>
      </c>
    </row>
    <row r="1664" spans="1:4" ht="17.25" customHeight="1" x14ac:dyDescent="0.2">
      <c r="A1664" s="195">
        <v>4212</v>
      </c>
      <c r="B1664" s="196" t="s">
        <v>4864</v>
      </c>
      <c r="C1664" s="196">
        <v>484110</v>
      </c>
      <c r="D1664" s="197" t="s">
        <v>4865</v>
      </c>
    </row>
    <row r="1665" spans="1:4" ht="17.25" customHeight="1" x14ac:dyDescent="0.2">
      <c r="A1665" s="195">
        <v>4214</v>
      </c>
      <c r="B1665" s="196" t="s">
        <v>4866</v>
      </c>
      <c r="C1665" s="196">
        <v>484110</v>
      </c>
      <c r="D1665" s="197" t="s">
        <v>4865</v>
      </c>
    </row>
    <row r="1666" spans="1:4" ht="17.25" customHeight="1" x14ac:dyDescent="0.2">
      <c r="A1666" s="195">
        <v>4213</v>
      </c>
      <c r="B1666" s="196" t="s">
        <v>4867</v>
      </c>
      <c r="C1666" s="196">
        <v>484121</v>
      </c>
      <c r="D1666" s="197" t="s">
        <v>4868</v>
      </c>
    </row>
    <row r="1667" spans="1:4" ht="17.25" customHeight="1" x14ac:dyDescent="0.2">
      <c r="A1667" s="195">
        <v>4213</v>
      </c>
      <c r="B1667" s="196" t="s">
        <v>4867</v>
      </c>
      <c r="C1667" s="196">
        <v>484122</v>
      </c>
      <c r="D1667" s="197" t="s">
        <v>4869</v>
      </c>
    </row>
    <row r="1668" spans="1:4" ht="17.25" customHeight="1" x14ac:dyDescent="0.2">
      <c r="A1668" s="195">
        <v>4212</v>
      </c>
      <c r="B1668" s="196" t="s">
        <v>4864</v>
      </c>
      <c r="C1668" s="196">
        <v>484210</v>
      </c>
      <c r="D1668" s="197" t="s">
        <v>3231</v>
      </c>
    </row>
    <row r="1669" spans="1:4" ht="17.25" customHeight="1" x14ac:dyDescent="0.2">
      <c r="A1669" s="195">
        <v>4213</v>
      </c>
      <c r="B1669" s="196" t="s">
        <v>4867</v>
      </c>
      <c r="C1669" s="196">
        <v>484210</v>
      </c>
      <c r="D1669" s="197" t="s">
        <v>3231</v>
      </c>
    </row>
    <row r="1670" spans="1:4" ht="34.5" customHeight="1" x14ac:dyDescent="0.2">
      <c r="A1670" s="195">
        <v>4214</v>
      </c>
      <c r="B1670" s="196" t="s">
        <v>4866</v>
      </c>
      <c r="C1670" s="196">
        <v>484210</v>
      </c>
      <c r="D1670" s="197" t="s">
        <v>3231</v>
      </c>
    </row>
    <row r="1671" spans="1:4" ht="17.25" customHeight="1" x14ac:dyDescent="0.2">
      <c r="A1671" s="195">
        <v>4212</v>
      </c>
      <c r="B1671" s="196" t="s">
        <v>4864</v>
      </c>
      <c r="C1671" s="196">
        <v>484220</v>
      </c>
      <c r="D1671" s="197" t="s">
        <v>4870</v>
      </c>
    </row>
    <row r="1672" spans="1:4" ht="17.25" customHeight="1" x14ac:dyDescent="0.2">
      <c r="A1672" s="195">
        <v>4214</v>
      </c>
      <c r="B1672" s="196" t="s">
        <v>4866</v>
      </c>
      <c r="C1672" s="196">
        <v>484220</v>
      </c>
      <c r="D1672" s="197" t="s">
        <v>4870</v>
      </c>
    </row>
    <row r="1673" spans="1:4" ht="17.25" customHeight="1" x14ac:dyDescent="0.2">
      <c r="A1673" s="195">
        <v>4213</v>
      </c>
      <c r="B1673" s="196" t="s">
        <v>4867</v>
      </c>
      <c r="C1673" s="196">
        <v>484230</v>
      </c>
      <c r="D1673" s="197" t="s">
        <v>4871</v>
      </c>
    </row>
    <row r="1674" spans="1:4" ht="17.25" customHeight="1" x14ac:dyDescent="0.2">
      <c r="A1674" s="195">
        <v>4111</v>
      </c>
      <c r="B1674" s="196" t="s">
        <v>4872</v>
      </c>
      <c r="C1674" s="196">
        <v>485111</v>
      </c>
      <c r="D1674" s="197" t="s">
        <v>4873</v>
      </c>
    </row>
    <row r="1675" spans="1:4" ht="17.25" customHeight="1" x14ac:dyDescent="0.2">
      <c r="A1675" s="195">
        <v>4111</v>
      </c>
      <c r="B1675" s="196" t="s">
        <v>4872</v>
      </c>
      <c r="C1675" s="196">
        <v>485112</v>
      </c>
      <c r="D1675" s="197" t="s">
        <v>4874</v>
      </c>
    </row>
    <row r="1676" spans="1:4" ht="17.25" customHeight="1" x14ac:dyDescent="0.2">
      <c r="A1676" s="195">
        <v>4111</v>
      </c>
      <c r="B1676" s="196" t="s">
        <v>4872</v>
      </c>
      <c r="C1676" s="196">
        <v>485113</v>
      </c>
      <c r="D1676" s="197" t="s">
        <v>4875</v>
      </c>
    </row>
    <row r="1677" spans="1:4" ht="17.25" customHeight="1" x14ac:dyDescent="0.2">
      <c r="A1677" s="195">
        <v>4111</v>
      </c>
      <c r="B1677" s="196" t="s">
        <v>4872</v>
      </c>
      <c r="C1677" s="196">
        <v>485119</v>
      </c>
      <c r="D1677" s="197" t="s">
        <v>4876</v>
      </c>
    </row>
    <row r="1678" spans="1:4" ht="17.25" customHeight="1" x14ac:dyDescent="0.2">
      <c r="A1678" s="195">
        <v>4131</v>
      </c>
      <c r="B1678" s="196" t="s">
        <v>4877</v>
      </c>
      <c r="C1678" s="196">
        <v>485210</v>
      </c>
      <c r="D1678" s="197" t="s">
        <v>3238</v>
      </c>
    </row>
    <row r="1679" spans="1:4" ht="34.5" customHeight="1" x14ac:dyDescent="0.2">
      <c r="A1679" s="195">
        <v>4121</v>
      </c>
      <c r="B1679" s="196" t="s">
        <v>4878</v>
      </c>
      <c r="C1679" s="196">
        <v>485310</v>
      </c>
      <c r="D1679" s="197" t="s">
        <v>4879</v>
      </c>
    </row>
    <row r="1680" spans="1:4" ht="34.5" customHeight="1" x14ac:dyDescent="0.2">
      <c r="A1680" s="195">
        <v>4899</v>
      </c>
      <c r="B1680" s="196" t="s">
        <v>4880</v>
      </c>
      <c r="C1680" s="196">
        <v>485310</v>
      </c>
      <c r="D1680" s="197" t="s">
        <v>4879</v>
      </c>
    </row>
    <row r="1681" spans="1:4" ht="17.25" customHeight="1" x14ac:dyDescent="0.2">
      <c r="A1681" s="195">
        <v>4119</v>
      </c>
      <c r="B1681" s="196" t="s">
        <v>4881</v>
      </c>
      <c r="C1681" s="196">
        <v>485320</v>
      </c>
      <c r="D1681" s="197" t="s">
        <v>3241</v>
      </c>
    </row>
    <row r="1682" spans="1:4" ht="17.25" customHeight="1" x14ac:dyDescent="0.2">
      <c r="A1682" s="195">
        <v>4119</v>
      </c>
      <c r="B1682" s="196" t="s">
        <v>4881</v>
      </c>
      <c r="C1682" s="196">
        <v>485410</v>
      </c>
      <c r="D1682" s="197" t="s">
        <v>3242</v>
      </c>
    </row>
    <row r="1683" spans="1:4" ht="17.25" customHeight="1" x14ac:dyDescent="0.2">
      <c r="A1683" s="195">
        <v>4151</v>
      </c>
      <c r="B1683" s="196" t="s">
        <v>4882</v>
      </c>
      <c r="C1683" s="196">
        <v>485410</v>
      </c>
      <c r="D1683" s="197" t="s">
        <v>3242</v>
      </c>
    </row>
    <row r="1684" spans="1:4" ht="17.25" customHeight="1" x14ac:dyDescent="0.2">
      <c r="A1684" s="195">
        <v>4141</v>
      </c>
      <c r="B1684" s="196" t="s">
        <v>4883</v>
      </c>
      <c r="C1684" s="196">
        <v>485510</v>
      </c>
      <c r="D1684" s="197" t="s">
        <v>3243</v>
      </c>
    </row>
    <row r="1685" spans="1:4" ht="17.25" customHeight="1" x14ac:dyDescent="0.2">
      <c r="A1685" s="195">
        <v>4142</v>
      </c>
      <c r="B1685" s="196" t="s">
        <v>4884</v>
      </c>
      <c r="C1685" s="196">
        <v>485510</v>
      </c>
      <c r="D1685" s="197" t="s">
        <v>3243</v>
      </c>
    </row>
    <row r="1686" spans="1:4" ht="17.25" customHeight="1" x14ac:dyDescent="0.2">
      <c r="A1686" s="195">
        <v>4119</v>
      </c>
      <c r="B1686" s="196" t="s">
        <v>4881</v>
      </c>
      <c r="C1686" s="196">
        <v>485991</v>
      </c>
      <c r="D1686" s="197" t="s">
        <v>4885</v>
      </c>
    </row>
    <row r="1687" spans="1:4" ht="17.25" customHeight="1" x14ac:dyDescent="0.2">
      <c r="A1687" s="195">
        <v>4111</v>
      </c>
      <c r="B1687" s="196" t="s">
        <v>4872</v>
      </c>
      <c r="C1687" s="196">
        <v>485999</v>
      </c>
      <c r="D1687" s="197" t="s">
        <v>4886</v>
      </c>
    </row>
    <row r="1688" spans="1:4" ht="17.25" customHeight="1" x14ac:dyDescent="0.2">
      <c r="A1688" s="195">
        <v>4119</v>
      </c>
      <c r="B1688" s="196" t="s">
        <v>4881</v>
      </c>
      <c r="C1688" s="196">
        <v>485999</v>
      </c>
      <c r="D1688" s="197" t="s">
        <v>4886</v>
      </c>
    </row>
    <row r="1689" spans="1:4" ht="17.25" customHeight="1" x14ac:dyDescent="0.2">
      <c r="A1689" s="195">
        <v>4612</v>
      </c>
      <c r="B1689" s="196" t="s">
        <v>4887</v>
      </c>
      <c r="C1689" s="196">
        <v>486110</v>
      </c>
      <c r="D1689" s="197" t="s">
        <v>3246</v>
      </c>
    </row>
    <row r="1690" spans="1:4" ht="17.25" customHeight="1" x14ac:dyDescent="0.2">
      <c r="A1690" s="195">
        <v>4922</v>
      </c>
      <c r="B1690" s="196" t="s">
        <v>4888</v>
      </c>
      <c r="C1690" s="196">
        <v>486210</v>
      </c>
      <c r="D1690" s="197" t="s">
        <v>3247</v>
      </c>
    </row>
    <row r="1691" spans="1:4" ht="17.25" customHeight="1" x14ac:dyDescent="0.2">
      <c r="A1691" s="195">
        <v>4923</v>
      </c>
      <c r="B1691" s="196" t="s">
        <v>3826</v>
      </c>
      <c r="C1691" s="196">
        <v>486210</v>
      </c>
      <c r="D1691" s="197" t="s">
        <v>3247</v>
      </c>
    </row>
    <row r="1692" spans="1:4" ht="34.5" customHeight="1" x14ac:dyDescent="0.2">
      <c r="A1692" s="195">
        <v>4613</v>
      </c>
      <c r="B1692" s="196" t="s">
        <v>1741</v>
      </c>
      <c r="C1692" s="196">
        <v>486910</v>
      </c>
      <c r="D1692" s="197" t="s">
        <v>3248</v>
      </c>
    </row>
    <row r="1693" spans="1:4" ht="17.25" customHeight="1" x14ac:dyDescent="0.2">
      <c r="A1693" s="195">
        <v>4619</v>
      </c>
      <c r="B1693" s="196" t="s">
        <v>4889</v>
      </c>
      <c r="C1693" s="196">
        <v>486990</v>
      </c>
      <c r="D1693" s="197" t="s">
        <v>1352</v>
      </c>
    </row>
    <row r="1694" spans="1:4" ht="34.5" customHeight="1" x14ac:dyDescent="0.2">
      <c r="A1694" s="195">
        <v>4119</v>
      </c>
      <c r="B1694" s="196" t="s">
        <v>4881</v>
      </c>
      <c r="C1694" s="196">
        <v>487110</v>
      </c>
      <c r="D1694" s="197" t="s">
        <v>3249</v>
      </c>
    </row>
    <row r="1695" spans="1:4" ht="17.25" customHeight="1" x14ac:dyDescent="0.2">
      <c r="A1695" s="195">
        <v>4789</v>
      </c>
      <c r="B1695" s="196" t="s">
        <v>4890</v>
      </c>
      <c r="C1695" s="196">
        <v>487110</v>
      </c>
      <c r="D1695" s="197" t="s">
        <v>3249</v>
      </c>
    </row>
    <row r="1696" spans="1:4" ht="17.25" customHeight="1" x14ac:dyDescent="0.2">
      <c r="A1696" s="195">
        <v>7999</v>
      </c>
      <c r="B1696" s="196" t="s">
        <v>4891</v>
      </c>
      <c r="C1696" s="196">
        <v>487110</v>
      </c>
      <c r="D1696" s="197" t="s">
        <v>3249</v>
      </c>
    </row>
    <row r="1697" spans="1:4" ht="17.25" customHeight="1" x14ac:dyDescent="0.2">
      <c r="A1697" s="195">
        <v>4489</v>
      </c>
      <c r="B1697" s="196" t="s">
        <v>4863</v>
      </c>
      <c r="C1697" s="196">
        <v>487210</v>
      </c>
      <c r="D1697" s="197" t="s">
        <v>3250</v>
      </c>
    </row>
    <row r="1698" spans="1:4" ht="34.5" customHeight="1" x14ac:dyDescent="0.2">
      <c r="A1698" s="195">
        <v>7999</v>
      </c>
      <c r="B1698" s="196" t="s">
        <v>4891</v>
      </c>
      <c r="C1698" s="196">
        <v>487210</v>
      </c>
      <c r="D1698" s="197" t="s">
        <v>3250</v>
      </c>
    </row>
    <row r="1699" spans="1:4" ht="17.25" customHeight="1" x14ac:dyDescent="0.2">
      <c r="A1699" s="195">
        <v>4522</v>
      </c>
      <c r="B1699" s="196" t="s">
        <v>4840</v>
      </c>
      <c r="C1699" s="196">
        <v>487990</v>
      </c>
      <c r="D1699" s="197" t="s">
        <v>3251</v>
      </c>
    </row>
    <row r="1700" spans="1:4" ht="34.5" customHeight="1" x14ac:dyDescent="0.2">
      <c r="A1700" s="195">
        <v>7999</v>
      </c>
      <c r="B1700" s="196" t="s">
        <v>4891</v>
      </c>
      <c r="C1700" s="196">
        <v>487990</v>
      </c>
      <c r="D1700" s="197" t="s">
        <v>3251</v>
      </c>
    </row>
    <row r="1701" spans="1:4" ht="17.25" customHeight="1" x14ac:dyDescent="0.2">
      <c r="A1701" s="195">
        <v>4581</v>
      </c>
      <c r="B1701" s="196" t="s">
        <v>4892</v>
      </c>
      <c r="C1701" s="196">
        <v>488111</v>
      </c>
      <c r="D1701" s="197" t="s">
        <v>3252</v>
      </c>
    </row>
    <row r="1702" spans="1:4" ht="17.25" customHeight="1" x14ac:dyDescent="0.2">
      <c r="A1702" s="195">
        <v>9621</v>
      </c>
      <c r="B1702" s="196" t="s">
        <v>4893</v>
      </c>
      <c r="C1702" s="196">
        <v>488111</v>
      </c>
      <c r="D1702" s="197" t="s">
        <v>3252</v>
      </c>
    </row>
    <row r="1703" spans="1:4" ht="17.25" customHeight="1" x14ac:dyDescent="0.2">
      <c r="A1703" s="195">
        <v>4581</v>
      </c>
      <c r="B1703" s="196" t="s">
        <v>4892</v>
      </c>
      <c r="C1703" s="196">
        <v>488119</v>
      </c>
      <c r="D1703" s="197" t="s">
        <v>4894</v>
      </c>
    </row>
    <row r="1704" spans="1:4" ht="17.25" customHeight="1" x14ac:dyDescent="0.2">
      <c r="A1704" s="195">
        <v>4959</v>
      </c>
      <c r="B1704" s="196" t="s">
        <v>4895</v>
      </c>
      <c r="C1704" s="196">
        <v>488119</v>
      </c>
      <c r="D1704" s="197" t="s">
        <v>4894</v>
      </c>
    </row>
    <row r="1705" spans="1:4" ht="17.25" customHeight="1" x14ac:dyDescent="0.2">
      <c r="A1705" s="195">
        <v>7997</v>
      </c>
      <c r="B1705" s="196" t="s">
        <v>4845</v>
      </c>
      <c r="C1705" s="196">
        <v>488119</v>
      </c>
      <c r="D1705" s="197" t="s">
        <v>4894</v>
      </c>
    </row>
    <row r="1706" spans="1:4" ht="17.25" customHeight="1" x14ac:dyDescent="0.2">
      <c r="A1706" s="195">
        <v>4581</v>
      </c>
      <c r="B1706" s="196" t="s">
        <v>4892</v>
      </c>
      <c r="C1706" s="196">
        <v>488190</v>
      </c>
      <c r="D1706" s="197" t="s">
        <v>3254</v>
      </c>
    </row>
    <row r="1707" spans="1:4" ht="17.25" customHeight="1" x14ac:dyDescent="0.2">
      <c r="A1707" s="195">
        <v>4013</v>
      </c>
      <c r="B1707" s="196" t="s">
        <v>4848</v>
      </c>
      <c r="C1707" s="196">
        <v>488210</v>
      </c>
      <c r="D1707" s="197" t="s">
        <v>3255</v>
      </c>
    </row>
    <row r="1708" spans="1:4" ht="17.25" customHeight="1" x14ac:dyDescent="0.2">
      <c r="A1708" s="195">
        <v>4741</v>
      </c>
      <c r="B1708" s="196" t="s">
        <v>4896</v>
      </c>
      <c r="C1708" s="196">
        <v>488210</v>
      </c>
      <c r="D1708" s="197" t="s">
        <v>3255</v>
      </c>
    </row>
    <row r="1709" spans="1:4" ht="17.25" customHeight="1" x14ac:dyDescent="0.2">
      <c r="A1709" s="195">
        <v>4789</v>
      </c>
      <c r="B1709" s="196" t="s">
        <v>4890</v>
      </c>
      <c r="C1709" s="196">
        <v>488210</v>
      </c>
      <c r="D1709" s="197" t="s">
        <v>3255</v>
      </c>
    </row>
    <row r="1710" spans="1:4" ht="17.25" customHeight="1" x14ac:dyDescent="0.2">
      <c r="A1710" s="195">
        <v>4491</v>
      </c>
      <c r="B1710" s="196" t="s">
        <v>3257</v>
      </c>
      <c r="C1710" s="196">
        <v>488310</v>
      </c>
      <c r="D1710" s="197" t="s">
        <v>3256</v>
      </c>
    </row>
    <row r="1711" spans="1:4" ht="17.25" customHeight="1" x14ac:dyDescent="0.2">
      <c r="A1711" s="195">
        <v>4499</v>
      </c>
      <c r="B1711" s="196" t="s">
        <v>4861</v>
      </c>
      <c r="C1711" s="196">
        <v>488310</v>
      </c>
      <c r="D1711" s="197" t="s">
        <v>3256</v>
      </c>
    </row>
    <row r="1712" spans="1:4" ht="17.25" customHeight="1" x14ac:dyDescent="0.2">
      <c r="A1712" s="195">
        <v>4491</v>
      </c>
      <c r="B1712" s="196" t="s">
        <v>3257</v>
      </c>
      <c r="C1712" s="196">
        <v>488320</v>
      </c>
      <c r="D1712" s="197" t="s">
        <v>3257</v>
      </c>
    </row>
    <row r="1713" spans="1:4" ht="34.5" customHeight="1" x14ac:dyDescent="0.2">
      <c r="A1713" s="195">
        <v>4492</v>
      </c>
      <c r="B1713" s="196" t="s">
        <v>4897</v>
      </c>
      <c r="C1713" s="196">
        <v>488330</v>
      </c>
      <c r="D1713" s="197" t="s">
        <v>4898</v>
      </c>
    </row>
    <row r="1714" spans="1:4" ht="17.25" customHeight="1" x14ac:dyDescent="0.2">
      <c r="A1714" s="195">
        <v>4499</v>
      </c>
      <c r="B1714" s="196" t="s">
        <v>4861</v>
      </c>
      <c r="C1714" s="196">
        <v>488330</v>
      </c>
      <c r="D1714" s="197" t="s">
        <v>4898</v>
      </c>
    </row>
    <row r="1715" spans="1:4" ht="34.5" customHeight="1" x14ac:dyDescent="0.2">
      <c r="A1715" s="195">
        <v>3731</v>
      </c>
      <c r="B1715" s="196" t="s">
        <v>4554</v>
      </c>
      <c r="C1715" s="196">
        <v>488390</v>
      </c>
      <c r="D1715" s="197" t="s">
        <v>3259</v>
      </c>
    </row>
    <row r="1716" spans="1:4" ht="17.25" customHeight="1" x14ac:dyDescent="0.2">
      <c r="A1716" s="195">
        <v>4499</v>
      </c>
      <c r="B1716" s="196" t="s">
        <v>4861</v>
      </c>
      <c r="C1716" s="196">
        <v>488390</v>
      </c>
      <c r="D1716" s="197" t="s">
        <v>3259</v>
      </c>
    </row>
    <row r="1717" spans="1:4" ht="34.5" customHeight="1" x14ac:dyDescent="0.2">
      <c r="A1717" s="195">
        <v>4785</v>
      </c>
      <c r="B1717" s="196" t="s">
        <v>4899</v>
      </c>
      <c r="C1717" s="196">
        <v>488390</v>
      </c>
      <c r="D1717" s="197" t="s">
        <v>3259</v>
      </c>
    </row>
    <row r="1718" spans="1:4" ht="34.5" customHeight="1" x14ac:dyDescent="0.2">
      <c r="A1718" s="195">
        <v>7699</v>
      </c>
      <c r="B1718" s="196" t="s">
        <v>3762</v>
      </c>
      <c r="C1718" s="196">
        <v>488390</v>
      </c>
      <c r="D1718" s="197" t="s">
        <v>3259</v>
      </c>
    </row>
    <row r="1719" spans="1:4" ht="17.25" customHeight="1" x14ac:dyDescent="0.2">
      <c r="A1719" s="195">
        <v>7549</v>
      </c>
      <c r="B1719" s="196" t="s">
        <v>4900</v>
      </c>
      <c r="C1719" s="196">
        <v>488410</v>
      </c>
      <c r="D1719" s="197" t="s">
        <v>3260</v>
      </c>
    </row>
    <row r="1720" spans="1:4" ht="17.25" customHeight="1" x14ac:dyDescent="0.2">
      <c r="A1720" s="195">
        <v>4173</v>
      </c>
      <c r="B1720" s="196" t="s">
        <v>4901</v>
      </c>
      <c r="C1720" s="196">
        <v>488490</v>
      </c>
      <c r="D1720" s="197" t="s">
        <v>4902</v>
      </c>
    </row>
    <row r="1721" spans="1:4" ht="17.25" customHeight="1" x14ac:dyDescent="0.2">
      <c r="A1721" s="195">
        <v>4231</v>
      </c>
      <c r="B1721" s="196" t="s">
        <v>4903</v>
      </c>
      <c r="C1721" s="196">
        <v>488490</v>
      </c>
      <c r="D1721" s="197" t="s">
        <v>4902</v>
      </c>
    </row>
    <row r="1722" spans="1:4" ht="17.25" customHeight="1" x14ac:dyDescent="0.2">
      <c r="A1722" s="195">
        <v>4785</v>
      </c>
      <c r="B1722" s="196" t="s">
        <v>4899</v>
      </c>
      <c r="C1722" s="196">
        <v>488490</v>
      </c>
      <c r="D1722" s="197" t="s">
        <v>4902</v>
      </c>
    </row>
    <row r="1723" spans="1:4" ht="17.25" customHeight="1" x14ac:dyDescent="0.2">
      <c r="A1723" s="195">
        <v>4959</v>
      </c>
      <c r="B1723" s="196" t="s">
        <v>4895</v>
      </c>
      <c r="C1723" s="196">
        <v>488490</v>
      </c>
      <c r="D1723" s="197" t="s">
        <v>4902</v>
      </c>
    </row>
    <row r="1724" spans="1:4" ht="34.5" customHeight="1" x14ac:dyDescent="0.2">
      <c r="A1724" s="195">
        <v>7389</v>
      </c>
      <c r="B1724" s="196" t="s">
        <v>3985</v>
      </c>
      <c r="C1724" s="196">
        <v>488490</v>
      </c>
      <c r="D1724" s="197" t="s">
        <v>4902</v>
      </c>
    </row>
    <row r="1725" spans="1:4" ht="17.25" customHeight="1" x14ac:dyDescent="0.2">
      <c r="A1725" s="195">
        <v>4731</v>
      </c>
      <c r="B1725" s="196" t="s">
        <v>3262</v>
      </c>
      <c r="C1725" s="196">
        <v>488510</v>
      </c>
      <c r="D1725" s="197" t="s">
        <v>4904</v>
      </c>
    </row>
    <row r="1726" spans="1:4" ht="17.25" customHeight="1" x14ac:dyDescent="0.2">
      <c r="A1726" s="195">
        <v>4783</v>
      </c>
      <c r="B1726" s="196" t="s">
        <v>3263</v>
      </c>
      <c r="C1726" s="196">
        <v>488991</v>
      </c>
      <c r="D1726" s="197" t="s">
        <v>4905</v>
      </c>
    </row>
    <row r="1727" spans="1:4" ht="17.25" customHeight="1" x14ac:dyDescent="0.2">
      <c r="A1727" s="195">
        <v>4729</v>
      </c>
      <c r="B1727" s="196" t="s">
        <v>4906</v>
      </c>
      <c r="C1727" s="196">
        <v>488999</v>
      </c>
      <c r="D1727" s="197" t="s">
        <v>4907</v>
      </c>
    </row>
    <row r="1728" spans="1:4" ht="34.5" customHeight="1" x14ac:dyDescent="0.2">
      <c r="A1728" s="195">
        <v>4789</v>
      </c>
      <c r="B1728" s="196" t="s">
        <v>4890</v>
      </c>
      <c r="C1728" s="196">
        <v>488999</v>
      </c>
      <c r="D1728" s="197" t="s">
        <v>4907</v>
      </c>
    </row>
    <row r="1729" spans="1:4" ht="17.25" customHeight="1" x14ac:dyDescent="0.2">
      <c r="A1729" s="195">
        <v>4311</v>
      </c>
      <c r="B1729" s="196" t="s">
        <v>4908</v>
      </c>
      <c r="C1729" s="196">
        <v>491110</v>
      </c>
      <c r="D1729" s="197" t="s">
        <v>3265</v>
      </c>
    </row>
    <row r="1730" spans="1:4" ht="17.25" customHeight="1" x14ac:dyDescent="0.2">
      <c r="A1730" s="195">
        <v>7389</v>
      </c>
      <c r="B1730" s="196" t="s">
        <v>3985</v>
      </c>
      <c r="C1730" s="196">
        <v>491110</v>
      </c>
      <c r="D1730" s="197" t="s">
        <v>3265</v>
      </c>
    </row>
    <row r="1731" spans="1:4" ht="34.5" customHeight="1" x14ac:dyDescent="0.2">
      <c r="A1731" s="195">
        <v>4215</v>
      </c>
      <c r="B1731" s="196" t="s">
        <v>4909</v>
      </c>
      <c r="C1731" s="196">
        <v>492110</v>
      </c>
      <c r="D1731" s="197" t="s">
        <v>3266</v>
      </c>
    </row>
    <row r="1732" spans="1:4" ht="34.5" customHeight="1" x14ac:dyDescent="0.2">
      <c r="A1732" s="195">
        <v>4513</v>
      </c>
      <c r="B1732" s="196" t="s">
        <v>4910</v>
      </c>
      <c r="C1732" s="196">
        <v>492110</v>
      </c>
      <c r="D1732" s="197" t="s">
        <v>3266</v>
      </c>
    </row>
    <row r="1733" spans="1:4" ht="17.25" customHeight="1" x14ac:dyDescent="0.2">
      <c r="A1733" s="195">
        <v>4215</v>
      </c>
      <c r="B1733" s="196" t="s">
        <v>4909</v>
      </c>
      <c r="C1733" s="196">
        <v>492210</v>
      </c>
      <c r="D1733" s="197" t="s">
        <v>3267</v>
      </c>
    </row>
    <row r="1734" spans="1:4" ht="17.25" customHeight="1" x14ac:dyDescent="0.2">
      <c r="A1734" s="195">
        <v>4225</v>
      </c>
      <c r="B1734" s="196" t="s">
        <v>3268</v>
      </c>
      <c r="C1734" s="196">
        <v>493110</v>
      </c>
      <c r="D1734" s="197" t="s">
        <v>4911</v>
      </c>
    </row>
    <row r="1735" spans="1:4" ht="17.25" customHeight="1" x14ac:dyDescent="0.2">
      <c r="A1735" s="195">
        <v>4226</v>
      </c>
      <c r="B1735" s="196" t="s">
        <v>4912</v>
      </c>
      <c r="C1735" s="196">
        <v>493110</v>
      </c>
      <c r="D1735" s="197" t="s">
        <v>4911</v>
      </c>
    </row>
    <row r="1736" spans="1:4" ht="17.25" customHeight="1" x14ac:dyDescent="0.2">
      <c r="A1736" s="195">
        <v>4222</v>
      </c>
      <c r="B1736" s="196" t="s">
        <v>3269</v>
      </c>
      <c r="C1736" s="196">
        <v>493120</v>
      </c>
      <c r="D1736" s="197" t="s">
        <v>3269</v>
      </c>
    </row>
    <row r="1737" spans="1:4" ht="17.25" customHeight="1" x14ac:dyDescent="0.2">
      <c r="A1737" s="195">
        <v>4226</v>
      </c>
      <c r="B1737" s="196" t="s">
        <v>4912</v>
      </c>
      <c r="C1737" s="196">
        <v>493120</v>
      </c>
      <c r="D1737" s="197" t="s">
        <v>3269</v>
      </c>
    </row>
    <row r="1738" spans="1:4" ht="34.5" customHeight="1" x14ac:dyDescent="0.2">
      <c r="A1738" s="195">
        <v>4221</v>
      </c>
      <c r="B1738" s="196" t="s">
        <v>3270</v>
      </c>
      <c r="C1738" s="196">
        <v>493130</v>
      </c>
      <c r="D1738" s="197" t="s">
        <v>3270</v>
      </c>
    </row>
    <row r="1739" spans="1:4" ht="17.25" customHeight="1" x14ac:dyDescent="0.2">
      <c r="A1739" s="195">
        <v>4226</v>
      </c>
      <c r="B1739" s="196" t="s">
        <v>4912</v>
      </c>
      <c r="C1739" s="196">
        <v>493190</v>
      </c>
      <c r="D1739" s="197" t="s">
        <v>3271</v>
      </c>
    </row>
    <row r="1740" spans="1:4" ht="34.5" customHeight="1" x14ac:dyDescent="0.2">
      <c r="A1740" s="195">
        <v>7812</v>
      </c>
      <c r="B1740" s="196" t="s">
        <v>3272</v>
      </c>
      <c r="C1740" s="196">
        <v>512110</v>
      </c>
      <c r="D1740" s="197" t="s">
        <v>4913</v>
      </c>
    </row>
    <row r="1741" spans="1:4" ht="28.7" customHeight="1" x14ac:dyDescent="0.2">
      <c r="A1741" s="195">
        <v>7822</v>
      </c>
      <c r="B1741" s="196" t="s">
        <v>4683</v>
      </c>
      <c r="C1741" s="196">
        <v>512120</v>
      </c>
      <c r="D1741" s="197" t="s">
        <v>3273</v>
      </c>
    </row>
    <row r="1742" spans="1:4" ht="28.7" customHeight="1" x14ac:dyDescent="0.2">
      <c r="A1742" s="195">
        <v>7829</v>
      </c>
      <c r="B1742" s="196" t="s">
        <v>4914</v>
      </c>
      <c r="C1742" s="196">
        <v>512120</v>
      </c>
      <c r="D1742" s="197" t="s">
        <v>3273</v>
      </c>
    </row>
    <row r="1743" spans="1:4" ht="17.25" customHeight="1" x14ac:dyDescent="0.2">
      <c r="A1743" s="195">
        <v>7832</v>
      </c>
      <c r="B1743" s="196" t="s">
        <v>4915</v>
      </c>
      <c r="C1743" s="196">
        <v>512131</v>
      </c>
      <c r="D1743" s="197" t="s">
        <v>4916</v>
      </c>
    </row>
    <row r="1744" spans="1:4" ht="17.25" customHeight="1" x14ac:dyDescent="0.2">
      <c r="A1744" s="195">
        <v>7833</v>
      </c>
      <c r="B1744" s="196" t="s">
        <v>4917</v>
      </c>
      <c r="C1744" s="196">
        <v>512132</v>
      </c>
      <c r="D1744" s="197" t="s">
        <v>4918</v>
      </c>
    </row>
    <row r="1745" spans="1:4" ht="34.5" customHeight="1" x14ac:dyDescent="0.2">
      <c r="A1745" s="195">
        <v>7819</v>
      </c>
      <c r="B1745" s="196" t="s">
        <v>4494</v>
      </c>
      <c r="C1745" s="196">
        <v>512191</v>
      </c>
      <c r="D1745" s="197" t="s">
        <v>4919</v>
      </c>
    </row>
    <row r="1746" spans="1:4" ht="17.25" customHeight="1" x14ac:dyDescent="0.2">
      <c r="A1746" s="195">
        <v>7819</v>
      </c>
      <c r="B1746" s="196" t="s">
        <v>4494</v>
      </c>
      <c r="C1746" s="196">
        <v>512199</v>
      </c>
      <c r="D1746" s="197" t="s">
        <v>4920</v>
      </c>
    </row>
    <row r="1747" spans="1:4" ht="17.25" customHeight="1" x14ac:dyDescent="0.2">
      <c r="A1747" s="195">
        <v>7829</v>
      </c>
      <c r="B1747" s="196" t="s">
        <v>4914</v>
      </c>
      <c r="C1747" s="196">
        <v>512199</v>
      </c>
      <c r="D1747" s="197" t="s">
        <v>4920</v>
      </c>
    </row>
    <row r="1748" spans="1:4" ht="17.25" customHeight="1" x14ac:dyDescent="0.2">
      <c r="A1748" s="195">
        <v>2731</v>
      </c>
      <c r="B1748" s="196" t="s">
        <v>4921</v>
      </c>
      <c r="C1748" s="196">
        <v>512230</v>
      </c>
      <c r="D1748" s="197" t="s">
        <v>3278</v>
      </c>
    </row>
    <row r="1749" spans="1:4" ht="17.25" customHeight="1" x14ac:dyDescent="0.2">
      <c r="A1749" s="195">
        <v>2741</v>
      </c>
      <c r="B1749" s="196" t="s">
        <v>4922</v>
      </c>
      <c r="C1749" s="196">
        <v>512230</v>
      </c>
      <c r="D1749" s="197" t="s">
        <v>3278</v>
      </c>
    </row>
    <row r="1750" spans="1:4" ht="17.25" customHeight="1" x14ac:dyDescent="0.2">
      <c r="A1750" s="195">
        <v>8999</v>
      </c>
      <c r="B1750" s="196" t="s">
        <v>4923</v>
      </c>
      <c r="C1750" s="196">
        <v>512230</v>
      </c>
      <c r="D1750" s="197" t="s">
        <v>3278</v>
      </c>
    </row>
    <row r="1751" spans="1:4" ht="17.25" customHeight="1" x14ac:dyDescent="0.2">
      <c r="A1751" s="195">
        <v>7389</v>
      </c>
      <c r="B1751" s="196" t="s">
        <v>3985</v>
      </c>
      <c r="C1751" s="196">
        <v>512240</v>
      </c>
      <c r="D1751" s="197" t="s">
        <v>3279</v>
      </c>
    </row>
    <row r="1752" spans="1:4" ht="34.5" customHeight="1" x14ac:dyDescent="0.2">
      <c r="A1752" s="195">
        <v>3652</v>
      </c>
      <c r="B1752" s="196" t="s">
        <v>4492</v>
      </c>
      <c r="C1752" s="196">
        <v>512250</v>
      </c>
      <c r="D1752" s="197" t="s">
        <v>3280</v>
      </c>
    </row>
    <row r="1753" spans="1:4" ht="17.25" customHeight="1" x14ac:dyDescent="0.2">
      <c r="A1753" s="195">
        <v>8999</v>
      </c>
      <c r="B1753" s="196" t="s">
        <v>4923</v>
      </c>
      <c r="C1753" s="196">
        <v>512250</v>
      </c>
      <c r="D1753" s="197" t="s">
        <v>3280</v>
      </c>
    </row>
    <row r="1754" spans="1:4" ht="34.5" customHeight="1" x14ac:dyDescent="0.2">
      <c r="A1754" s="195">
        <v>7389</v>
      </c>
      <c r="B1754" s="196" t="s">
        <v>3985</v>
      </c>
      <c r="C1754" s="196">
        <v>512290</v>
      </c>
      <c r="D1754" s="197" t="s">
        <v>3281</v>
      </c>
    </row>
    <row r="1755" spans="1:4" ht="17.25" customHeight="1" x14ac:dyDescent="0.2">
      <c r="A1755" s="195">
        <v>7922</v>
      </c>
      <c r="B1755" s="196" t="s">
        <v>4924</v>
      </c>
      <c r="C1755" s="196">
        <v>512290</v>
      </c>
      <c r="D1755" s="197" t="s">
        <v>3281</v>
      </c>
    </row>
    <row r="1756" spans="1:4" ht="17.25" customHeight="1" x14ac:dyDescent="0.2">
      <c r="A1756" s="195">
        <v>2711</v>
      </c>
      <c r="B1756" s="196" t="s">
        <v>4925</v>
      </c>
      <c r="C1756" s="196">
        <v>513110</v>
      </c>
      <c r="D1756" s="197" t="s">
        <v>4926</v>
      </c>
    </row>
    <row r="1757" spans="1:4" ht="34.5" customHeight="1" x14ac:dyDescent="0.2">
      <c r="A1757" s="195">
        <v>2711</v>
      </c>
      <c r="B1757" s="196" t="s">
        <v>4925</v>
      </c>
      <c r="C1757" s="196">
        <v>513110</v>
      </c>
      <c r="D1757" s="197" t="s">
        <v>4926</v>
      </c>
    </row>
    <row r="1758" spans="1:4" ht="17.25" customHeight="1" x14ac:dyDescent="0.2">
      <c r="A1758" s="195">
        <v>2721</v>
      </c>
      <c r="B1758" s="196" t="s">
        <v>4927</v>
      </c>
      <c r="C1758" s="196">
        <v>513120</v>
      </c>
      <c r="D1758" s="197" t="s">
        <v>4928</v>
      </c>
    </row>
    <row r="1759" spans="1:4" ht="17.25" customHeight="1" x14ac:dyDescent="0.2">
      <c r="A1759" s="195">
        <v>2741</v>
      </c>
      <c r="B1759" s="196" t="s">
        <v>4922</v>
      </c>
      <c r="C1759" s="196">
        <v>513120</v>
      </c>
      <c r="D1759" s="197" t="s">
        <v>4928</v>
      </c>
    </row>
    <row r="1760" spans="1:4" ht="34.5" customHeight="1" x14ac:dyDescent="0.2">
      <c r="A1760" s="195">
        <v>2721</v>
      </c>
      <c r="B1760" s="196" t="s">
        <v>4927</v>
      </c>
      <c r="C1760" s="196">
        <v>513120</v>
      </c>
      <c r="D1760" s="197" t="s">
        <v>4928</v>
      </c>
    </row>
    <row r="1761" spans="1:4" ht="17.25" customHeight="1" x14ac:dyDescent="0.2">
      <c r="A1761" s="195">
        <v>2731</v>
      </c>
      <c r="B1761" s="196" t="s">
        <v>4921</v>
      </c>
      <c r="C1761" s="196">
        <v>513130</v>
      </c>
      <c r="D1761" s="197" t="s">
        <v>4929</v>
      </c>
    </row>
    <row r="1762" spans="1:4" ht="17.25" customHeight="1" x14ac:dyDescent="0.2">
      <c r="A1762" s="195">
        <v>2741</v>
      </c>
      <c r="B1762" s="196" t="s">
        <v>4922</v>
      </c>
      <c r="C1762" s="196">
        <v>513130</v>
      </c>
      <c r="D1762" s="197" t="s">
        <v>4929</v>
      </c>
    </row>
    <row r="1763" spans="1:4" ht="34.5" customHeight="1" x14ac:dyDescent="0.2">
      <c r="A1763" s="195">
        <v>2731</v>
      </c>
      <c r="B1763" s="196" t="s">
        <v>4921</v>
      </c>
      <c r="C1763" s="196">
        <v>513130</v>
      </c>
      <c r="D1763" s="197" t="s">
        <v>4929</v>
      </c>
    </row>
    <row r="1764" spans="1:4" ht="34.5" customHeight="1" x14ac:dyDescent="0.2">
      <c r="A1764" s="195">
        <v>2741</v>
      </c>
      <c r="B1764" s="196" t="s">
        <v>4922</v>
      </c>
      <c r="C1764" s="196">
        <v>513140</v>
      </c>
      <c r="D1764" s="197" t="s">
        <v>4930</v>
      </c>
    </row>
    <row r="1765" spans="1:4" ht="17.25" customHeight="1" x14ac:dyDescent="0.2">
      <c r="A1765" s="195">
        <v>7331</v>
      </c>
      <c r="B1765" s="196" t="s">
        <v>4931</v>
      </c>
      <c r="C1765" s="196">
        <v>513140</v>
      </c>
      <c r="D1765" s="197" t="s">
        <v>4930</v>
      </c>
    </row>
    <row r="1766" spans="1:4" ht="17.25" customHeight="1" x14ac:dyDescent="0.2">
      <c r="A1766" s="195">
        <v>2771</v>
      </c>
      <c r="B1766" s="196" t="s">
        <v>4125</v>
      </c>
      <c r="C1766" s="196">
        <v>513191</v>
      </c>
      <c r="D1766" s="197" t="s">
        <v>4932</v>
      </c>
    </row>
    <row r="1767" spans="1:4" ht="34.5" customHeight="1" x14ac:dyDescent="0.2">
      <c r="A1767" s="195">
        <v>2741</v>
      </c>
      <c r="B1767" s="196" t="s">
        <v>4922</v>
      </c>
      <c r="C1767" s="196">
        <v>513199</v>
      </c>
      <c r="D1767" s="197" t="s">
        <v>4933</v>
      </c>
    </row>
    <row r="1768" spans="1:4" ht="34.5" customHeight="1" x14ac:dyDescent="0.2">
      <c r="A1768" s="195">
        <v>8999</v>
      </c>
      <c r="B1768" s="196" t="s">
        <v>4923</v>
      </c>
      <c r="C1768" s="196">
        <v>513199</v>
      </c>
      <c r="D1768" s="197" t="s">
        <v>4933</v>
      </c>
    </row>
    <row r="1769" spans="1:4" ht="17.25" customHeight="1" x14ac:dyDescent="0.2">
      <c r="A1769" s="195">
        <v>2741</v>
      </c>
      <c r="B1769" s="196" t="s">
        <v>4922</v>
      </c>
      <c r="C1769" s="196">
        <v>513199</v>
      </c>
      <c r="D1769" s="197" t="s">
        <v>4933</v>
      </c>
    </row>
    <row r="1770" spans="1:4" ht="17.25" customHeight="1" x14ac:dyDescent="0.2">
      <c r="A1770" s="195">
        <v>7372</v>
      </c>
      <c r="B1770" s="196" t="s">
        <v>4493</v>
      </c>
      <c r="C1770" s="196">
        <v>513210</v>
      </c>
      <c r="D1770" s="197" t="s">
        <v>3294</v>
      </c>
    </row>
    <row r="1771" spans="1:4" ht="17.25" customHeight="1" x14ac:dyDescent="0.2">
      <c r="A1771" s="195">
        <v>4832</v>
      </c>
      <c r="B1771" s="196" t="s">
        <v>3296</v>
      </c>
      <c r="C1771" s="196">
        <v>516110</v>
      </c>
      <c r="D1771" s="197" t="s">
        <v>4934</v>
      </c>
    </row>
    <row r="1772" spans="1:4" ht="17.25" customHeight="1" x14ac:dyDescent="0.2">
      <c r="A1772" s="195">
        <v>4833</v>
      </c>
      <c r="B1772" s="196" t="s">
        <v>3298</v>
      </c>
      <c r="C1772" s="196">
        <v>516120</v>
      </c>
      <c r="D1772" s="197" t="s">
        <v>4935</v>
      </c>
    </row>
    <row r="1773" spans="1:4" ht="34.5" customHeight="1" x14ac:dyDescent="0.2">
      <c r="A1773" s="195">
        <v>4832</v>
      </c>
      <c r="B1773" s="196" t="s">
        <v>3296</v>
      </c>
      <c r="C1773" s="196">
        <v>516210</v>
      </c>
      <c r="D1773" s="197" t="s">
        <v>3300</v>
      </c>
    </row>
    <row r="1774" spans="1:4" ht="17.25" customHeight="1" x14ac:dyDescent="0.2">
      <c r="A1774" s="195">
        <v>4841</v>
      </c>
      <c r="B1774" s="196" t="s">
        <v>4936</v>
      </c>
      <c r="C1774" s="196">
        <v>516210</v>
      </c>
      <c r="D1774" s="197" t="s">
        <v>3300</v>
      </c>
    </row>
    <row r="1775" spans="1:4" ht="17.25" customHeight="1" x14ac:dyDescent="0.2">
      <c r="A1775" s="195">
        <v>7383</v>
      </c>
      <c r="B1775" s="196" t="s">
        <v>3303</v>
      </c>
      <c r="C1775" s="196">
        <v>516210</v>
      </c>
      <c r="D1775" s="197" t="s">
        <v>3300</v>
      </c>
    </row>
    <row r="1776" spans="1:4" ht="17.25" customHeight="1" x14ac:dyDescent="0.2">
      <c r="A1776" s="195">
        <v>4813</v>
      </c>
      <c r="B1776" s="196" t="s">
        <v>4937</v>
      </c>
      <c r="C1776" s="196">
        <v>517111</v>
      </c>
      <c r="D1776" s="197" t="s">
        <v>4938</v>
      </c>
    </row>
    <row r="1777" spans="1:4" ht="34.5" customHeight="1" x14ac:dyDescent="0.2">
      <c r="A1777" s="195">
        <v>4822</v>
      </c>
      <c r="B1777" s="196" t="s">
        <v>4939</v>
      </c>
      <c r="C1777" s="196">
        <v>517111</v>
      </c>
      <c r="D1777" s="197" t="s">
        <v>4938</v>
      </c>
    </row>
    <row r="1778" spans="1:4" ht="17.25" customHeight="1" x14ac:dyDescent="0.2">
      <c r="A1778" s="195">
        <v>4841</v>
      </c>
      <c r="B1778" s="196" t="s">
        <v>4936</v>
      </c>
      <c r="C1778" s="196">
        <v>517111</v>
      </c>
      <c r="D1778" s="197" t="s">
        <v>4938</v>
      </c>
    </row>
    <row r="1779" spans="1:4" ht="17.25" customHeight="1" x14ac:dyDescent="0.2">
      <c r="A1779" s="195">
        <v>7375</v>
      </c>
      <c r="B1779" s="196" t="s">
        <v>4940</v>
      </c>
      <c r="C1779" s="196">
        <v>517111</v>
      </c>
      <c r="D1779" s="197" t="s">
        <v>4938</v>
      </c>
    </row>
    <row r="1780" spans="1:4" ht="34.5" customHeight="1" x14ac:dyDescent="0.2">
      <c r="A1780" s="195">
        <v>4812</v>
      </c>
      <c r="B1780" s="196" t="s">
        <v>4941</v>
      </c>
      <c r="C1780" s="196">
        <v>517112</v>
      </c>
      <c r="D1780" s="197" t="s">
        <v>3307</v>
      </c>
    </row>
    <row r="1781" spans="1:4" ht="17.25" customHeight="1" x14ac:dyDescent="0.2">
      <c r="A1781" s="195">
        <v>4899</v>
      </c>
      <c r="B1781" s="196" t="s">
        <v>4880</v>
      </c>
      <c r="C1781" s="196">
        <v>517112</v>
      </c>
      <c r="D1781" s="197" t="s">
        <v>3307</v>
      </c>
    </row>
    <row r="1782" spans="1:4" ht="34.5" customHeight="1" x14ac:dyDescent="0.2">
      <c r="A1782" s="195">
        <v>4812</v>
      </c>
      <c r="B1782" s="196" t="s">
        <v>4941</v>
      </c>
      <c r="C1782" s="196">
        <v>517121</v>
      </c>
      <c r="D1782" s="197" t="s">
        <v>3309</v>
      </c>
    </row>
    <row r="1783" spans="1:4" ht="34.5" customHeight="1" x14ac:dyDescent="0.2">
      <c r="A1783" s="195">
        <v>4813</v>
      </c>
      <c r="B1783" s="196" t="s">
        <v>4942</v>
      </c>
      <c r="C1783" s="196">
        <v>517121</v>
      </c>
      <c r="D1783" s="197" t="s">
        <v>3309</v>
      </c>
    </row>
    <row r="1784" spans="1:4" ht="34.5" customHeight="1" x14ac:dyDescent="0.2">
      <c r="A1784" s="195">
        <v>4813</v>
      </c>
      <c r="B1784" s="196" t="s">
        <v>4942</v>
      </c>
      <c r="C1784" s="196">
        <v>517122</v>
      </c>
      <c r="D1784" s="197" t="s">
        <v>3311</v>
      </c>
    </row>
    <row r="1785" spans="1:4" ht="34.5" customHeight="1" x14ac:dyDescent="0.2">
      <c r="A1785" s="195">
        <v>4822</v>
      </c>
      <c r="B1785" s="196" t="s">
        <v>4943</v>
      </c>
      <c r="C1785" s="196">
        <v>517122</v>
      </c>
      <c r="D1785" s="197" t="s">
        <v>3311</v>
      </c>
    </row>
    <row r="1786" spans="1:4" ht="17.25" customHeight="1" x14ac:dyDescent="0.2">
      <c r="A1786" s="195">
        <v>4841</v>
      </c>
      <c r="B1786" s="196" t="s">
        <v>4936</v>
      </c>
      <c r="C1786" s="196">
        <v>517122</v>
      </c>
      <c r="D1786" s="197" t="s">
        <v>3311</v>
      </c>
    </row>
    <row r="1787" spans="1:4" ht="17.25" customHeight="1" x14ac:dyDescent="0.2">
      <c r="A1787" s="195">
        <v>7375</v>
      </c>
      <c r="B1787" s="196" t="s">
        <v>4940</v>
      </c>
      <c r="C1787" s="196">
        <v>517122</v>
      </c>
      <c r="D1787" s="197" t="s">
        <v>3311</v>
      </c>
    </row>
    <row r="1788" spans="1:4" ht="17.25" customHeight="1" x14ac:dyDescent="0.2">
      <c r="A1788" s="195">
        <v>4899</v>
      </c>
      <c r="B1788" s="196" t="s">
        <v>4880</v>
      </c>
      <c r="C1788" s="196">
        <v>517410</v>
      </c>
      <c r="D1788" s="197" t="s">
        <v>3313</v>
      </c>
    </row>
    <row r="1789" spans="1:4" ht="34.5" customHeight="1" x14ac:dyDescent="0.2">
      <c r="A1789" s="195">
        <v>4899</v>
      </c>
      <c r="B1789" s="196" t="s">
        <v>4880</v>
      </c>
      <c r="C1789" s="196">
        <v>517810</v>
      </c>
      <c r="D1789" s="197" t="s">
        <v>4944</v>
      </c>
    </row>
    <row r="1790" spans="1:4" ht="28.7" customHeight="1" x14ac:dyDescent="0.2">
      <c r="A1790" s="195">
        <v>7375</v>
      </c>
      <c r="B1790" s="196" t="s">
        <v>4940</v>
      </c>
      <c r="C1790" s="196">
        <v>517810</v>
      </c>
      <c r="D1790" s="197" t="s">
        <v>4944</v>
      </c>
    </row>
    <row r="1791" spans="1:4" ht="17.25" customHeight="1" x14ac:dyDescent="0.2">
      <c r="A1791" s="195">
        <v>7374</v>
      </c>
      <c r="B1791" s="196" t="s">
        <v>4945</v>
      </c>
      <c r="C1791" s="196">
        <v>518210</v>
      </c>
      <c r="D1791" s="197" t="s">
        <v>3316</v>
      </c>
    </row>
    <row r="1792" spans="1:4" ht="17.25" customHeight="1" x14ac:dyDescent="0.2">
      <c r="A1792" s="195">
        <v>7379</v>
      </c>
      <c r="B1792" s="196" t="s">
        <v>4946</v>
      </c>
      <c r="C1792" s="196">
        <v>518210</v>
      </c>
      <c r="D1792" s="197" t="s">
        <v>3316</v>
      </c>
    </row>
    <row r="1793" spans="1:4" ht="17.25" customHeight="1" x14ac:dyDescent="0.2">
      <c r="A1793" s="195">
        <v>7389</v>
      </c>
      <c r="B1793" s="196" t="s">
        <v>3985</v>
      </c>
      <c r="C1793" s="196">
        <v>518210</v>
      </c>
      <c r="D1793" s="197" t="s">
        <v>3316</v>
      </c>
    </row>
    <row r="1794" spans="1:4" ht="17.25" customHeight="1" x14ac:dyDescent="0.2">
      <c r="A1794" s="195">
        <v>7829</v>
      </c>
      <c r="B1794" s="196" t="s">
        <v>4914</v>
      </c>
      <c r="C1794" s="196">
        <v>519210</v>
      </c>
      <c r="D1794" s="197" t="s">
        <v>4947</v>
      </c>
    </row>
    <row r="1795" spans="1:4" ht="17.25" customHeight="1" x14ac:dyDescent="0.2">
      <c r="A1795" s="195">
        <v>8231</v>
      </c>
      <c r="B1795" s="196" t="s">
        <v>4948</v>
      </c>
      <c r="C1795" s="196">
        <v>519210</v>
      </c>
      <c r="D1795" s="197" t="s">
        <v>4947</v>
      </c>
    </row>
    <row r="1796" spans="1:4" ht="43.35" customHeight="1" x14ac:dyDescent="0.2">
      <c r="A1796" s="195">
        <v>7389</v>
      </c>
      <c r="B1796" s="196" t="s">
        <v>3985</v>
      </c>
      <c r="C1796" s="196">
        <v>519290</v>
      </c>
      <c r="D1796" s="197" t="s">
        <v>3319</v>
      </c>
    </row>
    <row r="1797" spans="1:4" ht="17.25" customHeight="1" x14ac:dyDescent="0.2">
      <c r="A1797" s="195">
        <v>6011</v>
      </c>
      <c r="B1797" s="196" t="s">
        <v>4949</v>
      </c>
      <c r="C1797" s="196">
        <v>521110</v>
      </c>
      <c r="D1797" s="197" t="s">
        <v>3321</v>
      </c>
    </row>
    <row r="1798" spans="1:4" ht="17.25" customHeight="1" x14ac:dyDescent="0.2">
      <c r="A1798" s="195">
        <v>6021</v>
      </c>
      <c r="B1798" s="196" t="s">
        <v>4950</v>
      </c>
      <c r="C1798" s="196">
        <v>522110</v>
      </c>
      <c r="D1798" s="197" t="s">
        <v>4951</v>
      </c>
    </row>
    <row r="1799" spans="1:4" ht="17.25" customHeight="1" x14ac:dyDescent="0.2">
      <c r="A1799" s="195">
        <v>6022</v>
      </c>
      <c r="B1799" s="196" t="s">
        <v>4952</v>
      </c>
      <c r="C1799" s="196">
        <v>522110</v>
      </c>
      <c r="D1799" s="197" t="s">
        <v>4951</v>
      </c>
    </row>
    <row r="1800" spans="1:4" ht="17.25" customHeight="1" x14ac:dyDescent="0.2">
      <c r="A1800" s="195">
        <v>6029</v>
      </c>
      <c r="B1800" s="196" t="s">
        <v>4953</v>
      </c>
      <c r="C1800" s="196">
        <v>522110</v>
      </c>
      <c r="D1800" s="197" t="s">
        <v>4951</v>
      </c>
    </row>
    <row r="1801" spans="1:4" ht="17.25" customHeight="1" x14ac:dyDescent="0.2">
      <c r="A1801" s="195">
        <v>6081</v>
      </c>
      <c r="B1801" s="196" t="s">
        <v>4954</v>
      </c>
      <c r="C1801" s="196">
        <v>522110</v>
      </c>
      <c r="D1801" s="197" t="s">
        <v>4951</v>
      </c>
    </row>
    <row r="1802" spans="1:4" ht="17.25" customHeight="1" x14ac:dyDescent="0.2">
      <c r="A1802" s="195">
        <v>6061</v>
      </c>
      <c r="B1802" s="196" t="s">
        <v>4955</v>
      </c>
      <c r="C1802" s="196">
        <v>522130</v>
      </c>
      <c r="D1802" s="197" t="s">
        <v>4956</v>
      </c>
    </row>
    <row r="1803" spans="1:4" ht="17.25" customHeight="1" x14ac:dyDescent="0.2">
      <c r="A1803" s="195">
        <v>6062</v>
      </c>
      <c r="B1803" s="196" t="s">
        <v>4957</v>
      </c>
      <c r="C1803" s="196">
        <v>522130</v>
      </c>
      <c r="D1803" s="197" t="s">
        <v>4956</v>
      </c>
    </row>
    <row r="1804" spans="1:4" ht="17.25" customHeight="1" x14ac:dyDescent="0.2">
      <c r="A1804" s="195">
        <v>6022</v>
      </c>
      <c r="B1804" s="196" t="s">
        <v>4952</v>
      </c>
      <c r="C1804" s="196">
        <v>522180</v>
      </c>
      <c r="D1804" s="197" t="s">
        <v>4958</v>
      </c>
    </row>
    <row r="1805" spans="1:4" ht="17.25" customHeight="1" x14ac:dyDescent="0.2">
      <c r="A1805" s="195">
        <v>6035</v>
      </c>
      <c r="B1805" s="196" t="s">
        <v>4959</v>
      </c>
      <c r="C1805" s="196">
        <v>522180</v>
      </c>
      <c r="D1805" s="197" t="s">
        <v>4958</v>
      </c>
    </row>
    <row r="1806" spans="1:4" ht="17.25" customHeight="1" x14ac:dyDescent="0.2">
      <c r="A1806" s="195">
        <v>6036</v>
      </c>
      <c r="B1806" s="196" t="s">
        <v>4960</v>
      </c>
      <c r="C1806" s="196">
        <v>522180</v>
      </c>
      <c r="D1806" s="197" t="s">
        <v>4958</v>
      </c>
    </row>
    <row r="1807" spans="1:4" ht="17.25" customHeight="1" x14ac:dyDescent="0.2">
      <c r="A1807" s="195">
        <v>6021</v>
      </c>
      <c r="B1807" s="196" t="s">
        <v>4950</v>
      </c>
      <c r="C1807" s="196">
        <v>522210</v>
      </c>
      <c r="D1807" s="197" t="s">
        <v>4961</v>
      </c>
    </row>
    <row r="1808" spans="1:4" ht="17.25" customHeight="1" x14ac:dyDescent="0.2">
      <c r="A1808" s="195">
        <v>6022</v>
      </c>
      <c r="B1808" s="196" t="s">
        <v>4952</v>
      </c>
      <c r="C1808" s="196">
        <v>522210</v>
      </c>
      <c r="D1808" s="197" t="s">
        <v>4961</v>
      </c>
    </row>
    <row r="1809" spans="1:4" ht="17.25" customHeight="1" x14ac:dyDescent="0.2">
      <c r="A1809" s="195">
        <v>6141</v>
      </c>
      <c r="B1809" s="196" t="s">
        <v>4962</v>
      </c>
      <c r="C1809" s="196">
        <v>522210</v>
      </c>
      <c r="D1809" s="197" t="s">
        <v>4961</v>
      </c>
    </row>
    <row r="1810" spans="1:4" ht="34.5" customHeight="1" x14ac:dyDescent="0.2">
      <c r="A1810" s="195">
        <v>6153</v>
      </c>
      <c r="B1810" s="196" t="s">
        <v>4963</v>
      </c>
      <c r="C1810" s="196">
        <v>522210</v>
      </c>
      <c r="D1810" s="197" t="s">
        <v>4961</v>
      </c>
    </row>
    <row r="1811" spans="1:4" ht="34.5" customHeight="1" x14ac:dyDescent="0.2">
      <c r="A1811" s="195">
        <v>6141</v>
      </c>
      <c r="B1811" s="196" t="s">
        <v>4962</v>
      </c>
      <c r="C1811" s="196">
        <v>522220</v>
      </c>
      <c r="D1811" s="197" t="s">
        <v>4964</v>
      </c>
    </row>
    <row r="1812" spans="1:4" ht="17.25" customHeight="1" x14ac:dyDescent="0.2">
      <c r="A1812" s="195">
        <v>6153</v>
      </c>
      <c r="B1812" s="196" t="s">
        <v>4963</v>
      </c>
      <c r="C1812" s="196">
        <v>522220</v>
      </c>
      <c r="D1812" s="197" t="s">
        <v>4964</v>
      </c>
    </row>
    <row r="1813" spans="1:4" ht="34.5" customHeight="1" x14ac:dyDescent="0.2">
      <c r="A1813" s="195">
        <v>6159</v>
      </c>
      <c r="B1813" s="196" t="s">
        <v>4965</v>
      </c>
      <c r="C1813" s="196">
        <v>522220</v>
      </c>
      <c r="D1813" s="197" t="s">
        <v>4964</v>
      </c>
    </row>
    <row r="1814" spans="1:4" ht="34.5" customHeight="1" x14ac:dyDescent="0.2">
      <c r="A1814" s="195">
        <v>6141</v>
      </c>
      <c r="B1814" s="196" t="s">
        <v>4962</v>
      </c>
      <c r="C1814" s="196">
        <v>522291</v>
      </c>
      <c r="D1814" s="197" t="s">
        <v>4966</v>
      </c>
    </row>
    <row r="1815" spans="1:4" ht="34.5" customHeight="1" x14ac:dyDescent="0.2">
      <c r="A1815" s="195">
        <v>6111</v>
      </c>
      <c r="B1815" s="196" t="s">
        <v>4967</v>
      </c>
      <c r="C1815" s="196">
        <v>522292</v>
      </c>
      <c r="D1815" s="197" t="s">
        <v>4968</v>
      </c>
    </row>
    <row r="1816" spans="1:4" ht="17.25" customHeight="1" x14ac:dyDescent="0.2">
      <c r="A1816" s="195">
        <v>6159</v>
      </c>
      <c r="B1816" s="196" t="s">
        <v>4965</v>
      </c>
      <c r="C1816" s="196">
        <v>522292</v>
      </c>
      <c r="D1816" s="197" t="s">
        <v>4968</v>
      </c>
    </row>
    <row r="1817" spans="1:4" ht="17.25" customHeight="1" x14ac:dyDescent="0.2">
      <c r="A1817" s="195">
        <v>6162</v>
      </c>
      <c r="B1817" s="196" t="s">
        <v>4969</v>
      </c>
      <c r="C1817" s="196">
        <v>522292</v>
      </c>
      <c r="D1817" s="197" t="s">
        <v>4968</v>
      </c>
    </row>
    <row r="1818" spans="1:4" ht="17.25" customHeight="1" x14ac:dyDescent="0.2">
      <c r="A1818" s="195">
        <v>6081</v>
      </c>
      <c r="B1818" s="196" t="s">
        <v>4954</v>
      </c>
      <c r="C1818" s="196">
        <v>522299</v>
      </c>
      <c r="D1818" s="197" t="s">
        <v>4970</v>
      </c>
    </row>
    <row r="1819" spans="1:4" ht="17.25" customHeight="1" x14ac:dyDescent="0.2">
      <c r="A1819" s="195">
        <v>6082</v>
      </c>
      <c r="B1819" s="196" t="s">
        <v>4971</v>
      </c>
      <c r="C1819" s="196">
        <v>522299</v>
      </c>
      <c r="D1819" s="197" t="s">
        <v>4970</v>
      </c>
    </row>
    <row r="1820" spans="1:4" ht="17.25" customHeight="1" x14ac:dyDescent="0.2">
      <c r="A1820" s="195">
        <v>6111</v>
      </c>
      <c r="B1820" s="196" t="s">
        <v>4967</v>
      </c>
      <c r="C1820" s="196">
        <v>522299</v>
      </c>
      <c r="D1820" s="197" t="s">
        <v>4970</v>
      </c>
    </row>
    <row r="1821" spans="1:4" ht="17.25" customHeight="1" x14ac:dyDescent="0.2">
      <c r="A1821" s="195">
        <v>6159</v>
      </c>
      <c r="B1821" s="196" t="s">
        <v>4965</v>
      </c>
      <c r="C1821" s="196">
        <v>522299</v>
      </c>
      <c r="D1821" s="197" t="s">
        <v>4970</v>
      </c>
    </row>
    <row r="1822" spans="1:4" ht="17.25" customHeight="1" x14ac:dyDescent="0.2">
      <c r="A1822" s="195">
        <v>6111</v>
      </c>
      <c r="B1822" s="196" t="s">
        <v>4967</v>
      </c>
      <c r="C1822" s="196">
        <v>522299</v>
      </c>
      <c r="D1822" s="197" t="s">
        <v>4970</v>
      </c>
    </row>
    <row r="1823" spans="1:4" ht="17.25" customHeight="1" x14ac:dyDescent="0.2">
      <c r="A1823" s="195">
        <v>6159</v>
      </c>
      <c r="B1823" s="196" t="s">
        <v>4965</v>
      </c>
      <c r="C1823" s="196">
        <v>522299</v>
      </c>
      <c r="D1823" s="197" t="s">
        <v>4970</v>
      </c>
    </row>
    <row r="1824" spans="1:4" ht="17.25" customHeight="1" x14ac:dyDescent="0.2">
      <c r="A1824" s="195">
        <v>5932</v>
      </c>
      <c r="B1824" s="196" t="s">
        <v>3204</v>
      </c>
      <c r="C1824" s="196">
        <v>522299</v>
      </c>
      <c r="D1824" s="197" t="s">
        <v>4970</v>
      </c>
    </row>
    <row r="1825" spans="1:4" ht="34.5" customHeight="1" x14ac:dyDescent="0.2">
      <c r="A1825" s="195">
        <v>6019</v>
      </c>
      <c r="B1825" s="196" t="s">
        <v>4972</v>
      </c>
      <c r="C1825" s="196">
        <v>522299</v>
      </c>
      <c r="D1825" s="197" t="s">
        <v>4970</v>
      </c>
    </row>
    <row r="1826" spans="1:4" ht="34.5" customHeight="1" x14ac:dyDescent="0.2">
      <c r="A1826" s="195">
        <v>6081</v>
      </c>
      <c r="B1826" s="196" t="s">
        <v>4954</v>
      </c>
      <c r="C1826" s="196">
        <v>522299</v>
      </c>
      <c r="D1826" s="197" t="s">
        <v>4970</v>
      </c>
    </row>
    <row r="1827" spans="1:4" ht="17.25" customHeight="1" x14ac:dyDescent="0.2">
      <c r="A1827" s="195">
        <v>6082</v>
      </c>
      <c r="B1827" s="196" t="s">
        <v>4971</v>
      </c>
      <c r="C1827" s="196">
        <v>522299</v>
      </c>
      <c r="D1827" s="197" t="s">
        <v>4970</v>
      </c>
    </row>
    <row r="1828" spans="1:4" ht="17.25" customHeight="1" x14ac:dyDescent="0.2">
      <c r="A1828" s="195">
        <v>6111</v>
      </c>
      <c r="B1828" s="196" t="s">
        <v>4967</v>
      </c>
      <c r="C1828" s="196">
        <v>522299</v>
      </c>
      <c r="D1828" s="197" t="s">
        <v>4970</v>
      </c>
    </row>
    <row r="1829" spans="1:4" ht="34.5" customHeight="1" x14ac:dyDescent="0.2">
      <c r="A1829" s="195">
        <v>6141</v>
      </c>
      <c r="B1829" s="196" t="s">
        <v>4962</v>
      </c>
      <c r="C1829" s="196">
        <v>522299</v>
      </c>
      <c r="D1829" s="197" t="s">
        <v>4970</v>
      </c>
    </row>
    <row r="1830" spans="1:4" ht="34.5" customHeight="1" x14ac:dyDescent="0.2">
      <c r="A1830" s="195">
        <v>6153</v>
      </c>
      <c r="B1830" s="196" t="s">
        <v>4963</v>
      </c>
      <c r="C1830" s="196">
        <v>522299</v>
      </c>
      <c r="D1830" s="197" t="s">
        <v>4970</v>
      </c>
    </row>
    <row r="1831" spans="1:4" ht="17.25" customHeight="1" x14ac:dyDescent="0.2">
      <c r="A1831" s="195">
        <v>6159</v>
      </c>
      <c r="B1831" s="196" t="s">
        <v>4965</v>
      </c>
      <c r="C1831" s="196">
        <v>522299</v>
      </c>
      <c r="D1831" s="197" t="s">
        <v>4970</v>
      </c>
    </row>
    <row r="1832" spans="1:4" ht="28.7" customHeight="1" x14ac:dyDescent="0.2">
      <c r="A1832" s="195">
        <v>6163</v>
      </c>
      <c r="B1832" s="196" t="s">
        <v>4973</v>
      </c>
      <c r="C1832" s="196">
        <v>522310</v>
      </c>
      <c r="D1832" s="197" t="s">
        <v>4974</v>
      </c>
    </row>
    <row r="1833" spans="1:4" ht="34.5" customHeight="1" x14ac:dyDescent="0.2">
      <c r="A1833" s="195">
        <v>6099</v>
      </c>
      <c r="B1833" s="196" t="s">
        <v>4975</v>
      </c>
      <c r="C1833" s="196">
        <v>522320</v>
      </c>
      <c r="D1833" s="197" t="s">
        <v>4976</v>
      </c>
    </row>
    <row r="1834" spans="1:4" ht="17.25" customHeight="1" x14ac:dyDescent="0.2">
      <c r="A1834" s="195">
        <v>6153</v>
      </c>
      <c r="B1834" s="196" t="s">
        <v>4963</v>
      </c>
      <c r="C1834" s="196">
        <v>522320</v>
      </c>
      <c r="D1834" s="197" t="s">
        <v>4976</v>
      </c>
    </row>
    <row r="1835" spans="1:4" ht="17.25" customHeight="1" x14ac:dyDescent="0.2">
      <c r="A1835" s="195">
        <v>7389</v>
      </c>
      <c r="B1835" s="196" t="s">
        <v>3985</v>
      </c>
      <c r="C1835" s="196">
        <v>522320</v>
      </c>
      <c r="D1835" s="197" t="s">
        <v>4976</v>
      </c>
    </row>
    <row r="1836" spans="1:4" ht="34.5" customHeight="1" x14ac:dyDescent="0.2">
      <c r="A1836" s="195">
        <v>6099</v>
      </c>
      <c r="B1836" s="196" t="s">
        <v>4975</v>
      </c>
      <c r="C1836" s="196">
        <v>522390</v>
      </c>
      <c r="D1836" s="197" t="s">
        <v>4977</v>
      </c>
    </row>
    <row r="1837" spans="1:4" ht="34.5" customHeight="1" x14ac:dyDescent="0.2">
      <c r="A1837" s="195">
        <v>6162</v>
      </c>
      <c r="B1837" s="196" t="s">
        <v>4969</v>
      </c>
      <c r="C1837" s="196">
        <v>522390</v>
      </c>
      <c r="D1837" s="197" t="s">
        <v>4977</v>
      </c>
    </row>
    <row r="1838" spans="1:4" ht="17.25" customHeight="1" x14ac:dyDescent="0.2">
      <c r="A1838" s="195">
        <v>6211</v>
      </c>
      <c r="B1838" s="196" t="s">
        <v>4978</v>
      </c>
      <c r="C1838" s="196">
        <v>523150</v>
      </c>
      <c r="D1838" s="197" t="s">
        <v>4979</v>
      </c>
    </row>
    <row r="1839" spans="1:4" ht="17.25" customHeight="1" x14ac:dyDescent="0.2">
      <c r="A1839" s="195">
        <v>6211</v>
      </c>
      <c r="B1839" s="196" t="s">
        <v>4978</v>
      </c>
      <c r="C1839" s="196">
        <v>523150</v>
      </c>
      <c r="D1839" s="197" t="s">
        <v>4979</v>
      </c>
    </row>
    <row r="1840" spans="1:4" ht="17.25" customHeight="1" x14ac:dyDescent="0.2">
      <c r="A1840" s="195">
        <v>6099</v>
      </c>
      <c r="B1840" s="196" t="s">
        <v>4975</v>
      </c>
      <c r="C1840" s="196">
        <v>523160</v>
      </c>
      <c r="D1840" s="197" t="s">
        <v>4980</v>
      </c>
    </row>
    <row r="1841" spans="1:4" ht="17.25" customHeight="1" x14ac:dyDescent="0.2">
      <c r="A1841" s="195">
        <v>6221</v>
      </c>
      <c r="B1841" s="196" t="s">
        <v>4981</v>
      </c>
      <c r="C1841" s="196">
        <v>523160</v>
      </c>
      <c r="D1841" s="197" t="s">
        <v>4980</v>
      </c>
    </row>
    <row r="1842" spans="1:4" ht="17.25" customHeight="1" x14ac:dyDescent="0.2">
      <c r="A1842" s="195">
        <v>6799</v>
      </c>
      <c r="B1842" s="196" t="s">
        <v>4982</v>
      </c>
      <c r="C1842" s="196">
        <v>523160</v>
      </c>
      <c r="D1842" s="197" t="s">
        <v>4980</v>
      </c>
    </row>
    <row r="1843" spans="1:4" ht="17.25" customHeight="1" x14ac:dyDescent="0.2">
      <c r="A1843" s="195">
        <v>6221</v>
      </c>
      <c r="B1843" s="196" t="s">
        <v>4981</v>
      </c>
      <c r="C1843" s="196">
        <v>523160</v>
      </c>
      <c r="D1843" s="197" t="s">
        <v>4980</v>
      </c>
    </row>
    <row r="1844" spans="1:4" ht="17.25" customHeight="1" x14ac:dyDescent="0.2">
      <c r="A1844" s="195">
        <v>6231</v>
      </c>
      <c r="B1844" s="196" t="s">
        <v>4983</v>
      </c>
      <c r="C1844" s="196">
        <v>523210</v>
      </c>
      <c r="D1844" s="197" t="s">
        <v>3344</v>
      </c>
    </row>
    <row r="1845" spans="1:4" ht="17.25" customHeight="1" x14ac:dyDescent="0.2">
      <c r="A1845" s="195">
        <v>6153</v>
      </c>
      <c r="B1845" s="196" t="s">
        <v>4963</v>
      </c>
      <c r="C1845" s="196">
        <v>523910</v>
      </c>
      <c r="D1845" s="197" t="s">
        <v>4984</v>
      </c>
    </row>
    <row r="1846" spans="1:4" ht="34.5" customHeight="1" x14ac:dyDescent="0.2">
      <c r="A1846" s="195">
        <v>6211</v>
      </c>
      <c r="B1846" s="196" t="s">
        <v>4978</v>
      </c>
      <c r="C1846" s="196">
        <v>523910</v>
      </c>
      <c r="D1846" s="197" t="s">
        <v>4984</v>
      </c>
    </row>
    <row r="1847" spans="1:4" ht="17.25" customHeight="1" x14ac:dyDescent="0.2">
      <c r="A1847" s="195">
        <v>6792</v>
      </c>
      <c r="B1847" s="196" t="s">
        <v>4985</v>
      </c>
      <c r="C1847" s="196">
        <v>523910</v>
      </c>
      <c r="D1847" s="197" t="s">
        <v>4984</v>
      </c>
    </row>
    <row r="1848" spans="1:4" ht="17.25" customHeight="1" x14ac:dyDescent="0.2">
      <c r="A1848" s="195">
        <v>6799</v>
      </c>
      <c r="B1848" s="196" t="s">
        <v>4982</v>
      </c>
      <c r="C1848" s="196">
        <v>523910</v>
      </c>
      <c r="D1848" s="197" t="s">
        <v>4984</v>
      </c>
    </row>
    <row r="1849" spans="1:4" ht="17.25" customHeight="1" x14ac:dyDescent="0.2">
      <c r="A1849" s="195">
        <v>6282</v>
      </c>
      <c r="B1849" s="196" t="s">
        <v>3348</v>
      </c>
      <c r="C1849" s="196">
        <v>523940</v>
      </c>
      <c r="D1849" s="197" t="s">
        <v>4986</v>
      </c>
    </row>
    <row r="1850" spans="1:4" ht="17.25" customHeight="1" x14ac:dyDescent="0.2">
      <c r="A1850" s="195">
        <v>6371</v>
      </c>
      <c r="B1850" s="196" t="s">
        <v>4987</v>
      </c>
      <c r="C1850" s="196">
        <v>523940</v>
      </c>
      <c r="D1850" s="197" t="s">
        <v>4986</v>
      </c>
    </row>
    <row r="1851" spans="1:4" ht="17.25" customHeight="1" x14ac:dyDescent="0.2">
      <c r="A1851" s="195">
        <v>6733</v>
      </c>
      <c r="B1851" s="196" t="s">
        <v>4988</v>
      </c>
      <c r="C1851" s="196">
        <v>523940</v>
      </c>
      <c r="D1851" s="197" t="s">
        <v>4986</v>
      </c>
    </row>
    <row r="1852" spans="1:4" ht="34.5" customHeight="1" x14ac:dyDescent="0.2">
      <c r="A1852" s="195">
        <v>6799</v>
      </c>
      <c r="B1852" s="196" t="s">
        <v>4982</v>
      </c>
      <c r="C1852" s="196">
        <v>523940</v>
      </c>
      <c r="D1852" s="197" t="s">
        <v>4986</v>
      </c>
    </row>
    <row r="1853" spans="1:4" ht="17.25" customHeight="1" x14ac:dyDescent="0.2">
      <c r="A1853" s="195">
        <v>6282</v>
      </c>
      <c r="B1853" s="196" t="s">
        <v>3348</v>
      </c>
      <c r="C1853" s="196">
        <v>523940</v>
      </c>
      <c r="D1853" s="197" t="s">
        <v>4986</v>
      </c>
    </row>
    <row r="1854" spans="1:4" ht="17.25" customHeight="1" x14ac:dyDescent="0.2">
      <c r="A1854" s="195">
        <v>6091</v>
      </c>
      <c r="B1854" s="196" t="s">
        <v>4989</v>
      </c>
      <c r="C1854" s="196">
        <v>523991</v>
      </c>
      <c r="D1854" s="197" t="s">
        <v>4990</v>
      </c>
    </row>
    <row r="1855" spans="1:4" ht="17.25" customHeight="1" x14ac:dyDescent="0.2">
      <c r="A1855" s="195">
        <v>6099</v>
      </c>
      <c r="B1855" s="196" t="s">
        <v>4975</v>
      </c>
      <c r="C1855" s="196">
        <v>523991</v>
      </c>
      <c r="D1855" s="197" t="s">
        <v>4990</v>
      </c>
    </row>
    <row r="1856" spans="1:4" ht="17.25" customHeight="1" x14ac:dyDescent="0.2">
      <c r="A1856" s="195">
        <v>6289</v>
      </c>
      <c r="B1856" s="196" t="s">
        <v>4991</v>
      </c>
      <c r="C1856" s="196">
        <v>523991</v>
      </c>
      <c r="D1856" s="197" t="s">
        <v>4990</v>
      </c>
    </row>
    <row r="1857" spans="1:4" ht="17.25" customHeight="1" x14ac:dyDescent="0.2">
      <c r="A1857" s="195">
        <v>6733</v>
      </c>
      <c r="B1857" s="196" t="s">
        <v>4988</v>
      </c>
      <c r="C1857" s="196">
        <v>523991</v>
      </c>
      <c r="D1857" s="197" t="s">
        <v>4990</v>
      </c>
    </row>
    <row r="1858" spans="1:4" ht="17.25" customHeight="1" x14ac:dyDescent="0.2">
      <c r="A1858" s="195">
        <v>6211</v>
      </c>
      <c r="B1858" s="196" t="s">
        <v>4978</v>
      </c>
      <c r="C1858" s="196">
        <v>523999</v>
      </c>
      <c r="D1858" s="197" t="s">
        <v>4992</v>
      </c>
    </row>
    <row r="1859" spans="1:4" ht="17.25" customHeight="1" x14ac:dyDescent="0.2">
      <c r="A1859" s="195">
        <v>6289</v>
      </c>
      <c r="B1859" s="196" t="s">
        <v>4991</v>
      </c>
      <c r="C1859" s="196">
        <v>523999</v>
      </c>
      <c r="D1859" s="197" t="s">
        <v>4992</v>
      </c>
    </row>
    <row r="1860" spans="1:4" ht="17.25" customHeight="1" x14ac:dyDescent="0.2">
      <c r="A1860" s="195">
        <v>6311</v>
      </c>
      <c r="B1860" s="196" t="s">
        <v>4993</v>
      </c>
      <c r="C1860" s="196">
        <v>524113</v>
      </c>
      <c r="D1860" s="197" t="s">
        <v>4994</v>
      </c>
    </row>
    <row r="1861" spans="1:4" ht="34.5" customHeight="1" x14ac:dyDescent="0.2">
      <c r="A1861" s="195">
        <v>6321</v>
      </c>
      <c r="B1861" s="196" t="s">
        <v>4995</v>
      </c>
      <c r="C1861" s="196">
        <v>524113</v>
      </c>
      <c r="D1861" s="197" t="s">
        <v>4994</v>
      </c>
    </row>
    <row r="1862" spans="1:4" ht="17.25" customHeight="1" x14ac:dyDescent="0.2">
      <c r="A1862" s="195">
        <v>6321</v>
      </c>
      <c r="B1862" s="196" t="s">
        <v>4995</v>
      </c>
      <c r="C1862" s="196">
        <v>524114</v>
      </c>
      <c r="D1862" s="197" t="s">
        <v>4996</v>
      </c>
    </row>
    <row r="1863" spans="1:4" ht="17.25" customHeight="1" x14ac:dyDescent="0.2">
      <c r="A1863" s="195">
        <v>6324</v>
      </c>
      <c r="B1863" s="196" t="s">
        <v>4997</v>
      </c>
      <c r="C1863" s="196">
        <v>524114</v>
      </c>
      <c r="D1863" s="197" t="s">
        <v>4996</v>
      </c>
    </row>
    <row r="1864" spans="1:4" ht="17.25" customHeight="1" x14ac:dyDescent="0.2">
      <c r="A1864" s="195">
        <v>6331</v>
      </c>
      <c r="B1864" s="196" t="s">
        <v>4998</v>
      </c>
      <c r="C1864" s="196">
        <v>524126</v>
      </c>
      <c r="D1864" s="197" t="s">
        <v>4999</v>
      </c>
    </row>
    <row r="1865" spans="1:4" ht="17.25" customHeight="1" x14ac:dyDescent="0.2">
      <c r="A1865" s="195">
        <v>6351</v>
      </c>
      <c r="B1865" s="196" t="s">
        <v>5000</v>
      </c>
      <c r="C1865" s="196">
        <v>524126</v>
      </c>
      <c r="D1865" s="197" t="s">
        <v>4999</v>
      </c>
    </row>
    <row r="1866" spans="1:4" ht="17.25" customHeight="1" x14ac:dyDescent="0.2">
      <c r="A1866" s="195">
        <v>6361</v>
      </c>
      <c r="B1866" s="196" t="s">
        <v>5001</v>
      </c>
      <c r="C1866" s="196">
        <v>524127</v>
      </c>
      <c r="D1866" s="197" t="s">
        <v>5002</v>
      </c>
    </row>
    <row r="1867" spans="1:4" ht="17.25" customHeight="1" x14ac:dyDescent="0.2">
      <c r="A1867" s="195">
        <v>6311</v>
      </c>
      <c r="B1867" s="196" t="s">
        <v>4993</v>
      </c>
      <c r="C1867" s="196">
        <v>524128</v>
      </c>
      <c r="D1867" s="197" t="s">
        <v>5003</v>
      </c>
    </row>
    <row r="1868" spans="1:4" ht="17.25" customHeight="1" x14ac:dyDescent="0.2">
      <c r="A1868" s="195">
        <v>6331</v>
      </c>
      <c r="B1868" s="196" t="s">
        <v>4998</v>
      </c>
      <c r="C1868" s="196">
        <v>524128</v>
      </c>
      <c r="D1868" s="197" t="s">
        <v>5003</v>
      </c>
    </row>
    <row r="1869" spans="1:4" ht="17.25" customHeight="1" x14ac:dyDescent="0.2">
      <c r="A1869" s="195">
        <v>6351</v>
      </c>
      <c r="B1869" s="196" t="s">
        <v>5000</v>
      </c>
      <c r="C1869" s="196">
        <v>524128</v>
      </c>
      <c r="D1869" s="197" t="s">
        <v>5003</v>
      </c>
    </row>
    <row r="1870" spans="1:4" ht="17.25" customHeight="1" x14ac:dyDescent="0.2">
      <c r="A1870" s="195">
        <v>6399</v>
      </c>
      <c r="B1870" s="196" t="s">
        <v>5004</v>
      </c>
      <c r="C1870" s="196">
        <v>524128</v>
      </c>
      <c r="D1870" s="197" t="s">
        <v>5003</v>
      </c>
    </row>
    <row r="1871" spans="1:4" ht="34.5" customHeight="1" x14ac:dyDescent="0.2">
      <c r="A1871" s="195">
        <v>6311</v>
      </c>
      <c r="B1871" s="196" t="s">
        <v>4993</v>
      </c>
      <c r="C1871" s="196">
        <v>524130</v>
      </c>
      <c r="D1871" s="197" t="s">
        <v>5005</v>
      </c>
    </row>
    <row r="1872" spans="1:4" ht="34.5" customHeight="1" x14ac:dyDescent="0.2">
      <c r="A1872" s="195">
        <v>6321</v>
      </c>
      <c r="B1872" s="196" t="s">
        <v>4995</v>
      </c>
      <c r="C1872" s="196">
        <v>524130</v>
      </c>
      <c r="D1872" s="197" t="s">
        <v>5005</v>
      </c>
    </row>
    <row r="1873" spans="1:4" ht="17.25" customHeight="1" x14ac:dyDescent="0.2">
      <c r="A1873" s="195">
        <v>6324</v>
      </c>
      <c r="B1873" s="196" t="s">
        <v>4997</v>
      </c>
      <c r="C1873" s="196">
        <v>524130</v>
      </c>
      <c r="D1873" s="197" t="s">
        <v>5005</v>
      </c>
    </row>
    <row r="1874" spans="1:4" ht="17.25" customHeight="1" x14ac:dyDescent="0.2">
      <c r="A1874" s="195">
        <v>6331</v>
      </c>
      <c r="B1874" s="196" t="s">
        <v>4998</v>
      </c>
      <c r="C1874" s="196">
        <v>524130</v>
      </c>
      <c r="D1874" s="197" t="s">
        <v>5005</v>
      </c>
    </row>
    <row r="1875" spans="1:4" ht="17.25" customHeight="1" x14ac:dyDescent="0.2">
      <c r="A1875" s="195">
        <v>6351</v>
      </c>
      <c r="B1875" s="196" t="s">
        <v>5000</v>
      </c>
      <c r="C1875" s="196">
        <v>524130</v>
      </c>
      <c r="D1875" s="197" t="s">
        <v>5005</v>
      </c>
    </row>
    <row r="1876" spans="1:4" ht="17.25" customHeight="1" x14ac:dyDescent="0.2">
      <c r="A1876" s="195">
        <v>6361</v>
      </c>
      <c r="B1876" s="196" t="s">
        <v>5001</v>
      </c>
      <c r="C1876" s="196">
        <v>524130</v>
      </c>
      <c r="D1876" s="197" t="s">
        <v>5005</v>
      </c>
    </row>
    <row r="1877" spans="1:4" ht="17.25" customHeight="1" x14ac:dyDescent="0.2">
      <c r="A1877" s="195">
        <v>6411</v>
      </c>
      <c r="B1877" s="196" t="s">
        <v>5006</v>
      </c>
      <c r="C1877" s="196">
        <v>524210</v>
      </c>
      <c r="D1877" s="197" t="s">
        <v>5007</v>
      </c>
    </row>
    <row r="1878" spans="1:4" ht="17.25" customHeight="1" x14ac:dyDescent="0.2">
      <c r="A1878" s="195">
        <v>6411</v>
      </c>
      <c r="B1878" s="196" t="s">
        <v>5006</v>
      </c>
      <c r="C1878" s="196">
        <v>524291</v>
      </c>
      <c r="D1878" s="197" t="s">
        <v>5008</v>
      </c>
    </row>
    <row r="1879" spans="1:4" ht="17.25" customHeight="1" x14ac:dyDescent="0.2">
      <c r="A1879" s="195">
        <v>6371</v>
      </c>
      <c r="B1879" s="196" t="s">
        <v>4987</v>
      </c>
      <c r="C1879" s="196">
        <v>524292</v>
      </c>
      <c r="D1879" s="197" t="s">
        <v>5009</v>
      </c>
    </row>
    <row r="1880" spans="1:4" ht="17.25" customHeight="1" x14ac:dyDescent="0.2">
      <c r="A1880" s="195">
        <v>6411</v>
      </c>
      <c r="B1880" s="196" t="s">
        <v>5006</v>
      </c>
      <c r="C1880" s="196">
        <v>524292</v>
      </c>
      <c r="D1880" s="197" t="s">
        <v>5009</v>
      </c>
    </row>
    <row r="1881" spans="1:4" ht="17.25" customHeight="1" x14ac:dyDescent="0.2">
      <c r="A1881" s="195">
        <v>6411</v>
      </c>
      <c r="B1881" s="196" t="s">
        <v>5006</v>
      </c>
      <c r="C1881" s="196">
        <v>524298</v>
      </c>
      <c r="D1881" s="197" t="s">
        <v>5010</v>
      </c>
    </row>
    <row r="1882" spans="1:4" ht="17.25" customHeight="1" x14ac:dyDescent="0.2">
      <c r="A1882" s="195">
        <v>6371</v>
      </c>
      <c r="B1882" s="196" t="s">
        <v>4987</v>
      </c>
      <c r="C1882" s="196">
        <v>525110</v>
      </c>
      <c r="D1882" s="197" t="s">
        <v>5011</v>
      </c>
    </row>
    <row r="1883" spans="1:4" ht="43.35" customHeight="1" x14ac:dyDescent="0.2">
      <c r="A1883" s="195">
        <v>6371</v>
      </c>
      <c r="B1883" s="196" t="s">
        <v>4987</v>
      </c>
      <c r="C1883" s="196">
        <v>525120</v>
      </c>
      <c r="D1883" s="197" t="s">
        <v>5012</v>
      </c>
    </row>
    <row r="1884" spans="1:4" ht="17.25" customHeight="1" x14ac:dyDescent="0.2">
      <c r="A1884" s="195">
        <v>6321</v>
      </c>
      <c r="B1884" s="196" t="s">
        <v>4995</v>
      </c>
      <c r="C1884" s="196">
        <v>525190</v>
      </c>
      <c r="D1884" s="197" t="s">
        <v>5013</v>
      </c>
    </row>
    <row r="1885" spans="1:4" ht="17.25" customHeight="1" x14ac:dyDescent="0.2">
      <c r="A1885" s="195">
        <v>6324</v>
      </c>
      <c r="B1885" s="196" t="s">
        <v>4997</v>
      </c>
      <c r="C1885" s="196">
        <v>525190</v>
      </c>
      <c r="D1885" s="197" t="s">
        <v>5013</v>
      </c>
    </row>
    <row r="1886" spans="1:4" ht="43.35" customHeight="1" x14ac:dyDescent="0.2">
      <c r="A1886" s="195">
        <v>6331</v>
      </c>
      <c r="B1886" s="196" t="s">
        <v>4998</v>
      </c>
      <c r="C1886" s="196">
        <v>525190</v>
      </c>
      <c r="D1886" s="197" t="s">
        <v>5013</v>
      </c>
    </row>
    <row r="1887" spans="1:4" ht="34.5" customHeight="1" x14ac:dyDescent="0.2">
      <c r="A1887" s="195">
        <v>6733</v>
      </c>
      <c r="B1887" s="196" t="s">
        <v>4988</v>
      </c>
      <c r="C1887" s="196">
        <v>525190</v>
      </c>
      <c r="D1887" s="197" t="s">
        <v>5013</v>
      </c>
    </row>
    <row r="1888" spans="1:4" ht="17.25" customHeight="1" x14ac:dyDescent="0.2">
      <c r="A1888" s="195">
        <v>6722</v>
      </c>
      <c r="B1888" s="196" t="s">
        <v>5014</v>
      </c>
      <c r="C1888" s="196">
        <v>525910</v>
      </c>
      <c r="D1888" s="197" t="s">
        <v>5015</v>
      </c>
    </row>
    <row r="1889" spans="1:4" ht="17.25" customHeight="1" x14ac:dyDescent="0.2">
      <c r="A1889" s="195">
        <v>6733</v>
      </c>
      <c r="B1889" s="196" t="s">
        <v>4988</v>
      </c>
      <c r="C1889" s="196">
        <v>525920</v>
      </c>
      <c r="D1889" s="197" t="s">
        <v>5016</v>
      </c>
    </row>
    <row r="1890" spans="1:4" ht="43.35" customHeight="1" x14ac:dyDescent="0.2">
      <c r="A1890" s="195">
        <v>6371</v>
      </c>
      <c r="B1890" s="196" t="s">
        <v>4987</v>
      </c>
      <c r="C1890" s="196">
        <v>525990</v>
      </c>
      <c r="D1890" s="197" t="s">
        <v>5017</v>
      </c>
    </row>
    <row r="1891" spans="1:4" ht="42.6" customHeight="1" x14ac:dyDescent="0.2">
      <c r="A1891" s="195">
        <v>6726</v>
      </c>
      <c r="B1891" s="196" t="s">
        <v>5018</v>
      </c>
      <c r="C1891" s="196">
        <v>525990</v>
      </c>
      <c r="D1891" s="197" t="s">
        <v>5017</v>
      </c>
    </row>
    <row r="1892" spans="1:4" ht="34.5" customHeight="1" x14ac:dyDescent="0.2">
      <c r="A1892" s="195">
        <v>6798</v>
      </c>
      <c r="B1892" s="196" t="s">
        <v>5019</v>
      </c>
      <c r="C1892" s="196">
        <v>525990</v>
      </c>
      <c r="D1892" s="197" t="s">
        <v>5017</v>
      </c>
    </row>
    <row r="1893" spans="1:4" ht="43.35" customHeight="1" x14ac:dyDescent="0.2">
      <c r="A1893" s="195">
        <v>6513</v>
      </c>
      <c r="B1893" s="196" t="s">
        <v>5020</v>
      </c>
      <c r="C1893" s="196">
        <v>531110</v>
      </c>
      <c r="D1893" s="197" t="s">
        <v>5021</v>
      </c>
    </row>
    <row r="1894" spans="1:4" ht="17.25" customHeight="1" x14ac:dyDescent="0.2">
      <c r="A1894" s="195">
        <v>6514</v>
      </c>
      <c r="B1894" s="196" t="s">
        <v>5022</v>
      </c>
      <c r="C1894" s="196">
        <v>531110</v>
      </c>
      <c r="D1894" s="197" t="s">
        <v>5021</v>
      </c>
    </row>
    <row r="1895" spans="1:4" ht="17.25" customHeight="1" x14ac:dyDescent="0.2">
      <c r="A1895" s="195">
        <v>6531</v>
      </c>
      <c r="B1895" s="196" t="s">
        <v>5023</v>
      </c>
      <c r="C1895" s="196">
        <v>531110</v>
      </c>
      <c r="D1895" s="197" t="s">
        <v>5021</v>
      </c>
    </row>
    <row r="1896" spans="1:4" ht="17.25" customHeight="1" x14ac:dyDescent="0.2">
      <c r="A1896" s="195">
        <v>6798</v>
      </c>
      <c r="B1896" s="196" t="s">
        <v>5019</v>
      </c>
      <c r="C1896" s="196">
        <v>531110</v>
      </c>
      <c r="D1896" s="197" t="s">
        <v>5021</v>
      </c>
    </row>
    <row r="1897" spans="1:4" ht="17.25" customHeight="1" x14ac:dyDescent="0.2">
      <c r="A1897" s="195">
        <v>6512</v>
      </c>
      <c r="B1897" s="196" t="s">
        <v>5024</v>
      </c>
      <c r="C1897" s="196">
        <v>531120</v>
      </c>
      <c r="D1897" s="197" t="s">
        <v>5025</v>
      </c>
    </row>
    <row r="1898" spans="1:4" ht="17.25" customHeight="1" x14ac:dyDescent="0.2">
      <c r="A1898" s="195">
        <v>6798</v>
      </c>
      <c r="B1898" s="196" t="s">
        <v>5019</v>
      </c>
      <c r="C1898" s="196">
        <v>531120</v>
      </c>
      <c r="D1898" s="197" t="s">
        <v>5025</v>
      </c>
    </row>
    <row r="1899" spans="1:4" ht="17.25" customHeight="1" x14ac:dyDescent="0.2">
      <c r="A1899" s="195">
        <v>4225</v>
      </c>
      <c r="B1899" s="196" t="s">
        <v>3268</v>
      </c>
      <c r="C1899" s="196">
        <v>531130</v>
      </c>
      <c r="D1899" s="197" t="s">
        <v>5026</v>
      </c>
    </row>
    <row r="1900" spans="1:4" ht="17.25" customHeight="1" x14ac:dyDescent="0.2">
      <c r="A1900" s="195">
        <v>6798</v>
      </c>
      <c r="B1900" s="196" t="s">
        <v>5019</v>
      </c>
      <c r="C1900" s="196">
        <v>531130</v>
      </c>
      <c r="D1900" s="197" t="s">
        <v>5026</v>
      </c>
    </row>
    <row r="1901" spans="1:4" ht="43.35" customHeight="1" x14ac:dyDescent="0.2">
      <c r="A1901" s="195">
        <v>6515</v>
      </c>
      <c r="B1901" s="196" t="s">
        <v>5027</v>
      </c>
      <c r="C1901" s="196">
        <v>531190</v>
      </c>
      <c r="D1901" s="197" t="s">
        <v>5028</v>
      </c>
    </row>
    <row r="1902" spans="1:4" ht="17.25" customHeight="1" x14ac:dyDescent="0.2">
      <c r="A1902" s="195">
        <v>6517</v>
      </c>
      <c r="B1902" s="196" t="s">
        <v>5029</v>
      </c>
      <c r="C1902" s="196">
        <v>531190</v>
      </c>
      <c r="D1902" s="197" t="s">
        <v>5028</v>
      </c>
    </row>
    <row r="1903" spans="1:4" ht="17.25" customHeight="1" x14ac:dyDescent="0.2">
      <c r="A1903" s="195">
        <v>6519</v>
      </c>
      <c r="B1903" s="196" t="s">
        <v>5030</v>
      </c>
      <c r="C1903" s="196">
        <v>531190</v>
      </c>
      <c r="D1903" s="197" t="s">
        <v>5028</v>
      </c>
    </row>
    <row r="1904" spans="1:4" ht="34.5" customHeight="1" x14ac:dyDescent="0.2">
      <c r="A1904" s="195">
        <v>6798</v>
      </c>
      <c r="B1904" s="196" t="s">
        <v>5019</v>
      </c>
      <c r="C1904" s="196">
        <v>531190</v>
      </c>
      <c r="D1904" s="197" t="s">
        <v>5028</v>
      </c>
    </row>
    <row r="1905" spans="1:4" ht="17.25" customHeight="1" x14ac:dyDescent="0.2">
      <c r="A1905" s="195">
        <v>6531</v>
      </c>
      <c r="B1905" s="196" t="s">
        <v>5023</v>
      </c>
      <c r="C1905" s="196">
        <v>531210</v>
      </c>
      <c r="D1905" s="197" t="s">
        <v>3372</v>
      </c>
    </row>
    <row r="1906" spans="1:4" ht="17.25" customHeight="1" x14ac:dyDescent="0.2">
      <c r="A1906" s="195">
        <v>6531</v>
      </c>
      <c r="B1906" s="196" t="s">
        <v>5023</v>
      </c>
      <c r="C1906" s="196">
        <v>531311</v>
      </c>
      <c r="D1906" s="197" t="s">
        <v>5031</v>
      </c>
    </row>
    <row r="1907" spans="1:4" ht="28.7" customHeight="1" x14ac:dyDescent="0.2">
      <c r="A1907" s="195">
        <v>6531</v>
      </c>
      <c r="B1907" s="196" t="s">
        <v>5023</v>
      </c>
      <c r="C1907" s="196">
        <v>531312</v>
      </c>
      <c r="D1907" s="197" t="s">
        <v>5032</v>
      </c>
    </row>
    <row r="1908" spans="1:4" ht="34.5" customHeight="1" x14ac:dyDescent="0.2">
      <c r="A1908" s="195">
        <v>6531</v>
      </c>
      <c r="B1908" s="196" t="s">
        <v>5023</v>
      </c>
      <c r="C1908" s="196">
        <v>531320</v>
      </c>
      <c r="D1908" s="197" t="s">
        <v>5033</v>
      </c>
    </row>
    <row r="1909" spans="1:4" ht="17.25" customHeight="1" x14ac:dyDescent="0.2">
      <c r="A1909" s="195">
        <v>6531</v>
      </c>
      <c r="B1909" s="196" t="s">
        <v>5023</v>
      </c>
      <c r="C1909" s="196">
        <v>531390</v>
      </c>
      <c r="D1909" s="197" t="s">
        <v>5034</v>
      </c>
    </row>
    <row r="1910" spans="1:4" ht="34.5" customHeight="1" x14ac:dyDescent="0.2">
      <c r="A1910" s="195">
        <v>7514</v>
      </c>
      <c r="B1910" s="196" t="s">
        <v>3377</v>
      </c>
      <c r="C1910" s="196">
        <v>532111</v>
      </c>
      <c r="D1910" s="197" t="s">
        <v>5035</v>
      </c>
    </row>
    <row r="1911" spans="1:4" ht="34.5" customHeight="1" x14ac:dyDescent="0.2">
      <c r="A1911" s="195">
        <v>7515</v>
      </c>
      <c r="B1911" s="196" t="s">
        <v>3378</v>
      </c>
      <c r="C1911" s="196">
        <v>532112</v>
      </c>
      <c r="D1911" s="197" t="s">
        <v>5036</v>
      </c>
    </row>
    <row r="1912" spans="1:4" ht="17.25" customHeight="1" x14ac:dyDescent="0.2">
      <c r="A1912" s="195">
        <v>7513</v>
      </c>
      <c r="B1912" s="196" t="s">
        <v>5037</v>
      </c>
      <c r="C1912" s="196">
        <v>532120</v>
      </c>
      <c r="D1912" s="197" t="s">
        <v>5038</v>
      </c>
    </row>
    <row r="1913" spans="1:4" ht="17.25" customHeight="1" x14ac:dyDescent="0.2">
      <c r="A1913" s="195">
        <v>7519</v>
      </c>
      <c r="B1913" s="196" t="s">
        <v>5039</v>
      </c>
      <c r="C1913" s="196">
        <v>532120</v>
      </c>
      <c r="D1913" s="197" t="s">
        <v>5038</v>
      </c>
    </row>
    <row r="1914" spans="1:4" ht="17.25" customHeight="1" x14ac:dyDescent="0.2">
      <c r="A1914" s="195">
        <v>7359</v>
      </c>
      <c r="B1914" s="196" t="s">
        <v>5040</v>
      </c>
      <c r="C1914" s="196">
        <v>532210</v>
      </c>
      <c r="D1914" s="197" t="s">
        <v>3380</v>
      </c>
    </row>
    <row r="1915" spans="1:4" ht="17.25" customHeight="1" x14ac:dyDescent="0.2">
      <c r="A1915" s="195">
        <v>7299</v>
      </c>
      <c r="B1915" s="196" t="s">
        <v>5041</v>
      </c>
      <c r="C1915" s="196">
        <v>532281</v>
      </c>
      <c r="D1915" s="197" t="s">
        <v>3381</v>
      </c>
    </row>
    <row r="1916" spans="1:4" ht="17.25" customHeight="1" x14ac:dyDescent="0.2">
      <c r="A1916" s="195">
        <v>7819</v>
      </c>
      <c r="B1916" s="196" t="s">
        <v>4494</v>
      </c>
      <c r="C1916" s="196">
        <v>532281</v>
      </c>
      <c r="D1916" s="197" t="s">
        <v>3381</v>
      </c>
    </row>
    <row r="1917" spans="1:4" ht="34.5" customHeight="1" x14ac:dyDescent="0.2">
      <c r="A1917" s="195">
        <v>7841</v>
      </c>
      <c r="B1917" s="196" t="s">
        <v>5042</v>
      </c>
      <c r="C1917" s="196">
        <v>532282</v>
      </c>
      <c r="D1917" s="197" t="s">
        <v>3382</v>
      </c>
    </row>
    <row r="1918" spans="1:4" ht="17.25" customHeight="1" x14ac:dyDescent="0.2">
      <c r="A1918" s="195">
        <v>7352</v>
      </c>
      <c r="B1918" s="196" t="s">
        <v>5043</v>
      </c>
      <c r="C1918" s="196">
        <v>532283</v>
      </c>
      <c r="D1918" s="197" t="s">
        <v>5044</v>
      </c>
    </row>
    <row r="1919" spans="1:4" ht="34.5" customHeight="1" x14ac:dyDescent="0.2">
      <c r="A1919" s="195">
        <v>7999</v>
      </c>
      <c r="B1919" s="196" t="s">
        <v>4891</v>
      </c>
      <c r="C1919" s="196">
        <v>532284</v>
      </c>
      <c r="D1919" s="197" t="s">
        <v>5045</v>
      </c>
    </row>
    <row r="1920" spans="1:4" ht="34.5" customHeight="1" x14ac:dyDescent="0.2">
      <c r="A1920" s="195">
        <v>7359</v>
      </c>
      <c r="B1920" s="196" t="s">
        <v>5040</v>
      </c>
      <c r="C1920" s="196">
        <v>532289</v>
      </c>
      <c r="D1920" s="197" t="s">
        <v>5046</v>
      </c>
    </row>
    <row r="1921" spans="1:4" ht="17.25" customHeight="1" x14ac:dyDescent="0.2">
      <c r="A1921" s="195">
        <v>7359</v>
      </c>
      <c r="B1921" s="196" t="s">
        <v>5040</v>
      </c>
      <c r="C1921" s="196">
        <v>532310</v>
      </c>
      <c r="D1921" s="197" t="s">
        <v>3386</v>
      </c>
    </row>
    <row r="1922" spans="1:4" ht="17.25" customHeight="1" x14ac:dyDescent="0.2">
      <c r="A1922" s="195">
        <v>4499</v>
      </c>
      <c r="B1922" s="196" t="s">
        <v>4861</v>
      </c>
      <c r="C1922" s="196">
        <v>532411</v>
      </c>
      <c r="D1922" s="197" t="s">
        <v>5047</v>
      </c>
    </row>
    <row r="1923" spans="1:4" ht="17.25" customHeight="1" x14ac:dyDescent="0.2">
      <c r="A1923" s="195">
        <v>4741</v>
      </c>
      <c r="B1923" s="196" t="s">
        <v>4896</v>
      </c>
      <c r="C1923" s="196">
        <v>532411</v>
      </c>
      <c r="D1923" s="197" t="s">
        <v>5047</v>
      </c>
    </row>
    <row r="1924" spans="1:4" ht="34.5" customHeight="1" x14ac:dyDescent="0.2">
      <c r="A1924" s="195">
        <v>7359</v>
      </c>
      <c r="B1924" s="196" t="s">
        <v>5040</v>
      </c>
      <c r="C1924" s="196">
        <v>532411</v>
      </c>
      <c r="D1924" s="197" t="s">
        <v>5047</v>
      </c>
    </row>
    <row r="1925" spans="1:4" ht="34.5" customHeight="1" x14ac:dyDescent="0.2">
      <c r="A1925" s="195">
        <v>7353</v>
      </c>
      <c r="B1925" s="196" t="s">
        <v>3888</v>
      </c>
      <c r="C1925" s="196">
        <v>532412</v>
      </c>
      <c r="D1925" s="197" t="s">
        <v>5048</v>
      </c>
    </row>
    <row r="1926" spans="1:4" ht="17.25" customHeight="1" x14ac:dyDescent="0.2">
      <c r="A1926" s="195">
        <v>7359</v>
      </c>
      <c r="B1926" s="196" t="s">
        <v>5040</v>
      </c>
      <c r="C1926" s="196">
        <v>532412</v>
      </c>
      <c r="D1926" s="197" t="s">
        <v>5048</v>
      </c>
    </row>
    <row r="1927" spans="1:4" ht="34.5" customHeight="1" x14ac:dyDescent="0.2">
      <c r="A1927" s="195">
        <v>7359</v>
      </c>
      <c r="B1927" s="196" t="s">
        <v>5040</v>
      </c>
      <c r="C1927" s="196">
        <v>532420</v>
      </c>
      <c r="D1927" s="197" t="s">
        <v>3389</v>
      </c>
    </row>
    <row r="1928" spans="1:4" ht="17.25" customHeight="1" x14ac:dyDescent="0.2">
      <c r="A1928" s="195">
        <v>7377</v>
      </c>
      <c r="B1928" s="196" t="s">
        <v>5049</v>
      </c>
      <c r="C1928" s="196">
        <v>532420</v>
      </c>
      <c r="D1928" s="197" t="s">
        <v>3389</v>
      </c>
    </row>
    <row r="1929" spans="1:4" ht="17.25" customHeight="1" x14ac:dyDescent="0.2">
      <c r="A1929" s="195">
        <v>7352</v>
      </c>
      <c r="B1929" s="196" t="s">
        <v>5043</v>
      </c>
      <c r="C1929" s="196">
        <v>532490</v>
      </c>
      <c r="D1929" s="197" t="s">
        <v>5050</v>
      </c>
    </row>
    <row r="1930" spans="1:4" ht="17.25" customHeight="1" x14ac:dyDescent="0.2">
      <c r="A1930" s="195">
        <v>7359</v>
      </c>
      <c r="B1930" s="196" t="s">
        <v>5040</v>
      </c>
      <c r="C1930" s="196">
        <v>532490</v>
      </c>
      <c r="D1930" s="197" t="s">
        <v>5050</v>
      </c>
    </row>
    <row r="1931" spans="1:4" ht="34.5" customHeight="1" x14ac:dyDescent="0.2">
      <c r="A1931" s="195">
        <v>7819</v>
      </c>
      <c r="B1931" s="196" t="s">
        <v>4494</v>
      </c>
      <c r="C1931" s="196">
        <v>532490</v>
      </c>
      <c r="D1931" s="197" t="s">
        <v>5050</v>
      </c>
    </row>
    <row r="1932" spans="1:4" ht="17.25" customHeight="1" x14ac:dyDescent="0.2">
      <c r="A1932" s="195">
        <v>7922</v>
      </c>
      <c r="B1932" s="196" t="s">
        <v>4924</v>
      </c>
      <c r="C1932" s="196">
        <v>532490</v>
      </c>
      <c r="D1932" s="197" t="s">
        <v>5050</v>
      </c>
    </row>
    <row r="1933" spans="1:4" ht="34.5" customHeight="1" x14ac:dyDescent="0.2">
      <c r="A1933" s="195">
        <v>6792</v>
      </c>
      <c r="B1933" s="196" t="s">
        <v>4985</v>
      </c>
      <c r="C1933" s="196">
        <v>533110</v>
      </c>
      <c r="D1933" s="197" t="s">
        <v>3391</v>
      </c>
    </row>
    <row r="1934" spans="1:4" ht="17.25" customHeight="1" x14ac:dyDescent="0.2">
      <c r="A1934" s="195">
        <v>6794</v>
      </c>
      <c r="B1934" s="196" t="s">
        <v>5051</v>
      </c>
      <c r="C1934" s="196">
        <v>533110</v>
      </c>
      <c r="D1934" s="197" t="s">
        <v>3391</v>
      </c>
    </row>
    <row r="1935" spans="1:4" ht="17.25" customHeight="1" x14ac:dyDescent="0.2">
      <c r="A1935" s="195">
        <v>8111</v>
      </c>
      <c r="B1935" s="196" t="s">
        <v>5052</v>
      </c>
      <c r="C1935" s="196">
        <v>541110</v>
      </c>
      <c r="D1935" s="197" t="s">
        <v>3392</v>
      </c>
    </row>
    <row r="1936" spans="1:4" ht="17.25" customHeight="1" x14ac:dyDescent="0.2">
      <c r="A1936" s="195" t="s">
        <v>3718</v>
      </c>
      <c r="B1936" s="196"/>
      <c r="C1936" s="196">
        <v>541120</v>
      </c>
      <c r="D1936" s="197" t="s">
        <v>3393</v>
      </c>
    </row>
    <row r="1937" spans="1:4" ht="34.5" customHeight="1" x14ac:dyDescent="0.2">
      <c r="A1937" s="195">
        <v>6541</v>
      </c>
      <c r="B1937" s="196" t="s">
        <v>5053</v>
      </c>
      <c r="C1937" s="196">
        <v>541191</v>
      </c>
      <c r="D1937" s="197" t="s">
        <v>5054</v>
      </c>
    </row>
    <row r="1938" spans="1:4" ht="17.25" customHeight="1" x14ac:dyDescent="0.2">
      <c r="A1938" s="195">
        <v>7389</v>
      </c>
      <c r="B1938" s="196" t="s">
        <v>3985</v>
      </c>
      <c r="C1938" s="196">
        <v>541199</v>
      </c>
      <c r="D1938" s="197" t="s">
        <v>5055</v>
      </c>
    </row>
    <row r="1939" spans="1:4" ht="17.25" customHeight="1" x14ac:dyDescent="0.2">
      <c r="A1939" s="195">
        <v>8721</v>
      </c>
      <c r="B1939" s="196" t="s">
        <v>5056</v>
      </c>
      <c r="C1939" s="196">
        <v>541211</v>
      </c>
      <c r="D1939" s="197" t="s">
        <v>5057</v>
      </c>
    </row>
    <row r="1940" spans="1:4" ht="17.25" customHeight="1" x14ac:dyDescent="0.2">
      <c r="A1940" s="195">
        <v>7291</v>
      </c>
      <c r="B1940" s="196" t="s">
        <v>5058</v>
      </c>
      <c r="C1940" s="196">
        <v>541213</v>
      </c>
      <c r="D1940" s="197" t="s">
        <v>5059</v>
      </c>
    </row>
    <row r="1941" spans="1:4" ht="17.25" customHeight="1" x14ac:dyDescent="0.2">
      <c r="A1941" s="195">
        <v>7819</v>
      </c>
      <c r="B1941" s="196" t="s">
        <v>4494</v>
      </c>
      <c r="C1941" s="196">
        <v>541214</v>
      </c>
      <c r="D1941" s="197" t="s">
        <v>5060</v>
      </c>
    </row>
    <row r="1942" spans="1:4" ht="17.25" customHeight="1" x14ac:dyDescent="0.2">
      <c r="A1942" s="195">
        <v>8721</v>
      </c>
      <c r="B1942" s="196" t="s">
        <v>5056</v>
      </c>
      <c r="C1942" s="196">
        <v>541214</v>
      </c>
      <c r="D1942" s="197" t="s">
        <v>5060</v>
      </c>
    </row>
    <row r="1943" spans="1:4" ht="17.25" customHeight="1" x14ac:dyDescent="0.2">
      <c r="A1943" s="195">
        <v>8721</v>
      </c>
      <c r="B1943" s="196" t="s">
        <v>5056</v>
      </c>
      <c r="C1943" s="196">
        <v>541219</v>
      </c>
      <c r="D1943" s="197" t="s">
        <v>5061</v>
      </c>
    </row>
    <row r="1944" spans="1:4" ht="34.5" customHeight="1" x14ac:dyDescent="0.2">
      <c r="A1944" s="195">
        <v>8712</v>
      </c>
      <c r="B1944" s="196" t="s">
        <v>3400</v>
      </c>
      <c r="C1944" s="196">
        <v>541310</v>
      </c>
      <c r="D1944" s="197" t="s">
        <v>3400</v>
      </c>
    </row>
    <row r="1945" spans="1:4" ht="17.25" customHeight="1" x14ac:dyDescent="0.2">
      <c r="A1945" s="195">
        <v>781</v>
      </c>
      <c r="B1945" s="196" t="s">
        <v>5062</v>
      </c>
      <c r="C1945" s="196">
        <v>541320</v>
      </c>
      <c r="D1945" s="197" t="s">
        <v>3401</v>
      </c>
    </row>
    <row r="1946" spans="1:4" ht="17.25" customHeight="1" x14ac:dyDescent="0.2">
      <c r="A1946" s="195">
        <v>8748</v>
      </c>
      <c r="B1946" s="196" t="s">
        <v>5063</v>
      </c>
      <c r="C1946" s="196">
        <v>541320</v>
      </c>
      <c r="D1946" s="197" t="s">
        <v>3401</v>
      </c>
    </row>
    <row r="1947" spans="1:4" ht="34.5" customHeight="1" x14ac:dyDescent="0.2">
      <c r="A1947" s="195">
        <v>8711</v>
      </c>
      <c r="B1947" s="196" t="s">
        <v>2192</v>
      </c>
      <c r="C1947" s="196">
        <v>541330</v>
      </c>
      <c r="D1947" s="197" t="s">
        <v>2192</v>
      </c>
    </row>
    <row r="1948" spans="1:4" ht="17.25" customHeight="1" x14ac:dyDescent="0.2">
      <c r="A1948" s="195">
        <v>8748</v>
      </c>
      <c r="B1948" s="196" t="s">
        <v>5063</v>
      </c>
      <c r="C1948" s="196">
        <v>541330</v>
      </c>
      <c r="D1948" s="197" t="s">
        <v>2192</v>
      </c>
    </row>
    <row r="1949" spans="1:4" ht="34.5" customHeight="1" x14ac:dyDescent="0.2">
      <c r="A1949" s="195">
        <v>7389</v>
      </c>
      <c r="B1949" s="196" t="s">
        <v>3985</v>
      </c>
      <c r="C1949" s="196">
        <v>541340</v>
      </c>
      <c r="D1949" s="197" t="s">
        <v>3402</v>
      </c>
    </row>
    <row r="1950" spans="1:4" ht="17.25" customHeight="1" x14ac:dyDescent="0.2">
      <c r="A1950" s="195">
        <v>7389</v>
      </c>
      <c r="B1950" s="196" t="s">
        <v>3985</v>
      </c>
      <c r="C1950" s="196">
        <v>541350</v>
      </c>
      <c r="D1950" s="197" t="s">
        <v>3403</v>
      </c>
    </row>
    <row r="1951" spans="1:4" ht="17.25" customHeight="1" x14ac:dyDescent="0.2">
      <c r="A1951" s="195">
        <v>1081</v>
      </c>
      <c r="B1951" s="196" t="s">
        <v>3809</v>
      </c>
      <c r="C1951" s="196">
        <v>541360</v>
      </c>
      <c r="D1951" s="197" t="s">
        <v>3404</v>
      </c>
    </row>
    <row r="1952" spans="1:4" ht="17.25" customHeight="1" x14ac:dyDescent="0.2">
      <c r="A1952" s="195">
        <v>1382</v>
      </c>
      <c r="B1952" s="196" t="s">
        <v>3804</v>
      </c>
      <c r="C1952" s="196">
        <v>541360</v>
      </c>
      <c r="D1952" s="197" t="s">
        <v>3404</v>
      </c>
    </row>
    <row r="1953" spans="1:4" ht="17.25" customHeight="1" x14ac:dyDescent="0.2">
      <c r="A1953" s="195">
        <v>1481</v>
      </c>
      <c r="B1953" s="196" t="s">
        <v>3886</v>
      </c>
      <c r="C1953" s="196">
        <v>541360</v>
      </c>
      <c r="D1953" s="197" t="s">
        <v>3404</v>
      </c>
    </row>
    <row r="1954" spans="1:4" ht="34.5" customHeight="1" x14ac:dyDescent="0.2">
      <c r="A1954" s="195">
        <v>8713</v>
      </c>
      <c r="B1954" s="196" t="s">
        <v>5064</v>
      </c>
      <c r="C1954" s="196">
        <v>541360</v>
      </c>
      <c r="D1954" s="197" t="s">
        <v>3404</v>
      </c>
    </row>
    <row r="1955" spans="1:4" ht="17.25" customHeight="1" x14ac:dyDescent="0.2">
      <c r="A1955" s="195">
        <v>7389</v>
      </c>
      <c r="B1955" s="196" t="s">
        <v>3985</v>
      </c>
      <c r="C1955" s="196">
        <v>541370</v>
      </c>
      <c r="D1955" s="197" t="s">
        <v>3405</v>
      </c>
    </row>
    <row r="1956" spans="1:4" ht="17.25" customHeight="1" x14ac:dyDescent="0.2">
      <c r="A1956" s="195">
        <v>8713</v>
      </c>
      <c r="B1956" s="196" t="s">
        <v>5064</v>
      </c>
      <c r="C1956" s="196">
        <v>541370</v>
      </c>
      <c r="D1956" s="197" t="s">
        <v>3405</v>
      </c>
    </row>
    <row r="1957" spans="1:4" ht="17.25" customHeight="1" x14ac:dyDescent="0.2">
      <c r="A1957" s="195">
        <v>8734</v>
      </c>
      <c r="B1957" s="196" t="s">
        <v>3406</v>
      </c>
      <c r="C1957" s="196">
        <v>541380</v>
      </c>
      <c r="D1957" s="197" t="s">
        <v>3407</v>
      </c>
    </row>
    <row r="1958" spans="1:4" ht="17.25" customHeight="1" x14ac:dyDescent="0.2">
      <c r="A1958" s="195">
        <v>7389</v>
      </c>
      <c r="B1958" s="196" t="s">
        <v>3985</v>
      </c>
      <c r="C1958" s="196">
        <v>541410</v>
      </c>
      <c r="D1958" s="197" t="s">
        <v>3408</v>
      </c>
    </row>
    <row r="1959" spans="1:4" ht="34.5" customHeight="1" x14ac:dyDescent="0.2">
      <c r="A1959" s="195">
        <v>7389</v>
      </c>
      <c r="B1959" s="196" t="s">
        <v>3985</v>
      </c>
      <c r="C1959" s="196">
        <v>541420</v>
      </c>
      <c r="D1959" s="197" t="s">
        <v>3409</v>
      </c>
    </row>
    <row r="1960" spans="1:4" ht="34.5" customHeight="1" x14ac:dyDescent="0.2">
      <c r="A1960" s="195">
        <v>7336</v>
      </c>
      <c r="B1960" s="196" t="s">
        <v>5065</v>
      </c>
      <c r="C1960" s="196">
        <v>541430</v>
      </c>
      <c r="D1960" s="197" t="s">
        <v>3410</v>
      </c>
    </row>
    <row r="1961" spans="1:4" ht="34.5" customHeight="1" x14ac:dyDescent="0.2">
      <c r="A1961" s="195">
        <v>8099</v>
      </c>
      <c r="B1961" s="196" t="s">
        <v>5066</v>
      </c>
      <c r="C1961" s="196">
        <v>541430</v>
      </c>
      <c r="D1961" s="197" t="s">
        <v>3410</v>
      </c>
    </row>
    <row r="1962" spans="1:4" ht="34.5" customHeight="1" x14ac:dyDescent="0.2">
      <c r="A1962" s="195">
        <v>7389</v>
      </c>
      <c r="B1962" s="196" t="s">
        <v>3985</v>
      </c>
      <c r="C1962" s="196">
        <v>541490</v>
      </c>
      <c r="D1962" s="197" t="s">
        <v>3411</v>
      </c>
    </row>
    <row r="1963" spans="1:4" ht="17.25" customHeight="1" x14ac:dyDescent="0.2">
      <c r="A1963" s="195">
        <v>7371</v>
      </c>
      <c r="B1963" s="196" t="s">
        <v>3412</v>
      </c>
      <c r="C1963" s="196">
        <v>541511</v>
      </c>
      <c r="D1963" s="197" t="s">
        <v>5067</v>
      </c>
    </row>
    <row r="1964" spans="1:4" ht="34.5" customHeight="1" x14ac:dyDescent="0.2">
      <c r="A1964" s="195">
        <v>7373</v>
      </c>
      <c r="B1964" s="196" t="s">
        <v>5068</v>
      </c>
      <c r="C1964" s="196">
        <v>541512</v>
      </c>
      <c r="D1964" s="197" t="s">
        <v>5069</v>
      </c>
    </row>
    <row r="1965" spans="1:4" ht="17.25" customHeight="1" x14ac:dyDescent="0.2">
      <c r="A1965" s="195">
        <v>7379</v>
      </c>
      <c r="B1965" s="196" t="s">
        <v>4946</v>
      </c>
      <c r="C1965" s="196">
        <v>541512</v>
      </c>
      <c r="D1965" s="197" t="s">
        <v>5069</v>
      </c>
    </row>
    <row r="1966" spans="1:4" ht="17.25" customHeight="1" x14ac:dyDescent="0.2">
      <c r="A1966" s="195">
        <v>7376</v>
      </c>
      <c r="B1966" s="196" t="s">
        <v>5070</v>
      </c>
      <c r="C1966" s="196">
        <v>541513</v>
      </c>
      <c r="D1966" s="197" t="s">
        <v>5071</v>
      </c>
    </row>
    <row r="1967" spans="1:4" ht="34.5" customHeight="1" x14ac:dyDescent="0.2">
      <c r="A1967" s="195">
        <v>7379</v>
      </c>
      <c r="B1967" s="196" t="s">
        <v>4946</v>
      </c>
      <c r="C1967" s="196">
        <v>541519</v>
      </c>
      <c r="D1967" s="197" t="s">
        <v>3415</v>
      </c>
    </row>
    <row r="1968" spans="1:4" ht="17.25" customHeight="1" x14ac:dyDescent="0.2">
      <c r="A1968" s="195">
        <v>8742</v>
      </c>
      <c r="B1968" s="196" t="s">
        <v>5072</v>
      </c>
      <c r="C1968" s="196">
        <v>541611</v>
      </c>
      <c r="D1968" s="197" t="s">
        <v>5073</v>
      </c>
    </row>
    <row r="1969" spans="1:4" ht="34.5" customHeight="1" x14ac:dyDescent="0.2">
      <c r="A1969" s="195">
        <v>7361</v>
      </c>
      <c r="B1969" s="196" t="s">
        <v>5074</v>
      </c>
      <c r="C1969" s="196">
        <v>541612</v>
      </c>
      <c r="D1969" s="197" t="s">
        <v>5075</v>
      </c>
    </row>
    <row r="1970" spans="1:4" ht="17.25" customHeight="1" x14ac:dyDescent="0.2">
      <c r="A1970" s="195">
        <v>8742</v>
      </c>
      <c r="B1970" s="196" t="s">
        <v>5072</v>
      </c>
      <c r="C1970" s="196">
        <v>541612</v>
      </c>
      <c r="D1970" s="197" t="s">
        <v>5075</v>
      </c>
    </row>
    <row r="1971" spans="1:4" ht="17.25" customHeight="1" x14ac:dyDescent="0.2">
      <c r="A1971" s="195">
        <v>8999</v>
      </c>
      <c r="B1971" s="196" t="s">
        <v>4923</v>
      </c>
      <c r="C1971" s="196">
        <v>541612</v>
      </c>
      <c r="D1971" s="197" t="s">
        <v>5075</v>
      </c>
    </row>
    <row r="1972" spans="1:4" ht="34.5" customHeight="1" x14ac:dyDescent="0.2">
      <c r="A1972" s="195">
        <v>8742</v>
      </c>
      <c r="B1972" s="196" t="s">
        <v>5072</v>
      </c>
      <c r="C1972" s="196">
        <v>541613</v>
      </c>
      <c r="D1972" s="197" t="s">
        <v>5076</v>
      </c>
    </row>
    <row r="1973" spans="1:4" ht="17.25" customHeight="1" x14ac:dyDescent="0.2">
      <c r="A1973" s="195">
        <v>4731</v>
      </c>
      <c r="B1973" s="196" t="s">
        <v>3262</v>
      </c>
      <c r="C1973" s="196">
        <v>541614</v>
      </c>
      <c r="D1973" s="197" t="s">
        <v>5077</v>
      </c>
    </row>
    <row r="1974" spans="1:4" ht="17.25" customHeight="1" x14ac:dyDescent="0.2">
      <c r="A1974" s="195">
        <v>8742</v>
      </c>
      <c r="B1974" s="196" t="s">
        <v>5072</v>
      </c>
      <c r="C1974" s="196">
        <v>541614</v>
      </c>
      <c r="D1974" s="197" t="s">
        <v>5077</v>
      </c>
    </row>
    <row r="1975" spans="1:4" ht="17.25" customHeight="1" x14ac:dyDescent="0.2">
      <c r="A1975" s="195">
        <v>8748</v>
      </c>
      <c r="B1975" s="196" t="s">
        <v>5063</v>
      </c>
      <c r="C1975" s="196">
        <v>541618</v>
      </c>
      <c r="D1975" s="197" t="s">
        <v>5078</v>
      </c>
    </row>
    <row r="1976" spans="1:4" ht="34.5" customHeight="1" x14ac:dyDescent="0.2">
      <c r="A1976" s="195">
        <v>8999</v>
      </c>
      <c r="B1976" s="196" t="s">
        <v>4923</v>
      </c>
      <c r="C1976" s="196">
        <v>541620</v>
      </c>
      <c r="D1976" s="197" t="s">
        <v>3421</v>
      </c>
    </row>
    <row r="1977" spans="1:4" ht="34.5" customHeight="1" x14ac:dyDescent="0.2">
      <c r="A1977" s="195">
        <v>781</v>
      </c>
      <c r="B1977" s="196" t="s">
        <v>5062</v>
      </c>
      <c r="C1977" s="196">
        <v>541690</v>
      </c>
      <c r="D1977" s="197" t="s">
        <v>3422</v>
      </c>
    </row>
    <row r="1978" spans="1:4" ht="17.25" customHeight="1" x14ac:dyDescent="0.2">
      <c r="A1978" s="195">
        <v>7819</v>
      </c>
      <c r="B1978" s="196" t="s">
        <v>4494</v>
      </c>
      <c r="C1978" s="196">
        <v>541690</v>
      </c>
      <c r="D1978" s="197" t="s">
        <v>3422</v>
      </c>
    </row>
    <row r="1979" spans="1:4" ht="17.25" customHeight="1" x14ac:dyDescent="0.2">
      <c r="A1979" s="195">
        <v>8748</v>
      </c>
      <c r="B1979" s="196" t="s">
        <v>5063</v>
      </c>
      <c r="C1979" s="196">
        <v>541690</v>
      </c>
      <c r="D1979" s="197" t="s">
        <v>3422</v>
      </c>
    </row>
    <row r="1980" spans="1:4" ht="17.25" customHeight="1" x14ac:dyDescent="0.2">
      <c r="A1980" s="195">
        <v>8999</v>
      </c>
      <c r="B1980" s="196" t="s">
        <v>4923</v>
      </c>
      <c r="C1980" s="196">
        <v>541690</v>
      </c>
      <c r="D1980" s="197" t="s">
        <v>3422</v>
      </c>
    </row>
    <row r="1981" spans="1:4" ht="34.5" customHeight="1" x14ac:dyDescent="0.2">
      <c r="A1981" s="195">
        <v>3721</v>
      </c>
      <c r="B1981" s="196" t="s">
        <v>5079</v>
      </c>
      <c r="C1981" s="196">
        <v>541713</v>
      </c>
      <c r="D1981" s="197" t="s">
        <v>5080</v>
      </c>
    </row>
    <row r="1982" spans="1:4" ht="34.5" customHeight="1" x14ac:dyDescent="0.2">
      <c r="A1982" s="195">
        <v>3724</v>
      </c>
      <c r="B1982" s="196" t="s">
        <v>5081</v>
      </c>
      <c r="C1982" s="196">
        <v>541713</v>
      </c>
      <c r="D1982" s="197" t="s">
        <v>5080</v>
      </c>
    </row>
    <row r="1983" spans="1:4" ht="17.25" customHeight="1" x14ac:dyDescent="0.2">
      <c r="A1983" s="195">
        <v>3728</v>
      </c>
      <c r="B1983" s="196" t="s">
        <v>5082</v>
      </c>
      <c r="C1983" s="196">
        <v>541713</v>
      </c>
      <c r="D1983" s="197" t="s">
        <v>5080</v>
      </c>
    </row>
    <row r="1984" spans="1:4" ht="17.25" customHeight="1" x14ac:dyDescent="0.2">
      <c r="A1984" s="195">
        <v>3761</v>
      </c>
      <c r="B1984" s="196" t="s">
        <v>5083</v>
      </c>
      <c r="C1984" s="196">
        <v>541713</v>
      </c>
      <c r="D1984" s="197" t="s">
        <v>5080</v>
      </c>
    </row>
    <row r="1985" spans="1:4" ht="34.5" customHeight="1" x14ac:dyDescent="0.2">
      <c r="A1985" s="195">
        <v>3764</v>
      </c>
      <c r="B1985" s="196" t="s">
        <v>5084</v>
      </c>
      <c r="C1985" s="196">
        <v>541713</v>
      </c>
      <c r="D1985" s="197" t="s">
        <v>5080</v>
      </c>
    </row>
    <row r="1986" spans="1:4" ht="34.5" customHeight="1" x14ac:dyDescent="0.2">
      <c r="A1986" s="195">
        <v>3769</v>
      </c>
      <c r="B1986" s="196" t="s">
        <v>5085</v>
      </c>
      <c r="C1986" s="196">
        <v>541713</v>
      </c>
      <c r="D1986" s="197" t="s">
        <v>5080</v>
      </c>
    </row>
    <row r="1987" spans="1:4" ht="17.25" customHeight="1" x14ac:dyDescent="0.2">
      <c r="A1987" s="195">
        <v>8731</v>
      </c>
      <c r="B1987" s="196" t="s">
        <v>5086</v>
      </c>
      <c r="C1987" s="196">
        <v>541713</v>
      </c>
      <c r="D1987" s="197" t="s">
        <v>5080</v>
      </c>
    </row>
    <row r="1988" spans="1:4" ht="43.35" customHeight="1" x14ac:dyDescent="0.2">
      <c r="A1988" s="195">
        <v>8733</v>
      </c>
      <c r="B1988" s="196" t="s">
        <v>5087</v>
      </c>
      <c r="C1988" s="196">
        <v>541713</v>
      </c>
      <c r="D1988" s="197" t="s">
        <v>5080</v>
      </c>
    </row>
    <row r="1989" spans="1:4" ht="17.25" customHeight="1" x14ac:dyDescent="0.2">
      <c r="A1989" s="195">
        <v>8731</v>
      </c>
      <c r="B1989" s="196" t="s">
        <v>5086</v>
      </c>
      <c r="C1989" s="196">
        <v>541714</v>
      </c>
      <c r="D1989" s="197" t="s">
        <v>3424</v>
      </c>
    </row>
    <row r="1990" spans="1:4" ht="17.25" customHeight="1" x14ac:dyDescent="0.2">
      <c r="A1990" s="195">
        <v>8733</v>
      </c>
      <c r="B1990" s="196" t="s">
        <v>5087</v>
      </c>
      <c r="C1990" s="196">
        <v>541714</v>
      </c>
      <c r="D1990" s="197" t="s">
        <v>3424</v>
      </c>
    </row>
    <row r="1991" spans="1:4" ht="34.5" customHeight="1" x14ac:dyDescent="0.2">
      <c r="A1991" s="195">
        <v>8731</v>
      </c>
      <c r="B1991" s="196" t="s">
        <v>5086</v>
      </c>
      <c r="C1991" s="196">
        <v>541715</v>
      </c>
      <c r="D1991" s="197" t="s">
        <v>5088</v>
      </c>
    </row>
    <row r="1992" spans="1:4" ht="34.5" customHeight="1" x14ac:dyDescent="0.2">
      <c r="A1992" s="195">
        <v>8733</v>
      </c>
      <c r="B1992" s="196" t="s">
        <v>5087</v>
      </c>
      <c r="C1992" s="196">
        <v>541715</v>
      </c>
      <c r="D1992" s="197" t="s">
        <v>5088</v>
      </c>
    </row>
    <row r="1993" spans="1:4" ht="34.5" customHeight="1" x14ac:dyDescent="0.2">
      <c r="A1993" s="195">
        <v>8732</v>
      </c>
      <c r="B1993" s="196" t="s">
        <v>5089</v>
      </c>
      <c r="C1993" s="196">
        <v>541720</v>
      </c>
      <c r="D1993" s="197" t="s">
        <v>5090</v>
      </c>
    </row>
    <row r="1994" spans="1:4" ht="34.5" customHeight="1" x14ac:dyDescent="0.2">
      <c r="A1994" s="195">
        <v>8733</v>
      </c>
      <c r="B1994" s="196" t="s">
        <v>5087</v>
      </c>
      <c r="C1994" s="196">
        <v>541720</v>
      </c>
      <c r="D1994" s="197" t="s">
        <v>5090</v>
      </c>
    </row>
    <row r="1995" spans="1:4" ht="17.25" customHeight="1" x14ac:dyDescent="0.2">
      <c r="A1995" s="195">
        <v>7311</v>
      </c>
      <c r="B1995" s="196" t="s">
        <v>3427</v>
      </c>
      <c r="C1995" s="196">
        <v>541810</v>
      </c>
      <c r="D1995" s="197" t="s">
        <v>3427</v>
      </c>
    </row>
    <row r="1996" spans="1:4" ht="17.25" customHeight="1" x14ac:dyDescent="0.2">
      <c r="A1996" s="195">
        <v>8743</v>
      </c>
      <c r="B1996" s="196" t="s">
        <v>5091</v>
      </c>
      <c r="C1996" s="196">
        <v>541820</v>
      </c>
      <c r="D1996" s="197" t="s">
        <v>3428</v>
      </c>
    </row>
    <row r="1997" spans="1:4" ht="34.5" customHeight="1" x14ac:dyDescent="0.2">
      <c r="A1997" s="195">
        <v>7319</v>
      </c>
      <c r="B1997" s="196" t="s">
        <v>4844</v>
      </c>
      <c r="C1997" s="196">
        <v>541830</v>
      </c>
      <c r="D1997" s="197" t="s">
        <v>3429</v>
      </c>
    </row>
    <row r="1998" spans="1:4" ht="17.25" customHeight="1" x14ac:dyDescent="0.2">
      <c r="A1998" s="195">
        <v>7313</v>
      </c>
      <c r="B1998" s="196" t="s">
        <v>5092</v>
      </c>
      <c r="C1998" s="196">
        <v>541840</v>
      </c>
      <c r="D1998" s="197" t="s">
        <v>3430</v>
      </c>
    </row>
    <row r="1999" spans="1:4" ht="43.35" customHeight="1" x14ac:dyDescent="0.2">
      <c r="A1999" s="195">
        <v>7312</v>
      </c>
      <c r="B1999" s="196" t="s">
        <v>5093</v>
      </c>
      <c r="C1999" s="196">
        <v>541850</v>
      </c>
      <c r="D1999" s="197" t="s">
        <v>3432</v>
      </c>
    </row>
    <row r="2000" spans="1:4" ht="17.25" customHeight="1" x14ac:dyDescent="0.2">
      <c r="A2000" s="195">
        <v>7319</v>
      </c>
      <c r="B2000" s="196" t="s">
        <v>4844</v>
      </c>
      <c r="C2000" s="196">
        <v>541850</v>
      </c>
      <c r="D2000" s="197" t="s">
        <v>3432</v>
      </c>
    </row>
    <row r="2001" spans="1:4" ht="43.35" customHeight="1" x14ac:dyDescent="0.2">
      <c r="A2001" s="195">
        <v>7331</v>
      </c>
      <c r="B2001" s="196" t="s">
        <v>4931</v>
      </c>
      <c r="C2001" s="196">
        <v>541860</v>
      </c>
      <c r="D2001" s="197" t="s">
        <v>3433</v>
      </c>
    </row>
    <row r="2002" spans="1:4" ht="17.25" customHeight="1" x14ac:dyDescent="0.2">
      <c r="A2002" s="195">
        <v>7319</v>
      </c>
      <c r="B2002" s="196" t="s">
        <v>4844</v>
      </c>
      <c r="C2002" s="196">
        <v>541870</v>
      </c>
      <c r="D2002" s="197" t="s">
        <v>3434</v>
      </c>
    </row>
    <row r="2003" spans="1:4" ht="34.5" customHeight="1" x14ac:dyDescent="0.2">
      <c r="A2003" s="195">
        <v>7389</v>
      </c>
      <c r="B2003" s="196" t="s">
        <v>3985</v>
      </c>
      <c r="C2003" s="196">
        <v>541870</v>
      </c>
      <c r="D2003" s="197" t="s">
        <v>3434</v>
      </c>
    </row>
    <row r="2004" spans="1:4" ht="17.25" customHeight="1" x14ac:dyDescent="0.2">
      <c r="A2004" s="195">
        <v>5199</v>
      </c>
      <c r="B2004" s="196" t="s">
        <v>4693</v>
      </c>
      <c r="C2004" s="196">
        <v>541890</v>
      </c>
      <c r="D2004" s="197" t="s">
        <v>5094</v>
      </c>
    </row>
    <row r="2005" spans="1:4" ht="17.25" customHeight="1" x14ac:dyDescent="0.2">
      <c r="A2005" s="195">
        <v>7319</v>
      </c>
      <c r="B2005" s="196" t="s">
        <v>4844</v>
      </c>
      <c r="C2005" s="196">
        <v>541890</v>
      </c>
      <c r="D2005" s="197" t="s">
        <v>5094</v>
      </c>
    </row>
    <row r="2006" spans="1:4" ht="17.25" customHeight="1" x14ac:dyDescent="0.2">
      <c r="A2006" s="195">
        <v>7389</v>
      </c>
      <c r="B2006" s="196" t="s">
        <v>3985</v>
      </c>
      <c r="C2006" s="196">
        <v>541890</v>
      </c>
      <c r="D2006" s="197" t="s">
        <v>5094</v>
      </c>
    </row>
    <row r="2007" spans="1:4" ht="17.25" customHeight="1" x14ac:dyDescent="0.2">
      <c r="A2007" s="195">
        <v>8732</v>
      </c>
      <c r="B2007" s="196" t="s">
        <v>5089</v>
      </c>
      <c r="C2007" s="196">
        <v>541910</v>
      </c>
      <c r="D2007" s="197" t="s">
        <v>3436</v>
      </c>
    </row>
    <row r="2008" spans="1:4" ht="34.5" customHeight="1" x14ac:dyDescent="0.2">
      <c r="A2008" s="195">
        <v>7221</v>
      </c>
      <c r="B2008" s="196" t="s">
        <v>5095</v>
      </c>
      <c r="C2008" s="196">
        <v>541921</v>
      </c>
      <c r="D2008" s="197" t="s">
        <v>5096</v>
      </c>
    </row>
    <row r="2009" spans="1:4" ht="17.25" customHeight="1" x14ac:dyDescent="0.2">
      <c r="A2009" s="195">
        <v>7335</v>
      </c>
      <c r="B2009" s="196" t="s">
        <v>3438</v>
      </c>
      <c r="C2009" s="196">
        <v>541922</v>
      </c>
      <c r="D2009" s="197" t="s">
        <v>5097</v>
      </c>
    </row>
    <row r="2010" spans="1:4" ht="17.25" customHeight="1" x14ac:dyDescent="0.2">
      <c r="A2010" s="195">
        <v>8099</v>
      </c>
      <c r="B2010" s="196" t="s">
        <v>5066</v>
      </c>
      <c r="C2010" s="196">
        <v>541922</v>
      </c>
      <c r="D2010" s="197" t="s">
        <v>5097</v>
      </c>
    </row>
    <row r="2011" spans="1:4" ht="17.25" customHeight="1" x14ac:dyDescent="0.2">
      <c r="A2011" s="195">
        <v>7389</v>
      </c>
      <c r="B2011" s="196" t="s">
        <v>3985</v>
      </c>
      <c r="C2011" s="196">
        <v>541930</v>
      </c>
      <c r="D2011" s="197" t="s">
        <v>3439</v>
      </c>
    </row>
    <row r="2012" spans="1:4" ht="34.5" customHeight="1" x14ac:dyDescent="0.2">
      <c r="A2012" s="195">
        <v>741</v>
      </c>
      <c r="B2012" s="196" t="s">
        <v>5098</v>
      </c>
      <c r="C2012" s="196">
        <v>541940</v>
      </c>
      <c r="D2012" s="197" t="s">
        <v>5099</v>
      </c>
    </row>
    <row r="2013" spans="1:4" ht="34.5" customHeight="1" x14ac:dyDescent="0.2">
      <c r="A2013" s="195">
        <v>742</v>
      </c>
      <c r="B2013" s="196" t="s">
        <v>5100</v>
      </c>
      <c r="C2013" s="196">
        <v>541940</v>
      </c>
      <c r="D2013" s="197" t="s">
        <v>5099</v>
      </c>
    </row>
    <row r="2014" spans="1:4" ht="34.5" customHeight="1" x14ac:dyDescent="0.2">
      <c r="A2014" s="195">
        <v>8734</v>
      </c>
      <c r="B2014" s="196" t="s">
        <v>3406</v>
      </c>
      <c r="C2014" s="196">
        <v>541940</v>
      </c>
      <c r="D2014" s="197" t="s">
        <v>5099</v>
      </c>
    </row>
    <row r="2015" spans="1:4" ht="34.5" customHeight="1" x14ac:dyDescent="0.2">
      <c r="A2015" s="195">
        <v>4499</v>
      </c>
      <c r="B2015" s="196" t="s">
        <v>4861</v>
      </c>
      <c r="C2015" s="196">
        <v>541990</v>
      </c>
      <c r="D2015" s="197" t="s">
        <v>3441</v>
      </c>
    </row>
    <row r="2016" spans="1:4" ht="34.5" customHeight="1" x14ac:dyDescent="0.2">
      <c r="A2016" s="195">
        <v>7299</v>
      </c>
      <c r="B2016" s="196" t="s">
        <v>5041</v>
      </c>
      <c r="C2016" s="196">
        <v>541990</v>
      </c>
      <c r="D2016" s="197" t="s">
        <v>3441</v>
      </c>
    </row>
    <row r="2017" spans="1:4" ht="43.35" customHeight="1" x14ac:dyDescent="0.2">
      <c r="A2017" s="195">
        <v>7389</v>
      </c>
      <c r="B2017" s="196" t="s">
        <v>3985</v>
      </c>
      <c r="C2017" s="196">
        <v>541990</v>
      </c>
      <c r="D2017" s="197" t="s">
        <v>3441</v>
      </c>
    </row>
    <row r="2018" spans="1:4" ht="34.5" customHeight="1" x14ac:dyDescent="0.2">
      <c r="A2018" s="195">
        <v>8999</v>
      </c>
      <c r="B2018" s="196" t="s">
        <v>4923</v>
      </c>
      <c r="C2018" s="196">
        <v>541990</v>
      </c>
      <c r="D2018" s="197" t="s">
        <v>3441</v>
      </c>
    </row>
    <row r="2019" spans="1:4" ht="17.25" customHeight="1" x14ac:dyDescent="0.2">
      <c r="A2019" s="195">
        <v>6712</v>
      </c>
      <c r="B2019" s="196" t="s">
        <v>5101</v>
      </c>
      <c r="C2019" s="196">
        <v>551111</v>
      </c>
      <c r="D2019" s="197" t="s">
        <v>5102</v>
      </c>
    </row>
    <row r="2020" spans="1:4" ht="17.25" customHeight="1" x14ac:dyDescent="0.2">
      <c r="A2020" s="195">
        <v>6719</v>
      </c>
      <c r="B2020" s="196" t="s">
        <v>5103</v>
      </c>
      <c r="C2020" s="196">
        <v>551112</v>
      </c>
      <c r="D2020" s="197" t="s">
        <v>5104</v>
      </c>
    </row>
    <row r="2021" spans="1:4" ht="34.5" customHeight="1" x14ac:dyDescent="0.2">
      <c r="A2021" s="195" t="s">
        <v>3718</v>
      </c>
      <c r="B2021" s="196"/>
      <c r="C2021" s="196">
        <v>551114</v>
      </c>
      <c r="D2021" s="197" t="s">
        <v>5105</v>
      </c>
    </row>
    <row r="2022" spans="1:4" ht="17.25" customHeight="1" x14ac:dyDescent="0.2">
      <c r="A2022" s="195">
        <v>8741</v>
      </c>
      <c r="B2022" s="196" t="s">
        <v>3838</v>
      </c>
      <c r="C2022" s="196">
        <v>561110</v>
      </c>
      <c r="D2022" s="197" t="s">
        <v>3445</v>
      </c>
    </row>
    <row r="2023" spans="1:4" ht="43.35" customHeight="1" x14ac:dyDescent="0.2">
      <c r="A2023" s="195">
        <v>8744</v>
      </c>
      <c r="B2023" s="196" t="s">
        <v>3446</v>
      </c>
      <c r="C2023" s="196">
        <v>561210</v>
      </c>
      <c r="D2023" s="197" t="s">
        <v>3446</v>
      </c>
    </row>
    <row r="2024" spans="1:4" ht="34.5" customHeight="1" x14ac:dyDescent="0.2">
      <c r="A2024" s="195">
        <v>7299</v>
      </c>
      <c r="B2024" s="196" t="s">
        <v>5041</v>
      </c>
      <c r="C2024" s="196">
        <v>561311</v>
      </c>
      <c r="D2024" s="197" t="s">
        <v>5106</v>
      </c>
    </row>
    <row r="2025" spans="1:4" ht="17.25" customHeight="1" x14ac:dyDescent="0.2">
      <c r="A2025" s="195">
        <v>7361</v>
      </c>
      <c r="B2025" s="196" t="s">
        <v>5074</v>
      </c>
      <c r="C2025" s="196">
        <v>561311</v>
      </c>
      <c r="D2025" s="197" t="s">
        <v>5106</v>
      </c>
    </row>
    <row r="2026" spans="1:4" ht="17.25" customHeight="1" x14ac:dyDescent="0.2">
      <c r="A2026" s="195">
        <v>7819</v>
      </c>
      <c r="B2026" s="196" t="s">
        <v>4494</v>
      </c>
      <c r="C2026" s="196">
        <v>561311</v>
      </c>
      <c r="D2026" s="197" t="s">
        <v>5106</v>
      </c>
    </row>
    <row r="2027" spans="1:4" ht="43.35" customHeight="1" x14ac:dyDescent="0.2">
      <c r="A2027" s="195">
        <v>7922</v>
      </c>
      <c r="B2027" s="196" t="s">
        <v>4924</v>
      </c>
      <c r="C2027" s="196">
        <v>561311</v>
      </c>
      <c r="D2027" s="197" t="s">
        <v>5106</v>
      </c>
    </row>
    <row r="2028" spans="1:4" ht="17.25" customHeight="1" x14ac:dyDescent="0.2">
      <c r="A2028" s="195">
        <v>7361</v>
      </c>
      <c r="B2028" s="196" t="s">
        <v>5074</v>
      </c>
      <c r="C2028" s="196">
        <v>561312</v>
      </c>
      <c r="D2028" s="197" t="s">
        <v>5107</v>
      </c>
    </row>
    <row r="2029" spans="1:4" ht="34.5" customHeight="1" x14ac:dyDescent="0.2">
      <c r="A2029" s="195">
        <v>8742</v>
      </c>
      <c r="B2029" s="196" t="s">
        <v>5072</v>
      </c>
      <c r="C2029" s="196">
        <v>561312</v>
      </c>
      <c r="D2029" s="197" t="s">
        <v>5107</v>
      </c>
    </row>
    <row r="2030" spans="1:4" ht="17.25" customHeight="1" x14ac:dyDescent="0.2">
      <c r="A2030" s="195">
        <v>8999</v>
      </c>
      <c r="B2030" s="196" t="s">
        <v>4923</v>
      </c>
      <c r="C2030" s="196">
        <v>561312</v>
      </c>
      <c r="D2030" s="197" t="s">
        <v>5107</v>
      </c>
    </row>
    <row r="2031" spans="1:4" ht="34.5" customHeight="1" x14ac:dyDescent="0.2">
      <c r="A2031" s="195">
        <v>7363</v>
      </c>
      <c r="B2031" s="196" t="s">
        <v>5108</v>
      </c>
      <c r="C2031" s="196">
        <v>561320</v>
      </c>
      <c r="D2031" s="197" t="s">
        <v>3449</v>
      </c>
    </row>
    <row r="2032" spans="1:4" ht="34.5" customHeight="1" x14ac:dyDescent="0.2">
      <c r="A2032" s="195">
        <v>7363</v>
      </c>
      <c r="B2032" s="196" t="s">
        <v>5108</v>
      </c>
      <c r="C2032" s="196">
        <v>561330</v>
      </c>
      <c r="D2032" s="197" t="s">
        <v>3450</v>
      </c>
    </row>
    <row r="2033" spans="1:4" ht="17.25" customHeight="1" x14ac:dyDescent="0.2">
      <c r="A2033" s="195">
        <v>7338</v>
      </c>
      <c r="B2033" s="196" t="s">
        <v>5109</v>
      </c>
      <c r="C2033" s="196">
        <v>561410</v>
      </c>
      <c r="D2033" s="197" t="s">
        <v>3451</v>
      </c>
    </row>
    <row r="2034" spans="1:4" ht="17.25" customHeight="1" x14ac:dyDescent="0.2">
      <c r="A2034" s="195">
        <v>7389</v>
      </c>
      <c r="B2034" s="196" t="s">
        <v>3985</v>
      </c>
      <c r="C2034" s="196">
        <v>561410</v>
      </c>
      <c r="D2034" s="197" t="s">
        <v>3451</v>
      </c>
    </row>
    <row r="2035" spans="1:4" ht="17.25" customHeight="1" x14ac:dyDescent="0.2">
      <c r="A2035" s="195">
        <v>7389</v>
      </c>
      <c r="B2035" s="196" t="s">
        <v>3985</v>
      </c>
      <c r="C2035" s="196">
        <v>561421</v>
      </c>
      <c r="D2035" s="197" t="s">
        <v>5110</v>
      </c>
    </row>
    <row r="2036" spans="1:4" ht="17.25" customHeight="1" x14ac:dyDescent="0.2">
      <c r="A2036" s="195">
        <v>7389</v>
      </c>
      <c r="B2036" s="196" t="s">
        <v>3985</v>
      </c>
      <c r="C2036" s="196">
        <v>561422</v>
      </c>
      <c r="D2036" s="197" t="s">
        <v>5111</v>
      </c>
    </row>
    <row r="2037" spans="1:4" ht="17.25" customHeight="1" x14ac:dyDescent="0.2">
      <c r="A2037" s="195">
        <v>7389</v>
      </c>
      <c r="B2037" s="196" t="s">
        <v>3985</v>
      </c>
      <c r="C2037" s="196">
        <v>561431</v>
      </c>
      <c r="D2037" s="197" t="s">
        <v>5112</v>
      </c>
    </row>
    <row r="2038" spans="1:4" ht="17.25" customHeight="1" x14ac:dyDescent="0.2">
      <c r="A2038" s="195">
        <v>7334</v>
      </c>
      <c r="B2038" s="196" t="s">
        <v>4127</v>
      </c>
      <c r="C2038" s="196">
        <v>561439</v>
      </c>
      <c r="D2038" s="197" t="s">
        <v>5113</v>
      </c>
    </row>
    <row r="2039" spans="1:4" ht="17.25" customHeight="1" x14ac:dyDescent="0.2">
      <c r="A2039" s="195">
        <v>7389</v>
      </c>
      <c r="B2039" s="196" t="s">
        <v>3985</v>
      </c>
      <c r="C2039" s="196">
        <v>561439</v>
      </c>
      <c r="D2039" s="197" t="s">
        <v>5113</v>
      </c>
    </row>
    <row r="2040" spans="1:4" ht="17.25" customHeight="1" x14ac:dyDescent="0.2">
      <c r="A2040" s="195">
        <v>7322</v>
      </c>
      <c r="B2040" s="196" t="s">
        <v>5114</v>
      </c>
      <c r="C2040" s="196">
        <v>561440</v>
      </c>
      <c r="D2040" s="197" t="s">
        <v>3456</v>
      </c>
    </row>
    <row r="2041" spans="1:4" ht="34.5" customHeight="1" x14ac:dyDescent="0.2">
      <c r="A2041" s="195">
        <v>7389</v>
      </c>
      <c r="B2041" s="196" t="s">
        <v>3985</v>
      </c>
      <c r="C2041" s="196">
        <v>561440</v>
      </c>
      <c r="D2041" s="197" t="s">
        <v>3456</v>
      </c>
    </row>
    <row r="2042" spans="1:4" ht="17.25" customHeight="1" x14ac:dyDescent="0.2">
      <c r="A2042" s="195">
        <v>7323</v>
      </c>
      <c r="B2042" s="196" t="s">
        <v>5115</v>
      </c>
      <c r="C2042" s="196">
        <v>561450</v>
      </c>
      <c r="D2042" s="197" t="s">
        <v>3457</v>
      </c>
    </row>
    <row r="2043" spans="1:4" ht="43.35" customHeight="1" x14ac:dyDescent="0.2">
      <c r="A2043" s="195">
        <v>7389</v>
      </c>
      <c r="B2043" s="196" t="s">
        <v>3985</v>
      </c>
      <c r="C2043" s="196">
        <v>561491</v>
      </c>
      <c r="D2043" s="197" t="s">
        <v>5116</v>
      </c>
    </row>
    <row r="2044" spans="1:4" ht="17.25" customHeight="1" x14ac:dyDescent="0.2">
      <c r="A2044" s="195">
        <v>7338</v>
      </c>
      <c r="B2044" s="196" t="s">
        <v>5109</v>
      </c>
      <c r="C2044" s="196">
        <v>561492</v>
      </c>
      <c r="D2044" s="197" t="s">
        <v>5117</v>
      </c>
    </row>
    <row r="2045" spans="1:4" ht="34.5" customHeight="1" x14ac:dyDescent="0.2">
      <c r="A2045" s="195">
        <v>7389</v>
      </c>
      <c r="B2045" s="196" t="s">
        <v>3985</v>
      </c>
      <c r="C2045" s="196">
        <v>561499</v>
      </c>
      <c r="D2045" s="197" t="s">
        <v>5118</v>
      </c>
    </row>
    <row r="2046" spans="1:4" ht="17.25" customHeight="1" x14ac:dyDescent="0.2">
      <c r="A2046" s="195">
        <v>4724</v>
      </c>
      <c r="B2046" s="196" t="s">
        <v>3461</v>
      </c>
      <c r="C2046" s="196">
        <v>561510</v>
      </c>
      <c r="D2046" s="197" t="s">
        <v>3461</v>
      </c>
    </row>
    <row r="2047" spans="1:4" ht="17.25" customHeight="1" x14ac:dyDescent="0.2">
      <c r="A2047" s="195">
        <v>4725</v>
      </c>
      <c r="B2047" s="196" t="s">
        <v>3462</v>
      </c>
      <c r="C2047" s="196">
        <v>561520</v>
      </c>
      <c r="D2047" s="197" t="s">
        <v>3462</v>
      </c>
    </row>
    <row r="2048" spans="1:4" ht="34.5" customHeight="1" x14ac:dyDescent="0.2">
      <c r="A2048" s="195">
        <v>7389</v>
      </c>
      <c r="B2048" s="196" t="s">
        <v>3985</v>
      </c>
      <c r="C2048" s="196">
        <v>561591</v>
      </c>
      <c r="D2048" s="197" t="s">
        <v>5119</v>
      </c>
    </row>
    <row r="2049" spans="1:4" ht="34.5" customHeight="1" x14ac:dyDescent="0.2">
      <c r="A2049" s="195">
        <v>4729</v>
      </c>
      <c r="B2049" s="196" t="s">
        <v>4906</v>
      </c>
      <c r="C2049" s="196">
        <v>561599</v>
      </c>
      <c r="D2049" s="197" t="s">
        <v>5120</v>
      </c>
    </row>
    <row r="2050" spans="1:4" ht="34.5" customHeight="1" x14ac:dyDescent="0.2">
      <c r="A2050" s="195">
        <v>7389</v>
      </c>
      <c r="B2050" s="196" t="s">
        <v>3985</v>
      </c>
      <c r="C2050" s="196">
        <v>561599</v>
      </c>
      <c r="D2050" s="197" t="s">
        <v>5120</v>
      </c>
    </row>
    <row r="2051" spans="1:4" ht="34.5" customHeight="1" x14ac:dyDescent="0.2">
      <c r="A2051" s="195">
        <v>7922</v>
      </c>
      <c r="B2051" s="196" t="s">
        <v>4924</v>
      </c>
      <c r="C2051" s="196">
        <v>561599</v>
      </c>
      <c r="D2051" s="197" t="s">
        <v>5120</v>
      </c>
    </row>
    <row r="2052" spans="1:4" ht="17.25" customHeight="1" x14ac:dyDescent="0.2">
      <c r="A2052" s="195">
        <v>7999</v>
      </c>
      <c r="B2052" s="196" t="s">
        <v>4891</v>
      </c>
      <c r="C2052" s="196">
        <v>561599</v>
      </c>
      <c r="D2052" s="197" t="s">
        <v>5120</v>
      </c>
    </row>
    <row r="2053" spans="1:4" ht="17.25" customHeight="1" x14ac:dyDescent="0.2">
      <c r="A2053" s="195">
        <v>8699</v>
      </c>
      <c r="B2053" s="196" t="s">
        <v>5121</v>
      </c>
      <c r="C2053" s="196">
        <v>561599</v>
      </c>
      <c r="D2053" s="197" t="s">
        <v>5120</v>
      </c>
    </row>
    <row r="2054" spans="1:4" ht="34.5" customHeight="1" x14ac:dyDescent="0.2">
      <c r="A2054" s="195">
        <v>7381</v>
      </c>
      <c r="B2054" s="196" t="s">
        <v>5122</v>
      </c>
      <c r="C2054" s="196">
        <v>561611</v>
      </c>
      <c r="D2054" s="197" t="s">
        <v>5123</v>
      </c>
    </row>
    <row r="2055" spans="1:4" ht="17.25" customHeight="1" x14ac:dyDescent="0.2">
      <c r="A2055" s="195">
        <v>7381</v>
      </c>
      <c r="B2055" s="196" t="s">
        <v>5122</v>
      </c>
      <c r="C2055" s="196">
        <v>561612</v>
      </c>
      <c r="D2055" s="197" t="s">
        <v>5124</v>
      </c>
    </row>
    <row r="2056" spans="1:4" ht="17.25" customHeight="1" x14ac:dyDescent="0.2">
      <c r="A2056" s="195">
        <v>7381</v>
      </c>
      <c r="B2056" s="196" t="s">
        <v>5122</v>
      </c>
      <c r="C2056" s="196">
        <v>561613</v>
      </c>
      <c r="D2056" s="197" t="s">
        <v>5125</v>
      </c>
    </row>
    <row r="2057" spans="1:4" ht="34.5" customHeight="1" x14ac:dyDescent="0.2">
      <c r="A2057" s="195">
        <v>7382</v>
      </c>
      <c r="B2057" s="196" t="s">
        <v>5126</v>
      </c>
      <c r="C2057" s="196">
        <v>561621</v>
      </c>
      <c r="D2057" s="197" t="s">
        <v>5127</v>
      </c>
    </row>
    <row r="2058" spans="1:4" ht="34.5" customHeight="1" x14ac:dyDescent="0.2">
      <c r="A2058" s="195">
        <v>7699</v>
      </c>
      <c r="B2058" s="196" t="s">
        <v>3762</v>
      </c>
      <c r="C2058" s="196">
        <v>561622</v>
      </c>
      <c r="D2058" s="197" t="s">
        <v>5128</v>
      </c>
    </row>
    <row r="2059" spans="1:4" ht="34.5" customHeight="1" x14ac:dyDescent="0.2">
      <c r="A2059" s="195">
        <v>4959</v>
      </c>
      <c r="B2059" s="196" t="s">
        <v>4895</v>
      </c>
      <c r="C2059" s="196">
        <v>561710</v>
      </c>
      <c r="D2059" s="197" t="s">
        <v>3471</v>
      </c>
    </row>
    <row r="2060" spans="1:4" ht="17.25" customHeight="1" x14ac:dyDescent="0.2">
      <c r="A2060" s="195">
        <v>7342</v>
      </c>
      <c r="B2060" s="196" t="s">
        <v>5129</v>
      </c>
      <c r="C2060" s="196">
        <v>561710</v>
      </c>
      <c r="D2060" s="197" t="s">
        <v>3471</v>
      </c>
    </row>
    <row r="2061" spans="1:4" ht="17.25" customHeight="1" x14ac:dyDescent="0.2">
      <c r="A2061" s="195">
        <v>4581</v>
      </c>
      <c r="B2061" s="196" t="s">
        <v>4892</v>
      </c>
      <c r="C2061" s="196">
        <v>561720</v>
      </c>
      <c r="D2061" s="197" t="s">
        <v>5130</v>
      </c>
    </row>
    <row r="2062" spans="1:4" ht="17.25" customHeight="1" x14ac:dyDescent="0.2">
      <c r="A2062" s="195">
        <v>7342</v>
      </c>
      <c r="B2062" s="196" t="s">
        <v>5129</v>
      </c>
      <c r="C2062" s="196">
        <v>561720</v>
      </c>
      <c r="D2062" s="197" t="s">
        <v>5130</v>
      </c>
    </row>
    <row r="2063" spans="1:4" ht="17.25" customHeight="1" x14ac:dyDescent="0.2">
      <c r="A2063" s="195">
        <v>7349</v>
      </c>
      <c r="B2063" s="196" t="s">
        <v>5131</v>
      </c>
      <c r="C2063" s="196">
        <v>561720</v>
      </c>
      <c r="D2063" s="197" t="s">
        <v>5130</v>
      </c>
    </row>
    <row r="2064" spans="1:4" ht="17.25" customHeight="1" x14ac:dyDescent="0.2">
      <c r="A2064" s="195">
        <v>782</v>
      </c>
      <c r="B2064" s="196" t="s">
        <v>5132</v>
      </c>
      <c r="C2064" s="196">
        <v>561730</v>
      </c>
      <c r="D2064" s="197" t="s">
        <v>3473</v>
      </c>
    </row>
    <row r="2065" spans="1:4" ht="17.25" customHeight="1" x14ac:dyDescent="0.2">
      <c r="A2065" s="195">
        <v>783</v>
      </c>
      <c r="B2065" s="196" t="s">
        <v>5133</v>
      </c>
      <c r="C2065" s="196">
        <v>561730</v>
      </c>
      <c r="D2065" s="197" t="s">
        <v>3473</v>
      </c>
    </row>
    <row r="2066" spans="1:4" ht="34.5" customHeight="1" x14ac:dyDescent="0.2">
      <c r="A2066" s="195">
        <v>7217</v>
      </c>
      <c r="B2066" s="196" t="s">
        <v>5134</v>
      </c>
      <c r="C2066" s="196">
        <v>561740</v>
      </c>
      <c r="D2066" s="197" t="s">
        <v>3474</v>
      </c>
    </row>
    <row r="2067" spans="1:4" ht="17.25" customHeight="1" x14ac:dyDescent="0.2">
      <c r="A2067" s="195">
        <v>1799</v>
      </c>
      <c r="B2067" s="196" t="s">
        <v>3849</v>
      </c>
      <c r="C2067" s="196">
        <v>561790</v>
      </c>
      <c r="D2067" s="197" t="s">
        <v>5135</v>
      </c>
    </row>
    <row r="2068" spans="1:4" ht="17.25" customHeight="1" x14ac:dyDescent="0.2">
      <c r="A2068" s="195">
        <v>4959</v>
      </c>
      <c r="B2068" s="196" t="s">
        <v>4895</v>
      </c>
      <c r="C2068" s="196">
        <v>561790</v>
      </c>
      <c r="D2068" s="197" t="s">
        <v>5135</v>
      </c>
    </row>
    <row r="2069" spans="1:4" ht="17.25" customHeight="1" x14ac:dyDescent="0.2">
      <c r="A2069" s="195">
        <v>7349</v>
      </c>
      <c r="B2069" s="196" t="s">
        <v>5131</v>
      </c>
      <c r="C2069" s="196">
        <v>561790</v>
      </c>
      <c r="D2069" s="197" t="s">
        <v>5135</v>
      </c>
    </row>
    <row r="2070" spans="1:4" ht="17.25" customHeight="1" x14ac:dyDescent="0.2">
      <c r="A2070" s="195">
        <v>7389</v>
      </c>
      <c r="B2070" s="196" t="s">
        <v>3985</v>
      </c>
      <c r="C2070" s="196">
        <v>561790</v>
      </c>
      <c r="D2070" s="197" t="s">
        <v>5135</v>
      </c>
    </row>
    <row r="2071" spans="1:4" ht="17.25" customHeight="1" x14ac:dyDescent="0.2">
      <c r="A2071" s="195">
        <v>7699</v>
      </c>
      <c r="B2071" s="196" t="s">
        <v>3762</v>
      </c>
      <c r="C2071" s="196">
        <v>561790</v>
      </c>
      <c r="D2071" s="197" t="s">
        <v>5135</v>
      </c>
    </row>
    <row r="2072" spans="1:4" ht="34.5" customHeight="1" x14ac:dyDescent="0.2">
      <c r="A2072" s="195">
        <v>7389</v>
      </c>
      <c r="B2072" s="196" t="s">
        <v>3985</v>
      </c>
      <c r="C2072" s="196">
        <v>561910</v>
      </c>
      <c r="D2072" s="197" t="s">
        <v>3476</v>
      </c>
    </row>
    <row r="2073" spans="1:4" ht="34.5" customHeight="1" x14ac:dyDescent="0.2">
      <c r="A2073" s="195">
        <v>7389</v>
      </c>
      <c r="B2073" s="196" t="s">
        <v>3985</v>
      </c>
      <c r="C2073" s="196">
        <v>561920</v>
      </c>
      <c r="D2073" s="197" t="s">
        <v>3477</v>
      </c>
    </row>
    <row r="2074" spans="1:4" ht="34.5" customHeight="1" x14ac:dyDescent="0.2">
      <c r="A2074" s="195">
        <v>7299</v>
      </c>
      <c r="B2074" s="196" t="s">
        <v>5041</v>
      </c>
      <c r="C2074" s="196">
        <v>561990</v>
      </c>
      <c r="D2074" s="197" t="s">
        <v>3478</v>
      </c>
    </row>
    <row r="2075" spans="1:4" ht="34.5" customHeight="1" x14ac:dyDescent="0.2">
      <c r="A2075" s="195">
        <v>7389</v>
      </c>
      <c r="B2075" s="196" t="s">
        <v>3985</v>
      </c>
      <c r="C2075" s="196">
        <v>561990</v>
      </c>
      <c r="D2075" s="197" t="s">
        <v>3478</v>
      </c>
    </row>
    <row r="2076" spans="1:4" ht="17.25" customHeight="1" x14ac:dyDescent="0.2">
      <c r="A2076" s="195">
        <v>4212</v>
      </c>
      <c r="B2076" s="196" t="s">
        <v>4864</v>
      </c>
      <c r="C2076" s="196">
        <v>562111</v>
      </c>
      <c r="D2076" s="197" t="s">
        <v>5136</v>
      </c>
    </row>
    <row r="2077" spans="1:4" ht="34.5" customHeight="1" x14ac:dyDescent="0.2">
      <c r="A2077" s="195">
        <v>4212</v>
      </c>
      <c r="B2077" s="196" t="s">
        <v>4864</v>
      </c>
      <c r="C2077" s="196">
        <v>562112</v>
      </c>
      <c r="D2077" s="197" t="s">
        <v>5137</v>
      </c>
    </row>
    <row r="2078" spans="1:4" ht="17.25" customHeight="1" x14ac:dyDescent="0.2">
      <c r="A2078" s="195">
        <v>4212</v>
      </c>
      <c r="B2078" s="196" t="s">
        <v>4864</v>
      </c>
      <c r="C2078" s="196">
        <v>562119</v>
      </c>
      <c r="D2078" s="197" t="s">
        <v>5138</v>
      </c>
    </row>
    <row r="2079" spans="1:4" ht="34.5" customHeight="1" x14ac:dyDescent="0.2">
      <c r="A2079" s="195">
        <v>4953</v>
      </c>
      <c r="B2079" s="196" t="s">
        <v>5139</v>
      </c>
      <c r="C2079" s="196">
        <v>562211</v>
      </c>
      <c r="D2079" s="197" t="s">
        <v>5140</v>
      </c>
    </row>
    <row r="2080" spans="1:4" ht="17.25" customHeight="1" x14ac:dyDescent="0.2">
      <c r="A2080" s="195">
        <v>4953</v>
      </c>
      <c r="B2080" s="196" t="s">
        <v>5139</v>
      </c>
      <c r="C2080" s="196">
        <v>562212</v>
      </c>
      <c r="D2080" s="197" t="s">
        <v>5141</v>
      </c>
    </row>
    <row r="2081" spans="1:4" ht="17.25" customHeight="1" x14ac:dyDescent="0.2">
      <c r="A2081" s="195">
        <v>4953</v>
      </c>
      <c r="B2081" s="196" t="s">
        <v>5139</v>
      </c>
      <c r="C2081" s="196">
        <v>562213</v>
      </c>
      <c r="D2081" s="197" t="s">
        <v>5142</v>
      </c>
    </row>
    <row r="2082" spans="1:4" ht="34.5" customHeight="1" x14ac:dyDescent="0.2">
      <c r="A2082" s="195">
        <v>4953</v>
      </c>
      <c r="B2082" s="196" t="s">
        <v>5139</v>
      </c>
      <c r="C2082" s="196">
        <v>562219</v>
      </c>
      <c r="D2082" s="197" t="s">
        <v>5143</v>
      </c>
    </row>
    <row r="2083" spans="1:4" ht="34.5" customHeight="1" x14ac:dyDescent="0.2">
      <c r="A2083" s="195">
        <v>1799</v>
      </c>
      <c r="B2083" s="196" t="s">
        <v>3849</v>
      </c>
      <c r="C2083" s="196">
        <v>562910</v>
      </c>
      <c r="D2083" s="197" t="s">
        <v>5144</v>
      </c>
    </row>
    <row r="2084" spans="1:4" ht="17.25" customHeight="1" x14ac:dyDescent="0.2">
      <c r="A2084" s="195">
        <v>4959</v>
      </c>
      <c r="B2084" s="196" t="s">
        <v>4895</v>
      </c>
      <c r="C2084" s="196">
        <v>562910</v>
      </c>
      <c r="D2084" s="197" t="s">
        <v>5144</v>
      </c>
    </row>
    <row r="2085" spans="1:4" ht="17.25" customHeight="1" x14ac:dyDescent="0.2">
      <c r="A2085" s="195">
        <v>4953</v>
      </c>
      <c r="B2085" s="196" t="s">
        <v>5139</v>
      </c>
      <c r="C2085" s="196">
        <v>562920</v>
      </c>
      <c r="D2085" s="197" t="s">
        <v>5145</v>
      </c>
    </row>
    <row r="2086" spans="1:4" ht="17.25" customHeight="1" x14ac:dyDescent="0.2">
      <c r="A2086" s="195">
        <v>7359</v>
      </c>
      <c r="B2086" s="196" t="s">
        <v>5040</v>
      </c>
      <c r="C2086" s="196">
        <v>562991</v>
      </c>
      <c r="D2086" s="197" t="s">
        <v>5146</v>
      </c>
    </row>
    <row r="2087" spans="1:4" ht="17.25" customHeight="1" x14ac:dyDescent="0.2">
      <c r="A2087" s="195">
        <v>7699</v>
      </c>
      <c r="B2087" s="196" t="s">
        <v>3762</v>
      </c>
      <c r="C2087" s="196">
        <v>562991</v>
      </c>
      <c r="D2087" s="197" t="s">
        <v>5146</v>
      </c>
    </row>
    <row r="2088" spans="1:4" ht="17.25" customHeight="1" x14ac:dyDescent="0.2">
      <c r="A2088" s="195">
        <v>4959</v>
      </c>
      <c r="B2088" s="196" t="s">
        <v>4895</v>
      </c>
      <c r="C2088" s="196">
        <v>562998</v>
      </c>
      <c r="D2088" s="197" t="s">
        <v>5147</v>
      </c>
    </row>
    <row r="2089" spans="1:4" ht="34.5" customHeight="1" x14ac:dyDescent="0.2">
      <c r="A2089" s="195">
        <v>7699</v>
      </c>
      <c r="B2089" s="196" t="s">
        <v>3762</v>
      </c>
      <c r="C2089" s="196">
        <v>562998</v>
      </c>
      <c r="D2089" s="197" t="s">
        <v>5147</v>
      </c>
    </row>
    <row r="2090" spans="1:4" ht="17.25" customHeight="1" x14ac:dyDescent="0.2">
      <c r="A2090" s="195">
        <v>8211</v>
      </c>
      <c r="B2090" s="196" t="s">
        <v>2483</v>
      </c>
      <c r="C2090" s="196">
        <v>611110</v>
      </c>
      <c r="D2090" s="197" t="s">
        <v>5148</v>
      </c>
    </row>
    <row r="2091" spans="1:4" ht="34.5" customHeight="1" x14ac:dyDescent="0.2">
      <c r="A2091" s="195">
        <v>8222</v>
      </c>
      <c r="B2091" s="196" t="s">
        <v>3488</v>
      </c>
      <c r="C2091" s="196">
        <v>611210</v>
      </c>
      <c r="D2091" s="197" t="s">
        <v>5149</v>
      </c>
    </row>
    <row r="2092" spans="1:4" ht="34.5" customHeight="1" x14ac:dyDescent="0.2">
      <c r="A2092" s="195">
        <v>8221</v>
      </c>
      <c r="B2092" s="196" t="s">
        <v>5150</v>
      </c>
      <c r="C2092" s="196">
        <v>611310</v>
      </c>
      <c r="D2092" s="197" t="s">
        <v>5151</v>
      </c>
    </row>
    <row r="2093" spans="1:4" ht="17.25" customHeight="1" x14ac:dyDescent="0.2">
      <c r="A2093" s="195">
        <v>8244</v>
      </c>
      <c r="B2093" s="196" t="s">
        <v>3490</v>
      </c>
      <c r="C2093" s="196">
        <v>611410</v>
      </c>
      <c r="D2093" s="197" t="s">
        <v>5152</v>
      </c>
    </row>
    <row r="2094" spans="1:4" ht="34.5" customHeight="1" x14ac:dyDescent="0.2">
      <c r="A2094" s="195">
        <v>8243</v>
      </c>
      <c r="B2094" s="196" t="s">
        <v>5153</v>
      </c>
      <c r="C2094" s="196">
        <v>611420</v>
      </c>
      <c r="D2094" s="197" t="s">
        <v>5154</v>
      </c>
    </row>
    <row r="2095" spans="1:4" ht="17.25" customHeight="1" x14ac:dyDescent="0.2">
      <c r="A2095" s="195">
        <v>8299</v>
      </c>
      <c r="B2095" s="196" t="s">
        <v>5155</v>
      </c>
      <c r="C2095" s="196">
        <v>611430</v>
      </c>
      <c r="D2095" s="197" t="s">
        <v>5156</v>
      </c>
    </row>
    <row r="2096" spans="1:4" ht="34.5" customHeight="1" x14ac:dyDescent="0.2">
      <c r="A2096" s="195">
        <v>7231</v>
      </c>
      <c r="B2096" s="196" t="s">
        <v>5157</v>
      </c>
      <c r="C2096" s="196">
        <v>611511</v>
      </c>
      <c r="D2096" s="197" t="s">
        <v>5158</v>
      </c>
    </row>
    <row r="2097" spans="1:4" ht="34.5" customHeight="1" x14ac:dyDescent="0.2">
      <c r="A2097" s="195">
        <v>7241</v>
      </c>
      <c r="B2097" s="196" t="s">
        <v>3605</v>
      </c>
      <c r="C2097" s="196">
        <v>611511</v>
      </c>
      <c r="D2097" s="197" t="s">
        <v>5158</v>
      </c>
    </row>
    <row r="2098" spans="1:4" ht="17.25" customHeight="1" x14ac:dyDescent="0.2">
      <c r="A2098" s="195">
        <v>8249</v>
      </c>
      <c r="B2098" s="196" t="s">
        <v>5159</v>
      </c>
      <c r="C2098" s="196">
        <v>611512</v>
      </c>
      <c r="D2098" s="197" t="s">
        <v>5160</v>
      </c>
    </row>
    <row r="2099" spans="1:4" ht="17.25" customHeight="1" x14ac:dyDescent="0.2">
      <c r="A2099" s="195">
        <v>8299</v>
      </c>
      <c r="B2099" s="196" t="s">
        <v>5155</v>
      </c>
      <c r="C2099" s="196">
        <v>611512</v>
      </c>
      <c r="D2099" s="197" t="s">
        <v>5160</v>
      </c>
    </row>
    <row r="2100" spans="1:4" ht="17.25" customHeight="1" x14ac:dyDescent="0.2">
      <c r="A2100" s="195">
        <v>8249</v>
      </c>
      <c r="B2100" s="196" t="s">
        <v>5159</v>
      </c>
      <c r="C2100" s="196">
        <v>611513</v>
      </c>
      <c r="D2100" s="197" t="s">
        <v>5161</v>
      </c>
    </row>
    <row r="2101" spans="1:4" ht="34.5" customHeight="1" x14ac:dyDescent="0.2">
      <c r="A2101" s="195">
        <v>8243</v>
      </c>
      <c r="B2101" s="196" t="s">
        <v>5153</v>
      </c>
      <c r="C2101" s="196">
        <v>611519</v>
      </c>
      <c r="D2101" s="197" t="s">
        <v>5162</v>
      </c>
    </row>
    <row r="2102" spans="1:4" ht="34.5" customHeight="1" x14ac:dyDescent="0.2">
      <c r="A2102" s="195">
        <v>8249</v>
      </c>
      <c r="B2102" s="196" t="s">
        <v>5159</v>
      </c>
      <c r="C2102" s="196">
        <v>611519</v>
      </c>
      <c r="D2102" s="197" t="s">
        <v>5162</v>
      </c>
    </row>
    <row r="2103" spans="1:4" ht="34.5" customHeight="1" x14ac:dyDescent="0.2">
      <c r="A2103" s="195">
        <v>8299</v>
      </c>
      <c r="B2103" s="196" t="s">
        <v>5155</v>
      </c>
      <c r="C2103" s="196">
        <v>611519</v>
      </c>
      <c r="D2103" s="197" t="s">
        <v>5162</v>
      </c>
    </row>
    <row r="2104" spans="1:4" ht="34.5" customHeight="1" x14ac:dyDescent="0.2">
      <c r="A2104" s="195">
        <v>7911</v>
      </c>
      <c r="B2104" s="196" t="s">
        <v>5163</v>
      </c>
      <c r="C2104" s="196">
        <v>611610</v>
      </c>
      <c r="D2104" s="197" t="s">
        <v>5164</v>
      </c>
    </row>
    <row r="2105" spans="1:4" ht="34.5" customHeight="1" x14ac:dyDescent="0.2">
      <c r="A2105" s="195">
        <v>8299</v>
      </c>
      <c r="B2105" s="196" t="s">
        <v>5155</v>
      </c>
      <c r="C2105" s="196">
        <v>611610</v>
      </c>
      <c r="D2105" s="197" t="s">
        <v>5164</v>
      </c>
    </row>
    <row r="2106" spans="1:4" ht="17.25" customHeight="1" x14ac:dyDescent="0.2">
      <c r="A2106" s="195">
        <v>7999</v>
      </c>
      <c r="B2106" s="196" t="s">
        <v>4891</v>
      </c>
      <c r="C2106" s="196">
        <v>611620</v>
      </c>
      <c r="D2106" s="197" t="s">
        <v>5165</v>
      </c>
    </row>
    <row r="2107" spans="1:4" ht="34.5" customHeight="1" x14ac:dyDescent="0.2">
      <c r="A2107" s="195">
        <v>8299</v>
      </c>
      <c r="B2107" s="196" t="s">
        <v>5155</v>
      </c>
      <c r="C2107" s="196">
        <v>611620</v>
      </c>
      <c r="D2107" s="197" t="s">
        <v>5165</v>
      </c>
    </row>
    <row r="2108" spans="1:4" ht="34.5" customHeight="1" x14ac:dyDescent="0.2">
      <c r="A2108" s="195">
        <v>8299</v>
      </c>
      <c r="B2108" s="196" t="s">
        <v>5155</v>
      </c>
      <c r="C2108" s="196">
        <v>611630</v>
      </c>
      <c r="D2108" s="197" t="s">
        <v>5166</v>
      </c>
    </row>
    <row r="2109" spans="1:4" ht="17.25" customHeight="1" x14ac:dyDescent="0.2">
      <c r="A2109" s="195">
        <v>8299</v>
      </c>
      <c r="B2109" s="196" t="s">
        <v>5155</v>
      </c>
      <c r="C2109" s="196">
        <v>611691</v>
      </c>
      <c r="D2109" s="197" t="s">
        <v>5167</v>
      </c>
    </row>
    <row r="2110" spans="1:4" ht="34.5" customHeight="1" x14ac:dyDescent="0.2">
      <c r="A2110" s="195">
        <v>8299</v>
      </c>
      <c r="B2110" s="196" t="s">
        <v>5155</v>
      </c>
      <c r="C2110" s="196">
        <v>611692</v>
      </c>
      <c r="D2110" s="197" t="s">
        <v>5168</v>
      </c>
    </row>
    <row r="2111" spans="1:4" ht="34.5" customHeight="1" x14ac:dyDescent="0.2">
      <c r="A2111" s="195">
        <v>7999</v>
      </c>
      <c r="B2111" s="196" t="s">
        <v>4891</v>
      </c>
      <c r="C2111" s="196">
        <v>611699</v>
      </c>
      <c r="D2111" s="197" t="s">
        <v>5169</v>
      </c>
    </row>
    <row r="2112" spans="1:4" ht="17.25" customHeight="1" x14ac:dyDescent="0.2">
      <c r="A2112" s="195">
        <v>8299</v>
      </c>
      <c r="B2112" s="196" t="s">
        <v>5155</v>
      </c>
      <c r="C2112" s="196">
        <v>611699</v>
      </c>
      <c r="D2112" s="197" t="s">
        <v>5169</v>
      </c>
    </row>
    <row r="2113" spans="1:4" ht="17.25" customHeight="1" x14ac:dyDescent="0.2">
      <c r="A2113" s="195">
        <v>8299</v>
      </c>
      <c r="B2113" s="196" t="s">
        <v>5155</v>
      </c>
      <c r="C2113" s="196">
        <v>611710</v>
      </c>
      <c r="D2113" s="197" t="s">
        <v>3503</v>
      </c>
    </row>
    <row r="2114" spans="1:4" ht="34.5" customHeight="1" x14ac:dyDescent="0.2">
      <c r="A2114" s="195">
        <v>8748</v>
      </c>
      <c r="B2114" s="196" t="s">
        <v>5063</v>
      </c>
      <c r="C2114" s="196">
        <v>611710</v>
      </c>
      <c r="D2114" s="197" t="s">
        <v>3503</v>
      </c>
    </row>
    <row r="2115" spans="1:4" ht="17.25" customHeight="1" x14ac:dyDescent="0.2">
      <c r="A2115" s="195">
        <v>8011</v>
      </c>
      <c r="B2115" s="196" t="s">
        <v>5170</v>
      </c>
      <c r="C2115" s="196">
        <v>621111</v>
      </c>
      <c r="D2115" s="197" t="s">
        <v>5171</v>
      </c>
    </row>
    <row r="2116" spans="1:4" ht="34.5" customHeight="1" x14ac:dyDescent="0.2">
      <c r="A2116" s="195">
        <v>8031</v>
      </c>
      <c r="B2116" s="196" t="s">
        <v>5172</v>
      </c>
      <c r="C2116" s="196">
        <v>621111</v>
      </c>
      <c r="D2116" s="197" t="s">
        <v>5171</v>
      </c>
    </row>
    <row r="2117" spans="1:4" ht="34.5" customHeight="1" x14ac:dyDescent="0.2">
      <c r="A2117" s="195">
        <v>8011</v>
      </c>
      <c r="B2117" s="196" t="s">
        <v>5170</v>
      </c>
      <c r="C2117" s="196">
        <v>621112</v>
      </c>
      <c r="D2117" s="197" t="s">
        <v>5173</v>
      </c>
    </row>
    <row r="2118" spans="1:4" ht="17.25" customHeight="1" x14ac:dyDescent="0.2">
      <c r="A2118" s="195">
        <v>8031</v>
      </c>
      <c r="B2118" s="196" t="s">
        <v>5172</v>
      </c>
      <c r="C2118" s="196">
        <v>621112</v>
      </c>
      <c r="D2118" s="197" t="s">
        <v>5173</v>
      </c>
    </row>
    <row r="2119" spans="1:4" ht="17.25" customHeight="1" x14ac:dyDescent="0.2">
      <c r="A2119" s="195">
        <v>8021</v>
      </c>
      <c r="B2119" s="196" t="s">
        <v>5174</v>
      </c>
      <c r="C2119" s="196">
        <v>621210</v>
      </c>
      <c r="D2119" s="197" t="s">
        <v>5175</v>
      </c>
    </row>
    <row r="2120" spans="1:4" ht="17.25" customHeight="1" x14ac:dyDescent="0.2">
      <c r="A2120" s="195">
        <v>8041</v>
      </c>
      <c r="B2120" s="196" t="s">
        <v>5176</v>
      </c>
      <c r="C2120" s="196">
        <v>621310</v>
      </c>
      <c r="D2120" s="197" t="s">
        <v>5177</v>
      </c>
    </row>
    <row r="2121" spans="1:4" ht="17.25" customHeight="1" x14ac:dyDescent="0.2">
      <c r="A2121" s="195">
        <v>8042</v>
      </c>
      <c r="B2121" s="196" t="s">
        <v>5178</v>
      </c>
      <c r="C2121" s="196">
        <v>621320</v>
      </c>
      <c r="D2121" s="197" t="s">
        <v>3508</v>
      </c>
    </row>
    <row r="2122" spans="1:4" ht="17.25" customHeight="1" x14ac:dyDescent="0.2">
      <c r="A2122" s="195">
        <v>8049</v>
      </c>
      <c r="B2122" s="196" t="s">
        <v>5179</v>
      </c>
      <c r="C2122" s="196">
        <v>621330</v>
      </c>
      <c r="D2122" s="197" t="s">
        <v>5180</v>
      </c>
    </row>
    <row r="2123" spans="1:4" ht="34.5" customHeight="1" x14ac:dyDescent="0.2">
      <c r="A2123" s="195">
        <v>8049</v>
      </c>
      <c r="B2123" s="196" t="s">
        <v>5179</v>
      </c>
      <c r="C2123" s="196">
        <v>621340</v>
      </c>
      <c r="D2123" s="197" t="s">
        <v>5181</v>
      </c>
    </row>
    <row r="2124" spans="1:4" ht="17.25" customHeight="1" x14ac:dyDescent="0.2">
      <c r="A2124" s="195">
        <v>8043</v>
      </c>
      <c r="B2124" s="196" t="s">
        <v>5182</v>
      </c>
      <c r="C2124" s="196">
        <v>621391</v>
      </c>
      <c r="D2124" s="197" t="s">
        <v>5183</v>
      </c>
    </row>
    <row r="2125" spans="1:4" ht="34.5" customHeight="1" x14ac:dyDescent="0.2">
      <c r="A2125" s="195">
        <v>8049</v>
      </c>
      <c r="B2125" s="196" t="s">
        <v>5179</v>
      </c>
      <c r="C2125" s="196">
        <v>621399</v>
      </c>
      <c r="D2125" s="197" t="s">
        <v>5184</v>
      </c>
    </row>
    <row r="2126" spans="1:4" ht="17.25" customHeight="1" x14ac:dyDescent="0.2">
      <c r="A2126" s="195">
        <v>8093</v>
      </c>
      <c r="B2126" s="196" t="s">
        <v>5185</v>
      </c>
      <c r="C2126" s="196">
        <v>621399</v>
      </c>
      <c r="D2126" s="197" t="s">
        <v>5184</v>
      </c>
    </row>
    <row r="2127" spans="1:4" ht="17.25" customHeight="1" x14ac:dyDescent="0.2">
      <c r="A2127" s="195">
        <v>8093</v>
      </c>
      <c r="B2127" s="196" t="s">
        <v>5185</v>
      </c>
      <c r="C2127" s="196">
        <v>621410</v>
      </c>
      <c r="D2127" s="197" t="s">
        <v>5186</v>
      </c>
    </row>
    <row r="2128" spans="1:4" ht="17.25" customHeight="1" x14ac:dyDescent="0.2">
      <c r="A2128" s="195">
        <v>8099</v>
      </c>
      <c r="B2128" s="196" t="s">
        <v>5066</v>
      </c>
      <c r="C2128" s="196">
        <v>621410</v>
      </c>
      <c r="D2128" s="197" t="s">
        <v>5186</v>
      </c>
    </row>
    <row r="2129" spans="1:4" ht="17.25" customHeight="1" x14ac:dyDescent="0.2">
      <c r="A2129" s="195">
        <v>8093</v>
      </c>
      <c r="B2129" s="196" t="s">
        <v>5185</v>
      </c>
      <c r="C2129" s="196">
        <v>621420</v>
      </c>
      <c r="D2129" s="197" t="s">
        <v>5187</v>
      </c>
    </row>
    <row r="2130" spans="1:4" ht="17.25" customHeight="1" x14ac:dyDescent="0.2">
      <c r="A2130" s="195">
        <v>8011</v>
      </c>
      <c r="B2130" s="196" t="s">
        <v>5170</v>
      </c>
      <c r="C2130" s="196">
        <v>621491</v>
      </c>
      <c r="D2130" s="197" t="s">
        <v>5188</v>
      </c>
    </row>
    <row r="2131" spans="1:4" ht="34.5" customHeight="1" x14ac:dyDescent="0.2">
      <c r="A2131" s="195">
        <v>8092</v>
      </c>
      <c r="B2131" s="196" t="s">
        <v>3516</v>
      </c>
      <c r="C2131" s="196">
        <v>621492</v>
      </c>
      <c r="D2131" s="197" t="s">
        <v>5189</v>
      </c>
    </row>
    <row r="2132" spans="1:4" ht="17.25" customHeight="1" x14ac:dyDescent="0.2">
      <c r="A2132" s="195">
        <v>8011</v>
      </c>
      <c r="B2132" s="196" t="s">
        <v>5170</v>
      </c>
      <c r="C2132" s="196">
        <v>621493</v>
      </c>
      <c r="D2132" s="197" t="s">
        <v>5190</v>
      </c>
    </row>
    <row r="2133" spans="1:4" ht="17.25" customHeight="1" x14ac:dyDescent="0.2">
      <c r="A2133" s="195">
        <v>8093</v>
      </c>
      <c r="B2133" s="196" t="s">
        <v>5185</v>
      </c>
      <c r="C2133" s="196">
        <v>621498</v>
      </c>
      <c r="D2133" s="197" t="s">
        <v>5191</v>
      </c>
    </row>
    <row r="2134" spans="1:4" ht="34.5" customHeight="1" x14ac:dyDescent="0.2">
      <c r="A2134" s="195">
        <v>8071</v>
      </c>
      <c r="B2134" s="196" t="s">
        <v>3519</v>
      </c>
      <c r="C2134" s="196">
        <v>621511</v>
      </c>
      <c r="D2134" s="197" t="s">
        <v>5192</v>
      </c>
    </row>
    <row r="2135" spans="1:4" ht="17.25" customHeight="1" x14ac:dyDescent="0.2">
      <c r="A2135" s="195">
        <v>8071</v>
      </c>
      <c r="B2135" s="196" t="s">
        <v>3519</v>
      </c>
      <c r="C2135" s="196">
        <v>621512</v>
      </c>
      <c r="D2135" s="197" t="s">
        <v>5193</v>
      </c>
    </row>
    <row r="2136" spans="1:4" ht="17.25" customHeight="1" x14ac:dyDescent="0.2">
      <c r="A2136" s="195">
        <v>8082</v>
      </c>
      <c r="B2136" s="196" t="s">
        <v>3521</v>
      </c>
      <c r="C2136" s="196">
        <v>621610</v>
      </c>
      <c r="D2136" s="197" t="s">
        <v>3521</v>
      </c>
    </row>
    <row r="2137" spans="1:4" ht="17.25" customHeight="1" x14ac:dyDescent="0.2">
      <c r="A2137" s="195">
        <v>4119</v>
      </c>
      <c r="B2137" s="196" t="s">
        <v>4881</v>
      </c>
      <c r="C2137" s="196">
        <v>621910</v>
      </c>
      <c r="D2137" s="197" t="s">
        <v>5194</v>
      </c>
    </row>
    <row r="2138" spans="1:4" ht="17.25" customHeight="1" x14ac:dyDescent="0.2">
      <c r="A2138" s="195">
        <v>4522</v>
      </c>
      <c r="B2138" s="196" t="s">
        <v>4840</v>
      </c>
      <c r="C2138" s="196">
        <v>621910</v>
      </c>
      <c r="D2138" s="197" t="s">
        <v>5194</v>
      </c>
    </row>
    <row r="2139" spans="1:4" ht="17.25" customHeight="1" x14ac:dyDescent="0.2">
      <c r="A2139" s="195">
        <v>8099</v>
      </c>
      <c r="B2139" s="196" t="s">
        <v>5066</v>
      </c>
      <c r="C2139" s="196">
        <v>621991</v>
      </c>
      <c r="D2139" s="197" t="s">
        <v>5195</v>
      </c>
    </row>
    <row r="2140" spans="1:4" ht="17.25" customHeight="1" x14ac:dyDescent="0.2">
      <c r="A2140" s="195">
        <v>8099</v>
      </c>
      <c r="B2140" s="196" t="s">
        <v>5066</v>
      </c>
      <c r="C2140" s="196">
        <v>621999</v>
      </c>
      <c r="D2140" s="197" t="s">
        <v>5196</v>
      </c>
    </row>
    <row r="2141" spans="1:4" ht="17.25" customHeight="1" x14ac:dyDescent="0.2">
      <c r="A2141" s="195">
        <v>8062</v>
      </c>
      <c r="B2141" s="196" t="s">
        <v>3525</v>
      </c>
      <c r="C2141" s="196">
        <v>622110</v>
      </c>
      <c r="D2141" s="197" t="s">
        <v>5197</v>
      </c>
    </row>
    <row r="2142" spans="1:4" ht="17.25" customHeight="1" x14ac:dyDescent="0.2">
      <c r="A2142" s="195">
        <v>8069</v>
      </c>
      <c r="B2142" s="196" t="s">
        <v>5198</v>
      </c>
      <c r="C2142" s="196">
        <v>622110</v>
      </c>
      <c r="D2142" s="197" t="s">
        <v>5197</v>
      </c>
    </row>
    <row r="2143" spans="1:4" ht="34.5" customHeight="1" x14ac:dyDescent="0.2">
      <c r="A2143" s="195">
        <v>8063</v>
      </c>
      <c r="B2143" s="196" t="s">
        <v>5199</v>
      </c>
      <c r="C2143" s="196">
        <v>622210</v>
      </c>
      <c r="D2143" s="197" t="s">
        <v>5200</v>
      </c>
    </row>
    <row r="2144" spans="1:4" ht="17.25" customHeight="1" x14ac:dyDescent="0.2">
      <c r="A2144" s="195">
        <v>8069</v>
      </c>
      <c r="B2144" s="196" t="s">
        <v>5198</v>
      </c>
      <c r="C2144" s="196">
        <v>622210</v>
      </c>
      <c r="D2144" s="197" t="s">
        <v>5200</v>
      </c>
    </row>
    <row r="2145" spans="1:4" ht="17.25" customHeight="1" x14ac:dyDescent="0.2">
      <c r="A2145" s="195">
        <v>8069</v>
      </c>
      <c r="B2145" s="196" t="s">
        <v>5198</v>
      </c>
      <c r="C2145" s="196">
        <v>622310</v>
      </c>
      <c r="D2145" s="197" t="s">
        <v>5201</v>
      </c>
    </row>
    <row r="2146" spans="1:4" ht="17.25" customHeight="1" x14ac:dyDescent="0.2">
      <c r="A2146" s="195">
        <v>8051</v>
      </c>
      <c r="B2146" s="196" t="s">
        <v>5202</v>
      </c>
      <c r="C2146" s="196">
        <v>623110</v>
      </c>
      <c r="D2146" s="197" t="s">
        <v>5203</v>
      </c>
    </row>
    <row r="2147" spans="1:4" ht="17.25" customHeight="1" x14ac:dyDescent="0.2">
      <c r="A2147" s="195">
        <v>8052</v>
      </c>
      <c r="B2147" s="196" t="s">
        <v>5204</v>
      </c>
      <c r="C2147" s="196">
        <v>623110</v>
      </c>
      <c r="D2147" s="197" t="s">
        <v>5203</v>
      </c>
    </row>
    <row r="2148" spans="1:4" ht="17.25" customHeight="1" x14ac:dyDescent="0.2">
      <c r="A2148" s="195">
        <v>8059</v>
      </c>
      <c r="B2148" s="196" t="s">
        <v>5205</v>
      </c>
      <c r="C2148" s="196">
        <v>623110</v>
      </c>
      <c r="D2148" s="197" t="s">
        <v>5203</v>
      </c>
    </row>
    <row r="2149" spans="1:4" ht="17.25" customHeight="1" x14ac:dyDescent="0.2">
      <c r="A2149" s="195">
        <v>8051</v>
      </c>
      <c r="B2149" s="196" t="s">
        <v>5202</v>
      </c>
      <c r="C2149" s="196">
        <v>623210</v>
      </c>
      <c r="D2149" s="197" t="s">
        <v>5206</v>
      </c>
    </row>
    <row r="2150" spans="1:4" ht="17.25" customHeight="1" x14ac:dyDescent="0.2">
      <c r="A2150" s="195">
        <v>8052</v>
      </c>
      <c r="B2150" s="196" t="s">
        <v>5204</v>
      </c>
      <c r="C2150" s="196">
        <v>623210</v>
      </c>
      <c r="D2150" s="197" t="s">
        <v>5206</v>
      </c>
    </row>
    <row r="2151" spans="1:4" ht="34.5" customHeight="1" x14ac:dyDescent="0.2">
      <c r="A2151" s="195">
        <v>8059</v>
      </c>
      <c r="B2151" s="196" t="s">
        <v>5205</v>
      </c>
      <c r="C2151" s="196">
        <v>623210</v>
      </c>
      <c r="D2151" s="197" t="s">
        <v>5206</v>
      </c>
    </row>
    <row r="2152" spans="1:4" ht="17.25" customHeight="1" x14ac:dyDescent="0.2">
      <c r="A2152" s="195">
        <v>8361</v>
      </c>
      <c r="B2152" s="196" t="s">
        <v>5207</v>
      </c>
      <c r="C2152" s="196">
        <v>623210</v>
      </c>
      <c r="D2152" s="197" t="s">
        <v>5206</v>
      </c>
    </row>
    <row r="2153" spans="1:4" ht="17.25" customHeight="1" x14ac:dyDescent="0.2">
      <c r="A2153" s="195">
        <v>8361</v>
      </c>
      <c r="B2153" s="196" t="s">
        <v>5207</v>
      </c>
      <c r="C2153" s="196">
        <v>623220</v>
      </c>
      <c r="D2153" s="197" t="s">
        <v>5208</v>
      </c>
    </row>
    <row r="2154" spans="1:4" ht="34.5" customHeight="1" x14ac:dyDescent="0.2">
      <c r="A2154" s="195">
        <v>8051</v>
      </c>
      <c r="B2154" s="196" t="s">
        <v>5202</v>
      </c>
      <c r="C2154" s="196">
        <v>623311</v>
      </c>
      <c r="D2154" s="197" t="s">
        <v>5209</v>
      </c>
    </row>
    <row r="2155" spans="1:4" ht="17.25" customHeight="1" x14ac:dyDescent="0.2">
      <c r="A2155" s="195">
        <v>8052</v>
      </c>
      <c r="B2155" s="196" t="s">
        <v>5204</v>
      </c>
      <c r="C2155" s="196">
        <v>623311</v>
      </c>
      <c r="D2155" s="197" t="s">
        <v>5209</v>
      </c>
    </row>
    <row r="2156" spans="1:4" ht="17.25" customHeight="1" x14ac:dyDescent="0.2">
      <c r="A2156" s="195">
        <v>8059</v>
      </c>
      <c r="B2156" s="196" t="s">
        <v>5205</v>
      </c>
      <c r="C2156" s="196">
        <v>623311</v>
      </c>
      <c r="D2156" s="197" t="s">
        <v>5209</v>
      </c>
    </row>
    <row r="2157" spans="1:4" ht="17.25" customHeight="1" x14ac:dyDescent="0.2">
      <c r="A2157" s="195">
        <v>8361</v>
      </c>
      <c r="B2157" s="196" t="s">
        <v>5207</v>
      </c>
      <c r="C2157" s="196">
        <v>623312</v>
      </c>
      <c r="D2157" s="197" t="s">
        <v>5210</v>
      </c>
    </row>
    <row r="2158" spans="1:4" ht="17.25" customHeight="1" x14ac:dyDescent="0.2">
      <c r="A2158" s="195">
        <v>8361</v>
      </c>
      <c r="B2158" s="196" t="s">
        <v>5207</v>
      </c>
      <c r="C2158" s="196">
        <v>623990</v>
      </c>
      <c r="D2158" s="197" t="s">
        <v>5211</v>
      </c>
    </row>
    <row r="2159" spans="1:4" ht="17.25" customHeight="1" x14ac:dyDescent="0.2">
      <c r="A2159" s="195">
        <v>8322</v>
      </c>
      <c r="B2159" s="196" t="s">
        <v>5212</v>
      </c>
      <c r="C2159" s="196">
        <v>624110</v>
      </c>
      <c r="D2159" s="197" t="s">
        <v>5213</v>
      </c>
    </row>
    <row r="2160" spans="1:4" ht="17.25" customHeight="1" x14ac:dyDescent="0.2">
      <c r="A2160" s="195">
        <v>8322</v>
      </c>
      <c r="B2160" s="196" t="s">
        <v>5212</v>
      </c>
      <c r="C2160" s="196">
        <v>624120</v>
      </c>
      <c r="D2160" s="197" t="s">
        <v>5214</v>
      </c>
    </row>
    <row r="2161" spans="1:4" ht="17.25" customHeight="1" x14ac:dyDescent="0.2">
      <c r="A2161" s="195">
        <v>8322</v>
      </c>
      <c r="B2161" s="196" t="s">
        <v>5212</v>
      </c>
      <c r="C2161" s="196">
        <v>624190</v>
      </c>
      <c r="D2161" s="197" t="s">
        <v>5215</v>
      </c>
    </row>
    <row r="2162" spans="1:4" ht="17.25" customHeight="1" x14ac:dyDescent="0.2">
      <c r="A2162" s="195">
        <v>8322</v>
      </c>
      <c r="B2162" s="196" t="s">
        <v>5212</v>
      </c>
      <c r="C2162" s="196">
        <v>624210</v>
      </c>
      <c r="D2162" s="197" t="s">
        <v>5216</v>
      </c>
    </row>
    <row r="2163" spans="1:4" ht="34.5" customHeight="1" x14ac:dyDescent="0.2">
      <c r="A2163" s="195">
        <v>8322</v>
      </c>
      <c r="B2163" s="196" t="s">
        <v>5212</v>
      </c>
      <c r="C2163" s="196">
        <v>624221</v>
      </c>
      <c r="D2163" s="197" t="s">
        <v>5217</v>
      </c>
    </row>
    <row r="2164" spans="1:4" ht="34.5" customHeight="1" x14ac:dyDescent="0.2">
      <c r="A2164" s="195">
        <v>8322</v>
      </c>
      <c r="B2164" s="196" t="s">
        <v>5212</v>
      </c>
      <c r="C2164" s="196">
        <v>624229</v>
      </c>
      <c r="D2164" s="197" t="s">
        <v>5218</v>
      </c>
    </row>
    <row r="2165" spans="1:4" ht="17.25" customHeight="1" x14ac:dyDescent="0.2">
      <c r="A2165" s="195">
        <v>8322</v>
      </c>
      <c r="B2165" s="196" t="s">
        <v>5212</v>
      </c>
      <c r="C2165" s="196">
        <v>624230</v>
      </c>
      <c r="D2165" s="197" t="s">
        <v>5219</v>
      </c>
    </row>
    <row r="2166" spans="1:4" ht="17.25" customHeight="1" x14ac:dyDescent="0.2">
      <c r="A2166" s="195">
        <v>8331</v>
      </c>
      <c r="B2166" s="196" t="s">
        <v>5220</v>
      </c>
      <c r="C2166" s="196">
        <v>624310</v>
      </c>
      <c r="D2166" s="197" t="s">
        <v>5221</v>
      </c>
    </row>
    <row r="2167" spans="1:4" ht="17.25" customHeight="1" x14ac:dyDescent="0.2">
      <c r="A2167" s="195">
        <v>8351</v>
      </c>
      <c r="B2167" s="196" t="s">
        <v>3542</v>
      </c>
      <c r="C2167" s="196">
        <v>624410</v>
      </c>
      <c r="D2167" s="197" t="s">
        <v>5222</v>
      </c>
    </row>
    <row r="2168" spans="1:4" ht="17.25" customHeight="1" x14ac:dyDescent="0.2">
      <c r="A2168" s="195">
        <v>5812</v>
      </c>
      <c r="B2168" s="196" t="s">
        <v>5223</v>
      </c>
      <c r="C2168" s="196">
        <v>711110</v>
      </c>
      <c r="D2168" s="197" t="s">
        <v>5224</v>
      </c>
    </row>
    <row r="2169" spans="1:4" ht="17.25" customHeight="1" x14ac:dyDescent="0.2">
      <c r="A2169" s="195">
        <v>7922</v>
      </c>
      <c r="B2169" s="196" t="s">
        <v>4924</v>
      </c>
      <c r="C2169" s="196">
        <v>711110</v>
      </c>
      <c r="D2169" s="197" t="s">
        <v>5224</v>
      </c>
    </row>
    <row r="2170" spans="1:4" ht="34.5" customHeight="1" x14ac:dyDescent="0.2">
      <c r="A2170" s="195">
        <v>7922</v>
      </c>
      <c r="B2170" s="196" t="s">
        <v>4924</v>
      </c>
      <c r="C2170" s="196">
        <v>711120</v>
      </c>
      <c r="D2170" s="197" t="s">
        <v>5225</v>
      </c>
    </row>
    <row r="2171" spans="1:4" ht="17.25" customHeight="1" x14ac:dyDescent="0.2">
      <c r="A2171" s="195">
        <v>7929</v>
      </c>
      <c r="B2171" s="196" t="s">
        <v>5226</v>
      </c>
      <c r="C2171" s="196">
        <v>711130</v>
      </c>
      <c r="D2171" s="197" t="s">
        <v>5227</v>
      </c>
    </row>
    <row r="2172" spans="1:4" ht="17.25" customHeight="1" x14ac:dyDescent="0.2">
      <c r="A2172" s="195">
        <v>7929</v>
      </c>
      <c r="B2172" s="196" t="s">
        <v>5226</v>
      </c>
      <c r="C2172" s="196">
        <v>711190</v>
      </c>
      <c r="D2172" s="197" t="s">
        <v>5228</v>
      </c>
    </row>
    <row r="2173" spans="1:4" ht="17.25" customHeight="1" x14ac:dyDescent="0.2">
      <c r="A2173" s="195">
        <v>7999</v>
      </c>
      <c r="B2173" s="196" t="s">
        <v>4891</v>
      </c>
      <c r="C2173" s="196">
        <v>711190</v>
      </c>
      <c r="D2173" s="197" t="s">
        <v>5228</v>
      </c>
    </row>
    <row r="2174" spans="1:4" ht="17.25" customHeight="1" x14ac:dyDescent="0.2">
      <c r="A2174" s="195">
        <v>7941</v>
      </c>
      <c r="B2174" s="196" t="s">
        <v>5229</v>
      </c>
      <c r="C2174" s="196">
        <v>711211</v>
      </c>
      <c r="D2174" s="197" t="s">
        <v>5230</v>
      </c>
    </row>
    <row r="2175" spans="1:4" ht="17.25" customHeight="1" x14ac:dyDescent="0.2">
      <c r="A2175" s="195">
        <v>7948</v>
      </c>
      <c r="B2175" s="196" t="s">
        <v>5231</v>
      </c>
      <c r="C2175" s="196">
        <v>711212</v>
      </c>
      <c r="D2175" s="197" t="s">
        <v>5232</v>
      </c>
    </row>
    <row r="2176" spans="1:4" ht="17.25" customHeight="1" x14ac:dyDescent="0.2">
      <c r="A2176" s="195">
        <v>7948</v>
      </c>
      <c r="B2176" s="196" t="s">
        <v>5231</v>
      </c>
      <c r="C2176" s="196">
        <v>711219</v>
      </c>
      <c r="D2176" s="197" t="s">
        <v>5233</v>
      </c>
    </row>
    <row r="2177" spans="1:4" ht="17.25" customHeight="1" x14ac:dyDescent="0.2">
      <c r="A2177" s="195">
        <v>7999</v>
      </c>
      <c r="B2177" s="196" t="s">
        <v>4891</v>
      </c>
      <c r="C2177" s="196">
        <v>711219</v>
      </c>
      <c r="D2177" s="197" t="s">
        <v>5233</v>
      </c>
    </row>
    <row r="2178" spans="1:4" ht="34.5" customHeight="1" x14ac:dyDescent="0.2">
      <c r="A2178" s="195">
        <v>6512</v>
      </c>
      <c r="B2178" s="196" t="s">
        <v>5024</v>
      </c>
      <c r="C2178" s="196">
        <v>711310</v>
      </c>
      <c r="D2178" s="197" t="s">
        <v>5234</v>
      </c>
    </row>
    <row r="2179" spans="1:4" ht="17.25" customHeight="1" x14ac:dyDescent="0.2">
      <c r="A2179" s="195">
        <v>7389</v>
      </c>
      <c r="B2179" s="196" t="s">
        <v>3985</v>
      </c>
      <c r="C2179" s="196">
        <v>711310</v>
      </c>
      <c r="D2179" s="197" t="s">
        <v>5234</v>
      </c>
    </row>
    <row r="2180" spans="1:4" ht="17.25" customHeight="1" x14ac:dyDescent="0.2">
      <c r="A2180" s="195">
        <v>7922</v>
      </c>
      <c r="B2180" s="196" t="s">
        <v>4924</v>
      </c>
      <c r="C2180" s="196">
        <v>711310</v>
      </c>
      <c r="D2180" s="197" t="s">
        <v>5234</v>
      </c>
    </row>
    <row r="2181" spans="1:4" ht="43.35" customHeight="1" x14ac:dyDescent="0.2">
      <c r="A2181" s="195">
        <v>7941</v>
      </c>
      <c r="B2181" s="196" t="s">
        <v>5229</v>
      </c>
      <c r="C2181" s="196">
        <v>711310</v>
      </c>
      <c r="D2181" s="197" t="s">
        <v>5234</v>
      </c>
    </row>
    <row r="2182" spans="1:4" ht="34.5" customHeight="1" x14ac:dyDescent="0.2">
      <c r="A2182" s="195">
        <v>7999</v>
      </c>
      <c r="B2182" s="196" t="s">
        <v>4891</v>
      </c>
      <c r="C2182" s="196">
        <v>711310</v>
      </c>
      <c r="D2182" s="197" t="s">
        <v>5234</v>
      </c>
    </row>
    <row r="2183" spans="1:4" ht="17.25" customHeight="1" x14ac:dyDescent="0.2">
      <c r="A2183" s="195">
        <v>7389</v>
      </c>
      <c r="B2183" s="196" t="s">
        <v>3985</v>
      </c>
      <c r="C2183" s="196">
        <v>711320</v>
      </c>
      <c r="D2183" s="197" t="s">
        <v>5235</v>
      </c>
    </row>
    <row r="2184" spans="1:4" ht="17.25" customHeight="1" x14ac:dyDescent="0.2">
      <c r="A2184" s="195">
        <v>7922</v>
      </c>
      <c r="B2184" s="196" t="s">
        <v>4924</v>
      </c>
      <c r="C2184" s="196">
        <v>711320</v>
      </c>
      <c r="D2184" s="197" t="s">
        <v>5235</v>
      </c>
    </row>
    <row r="2185" spans="1:4" ht="34.5" customHeight="1" x14ac:dyDescent="0.2">
      <c r="A2185" s="195">
        <v>7941</v>
      </c>
      <c r="B2185" s="196" t="s">
        <v>5229</v>
      </c>
      <c r="C2185" s="196">
        <v>711320</v>
      </c>
      <c r="D2185" s="197" t="s">
        <v>5235</v>
      </c>
    </row>
    <row r="2186" spans="1:4" ht="34.5" customHeight="1" x14ac:dyDescent="0.2">
      <c r="A2186" s="195">
        <v>7999</v>
      </c>
      <c r="B2186" s="196" t="s">
        <v>4891</v>
      </c>
      <c r="C2186" s="196">
        <v>711320</v>
      </c>
      <c r="D2186" s="197" t="s">
        <v>5235</v>
      </c>
    </row>
    <row r="2187" spans="1:4" ht="17.25" customHeight="1" x14ac:dyDescent="0.2">
      <c r="A2187" s="195">
        <v>7389</v>
      </c>
      <c r="B2187" s="196" t="s">
        <v>3985</v>
      </c>
      <c r="C2187" s="196">
        <v>711410</v>
      </c>
      <c r="D2187" s="197" t="s">
        <v>3553</v>
      </c>
    </row>
    <row r="2188" spans="1:4" ht="17.25" customHeight="1" x14ac:dyDescent="0.2">
      <c r="A2188" s="195">
        <v>7922</v>
      </c>
      <c r="B2188" s="196" t="s">
        <v>4924</v>
      </c>
      <c r="C2188" s="196">
        <v>711410</v>
      </c>
      <c r="D2188" s="197" t="s">
        <v>3553</v>
      </c>
    </row>
    <row r="2189" spans="1:4" ht="43.35" customHeight="1" x14ac:dyDescent="0.2">
      <c r="A2189" s="195">
        <v>7941</v>
      </c>
      <c r="B2189" s="196" t="s">
        <v>5229</v>
      </c>
      <c r="C2189" s="196">
        <v>711410</v>
      </c>
      <c r="D2189" s="197" t="s">
        <v>3553</v>
      </c>
    </row>
    <row r="2190" spans="1:4" ht="17.25" customHeight="1" x14ac:dyDescent="0.2">
      <c r="A2190" s="195">
        <v>7383</v>
      </c>
      <c r="B2190" s="196" t="s">
        <v>3303</v>
      </c>
      <c r="C2190" s="196">
        <v>711510</v>
      </c>
      <c r="D2190" s="197" t="s">
        <v>5236</v>
      </c>
    </row>
    <row r="2191" spans="1:4" ht="17.25" customHeight="1" x14ac:dyDescent="0.2">
      <c r="A2191" s="195">
        <v>7699</v>
      </c>
      <c r="B2191" s="196" t="s">
        <v>3762</v>
      </c>
      <c r="C2191" s="196">
        <v>711510</v>
      </c>
      <c r="D2191" s="197" t="s">
        <v>5236</v>
      </c>
    </row>
    <row r="2192" spans="1:4" ht="34.5" customHeight="1" x14ac:dyDescent="0.2">
      <c r="A2192" s="195">
        <v>7819</v>
      </c>
      <c r="B2192" s="196" t="s">
        <v>4494</v>
      </c>
      <c r="C2192" s="196">
        <v>711510</v>
      </c>
      <c r="D2192" s="197" t="s">
        <v>5236</v>
      </c>
    </row>
    <row r="2193" spans="1:4" ht="34.5" customHeight="1" x14ac:dyDescent="0.2">
      <c r="A2193" s="195">
        <v>7922</v>
      </c>
      <c r="B2193" s="196" t="s">
        <v>4924</v>
      </c>
      <c r="C2193" s="196">
        <v>711510</v>
      </c>
      <c r="D2193" s="197" t="s">
        <v>5236</v>
      </c>
    </row>
    <row r="2194" spans="1:4" ht="17.25" customHeight="1" x14ac:dyDescent="0.2">
      <c r="A2194" s="195">
        <v>7929</v>
      </c>
      <c r="B2194" s="196" t="s">
        <v>5226</v>
      </c>
      <c r="C2194" s="196">
        <v>711510</v>
      </c>
      <c r="D2194" s="197" t="s">
        <v>5236</v>
      </c>
    </row>
    <row r="2195" spans="1:4" ht="17.25" customHeight="1" x14ac:dyDescent="0.2">
      <c r="A2195" s="195">
        <v>8999</v>
      </c>
      <c r="B2195" s="196" t="s">
        <v>4923</v>
      </c>
      <c r="C2195" s="196">
        <v>711510</v>
      </c>
      <c r="D2195" s="197" t="s">
        <v>5236</v>
      </c>
    </row>
    <row r="2196" spans="1:4" ht="17.25" customHeight="1" x14ac:dyDescent="0.2">
      <c r="A2196" s="195">
        <v>8412</v>
      </c>
      <c r="B2196" s="196" t="s">
        <v>5237</v>
      </c>
      <c r="C2196" s="196">
        <v>712110</v>
      </c>
      <c r="D2196" s="197" t="s">
        <v>5238</v>
      </c>
    </row>
    <row r="2197" spans="1:4" ht="43.35" customHeight="1" x14ac:dyDescent="0.2">
      <c r="A2197" s="195">
        <v>8412</v>
      </c>
      <c r="B2197" s="196" t="s">
        <v>5237</v>
      </c>
      <c r="C2197" s="196">
        <v>712120</v>
      </c>
      <c r="D2197" s="197" t="s">
        <v>3556</v>
      </c>
    </row>
    <row r="2198" spans="1:4" ht="43.35" customHeight="1" x14ac:dyDescent="0.2">
      <c r="A2198" s="195">
        <v>8422</v>
      </c>
      <c r="B2198" s="196" t="s">
        <v>5239</v>
      </c>
      <c r="C2198" s="196">
        <v>712130</v>
      </c>
      <c r="D2198" s="197" t="s">
        <v>5240</v>
      </c>
    </row>
    <row r="2199" spans="1:4" ht="57.6" customHeight="1" x14ac:dyDescent="0.2">
      <c r="A2199" s="195">
        <v>7999</v>
      </c>
      <c r="B2199" s="196" t="s">
        <v>4891</v>
      </c>
      <c r="C2199" s="196">
        <v>712190</v>
      </c>
      <c r="D2199" s="197" t="s">
        <v>3558</v>
      </c>
    </row>
    <row r="2200" spans="1:4" ht="34.5" customHeight="1" x14ac:dyDescent="0.2">
      <c r="A2200" s="195">
        <v>8422</v>
      </c>
      <c r="B2200" s="196" t="s">
        <v>5239</v>
      </c>
      <c r="C2200" s="196">
        <v>712190</v>
      </c>
      <c r="D2200" s="197" t="s">
        <v>3558</v>
      </c>
    </row>
    <row r="2201" spans="1:4" ht="34.5" customHeight="1" x14ac:dyDescent="0.2">
      <c r="A2201" s="195">
        <v>7996</v>
      </c>
      <c r="B2201" s="196" t="s">
        <v>5241</v>
      </c>
      <c r="C2201" s="196">
        <v>713110</v>
      </c>
      <c r="D2201" s="197" t="s">
        <v>5242</v>
      </c>
    </row>
    <row r="2202" spans="1:4" ht="43.35" customHeight="1" x14ac:dyDescent="0.2">
      <c r="A2202" s="195">
        <v>7993</v>
      </c>
      <c r="B2202" s="196" t="s">
        <v>5243</v>
      </c>
      <c r="C2202" s="196">
        <v>713120</v>
      </c>
      <c r="D2202" s="197" t="s">
        <v>3560</v>
      </c>
    </row>
    <row r="2203" spans="1:4" ht="43.35" customHeight="1" x14ac:dyDescent="0.2">
      <c r="A2203" s="195">
        <v>7999</v>
      </c>
      <c r="B2203" s="196" t="s">
        <v>4891</v>
      </c>
      <c r="C2203" s="196">
        <v>713210</v>
      </c>
      <c r="D2203" s="197" t="s">
        <v>3561</v>
      </c>
    </row>
    <row r="2204" spans="1:4" ht="57.6" customHeight="1" x14ac:dyDescent="0.2">
      <c r="A2204" s="195">
        <v>7993</v>
      </c>
      <c r="B2204" s="196" t="s">
        <v>5243</v>
      </c>
      <c r="C2204" s="196">
        <v>713290</v>
      </c>
      <c r="D2204" s="197" t="s">
        <v>5244</v>
      </c>
    </row>
    <row r="2205" spans="1:4" ht="34.5" customHeight="1" x14ac:dyDescent="0.2">
      <c r="A2205" s="195">
        <v>7999</v>
      </c>
      <c r="B2205" s="196" t="s">
        <v>4891</v>
      </c>
      <c r="C2205" s="196">
        <v>713290</v>
      </c>
      <c r="D2205" s="197" t="s">
        <v>5244</v>
      </c>
    </row>
    <row r="2206" spans="1:4" ht="17.25" customHeight="1" x14ac:dyDescent="0.2">
      <c r="A2206" s="195">
        <v>7992</v>
      </c>
      <c r="B2206" s="196" t="s">
        <v>5245</v>
      </c>
      <c r="C2206" s="196">
        <v>713910</v>
      </c>
      <c r="D2206" s="197" t="s">
        <v>3563</v>
      </c>
    </row>
    <row r="2207" spans="1:4" ht="17.25" customHeight="1" x14ac:dyDescent="0.2">
      <c r="A2207" s="195">
        <v>7997</v>
      </c>
      <c r="B2207" s="196" t="s">
        <v>4845</v>
      </c>
      <c r="C2207" s="196">
        <v>713910</v>
      </c>
      <c r="D2207" s="197" t="s">
        <v>3563</v>
      </c>
    </row>
    <row r="2208" spans="1:4" ht="34.5" customHeight="1" x14ac:dyDescent="0.2">
      <c r="A2208" s="195">
        <v>7999</v>
      </c>
      <c r="B2208" s="196" t="s">
        <v>4891</v>
      </c>
      <c r="C2208" s="196">
        <v>713920</v>
      </c>
      <c r="D2208" s="197" t="s">
        <v>3564</v>
      </c>
    </row>
    <row r="2209" spans="1:4" ht="34.5" customHeight="1" x14ac:dyDescent="0.2">
      <c r="A2209" s="195">
        <v>4493</v>
      </c>
      <c r="B2209" s="196" t="s">
        <v>3565</v>
      </c>
      <c r="C2209" s="196">
        <v>713930</v>
      </c>
      <c r="D2209" s="197" t="s">
        <v>3565</v>
      </c>
    </row>
    <row r="2210" spans="1:4" ht="17.25" customHeight="1" x14ac:dyDescent="0.2">
      <c r="A2210" s="195">
        <v>7991</v>
      </c>
      <c r="B2210" s="196" t="s">
        <v>5246</v>
      </c>
      <c r="C2210" s="196">
        <v>713940</v>
      </c>
      <c r="D2210" s="197" t="s">
        <v>5247</v>
      </c>
    </row>
    <row r="2211" spans="1:4" ht="17.25" customHeight="1" x14ac:dyDescent="0.2">
      <c r="A2211" s="195">
        <v>7997</v>
      </c>
      <c r="B2211" s="196" t="s">
        <v>4845</v>
      </c>
      <c r="C2211" s="196">
        <v>713940</v>
      </c>
      <c r="D2211" s="197" t="s">
        <v>5247</v>
      </c>
    </row>
    <row r="2212" spans="1:4" ht="34.5" customHeight="1" x14ac:dyDescent="0.2">
      <c r="A2212" s="195">
        <v>7999</v>
      </c>
      <c r="B2212" s="196" t="s">
        <v>4891</v>
      </c>
      <c r="C2212" s="196">
        <v>713940</v>
      </c>
      <c r="D2212" s="197" t="s">
        <v>5247</v>
      </c>
    </row>
    <row r="2213" spans="1:4" ht="34.5" customHeight="1" x14ac:dyDescent="0.2">
      <c r="A2213" s="195">
        <v>7933</v>
      </c>
      <c r="B2213" s="196" t="s">
        <v>3567</v>
      </c>
      <c r="C2213" s="196">
        <v>713950</v>
      </c>
      <c r="D2213" s="197" t="s">
        <v>3567</v>
      </c>
    </row>
    <row r="2214" spans="1:4" ht="34.5" customHeight="1" x14ac:dyDescent="0.2">
      <c r="A2214" s="195">
        <v>7911</v>
      </c>
      <c r="B2214" s="196" t="s">
        <v>5163</v>
      </c>
      <c r="C2214" s="196">
        <v>713990</v>
      </c>
      <c r="D2214" s="197" t="s">
        <v>5248</v>
      </c>
    </row>
    <row r="2215" spans="1:4" ht="34.5" customHeight="1" x14ac:dyDescent="0.2">
      <c r="A2215" s="195">
        <v>7993</v>
      </c>
      <c r="B2215" s="196" t="s">
        <v>5243</v>
      </c>
      <c r="C2215" s="196">
        <v>713990</v>
      </c>
      <c r="D2215" s="197" t="s">
        <v>5248</v>
      </c>
    </row>
    <row r="2216" spans="1:4" ht="17.25" customHeight="1" x14ac:dyDescent="0.2">
      <c r="A2216" s="195">
        <v>7997</v>
      </c>
      <c r="B2216" s="196" t="s">
        <v>4845</v>
      </c>
      <c r="C2216" s="196">
        <v>713990</v>
      </c>
      <c r="D2216" s="197" t="s">
        <v>5248</v>
      </c>
    </row>
    <row r="2217" spans="1:4" ht="34.5" customHeight="1" x14ac:dyDescent="0.2">
      <c r="A2217" s="195">
        <v>7999</v>
      </c>
      <c r="B2217" s="196" t="s">
        <v>4891</v>
      </c>
      <c r="C2217" s="196">
        <v>713990</v>
      </c>
      <c r="D2217" s="197" t="s">
        <v>5248</v>
      </c>
    </row>
    <row r="2218" spans="1:4" ht="17.25" customHeight="1" x14ac:dyDescent="0.2">
      <c r="A2218" s="195">
        <v>7011</v>
      </c>
      <c r="B2218" s="196" t="s">
        <v>5249</v>
      </c>
      <c r="C2218" s="196">
        <v>721110</v>
      </c>
      <c r="D2218" s="197" t="s">
        <v>5250</v>
      </c>
    </row>
    <row r="2219" spans="1:4" ht="34.5" customHeight="1" x14ac:dyDescent="0.2">
      <c r="A2219" s="195">
        <v>7041</v>
      </c>
      <c r="B2219" s="196" t="s">
        <v>5251</v>
      </c>
      <c r="C2219" s="196">
        <v>721110</v>
      </c>
      <c r="D2219" s="197" t="s">
        <v>5250</v>
      </c>
    </row>
    <row r="2220" spans="1:4" ht="17.25" customHeight="1" x14ac:dyDescent="0.2">
      <c r="A2220" s="195">
        <v>7011</v>
      </c>
      <c r="B2220" s="196" t="s">
        <v>5249</v>
      </c>
      <c r="C2220" s="196">
        <v>721120</v>
      </c>
      <c r="D2220" s="197" t="s">
        <v>3570</v>
      </c>
    </row>
    <row r="2221" spans="1:4" ht="17.25" customHeight="1" x14ac:dyDescent="0.2">
      <c r="A2221" s="195">
        <v>7011</v>
      </c>
      <c r="B2221" s="196" t="s">
        <v>5249</v>
      </c>
      <c r="C2221" s="196">
        <v>721191</v>
      </c>
      <c r="D2221" s="197" t="s">
        <v>5252</v>
      </c>
    </row>
    <row r="2222" spans="1:4" ht="34.5" customHeight="1" x14ac:dyDescent="0.2">
      <c r="A2222" s="195">
        <v>7011</v>
      </c>
      <c r="B2222" s="196" t="s">
        <v>5249</v>
      </c>
      <c r="C2222" s="196">
        <v>721199</v>
      </c>
      <c r="D2222" s="197" t="s">
        <v>5253</v>
      </c>
    </row>
    <row r="2223" spans="1:4" ht="17.25" customHeight="1" x14ac:dyDescent="0.2">
      <c r="A2223" s="195">
        <v>7033</v>
      </c>
      <c r="B2223" s="196" t="s">
        <v>5254</v>
      </c>
      <c r="C2223" s="196">
        <v>721211</v>
      </c>
      <c r="D2223" s="197" t="s">
        <v>5255</v>
      </c>
    </row>
    <row r="2224" spans="1:4" ht="17.25" customHeight="1" x14ac:dyDescent="0.2">
      <c r="A2224" s="195">
        <v>7032</v>
      </c>
      <c r="B2224" s="196" t="s">
        <v>5256</v>
      </c>
      <c r="C2224" s="196">
        <v>721214</v>
      </c>
      <c r="D2224" s="197" t="s">
        <v>5257</v>
      </c>
    </row>
    <row r="2225" spans="1:4" ht="17.25" customHeight="1" x14ac:dyDescent="0.2">
      <c r="A2225" s="195">
        <v>7021</v>
      </c>
      <c r="B2225" s="196" t="s">
        <v>5258</v>
      </c>
      <c r="C2225" s="196">
        <v>721310</v>
      </c>
      <c r="D2225" s="197" t="s">
        <v>5259</v>
      </c>
    </row>
    <row r="2226" spans="1:4" ht="17.25" customHeight="1" x14ac:dyDescent="0.2">
      <c r="A2226" s="195">
        <v>7041</v>
      </c>
      <c r="B2226" s="196" t="s">
        <v>5251</v>
      </c>
      <c r="C2226" s="196">
        <v>721310</v>
      </c>
      <c r="D2226" s="197" t="s">
        <v>5259</v>
      </c>
    </row>
    <row r="2227" spans="1:4" ht="17.25" customHeight="1" x14ac:dyDescent="0.2">
      <c r="A2227" s="195">
        <v>4789</v>
      </c>
      <c r="B2227" s="196" t="s">
        <v>4890</v>
      </c>
      <c r="C2227" s="196">
        <v>722310</v>
      </c>
      <c r="D2227" s="197" t="s">
        <v>3576</v>
      </c>
    </row>
    <row r="2228" spans="1:4" ht="17.25" customHeight="1" x14ac:dyDescent="0.2">
      <c r="A2228" s="195">
        <v>5812</v>
      </c>
      <c r="B2228" s="196" t="s">
        <v>5223</v>
      </c>
      <c r="C2228" s="196">
        <v>722310</v>
      </c>
      <c r="D2228" s="197" t="s">
        <v>3576</v>
      </c>
    </row>
    <row r="2229" spans="1:4" ht="34.5" customHeight="1" x14ac:dyDescent="0.2">
      <c r="A2229" s="195">
        <v>5812</v>
      </c>
      <c r="B2229" s="196" t="s">
        <v>5223</v>
      </c>
      <c r="C2229" s="196">
        <v>722320</v>
      </c>
      <c r="D2229" s="197" t="s">
        <v>3577</v>
      </c>
    </row>
    <row r="2230" spans="1:4" ht="17.25" customHeight="1" x14ac:dyDescent="0.2">
      <c r="A2230" s="195">
        <v>5963</v>
      </c>
      <c r="B2230" s="196" t="s">
        <v>4753</v>
      </c>
      <c r="C2230" s="196">
        <v>722330</v>
      </c>
      <c r="D2230" s="197" t="s">
        <v>3578</v>
      </c>
    </row>
    <row r="2231" spans="1:4" ht="17.25" customHeight="1" x14ac:dyDescent="0.2">
      <c r="A2231" s="195">
        <v>5813</v>
      </c>
      <c r="B2231" s="196" t="s">
        <v>5260</v>
      </c>
      <c r="C2231" s="196">
        <v>722410</v>
      </c>
      <c r="D2231" s="197" t="s">
        <v>5261</v>
      </c>
    </row>
    <row r="2232" spans="1:4" ht="17.25" customHeight="1" x14ac:dyDescent="0.2">
      <c r="A2232" s="195">
        <v>5812</v>
      </c>
      <c r="B2232" s="196" t="s">
        <v>5223</v>
      </c>
      <c r="C2232" s="196">
        <v>722511</v>
      </c>
      <c r="D2232" s="197" t="s">
        <v>5262</v>
      </c>
    </row>
    <row r="2233" spans="1:4" ht="17.25" customHeight="1" x14ac:dyDescent="0.2">
      <c r="A2233" s="195">
        <v>5812</v>
      </c>
      <c r="B2233" s="196" t="s">
        <v>5223</v>
      </c>
      <c r="C2233" s="196">
        <v>722513</v>
      </c>
      <c r="D2233" s="197" t="s">
        <v>5263</v>
      </c>
    </row>
    <row r="2234" spans="1:4" ht="34.5" customHeight="1" x14ac:dyDescent="0.2">
      <c r="A2234" s="195">
        <v>5812</v>
      </c>
      <c r="B2234" s="196" t="s">
        <v>5223</v>
      </c>
      <c r="C2234" s="196">
        <v>722514</v>
      </c>
      <c r="D2234" s="197" t="s">
        <v>5264</v>
      </c>
    </row>
    <row r="2235" spans="1:4" ht="34.5" customHeight="1" x14ac:dyDescent="0.2">
      <c r="A2235" s="195">
        <v>5461</v>
      </c>
      <c r="B2235" s="196" t="s">
        <v>2693</v>
      </c>
      <c r="C2235" s="196">
        <v>722515</v>
      </c>
      <c r="D2235" s="197" t="s">
        <v>5265</v>
      </c>
    </row>
    <row r="2236" spans="1:4" ht="17.25" customHeight="1" x14ac:dyDescent="0.2">
      <c r="A2236" s="195">
        <v>5812</v>
      </c>
      <c r="B2236" s="196" t="s">
        <v>5223</v>
      </c>
      <c r="C2236" s="196">
        <v>722515</v>
      </c>
      <c r="D2236" s="197" t="s">
        <v>5265</v>
      </c>
    </row>
    <row r="2237" spans="1:4" ht="17.25" customHeight="1" x14ac:dyDescent="0.2">
      <c r="A2237" s="195">
        <v>7538</v>
      </c>
      <c r="B2237" s="196" t="s">
        <v>5266</v>
      </c>
      <c r="C2237" s="196">
        <v>811111</v>
      </c>
      <c r="D2237" s="197" t="s">
        <v>5267</v>
      </c>
    </row>
    <row r="2238" spans="1:4" ht="34.5" customHeight="1" x14ac:dyDescent="0.2">
      <c r="A2238" s="195">
        <v>7533</v>
      </c>
      <c r="B2238" s="196" t="s">
        <v>5268</v>
      </c>
      <c r="C2238" s="196">
        <v>811114</v>
      </c>
      <c r="D2238" s="197" t="s">
        <v>5269</v>
      </c>
    </row>
    <row r="2239" spans="1:4" ht="34.5" customHeight="1" x14ac:dyDescent="0.2">
      <c r="A2239" s="195">
        <v>7537</v>
      </c>
      <c r="B2239" s="196" t="s">
        <v>5270</v>
      </c>
      <c r="C2239" s="196">
        <v>811114</v>
      </c>
      <c r="D2239" s="197" t="s">
        <v>5269</v>
      </c>
    </row>
    <row r="2240" spans="1:4" ht="17.25" customHeight="1" x14ac:dyDescent="0.2">
      <c r="A2240" s="195">
        <v>7539</v>
      </c>
      <c r="B2240" s="196" t="s">
        <v>5271</v>
      </c>
      <c r="C2240" s="196">
        <v>811114</v>
      </c>
      <c r="D2240" s="197" t="s">
        <v>5269</v>
      </c>
    </row>
    <row r="2241" spans="1:4" ht="34.5" customHeight="1" x14ac:dyDescent="0.2">
      <c r="A2241" s="195">
        <v>7532</v>
      </c>
      <c r="B2241" s="196" t="s">
        <v>5272</v>
      </c>
      <c r="C2241" s="196">
        <v>811121</v>
      </c>
      <c r="D2241" s="197" t="s">
        <v>5273</v>
      </c>
    </row>
    <row r="2242" spans="1:4" ht="17.25" customHeight="1" x14ac:dyDescent="0.2">
      <c r="A2242" s="195">
        <v>7536</v>
      </c>
      <c r="B2242" s="196" t="s">
        <v>3590</v>
      </c>
      <c r="C2242" s="196">
        <v>811122</v>
      </c>
      <c r="D2242" s="197" t="s">
        <v>5274</v>
      </c>
    </row>
    <row r="2243" spans="1:4" ht="17.25" customHeight="1" x14ac:dyDescent="0.2">
      <c r="A2243" s="195">
        <v>7549</v>
      </c>
      <c r="B2243" s="196" t="s">
        <v>4900</v>
      </c>
      <c r="C2243" s="196">
        <v>811122</v>
      </c>
      <c r="D2243" s="197" t="s">
        <v>5274</v>
      </c>
    </row>
    <row r="2244" spans="1:4" ht="34.5" customHeight="1" x14ac:dyDescent="0.2">
      <c r="A2244" s="195">
        <v>7549</v>
      </c>
      <c r="B2244" s="196" t="s">
        <v>4900</v>
      </c>
      <c r="C2244" s="196">
        <v>811191</v>
      </c>
      <c r="D2244" s="197" t="s">
        <v>5275</v>
      </c>
    </row>
    <row r="2245" spans="1:4" ht="17.25" customHeight="1" x14ac:dyDescent="0.2">
      <c r="A2245" s="195">
        <v>7542</v>
      </c>
      <c r="B2245" s="196" t="s">
        <v>5276</v>
      </c>
      <c r="C2245" s="196">
        <v>811192</v>
      </c>
      <c r="D2245" s="197" t="s">
        <v>5277</v>
      </c>
    </row>
    <row r="2246" spans="1:4" ht="17.25" customHeight="1" x14ac:dyDescent="0.2">
      <c r="A2246" s="195">
        <v>7534</v>
      </c>
      <c r="B2246" s="196" t="s">
        <v>4207</v>
      </c>
      <c r="C2246" s="196">
        <v>811198</v>
      </c>
      <c r="D2246" s="197" t="s">
        <v>5278</v>
      </c>
    </row>
    <row r="2247" spans="1:4" ht="17.25" customHeight="1" x14ac:dyDescent="0.2">
      <c r="A2247" s="195">
        <v>7539</v>
      </c>
      <c r="B2247" s="196" t="s">
        <v>5271</v>
      </c>
      <c r="C2247" s="196">
        <v>811198</v>
      </c>
      <c r="D2247" s="197" t="s">
        <v>5278</v>
      </c>
    </row>
    <row r="2248" spans="1:4" ht="17.25" customHeight="1" x14ac:dyDescent="0.2">
      <c r="A2248" s="195">
        <v>7549</v>
      </c>
      <c r="B2248" s="196" t="s">
        <v>4900</v>
      </c>
      <c r="C2248" s="196">
        <v>811198</v>
      </c>
      <c r="D2248" s="197" t="s">
        <v>5278</v>
      </c>
    </row>
    <row r="2249" spans="1:4" ht="17.25" customHeight="1" x14ac:dyDescent="0.2">
      <c r="A2249" s="195">
        <v>7622</v>
      </c>
      <c r="B2249" s="196" t="s">
        <v>3881</v>
      </c>
      <c r="C2249" s="196">
        <v>811210</v>
      </c>
      <c r="D2249" s="197" t="s">
        <v>5279</v>
      </c>
    </row>
    <row r="2250" spans="1:4" ht="17.25" customHeight="1" x14ac:dyDescent="0.2">
      <c r="A2250" s="195">
        <v>7629</v>
      </c>
      <c r="B2250" s="196" t="s">
        <v>4784</v>
      </c>
      <c r="C2250" s="196">
        <v>811210</v>
      </c>
      <c r="D2250" s="197" t="s">
        <v>5279</v>
      </c>
    </row>
    <row r="2251" spans="1:4" ht="34.5" customHeight="1" x14ac:dyDescent="0.2">
      <c r="A2251" s="195">
        <v>7699</v>
      </c>
      <c r="B2251" s="196" t="s">
        <v>3762</v>
      </c>
      <c r="C2251" s="196">
        <v>811210</v>
      </c>
      <c r="D2251" s="197" t="s">
        <v>5279</v>
      </c>
    </row>
    <row r="2252" spans="1:4" ht="17.25" customHeight="1" x14ac:dyDescent="0.2">
      <c r="A2252" s="195">
        <v>7378</v>
      </c>
      <c r="B2252" s="196" t="s">
        <v>4788</v>
      </c>
      <c r="C2252" s="196">
        <v>811210</v>
      </c>
      <c r="D2252" s="197" t="s">
        <v>5279</v>
      </c>
    </row>
    <row r="2253" spans="1:4" ht="17.25" customHeight="1" x14ac:dyDescent="0.2">
      <c r="A2253" s="195">
        <v>7629</v>
      </c>
      <c r="B2253" s="196" t="s">
        <v>4784</v>
      </c>
      <c r="C2253" s="196">
        <v>811210</v>
      </c>
      <c r="D2253" s="197" t="s">
        <v>5279</v>
      </c>
    </row>
    <row r="2254" spans="1:4" ht="17.25" customHeight="1" x14ac:dyDescent="0.2">
      <c r="A2254" s="195">
        <v>7699</v>
      </c>
      <c r="B2254" s="196" t="s">
        <v>3762</v>
      </c>
      <c r="C2254" s="196">
        <v>811210</v>
      </c>
      <c r="D2254" s="197" t="s">
        <v>5279</v>
      </c>
    </row>
    <row r="2255" spans="1:4" ht="43.35" customHeight="1" x14ac:dyDescent="0.2">
      <c r="A2255" s="195">
        <v>7622</v>
      </c>
      <c r="B2255" s="196" t="s">
        <v>3881</v>
      </c>
      <c r="C2255" s="196">
        <v>811210</v>
      </c>
      <c r="D2255" s="197" t="s">
        <v>5279</v>
      </c>
    </row>
    <row r="2256" spans="1:4" ht="17.25" customHeight="1" x14ac:dyDescent="0.2">
      <c r="A2256" s="195">
        <v>7629</v>
      </c>
      <c r="B2256" s="196" t="s">
        <v>4784</v>
      </c>
      <c r="C2256" s="196">
        <v>811210</v>
      </c>
      <c r="D2256" s="197" t="s">
        <v>5279</v>
      </c>
    </row>
    <row r="2257" spans="1:4" ht="34.5" customHeight="1" x14ac:dyDescent="0.2">
      <c r="A2257" s="195">
        <v>7629</v>
      </c>
      <c r="B2257" s="196" t="s">
        <v>4784</v>
      </c>
      <c r="C2257" s="196">
        <v>811210</v>
      </c>
      <c r="D2257" s="197" t="s">
        <v>5279</v>
      </c>
    </row>
    <row r="2258" spans="1:4" ht="17.25" customHeight="1" x14ac:dyDescent="0.2">
      <c r="A2258" s="195">
        <v>7699</v>
      </c>
      <c r="B2258" s="196" t="s">
        <v>3762</v>
      </c>
      <c r="C2258" s="196">
        <v>811210</v>
      </c>
      <c r="D2258" s="197" t="s">
        <v>5279</v>
      </c>
    </row>
    <row r="2259" spans="1:4" ht="17.25" customHeight="1" x14ac:dyDescent="0.2">
      <c r="A2259" s="195">
        <v>7623</v>
      </c>
      <c r="B2259" s="196" t="s">
        <v>4783</v>
      </c>
      <c r="C2259" s="196">
        <v>811310</v>
      </c>
      <c r="D2259" s="197" t="s">
        <v>5280</v>
      </c>
    </row>
    <row r="2260" spans="1:4" ht="34.5" customHeight="1" x14ac:dyDescent="0.2">
      <c r="A2260" s="195">
        <v>7692</v>
      </c>
      <c r="B2260" s="196" t="s">
        <v>5281</v>
      </c>
      <c r="C2260" s="196">
        <v>811310</v>
      </c>
      <c r="D2260" s="197" t="s">
        <v>5280</v>
      </c>
    </row>
    <row r="2261" spans="1:4" ht="34.5" customHeight="1" x14ac:dyDescent="0.2">
      <c r="A2261" s="195">
        <v>7694</v>
      </c>
      <c r="B2261" s="196" t="s">
        <v>4510</v>
      </c>
      <c r="C2261" s="196">
        <v>811310</v>
      </c>
      <c r="D2261" s="197" t="s">
        <v>5280</v>
      </c>
    </row>
    <row r="2262" spans="1:4" ht="34.5" customHeight="1" x14ac:dyDescent="0.2">
      <c r="A2262" s="195">
        <v>7699</v>
      </c>
      <c r="B2262" s="196" t="s">
        <v>3762</v>
      </c>
      <c r="C2262" s="196">
        <v>811310</v>
      </c>
      <c r="D2262" s="197" t="s">
        <v>5280</v>
      </c>
    </row>
    <row r="2263" spans="1:4" ht="34.5" customHeight="1" x14ac:dyDescent="0.2">
      <c r="A2263" s="195">
        <v>7699</v>
      </c>
      <c r="B2263" s="196" t="s">
        <v>3762</v>
      </c>
      <c r="C2263" s="196">
        <v>811411</v>
      </c>
      <c r="D2263" s="197" t="s">
        <v>5282</v>
      </c>
    </row>
    <row r="2264" spans="1:4" ht="43.35" customHeight="1" x14ac:dyDescent="0.2">
      <c r="A2264" s="195">
        <v>7623</v>
      </c>
      <c r="B2264" s="196" t="s">
        <v>4783</v>
      </c>
      <c r="C2264" s="196">
        <v>811412</v>
      </c>
      <c r="D2264" s="197" t="s">
        <v>5283</v>
      </c>
    </row>
    <row r="2265" spans="1:4" ht="34.5" customHeight="1" x14ac:dyDescent="0.2">
      <c r="A2265" s="195">
        <v>7629</v>
      </c>
      <c r="B2265" s="196" t="s">
        <v>4784</v>
      </c>
      <c r="C2265" s="196">
        <v>811412</v>
      </c>
      <c r="D2265" s="197" t="s">
        <v>5283</v>
      </c>
    </row>
    <row r="2266" spans="1:4" ht="34.5" customHeight="1" x14ac:dyDescent="0.2">
      <c r="A2266" s="195">
        <v>7699</v>
      </c>
      <c r="B2266" s="196" t="s">
        <v>3762</v>
      </c>
      <c r="C2266" s="196">
        <v>811412</v>
      </c>
      <c r="D2266" s="197" t="s">
        <v>5283</v>
      </c>
    </row>
    <row r="2267" spans="1:4" ht="17.25" customHeight="1" x14ac:dyDescent="0.2">
      <c r="A2267" s="195">
        <v>4581</v>
      </c>
      <c r="B2267" s="196" t="s">
        <v>4892</v>
      </c>
      <c r="C2267" s="196">
        <v>811420</v>
      </c>
      <c r="D2267" s="197" t="s">
        <v>3602</v>
      </c>
    </row>
    <row r="2268" spans="1:4" ht="17.25" customHeight="1" x14ac:dyDescent="0.2">
      <c r="A2268" s="195">
        <v>7641</v>
      </c>
      <c r="B2268" s="196" t="s">
        <v>3602</v>
      </c>
      <c r="C2268" s="196">
        <v>811420</v>
      </c>
      <c r="D2268" s="197" t="s">
        <v>3602</v>
      </c>
    </row>
    <row r="2269" spans="1:4" ht="17.25" customHeight="1" x14ac:dyDescent="0.2">
      <c r="A2269" s="195">
        <v>7251</v>
      </c>
      <c r="B2269" s="196" t="s">
        <v>5284</v>
      </c>
      <c r="C2269" s="196">
        <v>811430</v>
      </c>
      <c r="D2269" s="197" t="s">
        <v>3603</v>
      </c>
    </row>
    <row r="2270" spans="1:4" ht="34.5" customHeight="1" x14ac:dyDescent="0.2">
      <c r="A2270" s="195">
        <v>7699</v>
      </c>
      <c r="B2270" s="196" t="s">
        <v>3762</v>
      </c>
      <c r="C2270" s="196">
        <v>811430</v>
      </c>
      <c r="D2270" s="197" t="s">
        <v>3603</v>
      </c>
    </row>
    <row r="2271" spans="1:4" ht="17.25" customHeight="1" x14ac:dyDescent="0.2">
      <c r="A2271" s="195">
        <v>3732</v>
      </c>
      <c r="B2271" s="196" t="s">
        <v>4557</v>
      </c>
      <c r="C2271" s="196">
        <v>811490</v>
      </c>
      <c r="D2271" s="197" t="s">
        <v>5285</v>
      </c>
    </row>
    <row r="2272" spans="1:4" ht="34.5" customHeight="1" x14ac:dyDescent="0.2">
      <c r="A2272" s="195">
        <v>7219</v>
      </c>
      <c r="B2272" s="196" t="s">
        <v>5286</v>
      </c>
      <c r="C2272" s="196">
        <v>811490</v>
      </c>
      <c r="D2272" s="197" t="s">
        <v>5285</v>
      </c>
    </row>
    <row r="2273" spans="1:4" x14ac:dyDescent="0.2">
      <c r="A2273" s="195">
        <v>7631</v>
      </c>
      <c r="B2273" s="196" t="s">
        <v>4813</v>
      </c>
      <c r="C2273" s="196">
        <v>811490</v>
      </c>
      <c r="D2273" s="197" t="s">
        <v>5285</v>
      </c>
    </row>
    <row r="2274" spans="1:4" x14ac:dyDescent="0.2">
      <c r="A2274" s="195">
        <v>7699</v>
      </c>
      <c r="B2274" s="196" t="s">
        <v>3762</v>
      </c>
      <c r="C2274" s="196">
        <v>811490</v>
      </c>
      <c r="D2274" s="197" t="s">
        <v>5285</v>
      </c>
    </row>
    <row r="2275" spans="1:4" x14ac:dyDescent="0.2">
      <c r="A2275" s="195">
        <v>7241</v>
      </c>
      <c r="B2275" s="196" t="s">
        <v>3605</v>
      </c>
      <c r="C2275" s="196">
        <v>812111</v>
      </c>
      <c r="D2275" s="197" t="s">
        <v>5287</v>
      </c>
    </row>
    <row r="2276" spans="1:4" x14ac:dyDescent="0.2">
      <c r="A2276" s="195">
        <v>7231</v>
      </c>
      <c r="B2276" s="196" t="s">
        <v>5157</v>
      </c>
      <c r="C2276" s="196">
        <v>812112</v>
      </c>
      <c r="D2276" s="197" t="s">
        <v>5288</v>
      </c>
    </row>
    <row r="2277" spans="1:4" x14ac:dyDescent="0.2">
      <c r="A2277" s="195">
        <v>7231</v>
      </c>
      <c r="B2277" s="196" t="s">
        <v>5157</v>
      </c>
      <c r="C2277" s="196">
        <v>812113</v>
      </c>
      <c r="D2277" s="197" t="s">
        <v>5289</v>
      </c>
    </row>
    <row r="2278" spans="1:4" x14ac:dyDescent="0.2">
      <c r="A2278" s="195">
        <v>7299</v>
      </c>
      <c r="B2278" s="196" t="s">
        <v>5041</v>
      </c>
      <c r="C2278" s="196">
        <v>812191</v>
      </c>
      <c r="D2278" s="197" t="s">
        <v>5290</v>
      </c>
    </row>
    <row r="2279" spans="1:4" x14ac:dyDescent="0.2">
      <c r="A2279" s="195">
        <v>7299</v>
      </c>
      <c r="B2279" s="196" t="s">
        <v>5041</v>
      </c>
      <c r="C2279" s="196">
        <v>812199</v>
      </c>
      <c r="D2279" s="197" t="s">
        <v>5291</v>
      </c>
    </row>
    <row r="2280" spans="1:4" x14ac:dyDescent="0.2">
      <c r="A2280" s="195">
        <v>7261</v>
      </c>
      <c r="B2280" s="196" t="s">
        <v>5292</v>
      </c>
      <c r="C2280" s="196">
        <v>812210</v>
      </c>
      <c r="D2280" s="197" t="s">
        <v>5293</v>
      </c>
    </row>
    <row r="2281" spans="1:4" x14ac:dyDescent="0.2">
      <c r="A2281" s="195">
        <v>6531</v>
      </c>
      <c r="B2281" s="196" t="s">
        <v>5023</v>
      </c>
      <c r="C2281" s="196">
        <v>812220</v>
      </c>
      <c r="D2281" s="197" t="s">
        <v>5294</v>
      </c>
    </row>
    <row r="2282" spans="1:4" x14ac:dyDescent="0.2">
      <c r="A2282" s="195">
        <v>6553</v>
      </c>
      <c r="B2282" s="196" t="s">
        <v>5295</v>
      </c>
      <c r="C2282" s="196">
        <v>812220</v>
      </c>
      <c r="D2282" s="197" t="s">
        <v>5294</v>
      </c>
    </row>
    <row r="2283" spans="1:4" x14ac:dyDescent="0.2">
      <c r="A2283" s="195">
        <v>7261</v>
      </c>
      <c r="B2283" s="196" t="s">
        <v>5292</v>
      </c>
      <c r="C2283" s="196">
        <v>812220</v>
      </c>
      <c r="D2283" s="197" t="s">
        <v>5294</v>
      </c>
    </row>
    <row r="2284" spans="1:4" x14ac:dyDescent="0.2">
      <c r="A2284" s="195">
        <v>7215</v>
      </c>
      <c r="B2284" s="196" t="s">
        <v>5296</v>
      </c>
      <c r="C2284" s="196">
        <v>812310</v>
      </c>
      <c r="D2284" s="197" t="s">
        <v>5297</v>
      </c>
    </row>
    <row r="2285" spans="1:4" x14ac:dyDescent="0.2">
      <c r="A2285" s="195">
        <v>7211</v>
      </c>
      <c r="B2285" s="196" t="s">
        <v>5298</v>
      </c>
      <c r="C2285" s="196">
        <v>812320</v>
      </c>
      <c r="D2285" s="197" t="s">
        <v>5299</v>
      </c>
    </row>
    <row r="2286" spans="1:4" x14ac:dyDescent="0.2">
      <c r="A2286" s="195">
        <v>7212</v>
      </c>
      <c r="B2286" s="196" t="s">
        <v>5300</v>
      </c>
      <c r="C2286" s="196">
        <v>812320</v>
      </c>
      <c r="D2286" s="197" t="s">
        <v>5299</v>
      </c>
    </row>
    <row r="2287" spans="1:4" x14ac:dyDescent="0.2">
      <c r="A2287" s="195">
        <v>7216</v>
      </c>
      <c r="B2287" s="196" t="s">
        <v>5301</v>
      </c>
      <c r="C2287" s="196">
        <v>812320</v>
      </c>
      <c r="D2287" s="197" t="s">
        <v>5299</v>
      </c>
    </row>
    <row r="2288" spans="1:4" x14ac:dyDescent="0.2">
      <c r="A2288" s="195">
        <v>7219</v>
      </c>
      <c r="B2288" s="196" t="s">
        <v>5286</v>
      </c>
      <c r="C2288" s="196">
        <v>812320</v>
      </c>
      <c r="D2288" s="197" t="s">
        <v>5299</v>
      </c>
    </row>
    <row r="2289" spans="1:4" x14ac:dyDescent="0.2">
      <c r="A2289" s="195">
        <v>7251</v>
      </c>
      <c r="B2289" s="196" t="s">
        <v>5284</v>
      </c>
      <c r="C2289" s="196">
        <v>812320</v>
      </c>
      <c r="D2289" s="197" t="s">
        <v>5299</v>
      </c>
    </row>
    <row r="2290" spans="1:4" x14ac:dyDescent="0.2">
      <c r="A2290" s="195">
        <v>7389</v>
      </c>
      <c r="B2290" s="196" t="s">
        <v>3985</v>
      </c>
      <c r="C2290" s="196">
        <v>812320</v>
      </c>
      <c r="D2290" s="197" t="s">
        <v>5299</v>
      </c>
    </row>
    <row r="2291" spans="1:4" x14ac:dyDescent="0.2">
      <c r="A2291" s="195">
        <v>7213</v>
      </c>
      <c r="B2291" s="196" t="s">
        <v>3614</v>
      </c>
      <c r="C2291" s="196">
        <v>812331</v>
      </c>
      <c r="D2291" s="197" t="s">
        <v>5302</v>
      </c>
    </row>
    <row r="2292" spans="1:4" x14ac:dyDescent="0.2">
      <c r="A2292" s="195">
        <v>7219</v>
      </c>
      <c r="B2292" s="196" t="s">
        <v>5286</v>
      </c>
      <c r="C2292" s="196">
        <v>812331</v>
      </c>
      <c r="D2292" s="197" t="s">
        <v>5302</v>
      </c>
    </row>
    <row r="2293" spans="1:4" x14ac:dyDescent="0.2">
      <c r="A2293" s="195">
        <v>7218</v>
      </c>
      <c r="B2293" s="196" t="s">
        <v>3615</v>
      </c>
      <c r="C2293" s="196">
        <v>812332</v>
      </c>
      <c r="D2293" s="197" t="s">
        <v>5303</v>
      </c>
    </row>
    <row r="2294" spans="1:4" x14ac:dyDescent="0.2">
      <c r="A2294" s="195">
        <v>752</v>
      </c>
      <c r="B2294" s="196" t="s">
        <v>3761</v>
      </c>
      <c r="C2294" s="196">
        <v>812910</v>
      </c>
      <c r="D2294" s="197" t="s">
        <v>5304</v>
      </c>
    </row>
    <row r="2295" spans="1:4" x14ac:dyDescent="0.2">
      <c r="A2295" s="195">
        <v>7384</v>
      </c>
      <c r="B2295" s="196" t="s">
        <v>5305</v>
      </c>
      <c r="C2295" s="196">
        <v>812921</v>
      </c>
      <c r="D2295" s="197" t="s">
        <v>5306</v>
      </c>
    </row>
    <row r="2296" spans="1:4" x14ac:dyDescent="0.2">
      <c r="A2296" s="195">
        <v>7384</v>
      </c>
      <c r="B2296" s="196" t="s">
        <v>5305</v>
      </c>
      <c r="C2296" s="196">
        <v>812922</v>
      </c>
      <c r="D2296" s="197" t="s">
        <v>5307</v>
      </c>
    </row>
    <row r="2297" spans="1:4" x14ac:dyDescent="0.2">
      <c r="A2297" s="195">
        <v>7299</v>
      </c>
      <c r="B2297" s="196" t="s">
        <v>5041</v>
      </c>
      <c r="C2297" s="196">
        <v>812930</v>
      </c>
      <c r="D2297" s="197" t="s">
        <v>5308</v>
      </c>
    </row>
    <row r="2298" spans="1:4" x14ac:dyDescent="0.2">
      <c r="A2298" s="195">
        <v>7521</v>
      </c>
      <c r="B2298" s="196" t="s">
        <v>5309</v>
      </c>
      <c r="C2298" s="196">
        <v>812930</v>
      </c>
      <c r="D2298" s="197" t="s">
        <v>5308</v>
      </c>
    </row>
    <row r="2299" spans="1:4" x14ac:dyDescent="0.2">
      <c r="A2299" s="195">
        <v>4899</v>
      </c>
      <c r="B2299" s="196" t="s">
        <v>4880</v>
      </c>
      <c r="C2299" s="196">
        <v>812990</v>
      </c>
      <c r="D2299" s="197" t="s">
        <v>5310</v>
      </c>
    </row>
    <row r="2300" spans="1:4" x14ac:dyDescent="0.2">
      <c r="A2300" s="195">
        <v>7251</v>
      </c>
      <c r="B2300" s="196" t="s">
        <v>5284</v>
      </c>
      <c r="C2300" s="196">
        <v>812990</v>
      </c>
      <c r="D2300" s="197" t="s">
        <v>5310</v>
      </c>
    </row>
    <row r="2301" spans="1:4" x14ac:dyDescent="0.2">
      <c r="A2301" s="195">
        <v>7299</v>
      </c>
      <c r="B2301" s="196" t="s">
        <v>5041</v>
      </c>
      <c r="C2301" s="196">
        <v>812990</v>
      </c>
      <c r="D2301" s="197" t="s">
        <v>5310</v>
      </c>
    </row>
    <row r="2302" spans="1:4" x14ac:dyDescent="0.2">
      <c r="A2302" s="195">
        <v>7389</v>
      </c>
      <c r="B2302" s="196" t="s">
        <v>3985</v>
      </c>
      <c r="C2302" s="196">
        <v>812990</v>
      </c>
      <c r="D2302" s="197" t="s">
        <v>5310</v>
      </c>
    </row>
    <row r="2303" spans="1:4" x14ac:dyDescent="0.2">
      <c r="A2303" s="195">
        <v>7999</v>
      </c>
      <c r="B2303" s="196" t="s">
        <v>4891</v>
      </c>
      <c r="C2303" s="196">
        <v>812990</v>
      </c>
      <c r="D2303" s="197" t="s">
        <v>5310</v>
      </c>
    </row>
    <row r="2304" spans="1:4" x14ac:dyDescent="0.2">
      <c r="A2304" s="195">
        <v>8661</v>
      </c>
      <c r="B2304" s="196" t="s">
        <v>3621</v>
      </c>
      <c r="C2304" s="196">
        <v>813110</v>
      </c>
      <c r="D2304" s="197" t="s">
        <v>5311</v>
      </c>
    </row>
    <row r="2305" spans="1:4" x14ac:dyDescent="0.2">
      <c r="A2305" s="195">
        <v>6732</v>
      </c>
      <c r="B2305" s="196" t="s">
        <v>5312</v>
      </c>
      <c r="C2305" s="196">
        <v>813211</v>
      </c>
      <c r="D2305" s="197" t="s">
        <v>5313</v>
      </c>
    </row>
    <row r="2306" spans="1:4" x14ac:dyDescent="0.2">
      <c r="A2306" s="195">
        <v>8399</v>
      </c>
      <c r="B2306" s="196" t="s">
        <v>5314</v>
      </c>
      <c r="C2306" s="196">
        <v>813212</v>
      </c>
      <c r="D2306" s="197" t="s">
        <v>5315</v>
      </c>
    </row>
    <row r="2307" spans="1:4" x14ac:dyDescent="0.2">
      <c r="A2307" s="195">
        <v>8399</v>
      </c>
      <c r="B2307" s="196" t="s">
        <v>5314</v>
      </c>
      <c r="C2307" s="196">
        <v>813219</v>
      </c>
      <c r="D2307" s="197" t="s">
        <v>5316</v>
      </c>
    </row>
    <row r="2308" spans="1:4" x14ac:dyDescent="0.2">
      <c r="A2308" s="195">
        <v>8399</v>
      </c>
      <c r="B2308" s="196" t="s">
        <v>5314</v>
      </c>
      <c r="C2308" s="196">
        <v>813311</v>
      </c>
      <c r="D2308" s="197" t="s">
        <v>5317</v>
      </c>
    </row>
    <row r="2309" spans="1:4" x14ac:dyDescent="0.2">
      <c r="A2309" s="195">
        <v>8399</v>
      </c>
      <c r="B2309" s="196" t="s">
        <v>5314</v>
      </c>
      <c r="C2309" s="196">
        <v>813312</v>
      </c>
      <c r="D2309" s="197" t="s">
        <v>5318</v>
      </c>
    </row>
    <row r="2310" spans="1:4" x14ac:dyDescent="0.2">
      <c r="A2310" s="195">
        <v>8699</v>
      </c>
      <c r="B2310" s="196" t="s">
        <v>5121</v>
      </c>
      <c r="C2310" s="196">
        <v>813312</v>
      </c>
      <c r="D2310" s="197" t="s">
        <v>5318</v>
      </c>
    </row>
    <row r="2311" spans="1:4" x14ac:dyDescent="0.2">
      <c r="A2311" s="195">
        <v>8399</v>
      </c>
      <c r="B2311" s="196" t="s">
        <v>5314</v>
      </c>
      <c r="C2311" s="196">
        <v>813319</v>
      </c>
      <c r="D2311" s="197" t="s">
        <v>5319</v>
      </c>
    </row>
    <row r="2312" spans="1:4" x14ac:dyDescent="0.2">
      <c r="A2312" s="195">
        <v>8641</v>
      </c>
      <c r="B2312" s="196" t="s">
        <v>5320</v>
      </c>
      <c r="C2312" s="196">
        <v>813319</v>
      </c>
      <c r="D2312" s="197" t="s">
        <v>5319</v>
      </c>
    </row>
    <row r="2313" spans="1:4" x14ac:dyDescent="0.2">
      <c r="A2313" s="195">
        <v>8641</v>
      </c>
      <c r="B2313" s="196" t="s">
        <v>5320</v>
      </c>
      <c r="C2313" s="196">
        <v>813410</v>
      </c>
      <c r="D2313" s="197" t="s">
        <v>5321</v>
      </c>
    </row>
    <row r="2314" spans="1:4" x14ac:dyDescent="0.2">
      <c r="A2314" s="195">
        <v>8699</v>
      </c>
      <c r="B2314" s="196" t="s">
        <v>5121</v>
      </c>
      <c r="C2314" s="196">
        <v>813410</v>
      </c>
      <c r="D2314" s="197" t="s">
        <v>5321</v>
      </c>
    </row>
    <row r="2315" spans="1:4" x14ac:dyDescent="0.2">
      <c r="A2315" s="195">
        <v>8611</v>
      </c>
      <c r="B2315" s="196" t="s">
        <v>3629</v>
      </c>
      <c r="C2315" s="196">
        <v>813910</v>
      </c>
      <c r="D2315" s="197" t="s">
        <v>5322</v>
      </c>
    </row>
    <row r="2316" spans="1:4" x14ac:dyDescent="0.2">
      <c r="A2316" s="195">
        <v>8699</v>
      </c>
      <c r="B2316" s="196" t="s">
        <v>5121</v>
      </c>
      <c r="C2316" s="196">
        <v>813910</v>
      </c>
      <c r="D2316" s="197" t="s">
        <v>5322</v>
      </c>
    </row>
    <row r="2317" spans="1:4" x14ac:dyDescent="0.2">
      <c r="A2317" s="195">
        <v>8621</v>
      </c>
      <c r="B2317" s="196" t="s">
        <v>3630</v>
      </c>
      <c r="C2317" s="196">
        <v>813920</v>
      </c>
      <c r="D2317" s="197" t="s">
        <v>5323</v>
      </c>
    </row>
    <row r="2318" spans="1:4" x14ac:dyDescent="0.2">
      <c r="A2318" s="195">
        <v>8631</v>
      </c>
      <c r="B2318" s="196" t="s">
        <v>5324</v>
      </c>
      <c r="C2318" s="196">
        <v>813930</v>
      </c>
      <c r="D2318" s="197" t="s">
        <v>5325</v>
      </c>
    </row>
    <row r="2319" spans="1:4" x14ac:dyDescent="0.2">
      <c r="A2319" s="195">
        <v>8651</v>
      </c>
      <c r="B2319" s="196" t="s">
        <v>3632</v>
      </c>
      <c r="C2319" s="196">
        <v>813940</v>
      </c>
      <c r="D2319" s="197" t="s">
        <v>5326</v>
      </c>
    </row>
    <row r="2320" spans="1:4" x14ac:dyDescent="0.2">
      <c r="A2320" s="195">
        <v>6531</v>
      </c>
      <c r="B2320" s="196" t="s">
        <v>5023</v>
      </c>
      <c r="C2320" s="196">
        <v>813990</v>
      </c>
      <c r="D2320" s="197" t="s">
        <v>5327</v>
      </c>
    </row>
    <row r="2321" spans="1:4" x14ac:dyDescent="0.2">
      <c r="A2321" s="195">
        <v>8641</v>
      </c>
      <c r="B2321" s="196" t="s">
        <v>5320</v>
      </c>
      <c r="C2321" s="196">
        <v>813990</v>
      </c>
      <c r="D2321" s="197" t="s">
        <v>5327</v>
      </c>
    </row>
    <row r="2322" spans="1:4" x14ac:dyDescent="0.2">
      <c r="A2322" s="195">
        <v>8699</v>
      </c>
      <c r="B2322" s="196" t="s">
        <v>5121</v>
      </c>
      <c r="C2322" s="196">
        <v>813990</v>
      </c>
      <c r="D2322" s="197" t="s">
        <v>5327</v>
      </c>
    </row>
    <row r="2323" spans="1:4" x14ac:dyDescent="0.2">
      <c r="A2323" s="195">
        <v>8811</v>
      </c>
      <c r="B2323" s="196" t="s">
        <v>3634</v>
      </c>
      <c r="C2323" s="196">
        <v>814110</v>
      </c>
      <c r="D2323" s="197" t="s">
        <v>3634</v>
      </c>
    </row>
    <row r="2324" spans="1:4" x14ac:dyDescent="0.2">
      <c r="A2324" s="195">
        <v>9111</v>
      </c>
      <c r="B2324" s="196" t="s">
        <v>3635</v>
      </c>
      <c r="C2324" s="196">
        <v>921110</v>
      </c>
      <c r="D2324" s="197" t="s">
        <v>5328</v>
      </c>
    </row>
    <row r="2325" spans="1:4" x14ac:dyDescent="0.2">
      <c r="A2325" s="195">
        <v>9121</v>
      </c>
      <c r="B2325" s="196" t="s">
        <v>3636</v>
      </c>
      <c r="C2325" s="196">
        <v>921120</v>
      </c>
      <c r="D2325" s="197" t="s">
        <v>5329</v>
      </c>
    </row>
    <row r="2326" spans="1:4" x14ac:dyDescent="0.2">
      <c r="A2326" s="195">
        <v>9311</v>
      </c>
      <c r="B2326" s="196" t="s">
        <v>5330</v>
      </c>
      <c r="C2326" s="196">
        <v>921130</v>
      </c>
      <c r="D2326" s="197" t="s">
        <v>5331</v>
      </c>
    </row>
    <row r="2327" spans="1:4" x14ac:dyDescent="0.2">
      <c r="A2327" s="195">
        <v>9131</v>
      </c>
      <c r="B2327" s="196" t="s">
        <v>5332</v>
      </c>
      <c r="C2327" s="196">
        <v>921140</v>
      </c>
      <c r="D2327" s="197" t="s">
        <v>5333</v>
      </c>
    </row>
    <row r="2328" spans="1:4" x14ac:dyDescent="0.2">
      <c r="A2328" s="195">
        <v>8641</v>
      </c>
      <c r="B2328" s="196" t="s">
        <v>5320</v>
      </c>
      <c r="C2328" s="196">
        <v>921150</v>
      </c>
      <c r="D2328" s="197" t="s">
        <v>5334</v>
      </c>
    </row>
    <row r="2329" spans="1:4" x14ac:dyDescent="0.2">
      <c r="A2329" s="195">
        <v>9199</v>
      </c>
      <c r="B2329" s="196" t="s">
        <v>5335</v>
      </c>
      <c r="C2329" s="196">
        <v>921190</v>
      </c>
      <c r="D2329" s="197" t="s">
        <v>5336</v>
      </c>
    </row>
    <row r="2330" spans="1:4" x14ac:dyDescent="0.2">
      <c r="A2330" s="195">
        <v>9211</v>
      </c>
      <c r="B2330" s="196" t="s">
        <v>2074</v>
      </c>
      <c r="C2330" s="196">
        <v>922110</v>
      </c>
      <c r="D2330" s="197" t="s">
        <v>5337</v>
      </c>
    </row>
    <row r="2331" spans="1:4" x14ac:dyDescent="0.2">
      <c r="A2331" s="195">
        <v>9221</v>
      </c>
      <c r="B2331" s="196" t="s">
        <v>3641</v>
      </c>
      <c r="C2331" s="196">
        <v>922120</v>
      </c>
      <c r="D2331" s="197" t="s">
        <v>5338</v>
      </c>
    </row>
    <row r="2332" spans="1:4" x14ac:dyDescent="0.2">
      <c r="A2332" s="195">
        <v>9222</v>
      </c>
      <c r="B2332" s="196" t="s">
        <v>3642</v>
      </c>
      <c r="C2332" s="196">
        <v>922130</v>
      </c>
      <c r="D2332" s="197" t="s">
        <v>5339</v>
      </c>
    </row>
    <row r="2333" spans="1:4" x14ac:dyDescent="0.2">
      <c r="A2333" s="195">
        <v>9223</v>
      </c>
      <c r="B2333" s="196" t="s">
        <v>2195</v>
      </c>
      <c r="C2333" s="196">
        <v>922140</v>
      </c>
      <c r="D2333" s="197" t="s">
        <v>5340</v>
      </c>
    </row>
    <row r="2334" spans="1:4" x14ac:dyDescent="0.2">
      <c r="A2334" s="195">
        <v>8322</v>
      </c>
      <c r="B2334" s="196" t="s">
        <v>5212</v>
      </c>
      <c r="C2334" s="196">
        <v>922150</v>
      </c>
      <c r="D2334" s="197" t="s">
        <v>5341</v>
      </c>
    </row>
    <row r="2335" spans="1:4" x14ac:dyDescent="0.2">
      <c r="A2335" s="195">
        <v>9224</v>
      </c>
      <c r="B2335" s="196" t="s">
        <v>3644</v>
      </c>
      <c r="C2335" s="196">
        <v>922160</v>
      </c>
      <c r="D2335" s="197" t="s">
        <v>5342</v>
      </c>
    </row>
    <row r="2336" spans="1:4" x14ac:dyDescent="0.2">
      <c r="A2336" s="195">
        <v>9229</v>
      </c>
      <c r="B2336" s="196" t="s">
        <v>5343</v>
      </c>
      <c r="C2336" s="196">
        <v>922190</v>
      </c>
      <c r="D2336" s="197" t="s">
        <v>5344</v>
      </c>
    </row>
    <row r="2337" spans="1:4" x14ac:dyDescent="0.2">
      <c r="A2337" s="195">
        <v>9411</v>
      </c>
      <c r="B2337" s="196" t="s">
        <v>5345</v>
      </c>
      <c r="C2337" s="196">
        <v>923110</v>
      </c>
      <c r="D2337" s="197" t="s">
        <v>5346</v>
      </c>
    </row>
    <row r="2338" spans="1:4" x14ac:dyDescent="0.2">
      <c r="A2338" s="195">
        <v>9431</v>
      </c>
      <c r="B2338" s="196" t="s">
        <v>3647</v>
      </c>
      <c r="C2338" s="196">
        <v>923120</v>
      </c>
      <c r="D2338" s="197" t="s">
        <v>5347</v>
      </c>
    </row>
    <row r="2339" spans="1:4" x14ac:dyDescent="0.2">
      <c r="A2339" s="195">
        <v>9441</v>
      </c>
      <c r="B2339" s="196" t="s">
        <v>5348</v>
      </c>
      <c r="C2339" s="196">
        <v>923130</v>
      </c>
      <c r="D2339" s="197" t="s">
        <v>5349</v>
      </c>
    </row>
    <row r="2340" spans="1:4" x14ac:dyDescent="0.2">
      <c r="A2340" s="195">
        <v>9451</v>
      </c>
      <c r="B2340" s="196" t="s">
        <v>3649</v>
      </c>
      <c r="C2340" s="196">
        <v>923140</v>
      </c>
      <c r="D2340" s="197" t="s">
        <v>5350</v>
      </c>
    </row>
    <row r="2341" spans="1:4" x14ac:dyDescent="0.2">
      <c r="A2341" s="195">
        <v>9511</v>
      </c>
      <c r="B2341" s="196" t="s">
        <v>5351</v>
      </c>
      <c r="C2341" s="196">
        <v>924110</v>
      </c>
      <c r="D2341" s="197" t="s">
        <v>5352</v>
      </c>
    </row>
    <row r="2342" spans="1:4" x14ac:dyDescent="0.2">
      <c r="A2342" s="195">
        <v>9512</v>
      </c>
      <c r="B2342" s="196" t="s">
        <v>5353</v>
      </c>
      <c r="C2342" s="196">
        <v>924120</v>
      </c>
      <c r="D2342" s="197" t="s">
        <v>5354</v>
      </c>
    </row>
    <row r="2343" spans="1:4" x14ac:dyDescent="0.2">
      <c r="A2343" s="195">
        <v>9531</v>
      </c>
      <c r="B2343" s="196" t="s">
        <v>5355</v>
      </c>
      <c r="C2343" s="196">
        <v>925110</v>
      </c>
      <c r="D2343" s="197" t="s">
        <v>5356</v>
      </c>
    </row>
    <row r="2344" spans="1:4" x14ac:dyDescent="0.2">
      <c r="A2344" s="195">
        <v>9532</v>
      </c>
      <c r="B2344" s="196" t="s">
        <v>5357</v>
      </c>
      <c r="C2344" s="196">
        <v>925120</v>
      </c>
      <c r="D2344" s="197" t="s">
        <v>5358</v>
      </c>
    </row>
    <row r="2345" spans="1:4" x14ac:dyDescent="0.2">
      <c r="A2345" s="195">
        <v>9611</v>
      </c>
      <c r="B2345" s="196" t="s">
        <v>3654</v>
      </c>
      <c r="C2345" s="196">
        <v>926110</v>
      </c>
      <c r="D2345" s="197" t="s">
        <v>5359</v>
      </c>
    </row>
    <row r="2346" spans="1:4" x14ac:dyDescent="0.2">
      <c r="A2346" s="195">
        <v>9621</v>
      </c>
      <c r="B2346" s="196" t="s">
        <v>4893</v>
      </c>
      <c r="C2346" s="196">
        <v>926120</v>
      </c>
      <c r="D2346" s="197" t="s">
        <v>5360</v>
      </c>
    </row>
    <row r="2347" spans="1:4" x14ac:dyDescent="0.2">
      <c r="A2347" s="195">
        <v>9631</v>
      </c>
      <c r="B2347" s="196" t="s">
        <v>5361</v>
      </c>
      <c r="C2347" s="196">
        <v>926130</v>
      </c>
      <c r="D2347" s="197" t="s">
        <v>5362</v>
      </c>
    </row>
    <row r="2348" spans="1:4" x14ac:dyDescent="0.2">
      <c r="A2348" s="195">
        <v>9641</v>
      </c>
      <c r="B2348" s="196" t="s">
        <v>5363</v>
      </c>
      <c r="C2348" s="196">
        <v>926140</v>
      </c>
      <c r="D2348" s="197" t="s">
        <v>5364</v>
      </c>
    </row>
    <row r="2349" spans="1:4" x14ac:dyDescent="0.2">
      <c r="A2349" s="195">
        <v>9651</v>
      </c>
      <c r="B2349" s="196" t="s">
        <v>5365</v>
      </c>
      <c r="C2349" s="196">
        <v>926150</v>
      </c>
      <c r="D2349" s="197" t="s">
        <v>5366</v>
      </c>
    </row>
    <row r="2350" spans="1:4" x14ac:dyDescent="0.2">
      <c r="A2350" s="195">
        <v>9661</v>
      </c>
      <c r="B2350" s="196" t="s">
        <v>3659</v>
      </c>
      <c r="C2350" s="196">
        <v>927110</v>
      </c>
      <c r="D2350" s="197" t="s">
        <v>5367</v>
      </c>
    </row>
    <row r="2351" spans="1:4" x14ac:dyDescent="0.2">
      <c r="A2351" s="195">
        <v>9711</v>
      </c>
      <c r="B2351" s="196" t="s">
        <v>2179</v>
      </c>
      <c r="C2351" s="196">
        <v>928110</v>
      </c>
      <c r="D2351" s="197" t="s">
        <v>5368</v>
      </c>
    </row>
    <row r="2352" spans="1:4" x14ac:dyDescent="0.2">
      <c r="A2352" s="195">
        <v>9721</v>
      </c>
      <c r="B2352" s="196" t="s">
        <v>3660</v>
      </c>
      <c r="C2352" s="196">
        <v>928120</v>
      </c>
      <c r="D2352" s="197" t="s">
        <v>5369</v>
      </c>
    </row>
    <row r="2353" spans="1:4" x14ac:dyDescent="0.25">
      <c r="A2353" s="235" t="s">
        <v>567</v>
      </c>
      <c r="B2353" s="85" t="s">
        <v>3732</v>
      </c>
      <c r="C2353" s="85">
        <v>112511</v>
      </c>
      <c r="D2353" s="85" t="s">
        <v>3731</v>
      </c>
    </row>
  </sheetData>
  <sheetProtection sheet="1" objects="1" scenarios="1" formatCells="0" formatColumns="0" formatRows="0" sort="0" autoFilter="0"/>
  <autoFilter ref="A2:D2" xr:uid="{74E737C5-34DD-4A9E-8807-A002AEC5C48C}"/>
  <mergeCells count="1">
    <mergeCell ref="A1:D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5CC61-A0D8-4EAF-90C0-A4E308526AA7}">
  <sheetPr codeName="Sheet18">
    <tabColor rgb="FF9933FF"/>
  </sheetPr>
  <dimension ref="A1:C1110"/>
  <sheetViews>
    <sheetView workbookViewId="0">
      <selection activeCell="H22" sqref="H22"/>
    </sheetView>
  </sheetViews>
  <sheetFormatPr defaultRowHeight="15" x14ac:dyDescent="0.25"/>
  <cols>
    <col min="1" max="1" width="25.28515625" customWidth="1"/>
    <col min="2" max="2" width="23" customWidth="1"/>
    <col min="3" max="3" width="50.42578125" customWidth="1"/>
  </cols>
  <sheetData>
    <row r="1" spans="1:3" x14ac:dyDescent="0.25">
      <c r="A1" t="s">
        <v>5370</v>
      </c>
      <c r="B1" t="s">
        <v>5371</v>
      </c>
      <c r="C1" t="s">
        <v>5372</v>
      </c>
    </row>
    <row r="2" spans="1:3" x14ac:dyDescent="0.25">
      <c r="A2">
        <v>2111</v>
      </c>
      <c r="B2" t="s">
        <v>5373</v>
      </c>
      <c r="C2" t="s">
        <v>5374</v>
      </c>
    </row>
    <row r="3" spans="1:3" x14ac:dyDescent="0.25">
      <c r="A3">
        <v>2121</v>
      </c>
      <c r="B3" t="s">
        <v>5375</v>
      </c>
      <c r="C3" t="s">
        <v>5376</v>
      </c>
    </row>
    <row r="4" spans="1:3" x14ac:dyDescent="0.25">
      <c r="A4">
        <v>2122</v>
      </c>
      <c r="B4" t="s">
        <v>5375</v>
      </c>
      <c r="C4" t="s">
        <v>5376</v>
      </c>
    </row>
    <row r="5" spans="1:3" x14ac:dyDescent="0.25">
      <c r="A5">
        <v>2211</v>
      </c>
      <c r="B5" t="s">
        <v>5377</v>
      </c>
      <c r="C5" t="s">
        <v>5378</v>
      </c>
    </row>
    <row r="6" spans="1:3" x14ac:dyDescent="0.25">
      <c r="A6">
        <v>2212</v>
      </c>
      <c r="B6" t="s">
        <v>5377</v>
      </c>
      <c r="C6" t="s">
        <v>5378</v>
      </c>
    </row>
    <row r="7" spans="1:3" x14ac:dyDescent="0.25">
      <c r="A7">
        <v>2213</v>
      </c>
      <c r="B7" t="s">
        <v>5377</v>
      </c>
      <c r="C7" t="s">
        <v>5378</v>
      </c>
    </row>
    <row r="8" spans="1:3" x14ac:dyDescent="0.25">
      <c r="A8">
        <v>3119</v>
      </c>
      <c r="B8" t="s">
        <v>5379</v>
      </c>
      <c r="C8" t="s">
        <v>5380</v>
      </c>
    </row>
    <row r="9" spans="1:3" x14ac:dyDescent="0.25">
      <c r="A9">
        <v>3121</v>
      </c>
      <c r="B9" t="s">
        <v>5379</v>
      </c>
      <c r="C9" t="s">
        <v>5380</v>
      </c>
    </row>
    <row r="10" spans="1:3" x14ac:dyDescent="0.25">
      <c r="A10">
        <v>3122</v>
      </c>
      <c r="B10" t="s">
        <v>5379</v>
      </c>
      <c r="C10" t="s">
        <v>5380</v>
      </c>
    </row>
    <row r="11" spans="1:3" x14ac:dyDescent="0.25">
      <c r="A11">
        <v>3131</v>
      </c>
      <c r="B11" t="s">
        <v>5381</v>
      </c>
      <c r="C11" t="s">
        <v>5382</v>
      </c>
    </row>
    <row r="12" spans="1:3" x14ac:dyDescent="0.25">
      <c r="A12">
        <v>3132</v>
      </c>
      <c r="B12" t="s">
        <v>5381</v>
      </c>
      <c r="C12" t="s">
        <v>5382</v>
      </c>
    </row>
    <row r="13" spans="1:3" x14ac:dyDescent="0.25">
      <c r="A13">
        <v>3133</v>
      </c>
      <c r="B13" t="s">
        <v>5381</v>
      </c>
      <c r="C13" t="s">
        <v>5382</v>
      </c>
    </row>
    <row r="14" spans="1:3" x14ac:dyDescent="0.25">
      <c r="A14">
        <v>3219</v>
      </c>
      <c r="B14" t="s">
        <v>5383</v>
      </c>
      <c r="C14" t="s">
        <v>5384</v>
      </c>
    </row>
    <row r="15" spans="1:3" x14ac:dyDescent="0.25">
      <c r="A15">
        <v>3221</v>
      </c>
      <c r="B15" t="s">
        <v>5385</v>
      </c>
      <c r="C15" t="s">
        <v>5386</v>
      </c>
    </row>
    <row r="16" spans="1:3" x14ac:dyDescent="0.25">
      <c r="A16">
        <v>3222</v>
      </c>
      <c r="B16" t="s">
        <v>5385</v>
      </c>
      <c r="C16" t="s">
        <v>5386</v>
      </c>
    </row>
    <row r="17" spans="1:3" x14ac:dyDescent="0.25">
      <c r="A17">
        <v>3231</v>
      </c>
      <c r="B17" t="s">
        <v>5387</v>
      </c>
      <c r="C17" t="s">
        <v>5388</v>
      </c>
    </row>
    <row r="18" spans="1:3" x14ac:dyDescent="0.25">
      <c r="A18">
        <v>3251</v>
      </c>
      <c r="B18" t="s">
        <v>5389</v>
      </c>
      <c r="C18" t="s">
        <v>5390</v>
      </c>
    </row>
    <row r="19" spans="1:3" x14ac:dyDescent="0.25">
      <c r="A19">
        <v>3254</v>
      </c>
      <c r="B19" t="s">
        <v>5391</v>
      </c>
      <c r="C19" t="s">
        <v>5392</v>
      </c>
    </row>
    <row r="20" spans="1:3" x14ac:dyDescent="0.25">
      <c r="A20">
        <v>3259</v>
      </c>
      <c r="B20" t="s">
        <v>5393</v>
      </c>
      <c r="C20" t="s">
        <v>5390</v>
      </c>
    </row>
    <row r="21" spans="1:3" x14ac:dyDescent="0.25">
      <c r="A21">
        <v>3261</v>
      </c>
      <c r="B21" t="s">
        <v>5394</v>
      </c>
      <c r="C21" t="s">
        <v>5395</v>
      </c>
    </row>
    <row r="22" spans="1:3" ht="60" x14ac:dyDescent="0.25">
      <c r="A22">
        <v>3274</v>
      </c>
      <c r="B22" t="s">
        <v>5396</v>
      </c>
      <c r="C22" s="7" t="s">
        <v>5397</v>
      </c>
    </row>
    <row r="23" spans="1:3" x14ac:dyDescent="0.25">
      <c r="A23">
        <v>3314</v>
      </c>
      <c r="B23" t="s">
        <v>5398</v>
      </c>
      <c r="C23" t="s">
        <v>5399</v>
      </c>
    </row>
    <row r="24" spans="1:3" x14ac:dyDescent="0.25">
      <c r="A24">
        <v>3329</v>
      </c>
      <c r="B24" t="s">
        <v>5400</v>
      </c>
      <c r="C24" t="s">
        <v>5401</v>
      </c>
    </row>
    <row r="25" spans="1:3" x14ac:dyDescent="0.25">
      <c r="A25">
        <v>3335</v>
      </c>
      <c r="B25" t="s">
        <v>5402</v>
      </c>
      <c r="C25" t="s">
        <v>5403</v>
      </c>
    </row>
    <row r="26" spans="1:3" x14ac:dyDescent="0.25">
      <c r="A26">
        <v>3339</v>
      </c>
      <c r="B26" t="s">
        <v>5404</v>
      </c>
      <c r="C26" t="s">
        <v>5405</v>
      </c>
    </row>
    <row r="27" spans="1:3" x14ac:dyDescent="0.25">
      <c r="A27">
        <v>3344</v>
      </c>
      <c r="B27" t="s">
        <v>5406</v>
      </c>
      <c r="C27" t="s">
        <v>5407</v>
      </c>
    </row>
    <row r="28" spans="1:3" x14ac:dyDescent="0.25">
      <c r="A28">
        <v>3363</v>
      </c>
      <c r="B28" t="s">
        <v>5408</v>
      </c>
      <c r="C28" t="s">
        <v>5409</v>
      </c>
    </row>
    <row r="29" spans="1:3" x14ac:dyDescent="0.25">
      <c r="A29">
        <v>3364</v>
      </c>
      <c r="B29" t="s">
        <v>5408</v>
      </c>
      <c r="C29" t="s">
        <v>5409</v>
      </c>
    </row>
    <row r="30" spans="1:3" x14ac:dyDescent="0.25">
      <c r="A30">
        <v>3366</v>
      </c>
      <c r="B30" t="s">
        <v>5408</v>
      </c>
      <c r="C30" t="s">
        <v>5409</v>
      </c>
    </row>
    <row r="31" spans="1:3" x14ac:dyDescent="0.25">
      <c r="A31">
        <v>3371</v>
      </c>
      <c r="B31" t="s">
        <v>5410</v>
      </c>
      <c r="C31" t="s">
        <v>5411</v>
      </c>
    </row>
    <row r="32" spans="1:3" x14ac:dyDescent="0.25">
      <c r="A32">
        <v>3391</v>
      </c>
      <c r="B32" t="s">
        <v>5404</v>
      </c>
      <c r="C32" t="s">
        <v>5405</v>
      </c>
    </row>
    <row r="33" spans="1:3" x14ac:dyDescent="0.25">
      <c r="A33">
        <v>3399</v>
      </c>
      <c r="B33" t="s">
        <v>5404</v>
      </c>
      <c r="C33" t="s">
        <v>5405</v>
      </c>
    </row>
    <row r="34" spans="1:3" x14ac:dyDescent="0.25">
      <c r="A34">
        <v>4247</v>
      </c>
      <c r="B34" t="s">
        <v>5412</v>
      </c>
      <c r="C34" t="s">
        <v>5413</v>
      </c>
    </row>
    <row r="35" spans="1:3" x14ac:dyDescent="0.25">
      <c r="A35">
        <v>4442</v>
      </c>
      <c r="B35" t="s">
        <v>5412</v>
      </c>
      <c r="C35" t="s">
        <v>5413</v>
      </c>
    </row>
    <row r="36" spans="1:3" x14ac:dyDescent="0.25">
      <c r="A36">
        <v>4481</v>
      </c>
      <c r="B36" t="s">
        <v>5412</v>
      </c>
      <c r="C36" t="s">
        <v>5413</v>
      </c>
    </row>
    <row r="37" spans="1:3" x14ac:dyDescent="0.25">
      <c r="A37">
        <v>4811</v>
      </c>
      <c r="B37" t="s">
        <v>5412</v>
      </c>
      <c r="C37" t="s">
        <v>5413</v>
      </c>
    </row>
    <row r="38" spans="1:3" x14ac:dyDescent="0.25">
      <c r="A38">
        <v>4862</v>
      </c>
      <c r="B38" t="s">
        <v>5412</v>
      </c>
      <c r="C38" t="s">
        <v>5413</v>
      </c>
    </row>
    <row r="39" spans="1:3" x14ac:dyDescent="0.25">
      <c r="A39">
        <v>4883</v>
      </c>
      <c r="B39" t="s">
        <v>5412</v>
      </c>
      <c r="C39" t="s">
        <v>5413</v>
      </c>
    </row>
    <row r="40" spans="1:3" x14ac:dyDescent="0.25">
      <c r="A40">
        <v>4931</v>
      </c>
      <c r="B40" t="s">
        <v>5412</v>
      </c>
      <c r="C40" t="s">
        <v>5413</v>
      </c>
    </row>
    <row r="41" spans="1:3" x14ac:dyDescent="0.25">
      <c r="A41">
        <v>5122</v>
      </c>
      <c r="B41" t="s">
        <v>5414</v>
      </c>
      <c r="C41" t="s">
        <v>5415</v>
      </c>
    </row>
    <row r="42" spans="1:3" x14ac:dyDescent="0.25">
      <c r="A42">
        <v>5173</v>
      </c>
      <c r="B42" t="s">
        <v>5414</v>
      </c>
      <c r="C42" t="s">
        <v>5415</v>
      </c>
    </row>
    <row r="43" spans="1:3" x14ac:dyDescent="0.25">
      <c r="A43">
        <v>5182</v>
      </c>
      <c r="B43" t="s">
        <v>5414</v>
      </c>
      <c r="C43" t="s">
        <v>5415</v>
      </c>
    </row>
    <row r="44" spans="1:3" x14ac:dyDescent="0.25">
      <c r="A44">
        <v>5241</v>
      </c>
      <c r="B44" t="s">
        <v>5414</v>
      </c>
      <c r="C44" t="s">
        <v>5415</v>
      </c>
    </row>
    <row r="45" spans="1:3" x14ac:dyDescent="0.25">
      <c r="A45">
        <v>5311</v>
      </c>
      <c r="B45" t="s">
        <v>5414</v>
      </c>
      <c r="C45" t="s">
        <v>5415</v>
      </c>
    </row>
    <row r="46" spans="1:3" x14ac:dyDescent="0.25">
      <c r="A46">
        <v>5511</v>
      </c>
      <c r="B46" t="s">
        <v>5414</v>
      </c>
      <c r="C46" t="s">
        <v>5415</v>
      </c>
    </row>
    <row r="47" spans="1:3" x14ac:dyDescent="0.25">
      <c r="A47">
        <v>5614</v>
      </c>
      <c r="B47" t="s">
        <v>5414</v>
      </c>
      <c r="C47" t="s">
        <v>5415</v>
      </c>
    </row>
    <row r="48" spans="1:3" x14ac:dyDescent="0.25">
      <c r="A48">
        <v>6113</v>
      </c>
      <c r="B48" t="s">
        <v>5414</v>
      </c>
      <c r="C48" t="s">
        <v>5415</v>
      </c>
    </row>
    <row r="49" spans="1:3" x14ac:dyDescent="0.25">
      <c r="A49">
        <v>6115</v>
      </c>
      <c r="B49" t="s">
        <v>5414</v>
      </c>
      <c r="C49" t="s">
        <v>5415</v>
      </c>
    </row>
    <row r="50" spans="1:3" x14ac:dyDescent="0.25">
      <c r="A50">
        <v>6221</v>
      </c>
      <c r="B50" t="s">
        <v>5414</v>
      </c>
      <c r="C50" t="s">
        <v>5415</v>
      </c>
    </row>
    <row r="51" spans="1:3" x14ac:dyDescent="0.25">
      <c r="A51">
        <v>6239</v>
      </c>
      <c r="B51" t="s">
        <v>5414</v>
      </c>
      <c r="C51" t="s">
        <v>5415</v>
      </c>
    </row>
    <row r="52" spans="1:3" x14ac:dyDescent="0.25">
      <c r="A52">
        <v>7211</v>
      </c>
      <c r="B52" t="s">
        <v>5414</v>
      </c>
      <c r="C52" t="s">
        <v>5415</v>
      </c>
    </row>
    <row r="53" spans="1:3" x14ac:dyDescent="0.25">
      <c r="A53">
        <v>8123</v>
      </c>
      <c r="B53" t="s">
        <v>5414</v>
      </c>
      <c r="C53" t="s">
        <v>5415</v>
      </c>
    </row>
    <row r="54" spans="1:3" x14ac:dyDescent="0.25">
      <c r="A54">
        <v>9211</v>
      </c>
      <c r="B54" t="s">
        <v>5414</v>
      </c>
      <c r="C54" t="s">
        <v>5415</v>
      </c>
    </row>
    <row r="55" spans="1:3" x14ac:dyDescent="0.25">
      <c r="A55">
        <v>11232</v>
      </c>
      <c r="B55" t="s">
        <v>5416</v>
      </c>
      <c r="C55" t="s">
        <v>5417</v>
      </c>
    </row>
    <row r="56" spans="1:3" x14ac:dyDescent="0.25">
      <c r="A56">
        <v>11521</v>
      </c>
      <c r="B56" t="s">
        <v>5416</v>
      </c>
      <c r="C56" t="s">
        <v>5417</v>
      </c>
    </row>
    <row r="57" spans="1:3" x14ac:dyDescent="0.25">
      <c r="A57">
        <v>11531</v>
      </c>
      <c r="B57" t="s">
        <v>5416</v>
      </c>
      <c r="C57" t="s">
        <v>5417</v>
      </c>
    </row>
    <row r="58" spans="1:3" x14ac:dyDescent="0.25">
      <c r="A58">
        <v>21112</v>
      </c>
      <c r="B58" t="s">
        <v>5373</v>
      </c>
      <c r="C58" t="s">
        <v>5374</v>
      </c>
    </row>
    <row r="59" spans="1:3" x14ac:dyDescent="0.25">
      <c r="A59">
        <v>21113</v>
      </c>
      <c r="B59" t="s">
        <v>5373</v>
      </c>
      <c r="C59" t="s">
        <v>5374</v>
      </c>
    </row>
    <row r="60" spans="1:3" x14ac:dyDescent="0.25">
      <c r="A60">
        <v>21211</v>
      </c>
      <c r="B60" t="s">
        <v>5375</v>
      </c>
      <c r="C60" t="s">
        <v>5376</v>
      </c>
    </row>
    <row r="61" spans="1:3" x14ac:dyDescent="0.25">
      <c r="A61">
        <v>21223</v>
      </c>
      <c r="B61" t="s">
        <v>5375</v>
      </c>
      <c r="C61" t="s">
        <v>5376</v>
      </c>
    </row>
    <row r="62" spans="1:3" x14ac:dyDescent="0.25">
      <c r="A62">
        <v>21231</v>
      </c>
      <c r="B62" t="s">
        <v>5375</v>
      </c>
      <c r="C62" t="s">
        <v>5376</v>
      </c>
    </row>
    <row r="63" spans="1:3" x14ac:dyDescent="0.25">
      <c r="A63">
        <v>21232</v>
      </c>
      <c r="B63" t="s">
        <v>5375</v>
      </c>
      <c r="C63" t="s">
        <v>5376</v>
      </c>
    </row>
    <row r="64" spans="1:3" x14ac:dyDescent="0.25">
      <c r="A64">
        <v>22111</v>
      </c>
      <c r="B64" t="s">
        <v>5377</v>
      </c>
      <c r="C64" t="s">
        <v>5378</v>
      </c>
    </row>
    <row r="65" spans="1:3" x14ac:dyDescent="0.25">
      <c r="A65">
        <v>22112</v>
      </c>
      <c r="B65" t="s">
        <v>5377</v>
      </c>
      <c r="C65" t="s">
        <v>5378</v>
      </c>
    </row>
    <row r="66" spans="1:3" x14ac:dyDescent="0.25">
      <c r="A66">
        <v>22121</v>
      </c>
      <c r="B66" t="s">
        <v>5377</v>
      </c>
      <c r="C66" t="s">
        <v>5378</v>
      </c>
    </row>
    <row r="67" spans="1:3" x14ac:dyDescent="0.25">
      <c r="A67">
        <v>22131</v>
      </c>
      <c r="B67" t="s">
        <v>5377</v>
      </c>
      <c r="C67" t="s">
        <v>5378</v>
      </c>
    </row>
    <row r="68" spans="1:3" x14ac:dyDescent="0.25">
      <c r="A68">
        <v>22132</v>
      </c>
      <c r="B68" t="s">
        <v>5377</v>
      </c>
      <c r="C68" t="s">
        <v>5378</v>
      </c>
    </row>
    <row r="69" spans="1:3" x14ac:dyDescent="0.25">
      <c r="A69">
        <v>22133</v>
      </c>
      <c r="B69" t="s">
        <v>5377</v>
      </c>
      <c r="C69" t="s">
        <v>5378</v>
      </c>
    </row>
    <row r="70" spans="1:3" x14ac:dyDescent="0.25">
      <c r="A70">
        <v>31123</v>
      </c>
      <c r="B70" t="s">
        <v>5379</v>
      </c>
      <c r="C70" t="s">
        <v>5380</v>
      </c>
    </row>
    <row r="71" spans="1:3" x14ac:dyDescent="0.25">
      <c r="A71">
        <v>31134</v>
      </c>
      <c r="B71" t="s">
        <v>5379</v>
      </c>
      <c r="C71" t="s">
        <v>5380</v>
      </c>
    </row>
    <row r="72" spans="1:3" x14ac:dyDescent="0.25">
      <c r="A72">
        <v>31161</v>
      </c>
      <c r="B72" t="s">
        <v>5379</v>
      </c>
      <c r="C72" t="s">
        <v>5380</v>
      </c>
    </row>
    <row r="73" spans="1:3" x14ac:dyDescent="0.25">
      <c r="A73">
        <v>31171</v>
      </c>
      <c r="B73" t="s">
        <v>5379</v>
      </c>
      <c r="C73" t="s">
        <v>5380</v>
      </c>
    </row>
    <row r="74" spans="1:3" x14ac:dyDescent="0.25">
      <c r="A74">
        <v>31183</v>
      </c>
      <c r="B74" t="s">
        <v>5379</v>
      </c>
      <c r="C74" t="s">
        <v>5380</v>
      </c>
    </row>
    <row r="75" spans="1:3" x14ac:dyDescent="0.25">
      <c r="A75">
        <v>31191</v>
      </c>
      <c r="B75" t="s">
        <v>5379</v>
      </c>
      <c r="C75" t="s">
        <v>5380</v>
      </c>
    </row>
    <row r="76" spans="1:3" x14ac:dyDescent="0.25">
      <c r="A76">
        <v>31192</v>
      </c>
      <c r="B76" t="s">
        <v>5379</v>
      </c>
      <c r="C76" t="s">
        <v>5380</v>
      </c>
    </row>
    <row r="77" spans="1:3" x14ac:dyDescent="0.25">
      <c r="A77">
        <v>31193</v>
      </c>
      <c r="B77" t="s">
        <v>5379</v>
      </c>
      <c r="C77" t="s">
        <v>5380</v>
      </c>
    </row>
    <row r="78" spans="1:3" x14ac:dyDescent="0.25">
      <c r="A78">
        <v>31194</v>
      </c>
      <c r="B78" t="s">
        <v>5379</v>
      </c>
      <c r="C78" t="s">
        <v>5380</v>
      </c>
    </row>
    <row r="79" spans="1:3" x14ac:dyDescent="0.25">
      <c r="A79">
        <v>31199</v>
      </c>
      <c r="B79" t="s">
        <v>5379</v>
      </c>
      <c r="C79" t="s">
        <v>5380</v>
      </c>
    </row>
    <row r="80" spans="1:3" x14ac:dyDescent="0.25">
      <c r="A80">
        <v>31212</v>
      </c>
      <c r="B80" t="s">
        <v>5379</v>
      </c>
      <c r="C80" t="s">
        <v>5380</v>
      </c>
    </row>
    <row r="81" spans="1:3" x14ac:dyDescent="0.25">
      <c r="A81">
        <v>31214</v>
      </c>
      <c r="B81" t="s">
        <v>5379</v>
      </c>
      <c r="C81" t="s">
        <v>5380</v>
      </c>
    </row>
    <row r="82" spans="1:3" x14ac:dyDescent="0.25">
      <c r="A82">
        <v>31321</v>
      </c>
      <c r="B82" t="s">
        <v>5381</v>
      </c>
      <c r="C82" t="s">
        <v>5382</v>
      </c>
    </row>
    <row r="83" spans="1:3" x14ac:dyDescent="0.25">
      <c r="A83">
        <v>31323</v>
      </c>
      <c r="B83" t="s">
        <v>5381</v>
      </c>
      <c r="C83" t="s">
        <v>5382</v>
      </c>
    </row>
    <row r="84" spans="1:3" x14ac:dyDescent="0.25">
      <c r="A84">
        <v>31331</v>
      </c>
      <c r="B84" t="s">
        <v>5381</v>
      </c>
      <c r="C84" t="s">
        <v>5382</v>
      </c>
    </row>
    <row r="85" spans="1:3" x14ac:dyDescent="0.25">
      <c r="A85">
        <v>31332</v>
      </c>
      <c r="B85" t="s">
        <v>5381</v>
      </c>
      <c r="C85" t="s">
        <v>5382</v>
      </c>
    </row>
    <row r="86" spans="1:3" x14ac:dyDescent="0.25">
      <c r="A86">
        <v>31411</v>
      </c>
      <c r="B86" t="s">
        <v>5381</v>
      </c>
      <c r="C86" t="s">
        <v>5382</v>
      </c>
    </row>
    <row r="87" spans="1:3" x14ac:dyDescent="0.25">
      <c r="A87">
        <v>31499</v>
      </c>
      <c r="B87" t="s">
        <v>5381</v>
      </c>
      <c r="C87" t="s">
        <v>5382</v>
      </c>
    </row>
    <row r="88" spans="1:3" x14ac:dyDescent="0.25">
      <c r="A88">
        <v>31611</v>
      </c>
      <c r="B88" t="s">
        <v>5381</v>
      </c>
      <c r="C88" t="s">
        <v>5382</v>
      </c>
    </row>
    <row r="89" spans="1:3" x14ac:dyDescent="0.25">
      <c r="A89">
        <v>32111</v>
      </c>
      <c r="B89" t="s">
        <v>5383</v>
      </c>
      <c r="C89" t="s">
        <v>5384</v>
      </c>
    </row>
    <row r="90" spans="1:3" x14ac:dyDescent="0.25">
      <c r="A90">
        <v>32121</v>
      </c>
      <c r="B90" t="s">
        <v>5383</v>
      </c>
      <c r="C90" t="s">
        <v>5384</v>
      </c>
    </row>
    <row r="91" spans="1:3" x14ac:dyDescent="0.25">
      <c r="A91">
        <v>32191</v>
      </c>
      <c r="B91" t="s">
        <v>5383</v>
      </c>
      <c r="C91" t="s">
        <v>5384</v>
      </c>
    </row>
    <row r="92" spans="1:3" x14ac:dyDescent="0.25">
      <c r="A92">
        <v>32192</v>
      </c>
      <c r="B92" t="s">
        <v>5383</v>
      </c>
      <c r="C92" t="s">
        <v>5384</v>
      </c>
    </row>
    <row r="93" spans="1:3" x14ac:dyDescent="0.25">
      <c r="A93">
        <v>32199</v>
      </c>
      <c r="B93" t="s">
        <v>5383</v>
      </c>
      <c r="C93" t="s">
        <v>5384</v>
      </c>
    </row>
    <row r="94" spans="1:3" x14ac:dyDescent="0.25">
      <c r="A94">
        <v>32211</v>
      </c>
      <c r="B94" t="s">
        <v>5385</v>
      </c>
      <c r="C94" t="s">
        <v>5386</v>
      </c>
    </row>
    <row r="95" spans="1:3" x14ac:dyDescent="0.25">
      <c r="A95">
        <v>32212</v>
      </c>
      <c r="B95" t="s">
        <v>5385</v>
      </c>
      <c r="C95" t="s">
        <v>5386</v>
      </c>
    </row>
    <row r="96" spans="1:3" x14ac:dyDescent="0.25">
      <c r="A96">
        <v>32213</v>
      </c>
      <c r="B96" t="s">
        <v>5385</v>
      </c>
      <c r="C96" t="s">
        <v>5386</v>
      </c>
    </row>
    <row r="97" spans="1:3" x14ac:dyDescent="0.25">
      <c r="A97">
        <v>32222</v>
      </c>
      <c r="B97" t="s">
        <v>5385</v>
      </c>
      <c r="C97" t="s">
        <v>5386</v>
      </c>
    </row>
    <row r="98" spans="1:3" x14ac:dyDescent="0.25">
      <c r="A98">
        <v>32311</v>
      </c>
      <c r="B98" t="s">
        <v>5387</v>
      </c>
      <c r="C98" t="s">
        <v>5388</v>
      </c>
    </row>
    <row r="99" spans="1:3" x14ac:dyDescent="0.25">
      <c r="A99">
        <v>32411</v>
      </c>
      <c r="B99" t="s">
        <v>5418</v>
      </c>
      <c r="C99" t="s">
        <v>2770</v>
      </c>
    </row>
    <row r="100" spans="1:3" x14ac:dyDescent="0.25">
      <c r="A100">
        <v>32412</v>
      </c>
      <c r="B100" t="s">
        <v>5419</v>
      </c>
      <c r="C100" t="s">
        <v>5420</v>
      </c>
    </row>
    <row r="101" spans="1:3" x14ac:dyDescent="0.25">
      <c r="A101">
        <v>32512</v>
      </c>
      <c r="B101" t="s">
        <v>5421</v>
      </c>
      <c r="C101" t="s">
        <v>2776</v>
      </c>
    </row>
    <row r="102" spans="1:3" x14ac:dyDescent="0.25">
      <c r="A102">
        <v>32513</v>
      </c>
      <c r="B102" t="s">
        <v>5422</v>
      </c>
      <c r="C102" t="s">
        <v>2777</v>
      </c>
    </row>
    <row r="103" spans="1:3" x14ac:dyDescent="0.25">
      <c r="A103">
        <v>32518</v>
      </c>
      <c r="B103" t="s">
        <v>5423</v>
      </c>
      <c r="C103" t="s">
        <v>5424</v>
      </c>
    </row>
    <row r="104" spans="1:3" x14ac:dyDescent="0.25">
      <c r="A104">
        <v>32519</v>
      </c>
      <c r="B104" t="s">
        <v>5425</v>
      </c>
      <c r="C104" t="s">
        <v>1171</v>
      </c>
    </row>
    <row r="105" spans="1:3" x14ac:dyDescent="0.25">
      <c r="A105">
        <v>32521</v>
      </c>
      <c r="B105" t="s">
        <v>5426</v>
      </c>
      <c r="C105" t="s">
        <v>5427</v>
      </c>
    </row>
    <row r="106" spans="1:3" x14ac:dyDescent="0.25">
      <c r="A106">
        <v>32532</v>
      </c>
      <c r="B106" t="s">
        <v>5428</v>
      </c>
      <c r="C106" t="s">
        <v>5429</v>
      </c>
    </row>
    <row r="107" spans="1:3" x14ac:dyDescent="0.25">
      <c r="A107">
        <v>32551</v>
      </c>
      <c r="B107" t="s">
        <v>5430</v>
      </c>
      <c r="C107" t="s">
        <v>2793</v>
      </c>
    </row>
    <row r="108" spans="1:3" x14ac:dyDescent="0.25">
      <c r="A108">
        <v>32552</v>
      </c>
      <c r="B108" t="s">
        <v>5431</v>
      </c>
      <c r="C108" t="s">
        <v>2794</v>
      </c>
    </row>
    <row r="109" spans="1:3" x14ac:dyDescent="0.25">
      <c r="A109">
        <v>32562</v>
      </c>
      <c r="B109" t="s">
        <v>5432</v>
      </c>
      <c r="C109" t="s">
        <v>5433</v>
      </c>
    </row>
    <row r="110" spans="1:3" x14ac:dyDescent="0.25">
      <c r="A110">
        <v>32591</v>
      </c>
      <c r="B110" t="s">
        <v>5434</v>
      </c>
      <c r="C110" t="s">
        <v>2799</v>
      </c>
    </row>
    <row r="111" spans="1:3" x14ac:dyDescent="0.25">
      <c r="A111">
        <v>32592</v>
      </c>
      <c r="B111" t="s">
        <v>5435</v>
      </c>
      <c r="C111" t="s">
        <v>2800</v>
      </c>
    </row>
    <row r="112" spans="1:3" x14ac:dyDescent="0.25">
      <c r="A112">
        <v>32612</v>
      </c>
      <c r="B112" t="s">
        <v>5394</v>
      </c>
      <c r="C112" t="s">
        <v>5395</v>
      </c>
    </row>
    <row r="113" spans="1:3" x14ac:dyDescent="0.25">
      <c r="A113">
        <v>32613</v>
      </c>
      <c r="B113" t="s">
        <v>5394</v>
      </c>
      <c r="C113" t="s">
        <v>5395</v>
      </c>
    </row>
    <row r="114" spans="1:3" x14ac:dyDescent="0.25">
      <c r="A114">
        <v>32614</v>
      </c>
      <c r="B114" t="s">
        <v>5394</v>
      </c>
      <c r="C114" t="s">
        <v>5395</v>
      </c>
    </row>
    <row r="115" spans="1:3" x14ac:dyDescent="0.25">
      <c r="A115">
        <v>32615</v>
      </c>
      <c r="B115" t="s">
        <v>5394</v>
      </c>
      <c r="C115" t="s">
        <v>5395</v>
      </c>
    </row>
    <row r="116" spans="1:3" x14ac:dyDescent="0.25">
      <c r="A116">
        <v>32619</v>
      </c>
      <c r="B116" t="s">
        <v>5394</v>
      </c>
      <c r="C116" t="s">
        <v>5395</v>
      </c>
    </row>
    <row r="117" spans="1:3" x14ac:dyDescent="0.25">
      <c r="A117">
        <v>32622</v>
      </c>
      <c r="B117" t="s">
        <v>5436</v>
      </c>
      <c r="C117" t="s">
        <v>5437</v>
      </c>
    </row>
    <row r="118" spans="1:3" x14ac:dyDescent="0.25">
      <c r="A118">
        <v>32712</v>
      </c>
      <c r="B118" t="s">
        <v>5396</v>
      </c>
      <c r="C118" t="s">
        <v>5397</v>
      </c>
    </row>
    <row r="119" spans="1:3" x14ac:dyDescent="0.25">
      <c r="A119">
        <v>32731</v>
      </c>
      <c r="B119" t="s">
        <v>5396</v>
      </c>
      <c r="C119" t="s">
        <v>5397</v>
      </c>
    </row>
    <row r="120" spans="1:3" x14ac:dyDescent="0.25">
      <c r="A120">
        <v>32732</v>
      </c>
      <c r="B120" t="s">
        <v>5396</v>
      </c>
      <c r="C120" t="s">
        <v>5397</v>
      </c>
    </row>
    <row r="121" spans="1:3" x14ac:dyDescent="0.25">
      <c r="A121">
        <v>32733</v>
      </c>
      <c r="B121" t="s">
        <v>5396</v>
      </c>
      <c r="C121" t="s">
        <v>5397</v>
      </c>
    </row>
    <row r="122" spans="1:3" x14ac:dyDescent="0.25">
      <c r="A122">
        <v>32739</v>
      </c>
      <c r="B122" t="s">
        <v>5396</v>
      </c>
      <c r="C122" t="s">
        <v>5397</v>
      </c>
    </row>
    <row r="123" spans="1:3" x14ac:dyDescent="0.25">
      <c r="A123">
        <v>32741</v>
      </c>
      <c r="B123" t="s">
        <v>5396</v>
      </c>
      <c r="C123" t="s">
        <v>5397</v>
      </c>
    </row>
    <row r="124" spans="1:3" x14ac:dyDescent="0.25">
      <c r="A124">
        <v>32742</v>
      </c>
      <c r="B124" t="s">
        <v>5396</v>
      </c>
      <c r="C124" t="s">
        <v>5397</v>
      </c>
    </row>
    <row r="125" spans="1:3" x14ac:dyDescent="0.25">
      <c r="A125">
        <v>32791</v>
      </c>
      <c r="B125" t="s">
        <v>5396</v>
      </c>
      <c r="C125" t="s">
        <v>5397</v>
      </c>
    </row>
    <row r="126" spans="1:3" x14ac:dyDescent="0.25">
      <c r="A126">
        <v>32799</v>
      </c>
      <c r="B126" t="s">
        <v>5396</v>
      </c>
      <c r="C126" t="s">
        <v>5397</v>
      </c>
    </row>
    <row r="127" spans="1:3" x14ac:dyDescent="0.25">
      <c r="A127">
        <v>33111</v>
      </c>
      <c r="B127" t="s">
        <v>5398</v>
      </c>
      <c r="C127" t="s">
        <v>5399</v>
      </c>
    </row>
    <row r="128" spans="1:3" x14ac:dyDescent="0.25">
      <c r="A128">
        <v>33121</v>
      </c>
      <c r="B128" t="s">
        <v>5398</v>
      </c>
      <c r="C128" t="s">
        <v>5399</v>
      </c>
    </row>
    <row r="129" spans="1:3" x14ac:dyDescent="0.25">
      <c r="A129">
        <v>33131</v>
      </c>
      <c r="B129" t="s">
        <v>5398</v>
      </c>
      <c r="C129" t="s">
        <v>5399</v>
      </c>
    </row>
    <row r="130" spans="1:3" x14ac:dyDescent="0.25">
      <c r="A130">
        <v>33141</v>
      </c>
      <c r="B130" t="s">
        <v>5398</v>
      </c>
      <c r="C130" t="s">
        <v>5399</v>
      </c>
    </row>
    <row r="131" spans="1:3" x14ac:dyDescent="0.25">
      <c r="A131">
        <v>33142</v>
      </c>
      <c r="B131" t="s">
        <v>5398</v>
      </c>
      <c r="C131" t="s">
        <v>5399</v>
      </c>
    </row>
    <row r="132" spans="1:3" x14ac:dyDescent="0.25">
      <c r="A132">
        <v>33151</v>
      </c>
      <c r="B132" t="s">
        <v>5398</v>
      </c>
      <c r="C132" t="s">
        <v>5399</v>
      </c>
    </row>
    <row r="133" spans="1:3" x14ac:dyDescent="0.25">
      <c r="A133">
        <v>33211</v>
      </c>
      <c r="B133" t="s">
        <v>5400</v>
      </c>
      <c r="C133" t="s">
        <v>5401</v>
      </c>
    </row>
    <row r="134" spans="1:3" x14ac:dyDescent="0.25">
      <c r="A134">
        <v>33221</v>
      </c>
      <c r="B134" t="s">
        <v>5400</v>
      </c>
      <c r="C134" t="s">
        <v>5401</v>
      </c>
    </row>
    <row r="135" spans="1:3" x14ac:dyDescent="0.25">
      <c r="A135">
        <v>33242</v>
      </c>
      <c r="B135" t="s">
        <v>5400</v>
      </c>
      <c r="C135" t="s">
        <v>5401</v>
      </c>
    </row>
    <row r="136" spans="1:3" x14ac:dyDescent="0.25">
      <c r="A136">
        <v>33251</v>
      </c>
      <c r="B136" t="s">
        <v>5400</v>
      </c>
      <c r="C136" t="s">
        <v>5401</v>
      </c>
    </row>
    <row r="137" spans="1:3" x14ac:dyDescent="0.25">
      <c r="A137">
        <v>33299</v>
      </c>
      <c r="B137" t="s">
        <v>5400</v>
      </c>
      <c r="C137" t="s">
        <v>5401</v>
      </c>
    </row>
    <row r="138" spans="1:3" x14ac:dyDescent="0.25">
      <c r="A138">
        <v>33312</v>
      </c>
      <c r="B138" t="s">
        <v>5402</v>
      </c>
      <c r="C138" t="s">
        <v>5403</v>
      </c>
    </row>
    <row r="139" spans="1:3" x14ac:dyDescent="0.25">
      <c r="A139">
        <v>33324</v>
      </c>
      <c r="B139" t="s">
        <v>5402</v>
      </c>
      <c r="C139" t="s">
        <v>5403</v>
      </c>
    </row>
    <row r="140" spans="1:3" x14ac:dyDescent="0.25">
      <c r="A140">
        <v>33331</v>
      </c>
      <c r="B140" t="s">
        <v>5402</v>
      </c>
      <c r="C140" t="s">
        <v>5403</v>
      </c>
    </row>
    <row r="141" spans="1:3" x14ac:dyDescent="0.25">
      <c r="A141">
        <v>33361</v>
      </c>
      <c r="B141" t="s">
        <v>5402</v>
      </c>
      <c r="C141" t="s">
        <v>5403</v>
      </c>
    </row>
    <row r="142" spans="1:3" x14ac:dyDescent="0.25">
      <c r="A142">
        <v>33421</v>
      </c>
      <c r="B142" t="s">
        <v>5406</v>
      </c>
      <c r="C142" t="s">
        <v>5407</v>
      </c>
    </row>
    <row r="143" spans="1:3" x14ac:dyDescent="0.25">
      <c r="A143">
        <v>33422</v>
      </c>
      <c r="B143" t="s">
        <v>5406</v>
      </c>
      <c r="C143" t="s">
        <v>5407</v>
      </c>
    </row>
    <row r="144" spans="1:3" x14ac:dyDescent="0.25">
      <c r="A144">
        <v>33431</v>
      </c>
      <c r="B144" t="s">
        <v>5406</v>
      </c>
      <c r="C144" t="s">
        <v>5407</v>
      </c>
    </row>
    <row r="145" spans="1:3" x14ac:dyDescent="0.25">
      <c r="A145">
        <v>33451</v>
      </c>
      <c r="B145" t="s">
        <v>5406</v>
      </c>
      <c r="C145" t="s">
        <v>5407</v>
      </c>
    </row>
    <row r="146" spans="1:3" x14ac:dyDescent="0.25">
      <c r="A146">
        <v>33521</v>
      </c>
      <c r="B146" t="s">
        <v>5438</v>
      </c>
      <c r="C146" t="s">
        <v>5439</v>
      </c>
    </row>
    <row r="147" spans="1:3" x14ac:dyDescent="0.25">
      <c r="A147">
        <v>33522</v>
      </c>
      <c r="B147" t="s">
        <v>5438</v>
      </c>
      <c r="C147" t="s">
        <v>5439</v>
      </c>
    </row>
    <row r="148" spans="1:3" x14ac:dyDescent="0.25">
      <c r="A148">
        <v>33531</v>
      </c>
      <c r="B148" t="s">
        <v>5438</v>
      </c>
      <c r="C148" t="s">
        <v>5439</v>
      </c>
    </row>
    <row r="149" spans="1:3" x14ac:dyDescent="0.25">
      <c r="A149">
        <v>33612</v>
      </c>
      <c r="B149" t="s">
        <v>5408</v>
      </c>
      <c r="C149" t="s">
        <v>5409</v>
      </c>
    </row>
    <row r="150" spans="1:3" x14ac:dyDescent="0.25">
      <c r="A150">
        <v>33633</v>
      </c>
      <c r="B150" t="s">
        <v>5408</v>
      </c>
      <c r="C150" t="s">
        <v>5409</v>
      </c>
    </row>
    <row r="151" spans="1:3" x14ac:dyDescent="0.25">
      <c r="A151">
        <v>33634</v>
      </c>
      <c r="B151" t="s">
        <v>5408</v>
      </c>
      <c r="C151" t="s">
        <v>5409</v>
      </c>
    </row>
    <row r="152" spans="1:3" x14ac:dyDescent="0.25">
      <c r="A152">
        <v>33635</v>
      </c>
      <c r="B152" t="s">
        <v>5408</v>
      </c>
      <c r="C152" t="s">
        <v>5409</v>
      </c>
    </row>
    <row r="153" spans="1:3" x14ac:dyDescent="0.25">
      <c r="A153">
        <v>33636</v>
      </c>
      <c r="B153" t="s">
        <v>5408</v>
      </c>
      <c r="C153" t="s">
        <v>5409</v>
      </c>
    </row>
    <row r="154" spans="1:3" x14ac:dyDescent="0.25">
      <c r="A154">
        <v>33637</v>
      </c>
      <c r="B154" t="s">
        <v>5408</v>
      </c>
      <c r="C154" t="s">
        <v>5409</v>
      </c>
    </row>
    <row r="155" spans="1:3" x14ac:dyDescent="0.25">
      <c r="A155">
        <v>33639</v>
      </c>
      <c r="B155" t="s">
        <v>5408</v>
      </c>
      <c r="C155" t="s">
        <v>5409</v>
      </c>
    </row>
    <row r="156" spans="1:3" x14ac:dyDescent="0.25">
      <c r="A156">
        <v>33641</v>
      </c>
      <c r="B156" t="s">
        <v>5408</v>
      </c>
      <c r="C156" t="s">
        <v>5409</v>
      </c>
    </row>
    <row r="157" spans="1:3" x14ac:dyDescent="0.25">
      <c r="A157">
        <v>33651</v>
      </c>
      <c r="B157" t="s">
        <v>5408</v>
      </c>
      <c r="C157" t="s">
        <v>5409</v>
      </c>
    </row>
    <row r="158" spans="1:3" x14ac:dyDescent="0.25">
      <c r="A158">
        <v>33711</v>
      </c>
      <c r="B158" t="s">
        <v>5410</v>
      </c>
      <c r="C158" t="s">
        <v>5411</v>
      </c>
    </row>
    <row r="159" spans="1:3" x14ac:dyDescent="0.25">
      <c r="A159">
        <v>33712</v>
      </c>
      <c r="B159" t="s">
        <v>5410</v>
      </c>
      <c r="C159" t="s">
        <v>5411</v>
      </c>
    </row>
    <row r="160" spans="1:3" x14ac:dyDescent="0.25">
      <c r="A160">
        <v>33721</v>
      </c>
      <c r="B160" t="s">
        <v>5410</v>
      </c>
      <c r="C160" t="s">
        <v>5411</v>
      </c>
    </row>
    <row r="161" spans="1:3" x14ac:dyDescent="0.25">
      <c r="A161">
        <v>33911</v>
      </c>
      <c r="B161" t="s">
        <v>5404</v>
      </c>
      <c r="C161" t="s">
        <v>5405</v>
      </c>
    </row>
    <row r="162" spans="1:3" x14ac:dyDescent="0.25">
      <c r="A162">
        <v>33991</v>
      </c>
      <c r="B162" t="s">
        <v>5404</v>
      </c>
      <c r="C162" t="s">
        <v>5405</v>
      </c>
    </row>
    <row r="163" spans="1:3" x14ac:dyDescent="0.25">
      <c r="A163">
        <v>33993</v>
      </c>
      <c r="B163" t="s">
        <v>5404</v>
      </c>
      <c r="C163" t="s">
        <v>5405</v>
      </c>
    </row>
    <row r="164" spans="1:3" x14ac:dyDescent="0.25">
      <c r="A164">
        <v>33994</v>
      </c>
      <c r="B164" t="s">
        <v>5404</v>
      </c>
      <c r="C164" t="s">
        <v>5405</v>
      </c>
    </row>
    <row r="165" spans="1:3" x14ac:dyDescent="0.25">
      <c r="A165">
        <v>33995</v>
      </c>
      <c r="B165" t="s">
        <v>5404</v>
      </c>
      <c r="C165" t="s">
        <v>5405</v>
      </c>
    </row>
    <row r="166" spans="1:3" x14ac:dyDescent="0.25">
      <c r="A166">
        <v>33999</v>
      </c>
      <c r="B166" t="s">
        <v>5404</v>
      </c>
      <c r="C166" t="s">
        <v>5405</v>
      </c>
    </row>
    <row r="167" spans="1:3" x14ac:dyDescent="0.25">
      <c r="A167">
        <v>42312</v>
      </c>
      <c r="B167" t="s">
        <v>5412</v>
      </c>
      <c r="C167" t="s">
        <v>5413</v>
      </c>
    </row>
    <row r="168" spans="1:3" x14ac:dyDescent="0.25">
      <c r="A168">
        <v>42331</v>
      </c>
      <c r="B168" t="s">
        <v>5412</v>
      </c>
      <c r="C168" t="s">
        <v>5413</v>
      </c>
    </row>
    <row r="169" spans="1:3" x14ac:dyDescent="0.25">
      <c r="A169">
        <v>42332</v>
      </c>
      <c r="B169" t="s">
        <v>5412</v>
      </c>
      <c r="C169" t="s">
        <v>5413</v>
      </c>
    </row>
    <row r="170" spans="1:3" x14ac:dyDescent="0.25">
      <c r="A170">
        <v>42352</v>
      </c>
      <c r="B170" t="s">
        <v>5412</v>
      </c>
      <c r="C170" t="s">
        <v>5413</v>
      </c>
    </row>
    <row r="171" spans="1:3" x14ac:dyDescent="0.25">
      <c r="A171">
        <v>42393</v>
      </c>
      <c r="B171" t="s">
        <v>5412</v>
      </c>
      <c r="C171" t="s">
        <v>5413</v>
      </c>
    </row>
    <row r="172" spans="1:3" x14ac:dyDescent="0.25">
      <c r="A172">
        <v>42451</v>
      </c>
      <c r="B172" t="s">
        <v>5412</v>
      </c>
      <c r="C172" t="s">
        <v>5413</v>
      </c>
    </row>
    <row r="173" spans="1:3" x14ac:dyDescent="0.25">
      <c r="A173">
        <v>42469</v>
      </c>
      <c r="B173" t="s">
        <v>5412</v>
      </c>
      <c r="C173" t="s">
        <v>5413</v>
      </c>
    </row>
    <row r="174" spans="1:3" x14ac:dyDescent="0.25">
      <c r="A174">
        <v>42471</v>
      </c>
      <c r="B174" t="s">
        <v>5412</v>
      </c>
      <c r="C174" t="s">
        <v>5413</v>
      </c>
    </row>
    <row r="175" spans="1:3" x14ac:dyDescent="0.25">
      <c r="A175">
        <v>42482</v>
      </c>
      <c r="B175" t="s">
        <v>5412</v>
      </c>
      <c r="C175" t="s">
        <v>5413</v>
      </c>
    </row>
    <row r="176" spans="1:3" x14ac:dyDescent="0.25">
      <c r="A176">
        <v>42512</v>
      </c>
      <c r="B176" t="s">
        <v>5412</v>
      </c>
      <c r="C176" t="s">
        <v>5413</v>
      </c>
    </row>
    <row r="177" spans="1:3" x14ac:dyDescent="0.25">
      <c r="A177">
        <v>44419</v>
      </c>
      <c r="B177" t="s">
        <v>5412</v>
      </c>
      <c r="C177" t="s">
        <v>5413</v>
      </c>
    </row>
    <row r="178" spans="1:3" x14ac:dyDescent="0.25">
      <c r="A178">
        <v>44611</v>
      </c>
      <c r="B178" t="s">
        <v>5412</v>
      </c>
      <c r="C178" t="s">
        <v>5413</v>
      </c>
    </row>
    <row r="179" spans="1:3" x14ac:dyDescent="0.25">
      <c r="A179">
        <v>44831</v>
      </c>
      <c r="B179" t="s">
        <v>5412</v>
      </c>
      <c r="C179" t="s">
        <v>5413</v>
      </c>
    </row>
    <row r="180" spans="1:3" x14ac:dyDescent="0.25">
      <c r="A180">
        <v>45431</v>
      </c>
      <c r="B180" t="s">
        <v>5412</v>
      </c>
      <c r="C180" t="s">
        <v>5413</v>
      </c>
    </row>
    <row r="181" spans="1:3" x14ac:dyDescent="0.25">
      <c r="A181">
        <v>48111</v>
      </c>
      <c r="B181" t="s">
        <v>5412</v>
      </c>
      <c r="C181" t="s">
        <v>5413</v>
      </c>
    </row>
    <row r="182" spans="1:3" x14ac:dyDescent="0.25">
      <c r="A182">
        <v>48211</v>
      </c>
      <c r="B182" t="s">
        <v>5412</v>
      </c>
      <c r="C182" t="s">
        <v>5413</v>
      </c>
    </row>
    <row r="183" spans="1:3" x14ac:dyDescent="0.25">
      <c r="A183">
        <v>48411</v>
      </c>
      <c r="B183" t="s">
        <v>5412</v>
      </c>
      <c r="C183" t="s">
        <v>5413</v>
      </c>
    </row>
    <row r="184" spans="1:3" x14ac:dyDescent="0.25">
      <c r="A184">
        <v>48422</v>
      </c>
      <c r="B184" t="s">
        <v>5412</v>
      </c>
      <c r="C184" t="s">
        <v>5413</v>
      </c>
    </row>
    <row r="185" spans="1:3" x14ac:dyDescent="0.25">
      <c r="A185">
        <v>48621</v>
      </c>
      <c r="B185" t="s">
        <v>5412</v>
      </c>
      <c r="C185" t="s">
        <v>5413</v>
      </c>
    </row>
    <row r="186" spans="1:3" x14ac:dyDescent="0.25">
      <c r="A186">
        <v>48691</v>
      </c>
      <c r="B186" t="s">
        <v>5412</v>
      </c>
      <c r="C186" t="s">
        <v>5413</v>
      </c>
    </row>
    <row r="187" spans="1:3" x14ac:dyDescent="0.25">
      <c r="A187">
        <v>48699</v>
      </c>
      <c r="B187" t="s">
        <v>5412</v>
      </c>
      <c r="C187" t="s">
        <v>5413</v>
      </c>
    </row>
    <row r="188" spans="1:3" x14ac:dyDescent="0.25">
      <c r="A188">
        <v>48811</v>
      </c>
      <c r="B188" t="s">
        <v>5412</v>
      </c>
      <c r="C188" t="s">
        <v>5413</v>
      </c>
    </row>
    <row r="189" spans="1:3" x14ac:dyDescent="0.25">
      <c r="A189">
        <v>48819</v>
      </c>
      <c r="B189" t="s">
        <v>5412</v>
      </c>
      <c r="C189" t="s">
        <v>5413</v>
      </c>
    </row>
    <row r="190" spans="1:3" x14ac:dyDescent="0.25">
      <c r="A190">
        <v>48821</v>
      </c>
      <c r="B190" t="s">
        <v>5412</v>
      </c>
      <c r="C190" t="s">
        <v>5413</v>
      </c>
    </row>
    <row r="191" spans="1:3" x14ac:dyDescent="0.25">
      <c r="A191">
        <v>48831</v>
      </c>
      <c r="B191" t="s">
        <v>5412</v>
      </c>
      <c r="C191" t="s">
        <v>5413</v>
      </c>
    </row>
    <row r="192" spans="1:3" x14ac:dyDescent="0.25">
      <c r="A192">
        <v>48832</v>
      </c>
      <c r="B192" t="s">
        <v>5412</v>
      </c>
      <c r="C192" t="s">
        <v>5413</v>
      </c>
    </row>
    <row r="193" spans="1:3" x14ac:dyDescent="0.25">
      <c r="A193">
        <v>48849</v>
      </c>
      <c r="B193" t="s">
        <v>5412</v>
      </c>
      <c r="C193" t="s">
        <v>5413</v>
      </c>
    </row>
    <row r="194" spans="1:3" x14ac:dyDescent="0.25">
      <c r="A194">
        <v>49211</v>
      </c>
      <c r="B194" t="s">
        <v>5412</v>
      </c>
      <c r="C194" t="s">
        <v>5413</v>
      </c>
    </row>
    <row r="195" spans="1:3" x14ac:dyDescent="0.25">
      <c r="A195">
        <v>49311</v>
      </c>
      <c r="B195" t="s">
        <v>5412</v>
      </c>
      <c r="C195" t="s">
        <v>5413</v>
      </c>
    </row>
    <row r="196" spans="1:3" x14ac:dyDescent="0.25">
      <c r="A196">
        <v>49313</v>
      </c>
      <c r="B196" t="s">
        <v>5412</v>
      </c>
      <c r="C196" t="s">
        <v>5413</v>
      </c>
    </row>
    <row r="197" spans="1:3" x14ac:dyDescent="0.25">
      <c r="A197">
        <v>49319</v>
      </c>
      <c r="B197" t="s">
        <v>5412</v>
      </c>
      <c r="C197" t="s">
        <v>5413</v>
      </c>
    </row>
    <row r="198" spans="1:3" x14ac:dyDescent="0.25">
      <c r="A198">
        <v>51111</v>
      </c>
      <c r="B198" t="s">
        <v>5414</v>
      </c>
      <c r="C198" t="s">
        <v>5415</v>
      </c>
    </row>
    <row r="199" spans="1:3" x14ac:dyDescent="0.25">
      <c r="A199">
        <v>51821</v>
      </c>
      <c r="B199" t="s">
        <v>5414</v>
      </c>
      <c r="C199" t="s">
        <v>5415</v>
      </c>
    </row>
    <row r="200" spans="1:3" x14ac:dyDescent="0.25">
      <c r="A200">
        <v>52211</v>
      </c>
      <c r="B200" t="s">
        <v>5414</v>
      </c>
      <c r="C200" t="s">
        <v>5415</v>
      </c>
    </row>
    <row r="201" spans="1:3" x14ac:dyDescent="0.25">
      <c r="A201">
        <v>52212</v>
      </c>
      <c r="B201" t="s">
        <v>5414</v>
      </c>
      <c r="C201" t="s">
        <v>5415</v>
      </c>
    </row>
    <row r="202" spans="1:3" x14ac:dyDescent="0.25">
      <c r="A202">
        <v>52221</v>
      </c>
      <c r="B202" t="s">
        <v>5414</v>
      </c>
      <c r="C202" t="s">
        <v>5415</v>
      </c>
    </row>
    <row r="203" spans="1:3" x14ac:dyDescent="0.25">
      <c r="A203">
        <v>52393</v>
      </c>
      <c r="B203" t="s">
        <v>5414</v>
      </c>
      <c r="C203" t="s">
        <v>5415</v>
      </c>
    </row>
    <row r="204" spans="1:3" x14ac:dyDescent="0.25">
      <c r="A204">
        <v>53111</v>
      </c>
      <c r="B204" t="s">
        <v>5414</v>
      </c>
      <c r="C204" t="s">
        <v>5415</v>
      </c>
    </row>
    <row r="205" spans="1:3" x14ac:dyDescent="0.25">
      <c r="A205">
        <v>53112</v>
      </c>
      <c r="B205" t="s">
        <v>5414</v>
      </c>
      <c r="C205" t="s">
        <v>5415</v>
      </c>
    </row>
    <row r="206" spans="1:3" x14ac:dyDescent="0.25">
      <c r="A206">
        <v>53121</v>
      </c>
      <c r="B206" t="s">
        <v>5414</v>
      </c>
      <c r="C206" t="s">
        <v>5415</v>
      </c>
    </row>
    <row r="207" spans="1:3" x14ac:dyDescent="0.25">
      <c r="A207">
        <v>54138</v>
      </c>
      <c r="B207" t="s">
        <v>5414</v>
      </c>
      <c r="C207" t="s">
        <v>5415</v>
      </c>
    </row>
    <row r="208" spans="1:3" x14ac:dyDescent="0.25">
      <c r="A208">
        <v>54171</v>
      </c>
      <c r="B208" t="s">
        <v>5414</v>
      </c>
      <c r="C208" t="s">
        <v>5415</v>
      </c>
    </row>
    <row r="209" spans="1:3" x14ac:dyDescent="0.25">
      <c r="A209">
        <v>54184</v>
      </c>
      <c r="B209" t="s">
        <v>5414</v>
      </c>
      <c r="C209" t="s">
        <v>5415</v>
      </c>
    </row>
    <row r="210" spans="1:3" x14ac:dyDescent="0.25">
      <c r="A210">
        <v>54191</v>
      </c>
      <c r="B210" t="s">
        <v>5414</v>
      </c>
      <c r="C210" t="s">
        <v>5415</v>
      </c>
    </row>
    <row r="211" spans="1:3" x14ac:dyDescent="0.25">
      <c r="A211">
        <v>54199</v>
      </c>
      <c r="B211" t="s">
        <v>5414</v>
      </c>
      <c r="C211" t="s">
        <v>5415</v>
      </c>
    </row>
    <row r="212" spans="1:3" x14ac:dyDescent="0.25">
      <c r="A212">
        <v>56111</v>
      </c>
      <c r="B212" t="s">
        <v>5414</v>
      </c>
      <c r="C212" t="s">
        <v>5415</v>
      </c>
    </row>
    <row r="213" spans="1:3" x14ac:dyDescent="0.25">
      <c r="A213">
        <v>56173</v>
      </c>
      <c r="B213" t="s">
        <v>5414</v>
      </c>
      <c r="C213" t="s">
        <v>5415</v>
      </c>
    </row>
    <row r="214" spans="1:3" x14ac:dyDescent="0.25">
      <c r="A214">
        <v>56191</v>
      </c>
      <c r="B214" t="s">
        <v>5414</v>
      </c>
      <c r="C214" t="s">
        <v>5415</v>
      </c>
    </row>
    <row r="215" spans="1:3" x14ac:dyDescent="0.25">
      <c r="A215">
        <v>56211</v>
      </c>
      <c r="B215" t="s">
        <v>5414</v>
      </c>
      <c r="C215" t="s">
        <v>5415</v>
      </c>
    </row>
    <row r="216" spans="1:3" x14ac:dyDescent="0.25">
      <c r="A216">
        <v>56292</v>
      </c>
      <c r="B216" t="s">
        <v>5414</v>
      </c>
      <c r="C216" t="s">
        <v>5415</v>
      </c>
    </row>
    <row r="217" spans="1:3" x14ac:dyDescent="0.25">
      <c r="A217">
        <v>61121</v>
      </c>
      <c r="B217" t="s">
        <v>5414</v>
      </c>
      <c r="C217" t="s">
        <v>5415</v>
      </c>
    </row>
    <row r="218" spans="1:3" x14ac:dyDescent="0.25">
      <c r="A218">
        <v>61131</v>
      </c>
      <c r="B218" t="s">
        <v>5414</v>
      </c>
      <c r="C218" t="s">
        <v>5415</v>
      </c>
    </row>
    <row r="219" spans="1:3" x14ac:dyDescent="0.25">
      <c r="A219">
        <v>61171</v>
      </c>
      <c r="B219" t="s">
        <v>5414</v>
      </c>
      <c r="C219" t="s">
        <v>5415</v>
      </c>
    </row>
    <row r="220" spans="1:3" x14ac:dyDescent="0.25">
      <c r="A220">
        <v>62111</v>
      </c>
      <c r="B220" t="s">
        <v>5414</v>
      </c>
      <c r="C220" t="s">
        <v>5415</v>
      </c>
    </row>
    <row r="221" spans="1:3" x14ac:dyDescent="0.25">
      <c r="A221">
        <v>62199</v>
      </c>
      <c r="B221" t="s">
        <v>5414</v>
      </c>
      <c r="C221" t="s">
        <v>5415</v>
      </c>
    </row>
    <row r="222" spans="1:3" x14ac:dyDescent="0.25">
      <c r="A222">
        <v>62211</v>
      </c>
      <c r="B222" t="s">
        <v>5414</v>
      </c>
      <c r="C222" t="s">
        <v>5415</v>
      </c>
    </row>
    <row r="223" spans="1:3" x14ac:dyDescent="0.25">
      <c r="A223">
        <v>62221</v>
      </c>
      <c r="B223" t="s">
        <v>5414</v>
      </c>
      <c r="C223" t="s">
        <v>5415</v>
      </c>
    </row>
    <row r="224" spans="1:3" x14ac:dyDescent="0.25">
      <c r="A224">
        <v>62231</v>
      </c>
      <c r="B224" t="s">
        <v>5414</v>
      </c>
      <c r="C224" t="s">
        <v>5415</v>
      </c>
    </row>
    <row r="225" spans="1:3" x14ac:dyDescent="0.25">
      <c r="A225">
        <v>62311</v>
      </c>
      <c r="B225" t="s">
        <v>5414</v>
      </c>
      <c r="C225" t="s">
        <v>5415</v>
      </c>
    </row>
    <row r="226" spans="1:3" x14ac:dyDescent="0.25">
      <c r="A226">
        <v>62321</v>
      </c>
      <c r="B226" t="s">
        <v>5414</v>
      </c>
      <c r="C226" t="s">
        <v>5415</v>
      </c>
    </row>
    <row r="227" spans="1:3" x14ac:dyDescent="0.25">
      <c r="A227">
        <v>62322</v>
      </c>
      <c r="B227" t="s">
        <v>5414</v>
      </c>
      <c r="C227" t="s">
        <v>5415</v>
      </c>
    </row>
    <row r="228" spans="1:3" x14ac:dyDescent="0.25">
      <c r="A228">
        <v>62422</v>
      </c>
      <c r="B228" t="s">
        <v>5414</v>
      </c>
      <c r="C228" t="s">
        <v>5415</v>
      </c>
    </row>
    <row r="229" spans="1:3" x14ac:dyDescent="0.25">
      <c r="A229">
        <v>71321</v>
      </c>
      <c r="B229" t="s">
        <v>5414</v>
      </c>
      <c r="C229" t="s">
        <v>5415</v>
      </c>
    </row>
    <row r="230" spans="1:3" x14ac:dyDescent="0.25">
      <c r="A230">
        <v>71329</v>
      </c>
      <c r="B230" t="s">
        <v>5414</v>
      </c>
      <c r="C230" t="s">
        <v>5415</v>
      </c>
    </row>
    <row r="231" spans="1:3" x14ac:dyDescent="0.25">
      <c r="A231">
        <v>72111</v>
      </c>
      <c r="B231" t="s">
        <v>5414</v>
      </c>
      <c r="C231" t="s">
        <v>5415</v>
      </c>
    </row>
    <row r="232" spans="1:3" x14ac:dyDescent="0.25">
      <c r="A232">
        <v>72112</v>
      </c>
      <c r="B232" t="s">
        <v>5414</v>
      </c>
      <c r="C232" t="s">
        <v>5415</v>
      </c>
    </row>
    <row r="233" spans="1:3" x14ac:dyDescent="0.25">
      <c r="A233">
        <v>81121</v>
      </c>
      <c r="B233" t="s">
        <v>5414</v>
      </c>
      <c r="C233" t="s">
        <v>5415</v>
      </c>
    </row>
    <row r="234" spans="1:3" x14ac:dyDescent="0.25">
      <c r="A234">
        <v>81131</v>
      </c>
      <c r="B234" t="s">
        <v>5414</v>
      </c>
      <c r="C234" t="s">
        <v>5415</v>
      </c>
    </row>
    <row r="235" spans="1:3" x14ac:dyDescent="0.25">
      <c r="A235">
        <v>81221</v>
      </c>
      <c r="B235" t="s">
        <v>5414</v>
      </c>
      <c r="C235" t="s">
        <v>5415</v>
      </c>
    </row>
    <row r="236" spans="1:3" x14ac:dyDescent="0.25">
      <c r="A236">
        <v>81222</v>
      </c>
      <c r="B236" t="s">
        <v>5414</v>
      </c>
      <c r="C236" t="s">
        <v>5415</v>
      </c>
    </row>
    <row r="237" spans="1:3" x14ac:dyDescent="0.25">
      <c r="A237">
        <v>81232</v>
      </c>
      <c r="B237" t="s">
        <v>5414</v>
      </c>
      <c r="C237" t="s">
        <v>5415</v>
      </c>
    </row>
    <row r="238" spans="1:3" x14ac:dyDescent="0.25">
      <c r="A238">
        <v>92113</v>
      </c>
      <c r="B238" t="s">
        <v>5414</v>
      </c>
      <c r="C238" t="s">
        <v>5415</v>
      </c>
    </row>
    <row r="239" spans="1:3" x14ac:dyDescent="0.25">
      <c r="A239">
        <v>92119</v>
      </c>
      <c r="B239" t="s">
        <v>5414</v>
      </c>
      <c r="C239" t="s">
        <v>5415</v>
      </c>
    </row>
    <row r="240" spans="1:3" x14ac:dyDescent="0.25">
      <c r="A240">
        <v>92211</v>
      </c>
      <c r="B240" t="s">
        <v>5414</v>
      </c>
      <c r="C240" t="s">
        <v>5415</v>
      </c>
    </row>
    <row r="241" spans="1:3" x14ac:dyDescent="0.25">
      <c r="A241">
        <v>92214</v>
      </c>
      <c r="B241" t="s">
        <v>5414</v>
      </c>
      <c r="C241" t="s">
        <v>5415</v>
      </c>
    </row>
    <row r="242" spans="1:3" x14ac:dyDescent="0.25">
      <c r="A242">
        <v>92219</v>
      </c>
      <c r="B242" t="s">
        <v>5414</v>
      </c>
      <c r="C242" t="s">
        <v>5415</v>
      </c>
    </row>
    <row r="243" spans="1:3" x14ac:dyDescent="0.25">
      <c r="A243">
        <v>92312</v>
      </c>
      <c r="B243" t="s">
        <v>5414</v>
      </c>
      <c r="C243" t="s">
        <v>5415</v>
      </c>
    </row>
    <row r="244" spans="1:3" x14ac:dyDescent="0.25">
      <c r="A244">
        <v>92411</v>
      </c>
      <c r="B244" t="s">
        <v>5414</v>
      </c>
      <c r="C244" t="s">
        <v>5415</v>
      </c>
    </row>
    <row r="245" spans="1:3" x14ac:dyDescent="0.25">
      <c r="A245">
        <v>92711</v>
      </c>
      <c r="B245" t="s">
        <v>5414</v>
      </c>
      <c r="C245" t="s">
        <v>5415</v>
      </c>
    </row>
    <row r="246" spans="1:3" x14ac:dyDescent="0.25">
      <c r="A246">
        <v>92811</v>
      </c>
      <c r="B246" t="s">
        <v>5414</v>
      </c>
      <c r="C246" t="s">
        <v>5415</v>
      </c>
    </row>
    <row r="247" spans="1:3" x14ac:dyDescent="0.25">
      <c r="A247">
        <v>111110</v>
      </c>
      <c r="B247" t="s">
        <v>5416</v>
      </c>
      <c r="C247" t="s">
        <v>5417</v>
      </c>
    </row>
    <row r="248" spans="1:3" x14ac:dyDescent="0.25">
      <c r="A248">
        <v>111120</v>
      </c>
      <c r="B248" t="s">
        <v>5416</v>
      </c>
      <c r="C248" t="s">
        <v>5417</v>
      </c>
    </row>
    <row r="249" spans="1:3" x14ac:dyDescent="0.25">
      <c r="A249">
        <v>111130</v>
      </c>
      <c r="B249" t="s">
        <v>5416</v>
      </c>
      <c r="C249" t="s">
        <v>5417</v>
      </c>
    </row>
    <row r="250" spans="1:3" x14ac:dyDescent="0.25">
      <c r="A250">
        <v>111150</v>
      </c>
      <c r="B250" t="s">
        <v>5416</v>
      </c>
      <c r="C250" t="s">
        <v>5417</v>
      </c>
    </row>
    <row r="251" spans="1:3" x14ac:dyDescent="0.25">
      <c r="A251">
        <v>111160</v>
      </c>
      <c r="B251" t="s">
        <v>5416</v>
      </c>
      <c r="C251" t="s">
        <v>5417</v>
      </c>
    </row>
    <row r="252" spans="1:3" x14ac:dyDescent="0.25">
      <c r="A252">
        <v>111191</v>
      </c>
      <c r="B252" t="s">
        <v>5416</v>
      </c>
      <c r="C252" t="s">
        <v>5417</v>
      </c>
    </row>
    <row r="253" spans="1:3" x14ac:dyDescent="0.25">
      <c r="A253">
        <v>111199</v>
      </c>
      <c r="B253" t="s">
        <v>5416</v>
      </c>
      <c r="C253" t="s">
        <v>5417</v>
      </c>
    </row>
    <row r="254" spans="1:3" x14ac:dyDescent="0.25">
      <c r="A254">
        <v>111219</v>
      </c>
      <c r="B254" t="s">
        <v>5416</v>
      </c>
      <c r="C254" t="s">
        <v>5417</v>
      </c>
    </row>
    <row r="255" spans="1:3" x14ac:dyDescent="0.25">
      <c r="A255">
        <v>111332</v>
      </c>
      <c r="B255" t="s">
        <v>5416</v>
      </c>
      <c r="C255" t="s">
        <v>5417</v>
      </c>
    </row>
    <row r="256" spans="1:3" x14ac:dyDescent="0.25">
      <c r="A256">
        <v>111334</v>
      </c>
      <c r="B256" t="s">
        <v>5416</v>
      </c>
      <c r="C256" t="s">
        <v>5417</v>
      </c>
    </row>
    <row r="257" spans="1:3" x14ac:dyDescent="0.25">
      <c r="A257">
        <v>111335</v>
      </c>
      <c r="B257" t="s">
        <v>5416</v>
      </c>
      <c r="C257" t="s">
        <v>5417</v>
      </c>
    </row>
    <row r="258" spans="1:3" x14ac:dyDescent="0.25">
      <c r="A258">
        <v>111339</v>
      </c>
      <c r="B258" t="s">
        <v>5416</v>
      </c>
      <c r="C258" t="s">
        <v>5417</v>
      </c>
    </row>
    <row r="259" spans="1:3" x14ac:dyDescent="0.25">
      <c r="A259">
        <v>111411</v>
      </c>
      <c r="B259" t="s">
        <v>5416</v>
      </c>
      <c r="C259" t="s">
        <v>5417</v>
      </c>
    </row>
    <row r="260" spans="1:3" x14ac:dyDescent="0.25">
      <c r="A260">
        <v>111419</v>
      </c>
      <c r="B260" t="s">
        <v>5416</v>
      </c>
      <c r="C260" t="s">
        <v>5417</v>
      </c>
    </row>
    <row r="261" spans="1:3" x14ac:dyDescent="0.25">
      <c r="A261">
        <v>111421</v>
      </c>
      <c r="B261" t="s">
        <v>5416</v>
      </c>
      <c r="C261" t="s">
        <v>5417</v>
      </c>
    </row>
    <row r="262" spans="1:3" x14ac:dyDescent="0.25">
      <c r="A262">
        <v>111422</v>
      </c>
      <c r="B262" t="s">
        <v>5416</v>
      </c>
      <c r="C262" t="s">
        <v>5417</v>
      </c>
    </row>
    <row r="263" spans="1:3" x14ac:dyDescent="0.25">
      <c r="A263">
        <v>111940</v>
      </c>
      <c r="B263" t="s">
        <v>5416</v>
      </c>
      <c r="C263" t="s">
        <v>5417</v>
      </c>
    </row>
    <row r="264" spans="1:3" x14ac:dyDescent="0.25">
      <c r="A264">
        <v>111998</v>
      </c>
      <c r="B264" t="s">
        <v>5416</v>
      </c>
      <c r="C264" t="s">
        <v>5417</v>
      </c>
    </row>
    <row r="265" spans="1:3" x14ac:dyDescent="0.25">
      <c r="A265">
        <v>112112</v>
      </c>
      <c r="B265" t="s">
        <v>5416</v>
      </c>
      <c r="C265" t="s">
        <v>5417</v>
      </c>
    </row>
    <row r="266" spans="1:3" x14ac:dyDescent="0.25">
      <c r="A266">
        <v>112120</v>
      </c>
      <c r="B266" t="s">
        <v>5416</v>
      </c>
      <c r="C266" t="s">
        <v>5417</v>
      </c>
    </row>
    <row r="267" spans="1:3" x14ac:dyDescent="0.25">
      <c r="A267">
        <v>112130</v>
      </c>
      <c r="B267" t="s">
        <v>5416</v>
      </c>
      <c r="C267" t="s">
        <v>5417</v>
      </c>
    </row>
    <row r="268" spans="1:3" x14ac:dyDescent="0.25">
      <c r="A268">
        <v>112210</v>
      </c>
      <c r="B268" t="s">
        <v>5416</v>
      </c>
      <c r="C268" t="s">
        <v>5417</v>
      </c>
    </row>
    <row r="269" spans="1:3" x14ac:dyDescent="0.25">
      <c r="A269">
        <v>112310</v>
      </c>
      <c r="B269" t="s">
        <v>5416</v>
      </c>
      <c r="C269" t="s">
        <v>5417</v>
      </c>
    </row>
    <row r="270" spans="1:3" x14ac:dyDescent="0.25">
      <c r="A270">
        <v>112390</v>
      </c>
      <c r="B270" t="s">
        <v>5416</v>
      </c>
      <c r="C270" t="s">
        <v>5417</v>
      </c>
    </row>
    <row r="271" spans="1:3" x14ac:dyDescent="0.25">
      <c r="A271">
        <v>112511</v>
      </c>
      <c r="B271" t="s">
        <v>5416</v>
      </c>
      <c r="C271" t="s">
        <v>5417</v>
      </c>
    </row>
    <row r="272" spans="1:3" x14ac:dyDescent="0.25">
      <c r="A272">
        <v>112910</v>
      </c>
      <c r="B272" t="s">
        <v>5416</v>
      </c>
      <c r="C272" t="s">
        <v>5417</v>
      </c>
    </row>
    <row r="273" spans="1:3" x14ac:dyDescent="0.25">
      <c r="A273">
        <v>112920</v>
      </c>
      <c r="B273" t="s">
        <v>5416</v>
      </c>
      <c r="C273" t="s">
        <v>5417</v>
      </c>
    </row>
    <row r="274" spans="1:3" x14ac:dyDescent="0.25">
      <c r="A274">
        <v>112990</v>
      </c>
      <c r="B274" t="s">
        <v>5416</v>
      </c>
      <c r="C274" t="s">
        <v>5417</v>
      </c>
    </row>
    <row r="275" spans="1:3" x14ac:dyDescent="0.25">
      <c r="A275">
        <v>113310</v>
      </c>
      <c r="B275" t="s">
        <v>5416</v>
      </c>
      <c r="C275" t="s">
        <v>5417</v>
      </c>
    </row>
    <row r="276" spans="1:3" x14ac:dyDescent="0.25">
      <c r="A276">
        <v>114111</v>
      </c>
      <c r="B276" t="s">
        <v>5416</v>
      </c>
      <c r="C276" t="s">
        <v>5417</v>
      </c>
    </row>
    <row r="277" spans="1:3" x14ac:dyDescent="0.25">
      <c r="A277">
        <v>114112</v>
      </c>
      <c r="B277" t="s">
        <v>5416</v>
      </c>
      <c r="C277" t="s">
        <v>5417</v>
      </c>
    </row>
    <row r="278" spans="1:3" x14ac:dyDescent="0.25">
      <c r="A278">
        <v>115111</v>
      </c>
      <c r="B278" t="s">
        <v>5416</v>
      </c>
      <c r="C278" t="s">
        <v>5417</v>
      </c>
    </row>
    <row r="279" spans="1:3" x14ac:dyDescent="0.25">
      <c r="A279">
        <v>115112</v>
      </c>
      <c r="B279" t="s">
        <v>5416</v>
      </c>
      <c r="C279" t="s">
        <v>5417</v>
      </c>
    </row>
    <row r="280" spans="1:3" x14ac:dyDescent="0.25">
      <c r="A280">
        <v>115113</v>
      </c>
      <c r="B280" t="s">
        <v>5416</v>
      </c>
      <c r="C280" t="s">
        <v>5417</v>
      </c>
    </row>
    <row r="281" spans="1:3" x14ac:dyDescent="0.25">
      <c r="A281">
        <v>115114</v>
      </c>
      <c r="B281" t="s">
        <v>5416</v>
      </c>
      <c r="C281" t="s">
        <v>5417</v>
      </c>
    </row>
    <row r="282" spans="1:3" x14ac:dyDescent="0.25">
      <c r="A282">
        <v>115210</v>
      </c>
      <c r="B282" t="s">
        <v>5416</v>
      </c>
      <c r="C282" t="s">
        <v>5417</v>
      </c>
    </row>
    <row r="283" spans="1:3" x14ac:dyDescent="0.25">
      <c r="A283">
        <v>115310</v>
      </c>
      <c r="B283" t="s">
        <v>5416</v>
      </c>
      <c r="C283" t="s">
        <v>5417</v>
      </c>
    </row>
    <row r="284" spans="1:3" x14ac:dyDescent="0.25">
      <c r="A284">
        <v>211120</v>
      </c>
      <c r="B284" t="s">
        <v>5373</v>
      </c>
      <c r="C284" t="s">
        <v>5374</v>
      </c>
    </row>
    <row r="285" spans="1:3" x14ac:dyDescent="0.25">
      <c r="A285">
        <v>211130</v>
      </c>
      <c r="B285" t="s">
        <v>5373</v>
      </c>
      <c r="C285" t="s">
        <v>5374</v>
      </c>
    </row>
    <row r="286" spans="1:3" x14ac:dyDescent="0.25">
      <c r="A286">
        <v>212111</v>
      </c>
      <c r="B286" t="s">
        <v>5375</v>
      </c>
      <c r="C286" t="s">
        <v>5376</v>
      </c>
    </row>
    <row r="287" spans="1:3" x14ac:dyDescent="0.25">
      <c r="A287">
        <v>212112</v>
      </c>
      <c r="B287" t="s">
        <v>5375</v>
      </c>
      <c r="C287" t="s">
        <v>5376</v>
      </c>
    </row>
    <row r="288" spans="1:3" x14ac:dyDescent="0.25">
      <c r="A288">
        <v>212210</v>
      </c>
      <c r="B288" t="s">
        <v>5375</v>
      </c>
      <c r="C288" t="s">
        <v>5376</v>
      </c>
    </row>
    <row r="289" spans="1:3" x14ac:dyDescent="0.25">
      <c r="A289">
        <v>212221</v>
      </c>
      <c r="B289" t="s">
        <v>5375</v>
      </c>
      <c r="C289" t="s">
        <v>5376</v>
      </c>
    </row>
    <row r="290" spans="1:3" x14ac:dyDescent="0.25">
      <c r="A290">
        <v>212230</v>
      </c>
      <c r="B290" t="s">
        <v>5375</v>
      </c>
      <c r="C290" t="s">
        <v>5376</v>
      </c>
    </row>
    <row r="291" spans="1:3" x14ac:dyDescent="0.25">
      <c r="A291">
        <v>212291</v>
      </c>
      <c r="B291" t="s">
        <v>5375</v>
      </c>
      <c r="C291" t="s">
        <v>5376</v>
      </c>
    </row>
    <row r="292" spans="1:3" x14ac:dyDescent="0.25">
      <c r="A292">
        <v>212299</v>
      </c>
      <c r="B292" t="s">
        <v>5375</v>
      </c>
      <c r="C292" t="s">
        <v>5376</v>
      </c>
    </row>
    <row r="293" spans="1:3" x14ac:dyDescent="0.25">
      <c r="A293">
        <v>212311</v>
      </c>
      <c r="B293" t="s">
        <v>5375</v>
      </c>
      <c r="C293" t="s">
        <v>5376</v>
      </c>
    </row>
    <row r="294" spans="1:3" x14ac:dyDescent="0.25">
      <c r="A294">
        <v>212312</v>
      </c>
      <c r="B294" t="s">
        <v>5375</v>
      </c>
      <c r="C294" t="s">
        <v>5376</v>
      </c>
    </row>
    <row r="295" spans="1:3" x14ac:dyDescent="0.25">
      <c r="A295">
        <v>212313</v>
      </c>
      <c r="B295" t="s">
        <v>5375</v>
      </c>
      <c r="C295" t="s">
        <v>5376</v>
      </c>
    </row>
    <row r="296" spans="1:3" x14ac:dyDescent="0.25">
      <c r="A296">
        <v>212319</v>
      </c>
      <c r="B296" t="s">
        <v>5375</v>
      </c>
      <c r="C296" t="s">
        <v>5376</v>
      </c>
    </row>
    <row r="297" spans="1:3" x14ac:dyDescent="0.25">
      <c r="A297">
        <v>212321</v>
      </c>
      <c r="B297" t="s">
        <v>5375</v>
      </c>
      <c r="C297" t="s">
        <v>5376</v>
      </c>
    </row>
    <row r="298" spans="1:3" x14ac:dyDescent="0.25">
      <c r="A298">
        <v>212322</v>
      </c>
      <c r="B298" t="s">
        <v>5375</v>
      </c>
      <c r="C298" t="s">
        <v>5376</v>
      </c>
    </row>
    <row r="299" spans="1:3" x14ac:dyDescent="0.25">
      <c r="A299">
        <v>212324</v>
      </c>
      <c r="B299" t="s">
        <v>5375</v>
      </c>
      <c r="C299" t="s">
        <v>5376</v>
      </c>
    </row>
    <row r="300" spans="1:3" x14ac:dyDescent="0.25">
      <c r="A300">
        <v>212325</v>
      </c>
      <c r="B300" t="s">
        <v>5375</v>
      </c>
      <c r="C300" t="s">
        <v>5376</v>
      </c>
    </row>
    <row r="301" spans="1:3" x14ac:dyDescent="0.25">
      <c r="A301">
        <v>212391</v>
      </c>
      <c r="B301" t="s">
        <v>5375</v>
      </c>
      <c r="C301" t="s">
        <v>5376</v>
      </c>
    </row>
    <row r="302" spans="1:3" x14ac:dyDescent="0.25">
      <c r="A302">
        <v>212393</v>
      </c>
      <c r="B302" t="s">
        <v>5375</v>
      </c>
      <c r="C302" t="s">
        <v>5376</v>
      </c>
    </row>
    <row r="303" spans="1:3" x14ac:dyDescent="0.25">
      <c r="A303">
        <v>212399</v>
      </c>
      <c r="B303" t="s">
        <v>5375</v>
      </c>
      <c r="C303" t="s">
        <v>5376</v>
      </c>
    </row>
    <row r="304" spans="1:3" x14ac:dyDescent="0.25">
      <c r="A304">
        <v>213111</v>
      </c>
      <c r="B304" t="s">
        <v>5373</v>
      </c>
      <c r="C304" t="s">
        <v>5374</v>
      </c>
    </row>
    <row r="305" spans="1:3" x14ac:dyDescent="0.25">
      <c r="A305">
        <v>213112</v>
      </c>
      <c r="B305" t="s">
        <v>5373</v>
      </c>
      <c r="C305" t="s">
        <v>5374</v>
      </c>
    </row>
    <row r="306" spans="1:3" x14ac:dyDescent="0.25">
      <c r="A306">
        <v>213113</v>
      </c>
      <c r="B306" t="s">
        <v>5373</v>
      </c>
      <c r="C306" t="s">
        <v>5374</v>
      </c>
    </row>
    <row r="307" spans="1:3" x14ac:dyDescent="0.25">
      <c r="A307">
        <v>213114</v>
      </c>
      <c r="B307" t="s">
        <v>5373</v>
      </c>
      <c r="C307" t="s">
        <v>5374</v>
      </c>
    </row>
    <row r="308" spans="1:3" x14ac:dyDescent="0.25">
      <c r="A308">
        <v>213115</v>
      </c>
      <c r="B308" t="s">
        <v>5373</v>
      </c>
      <c r="C308" t="s">
        <v>5374</v>
      </c>
    </row>
    <row r="309" spans="1:3" x14ac:dyDescent="0.25">
      <c r="A309">
        <v>221112</v>
      </c>
      <c r="B309" t="s">
        <v>5377</v>
      </c>
      <c r="C309" t="s">
        <v>5378</v>
      </c>
    </row>
    <row r="310" spans="1:3" x14ac:dyDescent="0.25">
      <c r="A310">
        <v>221113</v>
      </c>
      <c r="B310" t="s">
        <v>5377</v>
      </c>
      <c r="C310" t="s">
        <v>5378</v>
      </c>
    </row>
    <row r="311" spans="1:3" x14ac:dyDescent="0.25">
      <c r="A311">
        <v>221114</v>
      </c>
      <c r="B311" t="s">
        <v>5377</v>
      </c>
      <c r="C311" t="s">
        <v>5378</v>
      </c>
    </row>
    <row r="312" spans="1:3" x14ac:dyDescent="0.25">
      <c r="A312">
        <v>221115</v>
      </c>
      <c r="B312" t="s">
        <v>5377</v>
      </c>
      <c r="C312" t="s">
        <v>5378</v>
      </c>
    </row>
    <row r="313" spans="1:3" x14ac:dyDescent="0.25">
      <c r="A313">
        <v>221116</v>
      </c>
      <c r="B313" t="s">
        <v>5377</v>
      </c>
      <c r="C313" t="s">
        <v>5378</v>
      </c>
    </row>
    <row r="314" spans="1:3" x14ac:dyDescent="0.25">
      <c r="A314">
        <v>221117</v>
      </c>
      <c r="B314" t="s">
        <v>5377</v>
      </c>
      <c r="C314" t="s">
        <v>5378</v>
      </c>
    </row>
    <row r="315" spans="1:3" x14ac:dyDescent="0.25">
      <c r="A315">
        <v>221118</v>
      </c>
      <c r="B315" t="s">
        <v>5377</v>
      </c>
      <c r="C315" t="s">
        <v>5378</v>
      </c>
    </row>
    <row r="316" spans="1:3" x14ac:dyDescent="0.25">
      <c r="A316">
        <v>221121</v>
      </c>
      <c r="B316" t="s">
        <v>5377</v>
      </c>
      <c r="C316" t="s">
        <v>5378</v>
      </c>
    </row>
    <row r="317" spans="1:3" x14ac:dyDescent="0.25">
      <c r="A317">
        <v>221122</v>
      </c>
      <c r="B317" t="s">
        <v>5377</v>
      </c>
      <c r="C317" t="s">
        <v>5378</v>
      </c>
    </row>
    <row r="318" spans="1:3" x14ac:dyDescent="0.25">
      <c r="A318">
        <v>221210</v>
      </c>
      <c r="B318" t="s">
        <v>5377</v>
      </c>
      <c r="C318" t="s">
        <v>5378</v>
      </c>
    </row>
    <row r="319" spans="1:3" x14ac:dyDescent="0.25">
      <c r="A319">
        <v>221310</v>
      </c>
      <c r="B319" t="s">
        <v>5377</v>
      </c>
      <c r="C319" t="s">
        <v>5378</v>
      </c>
    </row>
    <row r="320" spans="1:3" x14ac:dyDescent="0.25">
      <c r="A320">
        <v>221320</v>
      </c>
      <c r="B320" t="s">
        <v>5377</v>
      </c>
      <c r="C320" t="s">
        <v>5378</v>
      </c>
    </row>
    <row r="321" spans="1:3" x14ac:dyDescent="0.25">
      <c r="A321">
        <v>221330</v>
      </c>
      <c r="B321" t="s">
        <v>5377</v>
      </c>
      <c r="C321" t="s">
        <v>5378</v>
      </c>
    </row>
    <row r="322" spans="1:3" x14ac:dyDescent="0.25">
      <c r="A322">
        <v>236115</v>
      </c>
      <c r="B322" t="s">
        <v>5440</v>
      </c>
      <c r="C322" t="s">
        <v>5441</v>
      </c>
    </row>
    <row r="323" spans="1:3" x14ac:dyDescent="0.25">
      <c r="A323">
        <v>236116</v>
      </c>
      <c r="B323" t="s">
        <v>5440</v>
      </c>
      <c r="C323" t="s">
        <v>5441</v>
      </c>
    </row>
    <row r="324" spans="1:3" x14ac:dyDescent="0.25">
      <c r="A324">
        <v>236117</v>
      </c>
      <c r="B324" t="s">
        <v>5440</v>
      </c>
      <c r="C324" t="s">
        <v>5441</v>
      </c>
    </row>
    <row r="325" spans="1:3" x14ac:dyDescent="0.25">
      <c r="A325">
        <v>236118</v>
      </c>
      <c r="B325" t="s">
        <v>5440</v>
      </c>
      <c r="C325" t="s">
        <v>5441</v>
      </c>
    </row>
    <row r="326" spans="1:3" x14ac:dyDescent="0.25">
      <c r="A326">
        <v>236210</v>
      </c>
      <c r="B326" t="s">
        <v>5440</v>
      </c>
      <c r="C326" t="s">
        <v>5441</v>
      </c>
    </row>
    <row r="327" spans="1:3" x14ac:dyDescent="0.25">
      <c r="A327">
        <v>236220</v>
      </c>
      <c r="B327" t="s">
        <v>5440</v>
      </c>
      <c r="C327" t="s">
        <v>5441</v>
      </c>
    </row>
    <row r="328" spans="1:3" x14ac:dyDescent="0.25">
      <c r="A328">
        <v>237110</v>
      </c>
      <c r="B328" t="s">
        <v>5440</v>
      </c>
      <c r="C328" t="s">
        <v>5441</v>
      </c>
    </row>
    <row r="329" spans="1:3" x14ac:dyDescent="0.25">
      <c r="A329">
        <v>237120</v>
      </c>
      <c r="B329" t="s">
        <v>5440</v>
      </c>
      <c r="C329" t="s">
        <v>5441</v>
      </c>
    </row>
    <row r="330" spans="1:3" x14ac:dyDescent="0.25">
      <c r="A330">
        <v>237130</v>
      </c>
      <c r="B330" t="s">
        <v>5440</v>
      </c>
      <c r="C330" t="s">
        <v>5441</v>
      </c>
    </row>
    <row r="331" spans="1:3" x14ac:dyDescent="0.25">
      <c r="A331">
        <v>237210</v>
      </c>
      <c r="B331" t="s">
        <v>5440</v>
      </c>
      <c r="C331" t="s">
        <v>5441</v>
      </c>
    </row>
    <row r="332" spans="1:3" x14ac:dyDescent="0.25">
      <c r="A332">
        <v>237310</v>
      </c>
      <c r="B332" t="s">
        <v>5440</v>
      </c>
      <c r="C332" t="s">
        <v>5441</v>
      </c>
    </row>
    <row r="333" spans="1:3" x14ac:dyDescent="0.25">
      <c r="A333">
        <v>237990</v>
      </c>
      <c r="B333" t="s">
        <v>5440</v>
      </c>
      <c r="C333" t="s">
        <v>5441</v>
      </c>
    </row>
    <row r="334" spans="1:3" x14ac:dyDescent="0.25">
      <c r="A334">
        <v>238110</v>
      </c>
      <c r="B334" t="s">
        <v>5440</v>
      </c>
      <c r="C334" t="s">
        <v>5441</v>
      </c>
    </row>
    <row r="335" spans="1:3" x14ac:dyDescent="0.25">
      <c r="A335">
        <v>238120</v>
      </c>
      <c r="B335" t="s">
        <v>5440</v>
      </c>
      <c r="C335" t="s">
        <v>5441</v>
      </c>
    </row>
    <row r="336" spans="1:3" x14ac:dyDescent="0.25">
      <c r="A336">
        <v>238140</v>
      </c>
      <c r="B336" t="s">
        <v>5440</v>
      </c>
      <c r="C336" t="s">
        <v>5441</v>
      </c>
    </row>
    <row r="337" spans="1:3" x14ac:dyDescent="0.25">
      <c r="A337">
        <v>238160</v>
      </c>
      <c r="B337" t="s">
        <v>5440</v>
      </c>
      <c r="C337" t="s">
        <v>5441</v>
      </c>
    </row>
    <row r="338" spans="1:3" x14ac:dyDescent="0.25">
      <c r="A338">
        <v>238190</v>
      </c>
      <c r="B338" t="s">
        <v>5440</v>
      </c>
      <c r="C338" t="s">
        <v>5441</v>
      </c>
    </row>
    <row r="339" spans="1:3" x14ac:dyDescent="0.25">
      <c r="A339">
        <v>238210</v>
      </c>
      <c r="B339" t="s">
        <v>5440</v>
      </c>
      <c r="C339" t="s">
        <v>5441</v>
      </c>
    </row>
    <row r="340" spans="1:3" x14ac:dyDescent="0.25">
      <c r="A340">
        <v>238220</v>
      </c>
      <c r="B340" t="s">
        <v>5440</v>
      </c>
      <c r="C340" t="s">
        <v>5441</v>
      </c>
    </row>
    <row r="341" spans="1:3" x14ac:dyDescent="0.25">
      <c r="A341">
        <v>238320</v>
      </c>
      <c r="B341" t="s">
        <v>5440</v>
      </c>
      <c r="C341" t="s">
        <v>5441</v>
      </c>
    </row>
    <row r="342" spans="1:3" x14ac:dyDescent="0.25">
      <c r="A342">
        <v>238340</v>
      </c>
      <c r="B342" t="s">
        <v>5440</v>
      </c>
      <c r="C342" t="s">
        <v>5441</v>
      </c>
    </row>
    <row r="343" spans="1:3" x14ac:dyDescent="0.25">
      <c r="A343">
        <v>238910</v>
      </c>
      <c r="B343" t="s">
        <v>5440</v>
      </c>
      <c r="C343" t="s">
        <v>5441</v>
      </c>
    </row>
    <row r="344" spans="1:3" x14ac:dyDescent="0.25">
      <c r="A344">
        <v>238990</v>
      </c>
      <c r="B344" t="s">
        <v>5440</v>
      </c>
      <c r="C344" t="s">
        <v>5441</v>
      </c>
    </row>
    <row r="345" spans="1:3" x14ac:dyDescent="0.25">
      <c r="A345">
        <v>311111</v>
      </c>
      <c r="B345" t="s">
        <v>5379</v>
      </c>
      <c r="C345" t="s">
        <v>5380</v>
      </c>
    </row>
    <row r="346" spans="1:3" x14ac:dyDescent="0.25">
      <c r="A346">
        <v>311119</v>
      </c>
      <c r="B346" t="s">
        <v>5379</v>
      </c>
      <c r="C346" t="s">
        <v>5380</v>
      </c>
    </row>
    <row r="347" spans="1:3" x14ac:dyDescent="0.25">
      <c r="A347">
        <v>311211</v>
      </c>
      <c r="B347" t="s">
        <v>5379</v>
      </c>
      <c r="C347" t="s">
        <v>5380</v>
      </c>
    </row>
    <row r="348" spans="1:3" x14ac:dyDescent="0.25">
      <c r="A348">
        <v>311212</v>
      </c>
      <c r="B348" t="s">
        <v>5379</v>
      </c>
      <c r="C348" t="s">
        <v>5380</v>
      </c>
    </row>
    <row r="349" spans="1:3" x14ac:dyDescent="0.25">
      <c r="A349">
        <v>311213</v>
      </c>
      <c r="B349" t="s">
        <v>5379</v>
      </c>
      <c r="C349" t="s">
        <v>5380</v>
      </c>
    </row>
    <row r="350" spans="1:3" x14ac:dyDescent="0.25">
      <c r="A350">
        <v>311221</v>
      </c>
      <c r="B350" t="s">
        <v>5379</v>
      </c>
      <c r="C350" t="s">
        <v>5380</v>
      </c>
    </row>
    <row r="351" spans="1:3" x14ac:dyDescent="0.25">
      <c r="A351">
        <v>311224</v>
      </c>
      <c r="B351" t="s">
        <v>5379</v>
      </c>
      <c r="C351" t="s">
        <v>5380</v>
      </c>
    </row>
    <row r="352" spans="1:3" x14ac:dyDescent="0.25">
      <c r="A352">
        <v>311225</v>
      </c>
      <c r="B352" t="s">
        <v>5379</v>
      </c>
      <c r="C352" t="s">
        <v>5380</v>
      </c>
    </row>
    <row r="353" spans="1:3" x14ac:dyDescent="0.25">
      <c r="A353">
        <v>311230</v>
      </c>
      <c r="B353" t="s">
        <v>5379</v>
      </c>
      <c r="C353" t="s">
        <v>5380</v>
      </c>
    </row>
    <row r="354" spans="1:3" x14ac:dyDescent="0.25">
      <c r="A354">
        <v>311313</v>
      </c>
      <c r="B354" t="s">
        <v>5379</v>
      </c>
      <c r="C354" t="s">
        <v>5380</v>
      </c>
    </row>
    <row r="355" spans="1:3" x14ac:dyDescent="0.25">
      <c r="A355">
        <v>311314</v>
      </c>
      <c r="B355" t="s">
        <v>5379</v>
      </c>
      <c r="C355" t="s">
        <v>5380</v>
      </c>
    </row>
    <row r="356" spans="1:3" x14ac:dyDescent="0.25">
      <c r="A356">
        <v>311340</v>
      </c>
      <c r="B356" t="s">
        <v>5379</v>
      </c>
      <c r="C356" t="s">
        <v>5380</v>
      </c>
    </row>
    <row r="357" spans="1:3" x14ac:dyDescent="0.25">
      <c r="A357">
        <v>311351</v>
      </c>
      <c r="B357" t="s">
        <v>5379</v>
      </c>
      <c r="C357" t="s">
        <v>5380</v>
      </c>
    </row>
    <row r="358" spans="1:3" x14ac:dyDescent="0.25">
      <c r="A358">
        <v>311352</v>
      </c>
      <c r="B358" t="s">
        <v>5379</v>
      </c>
      <c r="C358" t="s">
        <v>5380</v>
      </c>
    </row>
    <row r="359" spans="1:3" x14ac:dyDescent="0.25">
      <c r="A359">
        <v>311411</v>
      </c>
      <c r="B359" t="s">
        <v>5379</v>
      </c>
      <c r="C359" t="s">
        <v>5380</v>
      </c>
    </row>
    <row r="360" spans="1:3" x14ac:dyDescent="0.25">
      <c r="A360">
        <v>311412</v>
      </c>
      <c r="B360" t="s">
        <v>5379</v>
      </c>
      <c r="C360" t="s">
        <v>5380</v>
      </c>
    </row>
    <row r="361" spans="1:3" x14ac:dyDescent="0.25">
      <c r="A361">
        <v>311421</v>
      </c>
      <c r="B361" t="s">
        <v>5379</v>
      </c>
      <c r="C361" t="s">
        <v>5380</v>
      </c>
    </row>
    <row r="362" spans="1:3" x14ac:dyDescent="0.25">
      <c r="A362">
        <v>311422</v>
      </c>
      <c r="B362" t="s">
        <v>5379</v>
      </c>
      <c r="C362" t="s">
        <v>5380</v>
      </c>
    </row>
    <row r="363" spans="1:3" x14ac:dyDescent="0.25">
      <c r="A363">
        <v>311423</v>
      </c>
      <c r="B363" t="s">
        <v>5379</v>
      </c>
      <c r="C363" t="s">
        <v>5380</v>
      </c>
    </row>
    <row r="364" spans="1:3" x14ac:dyDescent="0.25">
      <c r="A364">
        <v>311511</v>
      </c>
      <c r="B364" t="s">
        <v>5379</v>
      </c>
      <c r="C364" t="s">
        <v>5380</v>
      </c>
    </row>
    <row r="365" spans="1:3" x14ac:dyDescent="0.25">
      <c r="A365">
        <v>311512</v>
      </c>
      <c r="B365" t="s">
        <v>5379</v>
      </c>
      <c r="C365" t="s">
        <v>5380</v>
      </c>
    </row>
    <row r="366" spans="1:3" x14ac:dyDescent="0.25">
      <c r="A366">
        <v>311513</v>
      </c>
      <c r="B366" t="s">
        <v>5379</v>
      </c>
      <c r="C366" t="s">
        <v>5380</v>
      </c>
    </row>
    <row r="367" spans="1:3" x14ac:dyDescent="0.25">
      <c r="A367">
        <v>311514</v>
      </c>
      <c r="B367" t="s">
        <v>5379</v>
      </c>
      <c r="C367" t="s">
        <v>5380</v>
      </c>
    </row>
    <row r="368" spans="1:3" x14ac:dyDescent="0.25">
      <c r="A368">
        <v>311520</v>
      </c>
      <c r="B368" t="s">
        <v>5379</v>
      </c>
      <c r="C368" t="s">
        <v>5380</v>
      </c>
    </row>
    <row r="369" spans="1:3" x14ac:dyDescent="0.25">
      <c r="A369">
        <v>311611</v>
      </c>
      <c r="B369" t="s">
        <v>5379</v>
      </c>
      <c r="C369" t="s">
        <v>5380</v>
      </c>
    </row>
    <row r="370" spans="1:3" x14ac:dyDescent="0.25">
      <c r="A370">
        <v>311612</v>
      </c>
      <c r="B370" t="s">
        <v>5379</v>
      </c>
      <c r="C370" t="s">
        <v>5380</v>
      </c>
    </row>
    <row r="371" spans="1:3" x14ac:dyDescent="0.25">
      <c r="A371">
        <v>311613</v>
      </c>
      <c r="B371" t="s">
        <v>5379</v>
      </c>
      <c r="C371" t="s">
        <v>5380</v>
      </c>
    </row>
    <row r="372" spans="1:3" x14ac:dyDescent="0.25">
      <c r="A372">
        <v>311615</v>
      </c>
      <c r="B372" t="s">
        <v>5379</v>
      </c>
      <c r="C372" t="s">
        <v>5380</v>
      </c>
    </row>
    <row r="373" spans="1:3" x14ac:dyDescent="0.25">
      <c r="A373">
        <v>311710</v>
      </c>
      <c r="B373" t="s">
        <v>5379</v>
      </c>
      <c r="C373" t="s">
        <v>5380</v>
      </c>
    </row>
    <row r="374" spans="1:3" x14ac:dyDescent="0.25">
      <c r="A374">
        <v>311811</v>
      </c>
      <c r="B374" t="s">
        <v>5379</v>
      </c>
      <c r="C374" t="s">
        <v>5380</v>
      </c>
    </row>
    <row r="375" spans="1:3" x14ac:dyDescent="0.25">
      <c r="A375">
        <v>311812</v>
      </c>
      <c r="B375" t="s">
        <v>5379</v>
      </c>
      <c r="C375" t="s">
        <v>5380</v>
      </c>
    </row>
    <row r="376" spans="1:3" x14ac:dyDescent="0.25">
      <c r="A376">
        <v>311813</v>
      </c>
      <c r="B376" t="s">
        <v>5379</v>
      </c>
      <c r="C376" t="s">
        <v>5380</v>
      </c>
    </row>
    <row r="377" spans="1:3" x14ac:dyDescent="0.25">
      <c r="A377">
        <v>311821</v>
      </c>
      <c r="B377" t="s">
        <v>5379</v>
      </c>
      <c r="C377" t="s">
        <v>5380</v>
      </c>
    </row>
    <row r="378" spans="1:3" x14ac:dyDescent="0.25">
      <c r="A378">
        <v>311824</v>
      </c>
      <c r="B378" t="s">
        <v>5379</v>
      </c>
      <c r="C378" t="s">
        <v>5380</v>
      </c>
    </row>
    <row r="379" spans="1:3" x14ac:dyDescent="0.25">
      <c r="A379">
        <v>311830</v>
      </c>
      <c r="B379" t="s">
        <v>5379</v>
      </c>
      <c r="C379" t="s">
        <v>5380</v>
      </c>
    </row>
    <row r="380" spans="1:3" x14ac:dyDescent="0.25">
      <c r="A380">
        <v>311911</v>
      </c>
      <c r="B380" t="s">
        <v>5379</v>
      </c>
      <c r="C380" t="s">
        <v>5380</v>
      </c>
    </row>
    <row r="381" spans="1:3" x14ac:dyDescent="0.25">
      <c r="A381">
        <v>311919</v>
      </c>
      <c r="B381" t="s">
        <v>5379</v>
      </c>
      <c r="C381" t="s">
        <v>5380</v>
      </c>
    </row>
    <row r="382" spans="1:3" x14ac:dyDescent="0.25">
      <c r="A382">
        <v>311920</v>
      </c>
      <c r="B382" t="s">
        <v>5379</v>
      </c>
      <c r="C382" t="s">
        <v>5380</v>
      </c>
    </row>
    <row r="383" spans="1:3" x14ac:dyDescent="0.25">
      <c r="A383">
        <v>311930</v>
      </c>
      <c r="B383" t="s">
        <v>5379</v>
      </c>
      <c r="C383" t="s">
        <v>5380</v>
      </c>
    </row>
    <row r="384" spans="1:3" x14ac:dyDescent="0.25">
      <c r="A384">
        <v>311941</v>
      </c>
      <c r="B384" t="s">
        <v>5379</v>
      </c>
      <c r="C384" t="s">
        <v>5380</v>
      </c>
    </row>
    <row r="385" spans="1:3" x14ac:dyDescent="0.25">
      <c r="A385">
        <v>311942</v>
      </c>
      <c r="B385" t="s">
        <v>5379</v>
      </c>
      <c r="C385" t="s">
        <v>5380</v>
      </c>
    </row>
    <row r="386" spans="1:3" x14ac:dyDescent="0.25">
      <c r="A386">
        <v>311991</v>
      </c>
      <c r="B386" t="s">
        <v>5379</v>
      </c>
      <c r="C386" t="s">
        <v>5380</v>
      </c>
    </row>
    <row r="387" spans="1:3" x14ac:dyDescent="0.25">
      <c r="A387">
        <v>311999</v>
      </c>
      <c r="B387" t="s">
        <v>5379</v>
      </c>
      <c r="C387" t="s">
        <v>5380</v>
      </c>
    </row>
    <row r="388" spans="1:3" x14ac:dyDescent="0.25">
      <c r="A388">
        <v>312111</v>
      </c>
      <c r="B388" t="s">
        <v>5379</v>
      </c>
      <c r="C388" t="s">
        <v>5380</v>
      </c>
    </row>
    <row r="389" spans="1:3" x14ac:dyDescent="0.25">
      <c r="A389">
        <v>312112</v>
      </c>
      <c r="B389" t="s">
        <v>5379</v>
      </c>
      <c r="C389" t="s">
        <v>5380</v>
      </c>
    </row>
    <row r="390" spans="1:3" x14ac:dyDescent="0.25">
      <c r="A390">
        <v>312113</v>
      </c>
      <c r="B390" t="s">
        <v>5379</v>
      </c>
      <c r="C390" t="s">
        <v>5380</v>
      </c>
    </row>
    <row r="391" spans="1:3" x14ac:dyDescent="0.25">
      <c r="A391">
        <v>312120</v>
      </c>
      <c r="B391" t="s">
        <v>5379</v>
      </c>
      <c r="C391" t="s">
        <v>5380</v>
      </c>
    </row>
    <row r="392" spans="1:3" x14ac:dyDescent="0.25">
      <c r="A392">
        <v>312130</v>
      </c>
      <c r="B392" t="s">
        <v>5379</v>
      </c>
      <c r="C392" t="s">
        <v>5380</v>
      </c>
    </row>
    <row r="393" spans="1:3" x14ac:dyDescent="0.25">
      <c r="A393">
        <v>312140</v>
      </c>
      <c r="B393" t="s">
        <v>5379</v>
      </c>
      <c r="C393" t="s">
        <v>5380</v>
      </c>
    </row>
    <row r="394" spans="1:3" x14ac:dyDescent="0.25">
      <c r="A394">
        <v>312230</v>
      </c>
      <c r="B394" t="s">
        <v>5379</v>
      </c>
      <c r="C394" t="s">
        <v>5380</v>
      </c>
    </row>
    <row r="395" spans="1:3" x14ac:dyDescent="0.25">
      <c r="A395">
        <v>313110</v>
      </c>
      <c r="B395" t="s">
        <v>5381</v>
      </c>
      <c r="C395" t="s">
        <v>5382</v>
      </c>
    </row>
    <row r="396" spans="1:3" x14ac:dyDescent="0.25">
      <c r="A396">
        <v>313210</v>
      </c>
      <c r="B396" t="s">
        <v>5381</v>
      </c>
      <c r="C396" t="s">
        <v>5382</v>
      </c>
    </row>
    <row r="397" spans="1:3" x14ac:dyDescent="0.25">
      <c r="A397">
        <v>313220</v>
      </c>
      <c r="B397" t="s">
        <v>5381</v>
      </c>
      <c r="C397" t="s">
        <v>5382</v>
      </c>
    </row>
    <row r="398" spans="1:3" x14ac:dyDescent="0.25">
      <c r="A398">
        <v>313230</v>
      </c>
      <c r="B398" t="s">
        <v>5381</v>
      </c>
      <c r="C398" t="s">
        <v>5382</v>
      </c>
    </row>
    <row r="399" spans="1:3" x14ac:dyDescent="0.25">
      <c r="A399">
        <v>313240</v>
      </c>
      <c r="B399" t="s">
        <v>5381</v>
      </c>
      <c r="C399" t="s">
        <v>5382</v>
      </c>
    </row>
    <row r="400" spans="1:3" x14ac:dyDescent="0.25">
      <c r="A400">
        <v>313310</v>
      </c>
      <c r="B400" t="s">
        <v>5381</v>
      </c>
      <c r="C400" t="s">
        <v>5382</v>
      </c>
    </row>
    <row r="401" spans="1:3" x14ac:dyDescent="0.25">
      <c r="A401">
        <v>313320</v>
      </c>
      <c r="B401" t="s">
        <v>5381</v>
      </c>
      <c r="C401" t="s">
        <v>5382</v>
      </c>
    </row>
    <row r="402" spans="1:3" x14ac:dyDescent="0.25">
      <c r="A402">
        <v>314110</v>
      </c>
      <c r="B402" t="s">
        <v>5381</v>
      </c>
      <c r="C402" t="s">
        <v>5382</v>
      </c>
    </row>
    <row r="403" spans="1:3" x14ac:dyDescent="0.25">
      <c r="A403">
        <v>314120</v>
      </c>
      <c r="B403" t="s">
        <v>5381</v>
      </c>
      <c r="C403" t="s">
        <v>5382</v>
      </c>
    </row>
    <row r="404" spans="1:3" x14ac:dyDescent="0.25">
      <c r="A404">
        <v>314910</v>
      </c>
      <c r="B404" t="s">
        <v>5381</v>
      </c>
      <c r="C404" t="s">
        <v>5382</v>
      </c>
    </row>
    <row r="405" spans="1:3" x14ac:dyDescent="0.25">
      <c r="A405">
        <v>314994</v>
      </c>
      <c r="B405" t="s">
        <v>5381</v>
      </c>
      <c r="C405" t="s">
        <v>5382</v>
      </c>
    </row>
    <row r="406" spans="1:3" x14ac:dyDescent="0.25">
      <c r="A406">
        <v>314999</v>
      </c>
      <c r="B406" t="s">
        <v>5381</v>
      </c>
      <c r="C406" t="s">
        <v>5382</v>
      </c>
    </row>
    <row r="407" spans="1:3" x14ac:dyDescent="0.25">
      <c r="A407">
        <v>315110</v>
      </c>
      <c r="B407" t="s">
        <v>5381</v>
      </c>
      <c r="C407" t="s">
        <v>5382</v>
      </c>
    </row>
    <row r="408" spans="1:3" x14ac:dyDescent="0.25">
      <c r="A408">
        <v>315190</v>
      </c>
      <c r="B408" t="s">
        <v>5381</v>
      </c>
      <c r="C408" t="s">
        <v>5382</v>
      </c>
    </row>
    <row r="409" spans="1:3" x14ac:dyDescent="0.25">
      <c r="A409">
        <v>315210</v>
      </c>
      <c r="B409" t="s">
        <v>5381</v>
      </c>
      <c r="C409" t="s">
        <v>5382</v>
      </c>
    </row>
    <row r="410" spans="1:3" x14ac:dyDescent="0.25">
      <c r="A410">
        <v>315220</v>
      </c>
      <c r="B410" t="s">
        <v>5381</v>
      </c>
      <c r="C410" t="s">
        <v>5382</v>
      </c>
    </row>
    <row r="411" spans="1:3" x14ac:dyDescent="0.25">
      <c r="A411">
        <v>315240</v>
      </c>
      <c r="B411" t="s">
        <v>5381</v>
      </c>
      <c r="C411" t="s">
        <v>5382</v>
      </c>
    </row>
    <row r="412" spans="1:3" x14ac:dyDescent="0.25">
      <c r="A412">
        <v>315280</v>
      </c>
      <c r="B412" t="s">
        <v>5381</v>
      </c>
      <c r="C412" t="s">
        <v>5382</v>
      </c>
    </row>
    <row r="413" spans="1:3" x14ac:dyDescent="0.25">
      <c r="A413">
        <v>315990</v>
      </c>
      <c r="B413" t="s">
        <v>5381</v>
      </c>
      <c r="C413" t="s">
        <v>5382</v>
      </c>
    </row>
    <row r="414" spans="1:3" x14ac:dyDescent="0.25">
      <c r="A414">
        <v>316110</v>
      </c>
      <c r="B414" t="s">
        <v>5381</v>
      </c>
      <c r="C414" t="s">
        <v>5382</v>
      </c>
    </row>
    <row r="415" spans="1:3" x14ac:dyDescent="0.25">
      <c r="A415">
        <v>316210</v>
      </c>
      <c r="B415" t="s">
        <v>5381</v>
      </c>
      <c r="C415" t="s">
        <v>5382</v>
      </c>
    </row>
    <row r="416" spans="1:3" x14ac:dyDescent="0.25">
      <c r="A416">
        <v>321113</v>
      </c>
      <c r="B416" t="s">
        <v>5383</v>
      </c>
      <c r="C416" t="s">
        <v>5384</v>
      </c>
    </row>
    <row r="417" spans="1:3" x14ac:dyDescent="0.25">
      <c r="A417">
        <v>321114</v>
      </c>
      <c r="B417" t="s">
        <v>5383</v>
      </c>
      <c r="C417" t="s">
        <v>5384</v>
      </c>
    </row>
    <row r="418" spans="1:3" x14ac:dyDescent="0.25">
      <c r="A418">
        <v>321211</v>
      </c>
      <c r="B418" t="s">
        <v>5383</v>
      </c>
      <c r="C418" t="s">
        <v>5384</v>
      </c>
    </row>
    <row r="419" spans="1:3" x14ac:dyDescent="0.25">
      <c r="A419">
        <v>321212</v>
      </c>
      <c r="B419" t="s">
        <v>5383</v>
      </c>
      <c r="C419" t="s">
        <v>5384</v>
      </c>
    </row>
    <row r="420" spans="1:3" x14ac:dyDescent="0.25">
      <c r="A420">
        <v>321213</v>
      </c>
      <c r="B420" t="s">
        <v>5383</v>
      </c>
      <c r="C420" t="s">
        <v>5384</v>
      </c>
    </row>
    <row r="421" spans="1:3" x14ac:dyDescent="0.25">
      <c r="A421">
        <v>321214</v>
      </c>
      <c r="B421" t="s">
        <v>5383</v>
      </c>
      <c r="C421" t="s">
        <v>5384</v>
      </c>
    </row>
    <row r="422" spans="1:3" x14ac:dyDescent="0.25">
      <c r="A422">
        <v>321219</v>
      </c>
      <c r="B422" t="s">
        <v>5383</v>
      </c>
      <c r="C422" t="s">
        <v>5384</v>
      </c>
    </row>
    <row r="423" spans="1:3" x14ac:dyDescent="0.25">
      <c r="A423">
        <v>321911</v>
      </c>
      <c r="B423" t="s">
        <v>5383</v>
      </c>
      <c r="C423" t="s">
        <v>5384</v>
      </c>
    </row>
    <row r="424" spans="1:3" x14ac:dyDescent="0.25">
      <c r="A424">
        <v>321912</v>
      </c>
      <c r="B424" t="s">
        <v>5383</v>
      </c>
      <c r="C424" t="s">
        <v>5384</v>
      </c>
    </row>
    <row r="425" spans="1:3" x14ac:dyDescent="0.25">
      <c r="A425">
        <v>321918</v>
      </c>
      <c r="B425" t="s">
        <v>5383</v>
      </c>
      <c r="C425" t="s">
        <v>5384</v>
      </c>
    </row>
    <row r="426" spans="1:3" x14ac:dyDescent="0.25">
      <c r="A426">
        <v>321920</v>
      </c>
      <c r="B426" t="s">
        <v>5383</v>
      </c>
      <c r="C426" t="s">
        <v>5384</v>
      </c>
    </row>
    <row r="427" spans="1:3" x14ac:dyDescent="0.25">
      <c r="A427">
        <v>321991</v>
      </c>
      <c r="B427" t="s">
        <v>5383</v>
      </c>
      <c r="C427" t="s">
        <v>5384</v>
      </c>
    </row>
    <row r="428" spans="1:3" x14ac:dyDescent="0.25">
      <c r="A428">
        <v>321999</v>
      </c>
      <c r="B428" t="s">
        <v>5383</v>
      </c>
      <c r="C428" t="s">
        <v>5384</v>
      </c>
    </row>
    <row r="429" spans="1:3" x14ac:dyDescent="0.25">
      <c r="A429">
        <v>322110</v>
      </c>
      <c r="B429" t="s">
        <v>5385</v>
      </c>
      <c r="C429" t="s">
        <v>5386</v>
      </c>
    </row>
    <row r="430" spans="1:3" x14ac:dyDescent="0.25">
      <c r="A430">
        <v>322121</v>
      </c>
      <c r="B430" t="s">
        <v>5385</v>
      </c>
      <c r="C430" t="s">
        <v>5386</v>
      </c>
    </row>
    <row r="431" spans="1:3" x14ac:dyDescent="0.25">
      <c r="A431">
        <v>322122</v>
      </c>
      <c r="B431" t="s">
        <v>5385</v>
      </c>
      <c r="C431" t="s">
        <v>5386</v>
      </c>
    </row>
    <row r="432" spans="1:3" x14ac:dyDescent="0.25">
      <c r="A432">
        <v>322130</v>
      </c>
      <c r="B432" t="s">
        <v>5385</v>
      </c>
      <c r="C432" t="s">
        <v>5386</v>
      </c>
    </row>
    <row r="433" spans="1:3" x14ac:dyDescent="0.25">
      <c r="A433">
        <v>322211</v>
      </c>
      <c r="B433" t="s">
        <v>5385</v>
      </c>
      <c r="C433" t="s">
        <v>5386</v>
      </c>
    </row>
    <row r="434" spans="1:3" x14ac:dyDescent="0.25">
      <c r="A434">
        <v>322212</v>
      </c>
      <c r="B434" t="s">
        <v>5385</v>
      </c>
      <c r="C434" t="s">
        <v>5386</v>
      </c>
    </row>
    <row r="435" spans="1:3" x14ac:dyDescent="0.25">
      <c r="A435">
        <v>322219</v>
      </c>
      <c r="B435" t="s">
        <v>5385</v>
      </c>
      <c r="C435" t="s">
        <v>5386</v>
      </c>
    </row>
    <row r="436" spans="1:3" x14ac:dyDescent="0.25">
      <c r="A436">
        <v>322220</v>
      </c>
      <c r="B436" t="s">
        <v>5385</v>
      </c>
      <c r="C436" t="s">
        <v>5386</v>
      </c>
    </row>
    <row r="437" spans="1:3" x14ac:dyDescent="0.25">
      <c r="A437">
        <v>322230</v>
      </c>
      <c r="B437" t="s">
        <v>5385</v>
      </c>
      <c r="C437" t="s">
        <v>5386</v>
      </c>
    </row>
    <row r="438" spans="1:3" x14ac:dyDescent="0.25">
      <c r="A438">
        <v>322291</v>
      </c>
      <c r="B438" t="s">
        <v>5385</v>
      </c>
      <c r="C438" t="s">
        <v>5386</v>
      </c>
    </row>
    <row r="439" spans="1:3" x14ac:dyDescent="0.25">
      <c r="A439">
        <v>322299</v>
      </c>
      <c r="B439" t="s">
        <v>5385</v>
      </c>
      <c r="C439" t="s">
        <v>5386</v>
      </c>
    </row>
    <row r="440" spans="1:3" x14ac:dyDescent="0.25">
      <c r="A440">
        <v>323111</v>
      </c>
      <c r="B440" t="s">
        <v>5387</v>
      </c>
      <c r="C440" t="s">
        <v>5388</v>
      </c>
    </row>
    <row r="441" spans="1:3" x14ac:dyDescent="0.25">
      <c r="A441">
        <v>323113</v>
      </c>
      <c r="B441" t="s">
        <v>5387</v>
      </c>
      <c r="C441" t="s">
        <v>5388</v>
      </c>
    </row>
    <row r="442" spans="1:3" x14ac:dyDescent="0.25">
      <c r="A442">
        <v>323117</v>
      </c>
      <c r="B442" t="s">
        <v>5387</v>
      </c>
      <c r="C442" t="s">
        <v>5388</v>
      </c>
    </row>
    <row r="443" spans="1:3" x14ac:dyDescent="0.25">
      <c r="A443">
        <v>323120</v>
      </c>
      <c r="B443" t="s">
        <v>5387</v>
      </c>
      <c r="C443" t="s">
        <v>5388</v>
      </c>
    </row>
    <row r="444" spans="1:3" x14ac:dyDescent="0.25">
      <c r="A444">
        <v>324110</v>
      </c>
      <c r="B444" t="s">
        <v>5418</v>
      </c>
      <c r="C444" t="s">
        <v>2770</v>
      </c>
    </row>
    <row r="445" spans="1:3" x14ac:dyDescent="0.25">
      <c r="A445">
        <v>324121</v>
      </c>
      <c r="B445" t="s">
        <v>5419</v>
      </c>
      <c r="C445" t="s">
        <v>5420</v>
      </c>
    </row>
    <row r="446" spans="1:3" x14ac:dyDescent="0.25">
      <c r="A446">
        <v>324122</v>
      </c>
      <c r="B446" t="s">
        <v>5419</v>
      </c>
      <c r="C446" t="s">
        <v>5420</v>
      </c>
    </row>
    <row r="447" spans="1:3" x14ac:dyDescent="0.25">
      <c r="A447">
        <v>324191</v>
      </c>
      <c r="B447" t="s">
        <v>5442</v>
      </c>
      <c r="C447" t="s">
        <v>2773</v>
      </c>
    </row>
    <row r="448" spans="1:3" x14ac:dyDescent="0.25">
      <c r="A448">
        <v>324199</v>
      </c>
      <c r="B448" t="s">
        <v>5443</v>
      </c>
      <c r="C448" t="s">
        <v>2774</v>
      </c>
    </row>
    <row r="449" spans="1:3" x14ac:dyDescent="0.25">
      <c r="A449">
        <v>325110</v>
      </c>
      <c r="B449" t="s">
        <v>5444</v>
      </c>
      <c r="C449" t="s">
        <v>2775</v>
      </c>
    </row>
    <row r="450" spans="1:3" x14ac:dyDescent="0.25">
      <c r="A450">
        <v>325120</v>
      </c>
      <c r="B450" t="s">
        <v>5421</v>
      </c>
      <c r="C450" t="s">
        <v>2776</v>
      </c>
    </row>
    <row r="451" spans="1:3" x14ac:dyDescent="0.25">
      <c r="A451">
        <v>325130</v>
      </c>
      <c r="B451" t="s">
        <v>5422</v>
      </c>
      <c r="C451" t="s">
        <v>2777</v>
      </c>
    </row>
    <row r="452" spans="1:3" x14ac:dyDescent="0.25">
      <c r="A452">
        <v>325180</v>
      </c>
      <c r="B452" t="s">
        <v>5423</v>
      </c>
      <c r="C452" t="s">
        <v>5424</v>
      </c>
    </row>
    <row r="453" spans="1:3" x14ac:dyDescent="0.25">
      <c r="A453">
        <v>325193</v>
      </c>
      <c r="B453" t="s">
        <v>5425</v>
      </c>
      <c r="C453" t="s">
        <v>1171</v>
      </c>
    </row>
    <row r="454" spans="1:3" x14ac:dyDescent="0.25">
      <c r="A454">
        <v>325194</v>
      </c>
      <c r="B454" t="s">
        <v>5425</v>
      </c>
      <c r="C454" t="s">
        <v>1171</v>
      </c>
    </row>
    <row r="455" spans="1:3" x14ac:dyDescent="0.25">
      <c r="A455">
        <v>325199</v>
      </c>
      <c r="B455" t="s">
        <v>5425</v>
      </c>
      <c r="C455" t="s">
        <v>1171</v>
      </c>
    </row>
    <row r="456" spans="1:3" x14ac:dyDescent="0.25">
      <c r="A456">
        <v>325211</v>
      </c>
      <c r="B456" t="s">
        <v>5445</v>
      </c>
      <c r="C456" t="s">
        <v>5446</v>
      </c>
    </row>
    <row r="457" spans="1:3" x14ac:dyDescent="0.25">
      <c r="A457">
        <v>325212</v>
      </c>
      <c r="B457" t="s">
        <v>5447</v>
      </c>
      <c r="C457" t="s">
        <v>2780</v>
      </c>
    </row>
    <row r="458" spans="1:3" x14ac:dyDescent="0.25">
      <c r="A458">
        <v>325220</v>
      </c>
      <c r="B458" t="s">
        <v>5448</v>
      </c>
      <c r="C458" t="s">
        <v>5449</v>
      </c>
    </row>
    <row r="459" spans="1:3" x14ac:dyDescent="0.25">
      <c r="A459">
        <v>325311</v>
      </c>
      <c r="B459" t="s">
        <v>5428</v>
      </c>
      <c r="C459" t="s">
        <v>5429</v>
      </c>
    </row>
    <row r="460" spans="1:3" x14ac:dyDescent="0.25">
      <c r="A460">
        <v>325312</v>
      </c>
      <c r="B460" t="s">
        <v>5428</v>
      </c>
      <c r="C460" t="s">
        <v>5429</v>
      </c>
    </row>
    <row r="461" spans="1:3" x14ac:dyDescent="0.25">
      <c r="A461">
        <v>325314</v>
      </c>
      <c r="B461" t="s">
        <v>5428</v>
      </c>
      <c r="C461" t="s">
        <v>5429</v>
      </c>
    </row>
    <row r="462" spans="1:3" x14ac:dyDescent="0.25">
      <c r="A462">
        <v>325320</v>
      </c>
      <c r="B462" t="s">
        <v>5428</v>
      </c>
      <c r="C462" t="s">
        <v>5429</v>
      </c>
    </row>
    <row r="463" spans="1:3" x14ac:dyDescent="0.25">
      <c r="A463">
        <v>325411</v>
      </c>
      <c r="B463" t="s">
        <v>5391</v>
      </c>
      <c r="C463" t="s">
        <v>5392</v>
      </c>
    </row>
    <row r="464" spans="1:3" x14ac:dyDescent="0.25">
      <c r="A464">
        <v>325412</v>
      </c>
      <c r="B464" t="s">
        <v>5391</v>
      </c>
      <c r="C464" t="s">
        <v>5392</v>
      </c>
    </row>
    <row r="465" spans="1:3" x14ac:dyDescent="0.25">
      <c r="A465">
        <v>325413</v>
      </c>
      <c r="B465" t="s">
        <v>5391</v>
      </c>
      <c r="C465" t="s">
        <v>5392</v>
      </c>
    </row>
    <row r="466" spans="1:3" x14ac:dyDescent="0.25">
      <c r="A466">
        <v>325414</v>
      </c>
      <c r="B466" t="s">
        <v>5391</v>
      </c>
      <c r="C466" t="s">
        <v>5392</v>
      </c>
    </row>
    <row r="467" spans="1:3" x14ac:dyDescent="0.25">
      <c r="A467">
        <v>325510</v>
      </c>
      <c r="B467" t="s">
        <v>5430</v>
      </c>
      <c r="C467" t="s">
        <v>2793</v>
      </c>
    </row>
    <row r="468" spans="1:3" x14ac:dyDescent="0.25">
      <c r="A468">
        <v>325520</v>
      </c>
      <c r="B468" t="s">
        <v>5431</v>
      </c>
      <c r="C468" t="s">
        <v>2794</v>
      </c>
    </row>
    <row r="469" spans="1:3" x14ac:dyDescent="0.25">
      <c r="A469">
        <v>325611</v>
      </c>
      <c r="B469" t="s">
        <v>5432</v>
      </c>
      <c r="C469" t="s">
        <v>5433</v>
      </c>
    </row>
    <row r="470" spans="1:3" x14ac:dyDescent="0.25">
      <c r="A470">
        <v>325612</v>
      </c>
      <c r="B470" t="s">
        <v>5432</v>
      </c>
      <c r="C470" t="s">
        <v>5433</v>
      </c>
    </row>
    <row r="471" spans="1:3" x14ac:dyDescent="0.25">
      <c r="A471">
        <v>325613</v>
      </c>
      <c r="B471" t="s">
        <v>5432</v>
      </c>
      <c r="C471" t="s">
        <v>5433</v>
      </c>
    </row>
    <row r="472" spans="1:3" x14ac:dyDescent="0.25">
      <c r="A472">
        <v>325620</v>
      </c>
      <c r="B472" t="s">
        <v>5432</v>
      </c>
      <c r="C472" t="s">
        <v>5433</v>
      </c>
    </row>
    <row r="473" spans="1:3" x14ac:dyDescent="0.25">
      <c r="A473">
        <v>325910</v>
      </c>
      <c r="B473" t="s">
        <v>5434</v>
      </c>
      <c r="C473" t="s">
        <v>2799</v>
      </c>
    </row>
    <row r="474" spans="1:3" x14ac:dyDescent="0.25">
      <c r="A474">
        <v>325920</v>
      </c>
      <c r="B474" t="s">
        <v>5435</v>
      </c>
      <c r="C474" t="s">
        <v>2800</v>
      </c>
    </row>
    <row r="475" spans="1:3" x14ac:dyDescent="0.25">
      <c r="A475">
        <v>325991</v>
      </c>
      <c r="B475" t="s">
        <v>5450</v>
      </c>
      <c r="C475" t="s">
        <v>5451</v>
      </c>
    </row>
    <row r="476" spans="1:3" x14ac:dyDescent="0.25">
      <c r="A476">
        <v>325992</v>
      </c>
      <c r="B476" t="s">
        <v>5452</v>
      </c>
      <c r="C476" t="s">
        <v>5453</v>
      </c>
    </row>
    <row r="477" spans="1:3" x14ac:dyDescent="0.25">
      <c r="A477">
        <v>325998</v>
      </c>
      <c r="B477" t="s">
        <v>5454</v>
      </c>
      <c r="C477" t="s">
        <v>5455</v>
      </c>
    </row>
    <row r="478" spans="1:3" x14ac:dyDescent="0.25">
      <c r="A478">
        <v>326111</v>
      </c>
      <c r="B478" t="s">
        <v>5394</v>
      </c>
      <c r="C478" t="s">
        <v>5395</v>
      </c>
    </row>
    <row r="479" spans="1:3" x14ac:dyDescent="0.25">
      <c r="A479">
        <v>326112</v>
      </c>
      <c r="B479" t="s">
        <v>5394</v>
      </c>
      <c r="C479" t="s">
        <v>5395</v>
      </c>
    </row>
    <row r="480" spans="1:3" x14ac:dyDescent="0.25">
      <c r="A480">
        <v>326113</v>
      </c>
      <c r="B480" t="s">
        <v>5394</v>
      </c>
      <c r="C480" t="s">
        <v>5395</v>
      </c>
    </row>
    <row r="481" spans="1:3" x14ac:dyDescent="0.25">
      <c r="A481">
        <v>326121</v>
      </c>
      <c r="B481" t="s">
        <v>5394</v>
      </c>
      <c r="C481" t="s">
        <v>5395</v>
      </c>
    </row>
    <row r="482" spans="1:3" x14ac:dyDescent="0.25">
      <c r="A482">
        <v>326122</v>
      </c>
      <c r="B482" t="s">
        <v>5394</v>
      </c>
      <c r="C482" t="s">
        <v>5395</v>
      </c>
    </row>
    <row r="483" spans="1:3" x14ac:dyDescent="0.25">
      <c r="A483">
        <v>326130</v>
      </c>
      <c r="B483" t="s">
        <v>5394</v>
      </c>
      <c r="C483" t="s">
        <v>5395</v>
      </c>
    </row>
    <row r="484" spans="1:3" x14ac:dyDescent="0.25">
      <c r="A484">
        <v>326140</v>
      </c>
      <c r="B484" t="s">
        <v>5394</v>
      </c>
      <c r="C484" t="s">
        <v>5395</v>
      </c>
    </row>
    <row r="485" spans="1:3" x14ac:dyDescent="0.25">
      <c r="A485">
        <v>326150</v>
      </c>
      <c r="B485" t="s">
        <v>5394</v>
      </c>
      <c r="C485" t="s">
        <v>5395</v>
      </c>
    </row>
    <row r="486" spans="1:3" x14ac:dyDescent="0.25">
      <c r="A486">
        <v>326160</v>
      </c>
      <c r="B486" t="s">
        <v>5394</v>
      </c>
      <c r="C486" t="s">
        <v>5395</v>
      </c>
    </row>
    <row r="487" spans="1:3" x14ac:dyDescent="0.25">
      <c r="A487">
        <v>326191</v>
      </c>
      <c r="B487" t="s">
        <v>5394</v>
      </c>
      <c r="C487" t="s">
        <v>5395</v>
      </c>
    </row>
    <row r="488" spans="1:3" x14ac:dyDescent="0.25">
      <c r="A488">
        <v>326199</v>
      </c>
      <c r="B488" t="s">
        <v>5394</v>
      </c>
      <c r="C488" t="s">
        <v>5395</v>
      </c>
    </row>
    <row r="489" spans="1:3" x14ac:dyDescent="0.25">
      <c r="A489">
        <v>326211</v>
      </c>
      <c r="B489" t="s">
        <v>5436</v>
      </c>
      <c r="C489" t="s">
        <v>5437</v>
      </c>
    </row>
    <row r="490" spans="1:3" x14ac:dyDescent="0.25">
      <c r="A490">
        <v>326212</v>
      </c>
      <c r="B490" t="s">
        <v>5436</v>
      </c>
      <c r="C490" t="s">
        <v>5437</v>
      </c>
    </row>
    <row r="491" spans="1:3" x14ac:dyDescent="0.25">
      <c r="A491">
        <v>326220</v>
      </c>
      <c r="B491" t="s">
        <v>5436</v>
      </c>
      <c r="C491" t="s">
        <v>5437</v>
      </c>
    </row>
    <row r="492" spans="1:3" x14ac:dyDescent="0.25">
      <c r="A492">
        <v>326291</v>
      </c>
      <c r="B492" t="s">
        <v>5436</v>
      </c>
      <c r="C492" t="s">
        <v>5437</v>
      </c>
    </row>
    <row r="493" spans="1:3" x14ac:dyDescent="0.25">
      <c r="A493">
        <v>326299</v>
      </c>
      <c r="B493" t="s">
        <v>5436</v>
      </c>
      <c r="C493" t="s">
        <v>5437</v>
      </c>
    </row>
    <row r="494" spans="1:3" x14ac:dyDescent="0.25">
      <c r="A494">
        <v>327110</v>
      </c>
      <c r="B494" t="s">
        <v>5396</v>
      </c>
      <c r="C494" t="s">
        <v>5397</v>
      </c>
    </row>
    <row r="495" spans="1:3" x14ac:dyDescent="0.25">
      <c r="A495">
        <v>327120</v>
      </c>
      <c r="B495" t="s">
        <v>5396</v>
      </c>
      <c r="C495" t="s">
        <v>5397</v>
      </c>
    </row>
    <row r="496" spans="1:3" x14ac:dyDescent="0.25">
      <c r="A496">
        <v>327211</v>
      </c>
      <c r="B496" t="s">
        <v>5396</v>
      </c>
      <c r="C496" t="s">
        <v>5397</v>
      </c>
    </row>
    <row r="497" spans="1:3" x14ac:dyDescent="0.25">
      <c r="A497">
        <v>327212</v>
      </c>
      <c r="B497" t="s">
        <v>5396</v>
      </c>
      <c r="C497" t="s">
        <v>5397</v>
      </c>
    </row>
    <row r="498" spans="1:3" x14ac:dyDescent="0.25">
      <c r="A498">
        <v>327213</v>
      </c>
      <c r="B498" t="s">
        <v>5396</v>
      </c>
      <c r="C498" t="s">
        <v>5397</v>
      </c>
    </row>
    <row r="499" spans="1:3" x14ac:dyDescent="0.25">
      <c r="A499">
        <v>327215</v>
      </c>
      <c r="B499" t="s">
        <v>5396</v>
      </c>
      <c r="C499" t="s">
        <v>5397</v>
      </c>
    </row>
    <row r="500" spans="1:3" x14ac:dyDescent="0.25">
      <c r="A500">
        <v>327310</v>
      </c>
      <c r="B500" t="s">
        <v>5396</v>
      </c>
      <c r="C500" t="s">
        <v>5397</v>
      </c>
    </row>
    <row r="501" spans="1:3" x14ac:dyDescent="0.25">
      <c r="A501">
        <v>327320</v>
      </c>
      <c r="B501" t="s">
        <v>5396</v>
      </c>
      <c r="C501" t="s">
        <v>5397</v>
      </c>
    </row>
    <row r="502" spans="1:3" x14ac:dyDescent="0.25">
      <c r="A502">
        <v>327331</v>
      </c>
      <c r="B502" t="s">
        <v>5396</v>
      </c>
      <c r="C502" t="s">
        <v>5397</v>
      </c>
    </row>
    <row r="503" spans="1:3" x14ac:dyDescent="0.25">
      <c r="A503">
        <v>327332</v>
      </c>
      <c r="B503" t="s">
        <v>5396</v>
      </c>
      <c r="C503" t="s">
        <v>5397</v>
      </c>
    </row>
    <row r="504" spans="1:3" x14ac:dyDescent="0.25">
      <c r="A504">
        <v>327390</v>
      </c>
      <c r="B504" t="s">
        <v>5396</v>
      </c>
      <c r="C504" t="s">
        <v>5397</v>
      </c>
    </row>
    <row r="505" spans="1:3" x14ac:dyDescent="0.25">
      <c r="A505">
        <v>327410</v>
      </c>
      <c r="B505" t="s">
        <v>5396</v>
      </c>
      <c r="C505" t="s">
        <v>5397</v>
      </c>
    </row>
    <row r="506" spans="1:3" x14ac:dyDescent="0.25">
      <c r="A506">
        <v>327420</v>
      </c>
      <c r="B506" t="s">
        <v>5396</v>
      </c>
      <c r="C506" t="s">
        <v>5397</v>
      </c>
    </row>
    <row r="507" spans="1:3" x14ac:dyDescent="0.25">
      <c r="A507">
        <v>327910</v>
      </c>
      <c r="B507" t="s">
        <v>5396</v>
      </c>
      <c r="C507" t="s">
        <v>5397</v>
      </c>
    </row>
    <row r="508" spans="1:3" x14ac:dyDescent="0.25">
      <c r="A508">
        <v>327991</v>
      </c>
      <c r="B508" t="s">
        <v>5396</v>
      </c>
      <c r="C508" t="s">
        <v>5397</v>
      </c>
    </row>
    <row r="509" spans="1:3" x14ac:dyDescent="0.25">
      <c r="A509">
        <v>327992</v>
      </c>
      <c r="B509" t="s">
        <v>5396</v>
      </c>
      <c r="C509" t="s">
        <v>5397</v>
      </c>
    </row>
    <row r="510" spans="1:3" x14ac:dyDescent="0.25">
      <c r="A510">
        <v>327993</v>
      </c>
      <c r="B510" t="s">
        <v>5396</v>
      </c>
      <c r="C510" t="s">
        <v>5397</v>
      </c>
    </row>
    <row r="511" spans="1:3" x14ac:dyDescent="0.25">
      <c r="A511">
        <v>327999</v>
      </c>
      <c r="B511" t="s">
        <v>5396</v>
      </c>
      <c r="C511" t="s">
        <v>5397</v>
      </c>
    </row>
    <row r="512" spans="1:3" x14ac:dyDescent="0.25">
      <c r="A512">
        <v>331110</v>
      </c>
      <c r="B512" t="s">
        <v>5398</v>
      </c>
      <c r="C512" t="s">
        <v>5399</v>
      </c>
    </row>
    <row r="513" spans="1:3" x14ac:dyDescent="0.25">
      <c r="A513">
        <v>331210</v>
      </c>
      <c r="B513" t="s">
        <v>5398</v>
      </c>
      <c r="C513" t="s">
        <v>5399</v>
      </c>
    </row>
    <row r="514" spans="1:3" x14ac:dyDescent="0.25">
      <c r="A514">
        <v>331221</v>
      </c>
      <c r="B514" t="s">
        <v>5398</v>
      </c>
      <c r="C514" t="s">
        <v>5399</v>
      </c>
    </row>
    <row r="515" spans="1:3" x14ac:dyDescent="0.25">
      <c r="A515">
        <v>331222</v>
      </c>
      <c r="B515" t="s">
        <v>5398</v>
      </c>
      <c r="C515" t="s">
        <v>5399</v>
      </c>
    </row>
    <row r="516" spans="1:3" x14ac:dyDescent="0.25">
      <c r="A516">
        <v>331313</v>
      </c>
      <c r="B516" t="s">
        <v>5398</v>
      </c>
      <c r="C516" t="s">
        <v>5399</v>
      </c>
    </row>
    <row r="517" spans="1:3" x14ac:dyDescent="0.25">
      <c r="A517">
        <v>331314</v>
      </c>
      <c r="B517" t="s">
        <v>5398</v>
      </c>
      <c r="C517" t="s">
        <v>5399</v>
      </c>
    </row>
    <row r="518" spans="1:3" x14ac:dyDescent="0.25">
      <c r="A518">
        <v>331315</v>
      </c>
      <c r="B518" t="s">
        <v>5398</v>
      </c>
      <c r="C518" t="s">
        <v>5399</v>
      </c>
    </row>
    <row r="519" spans="1:3" x14ac:dyDescent="0.25">
      <c r="A519">
        <v>331318</v>
      </c>
      <c r="B519" t="s">
        <v>5398</v>
      </c>
      <c r="C519" t="s">
        <v>5399</v>
      </c>
    </row>
    <row r="520" spans="1:3" x14ac:dyDescent="0.25">
      <c r="A520">
        <v>331410</v>
      </c>
      <c r="B520" t="s">
        <v>5398</v>
      </c>
      <c r="C520" t="s">
        <v>5399</v>
      </c>
    </row>
    <row r="521" spans="1:3" x14ac:dyDescent="0.25">
      <c r="A521">
        <v>331420</v>
      </c>
      <c r="B521" t="s">
        <v>5398</v>
      </c>
      <c r="C521" t="s">
        <v>5399</v>
      </c>
    </row>
    <row r="522" spans="1:3" x14ac:dyDescent="0.25">
      <c r="A522">
        <v>331491</v>
      </c>
      <c r="B522" t="s">
        <v>5398</v>
      </c>
      <c r="C522" t="s">
        <v>5399</v>
      </c>
    </row>
    <row r="523" spans="1:3" x14ac:dyDescent="0.25">
      <c r="A523">
        <v>331492</v>
      </c>
      <c r="B523" t="s">
        <v>5398</v>
      </c>
      <c r="C523" t="s">
        <v>5399</v>
      </c>
    </row>
    <row r="524" spans="1:3" x14ac:dyDescent="0.25">
      <c r="A524">
        <v>331511</v>
      </c>
      <c r="B524" t="s">
        <v>5398</v>
      </c>
      <c r="C524" t="s">
        <v>5399</v>
      </c>
    </row>
    <row r="525" spans="1:3" x14ac:dyDescent="0.25">
      <c r="A525">
        <v>331512</v>
      </c>
      <c r="B525" t="s">
        <v>5398</v>
      </c>
      <c r="C525" t="s">
        <v>5399</v>
      </c>
    </row>
    <row r="526" spans="1:3" x14ac:dyDescent="0.25">
      <c r="A526">
        <v>331513</v>
      </c>
      <c r="B526" t="s">
        <v>5398</v>
      </c>
      <c r="C526" t="s">
        <v>5399</v>
      </c>
    </row>
    <row r="527" spans="1:3" x14ac:dyDescent="0.25">
      <c r="A527">
        <v>331523</v>
      </c>
      <c r="B527" t="s">
        <v>5398</v>
      </c>
      <c r="C527" t="s">
        <v>5399</v>
      </c>
    </row>
    <row r="528" spans="1:3" x14ac:dyDescent="0.25">
      <c r="A528">
        <v>331524</v>
      </c>
      <c r="B528" t="s">
        <v>5398</v>
      </c>
      <c r="C528" t="s">
        <v>5399</v>
      </c>
    </row>
    <row r="529" spans="1:3" x14ac:dyDescent="0.25">
      <c r="A529">
        <v>331529</v>
      </c>
      <c r="B529" t="s">
        <v>5398</v>
      </c>
      <c r="C529" t="s">
        <v>5399</v>
      </c>
    </row>
    <row r="530" spans="1:3" x14ac:dyDescent="0.25">
      <c r="A530">
        <v>332111</v>
      </c>
      <c r="B530" t="s">
        <v>5400</v>
      </c>
      <c r="C530" t="s">
        <v>5401</v>
      </c>
    </row>
    <row r="531" spans="1:3" x14ac:dyDescent="0.25">
      <c r="A531">
        <v>332112</v>
      </c>
      <c r="B531" t="s">
        <v>5400</v>
      </c>
      <c r="C531" t="s">
        <v>5401</v>
      </c>
    </row>
    <row r="532" spans="1:3" x14ac:dyDescent="0.25">
      <c r="A532">
        <v>332117</v>
      </c>
      <c r="B532" t="s">
        <v>5400</v>
      </c>
      <c r="C532" t="s">
        <v>5401</v>
      </c>
    </row>
    <row r="533" spans="1:3" x14ac:dyDescent="0.25">
      <c r="A533">
        <v>332119</v>
      </c>
      <c r="B533" t="s">
        <v>5400</v>
      </c>
      <c r="C533" t="s">
        <v>5401</v>
      </c>
    </row>
    <row r="534" spans="1:3" x14ac:dyDescent="0.25">
      <c r="A534">
        <v>332215</v>
      </c>
      <c r="B534" t="s">
        <v>5400</v>
      </c>
      <c r="C534" t="s">
        <v>5401</v>
      </c>
    </row>
    <row r="535" spans="1:3" x14ac:dyDescent="0.25">
      <c r="A535">
        <v>332216</v>
      </c>
      <c r="B535" t="s">
        <v>5400</v>
      </c>
      <c r="C535" t="s">
        <v>5401</v>
      </c>
    </row>
    <row r="536" spans="1:3" x14ac:dyDescent="0.25">
      <c r="A536">
        <v>332311</v>
      </c>
      <c r="B536" t="s">
        <v>5400</v>
      </c>
      <c r="C536" t="s">
        <v>5401</v>
      </c>
    </row>
    <row r="537" spans="1:3" x14ac:dyDescent="0.25">
      <c r="A537">
        <v>332312</v>
      </c>
      <c r="B537" t="s">
        <v>5400</v>
      </c>
      <c r="C537" t="s">
        <v>5401</v>
      </c>
    </row>
    <row r="538" spans="1:3" x14ac:dyDescent="0.25">
      <c r="A538">
        <v>332313</v>
      </c>
      <c r="B538" t="s">
        <v>5400</v>
      </c>
      <c r="C538" t="s">
        <v>5401</v>
      </c>
    </row>
    <row r="539" spans="1:3" x14ac:dyDescent="0.25">
      <c r="A539">
        <v>332321</v>
      </c>
      <c r="B539" t="s">
        <v>5400</v>
      </c>
      <c r="C539" t="s">
        <v>5401</v>
      </c>
    </row>
    <row r="540" spans="1:3" x14ac:dyDescent="0.25">
      <c r="A540">
        <v>332322</v>
      </c>
      <c r="B540" t="s">
        <v>5400</v>
      </c>
      <c r="C540" t="s">
        <v>5401</v>
      </c>
    </row>
    <row r="541" spans="1:3" x14ac:dyDescent="0.25">
      <c r="A541">
        <v>332323</v>
      </c>
      <c r="B541" t="s">
        <v>5400</v>
      </c>
      <c r="C541" t="s">
        <v>5401</v>
      </c>
    </row>
    <row r="542" spans="1:3" x14ac:dyDescent="0.25">
      <c r="A542">
        <v>332410</v>
      </c>
      <c r="B542" t="s">
        <v>5400</v>
      </c>
      <c r="C542" t="s">
        <v>5401</v>
      </c>
    </row>
    <row r="543" spans="1:3" x14ac:dyDescent="0.25">
      <c r="A543">
        <v>332420</v>
      </c>
      <c r="B543" t="s">
        <v>5400</v>
      </c>
      <c r="C543" t="s">
        <v>5401</v>
      </c>
    </row>
    <row r="544" spans="1:3" x14ac:dyDescent="0.25">
      <c r="A544">
        <v>332431</v>
      </c>
      <c r="B544" t="s">
        <v>5400</v>
      </c>
      <c r="C544" t="s">
        <v>5401</v>
      </c>
    </row>
    <row r="545" spans="1:3" x14ac:dyDescent="0.25">
      <c r="A545">
        <v>332439</v>
      </c>
      <c r="B545" t="s">
        <v>5400</v>
      </c>
      <c r="C545" t="s">
        <v>5401</v>
      </c>
    </row>
    <row r="546" spans="1:3" x14ac:dyDescent="0.25">
      <c r="A546">
        <v>332510</v>
      </c>
      <c r="B546" t="s">
        <v>5400</v>
      </c>
      <c r="C546" t="s">
        <v>5401</v>
      </c>
    </row>
    <row r="547" spans="1:3" x14ac:dyDescent="0.25">
      <c r="A547">
        <v>332613</v>
      </c>
      <c r="B547" t="s">
        <v>5400</v>
      </c>
      <c r="C547" t="s">
        <v>5401</v>
      </c>
    </row>
    <row r="548" spans="1:3" x14ac:dyDescent="0.25">
      <c r="A548">
        <v>332618</v>
      </c>
      <c r="B548" t="s">
        <v>5400</v>
      </c>
      <c r="C548" t="s">
        <v>5401</v>
      </c>
    </row>
    <row r="549" spans="1:3" x14ac:dyDescent="0.25">
      <c r="A549">
        <v>332710</v>
      </c>
      <c r="B549" t="s">
        <v>5400</v>
      </c>
      <c r="C549" t="s">
        <v>5401</v>
      </c>
    </row>
    <row r="550" spans="1:3" x14ac:dyDescent="0.25">
      <c r="A550">
        <v>332721</v>
      </c>
      <c r="B550" t="s">
        <v>5400</v>
      </c>
      <c r="C550" t="s">
        <v>5401</v>
      </c>
    </row>
    <row r="551" spans="1:3" x14ac:dyDescent="0.25">
      <c r="A551">
        <v>332722</v>
      </c>
      <c r="B551" t="s">
        <v>5400</v>
      </c>
      <c r="C551" t="s">
        <v>5401</v>
      </c>
    </row>
    <row r="552" spans="1:3" x14ac:dyDescent="0.25">
      <c r="A552">
        <v>332811</v>
      </c>
      <c r="B552" t="s">
        <v>5400</v>
      </c>
      <c r="C552" t="s">
        <v>5401</v>
      </c>
    </row>
    <row r="553" spans="1:3" x14ac:dyDescent="0.25">
      <c r="A553">
        <v>332812</v>
      </c>
      <c r="B553" t="s">
        <v>5400</v>
      </c>
      <c r="C553" t="s">
        <v>5401</v>
      </c>
    </row>
    <row r="554" spans="1:3" x14ac:dyDescent="0.25">
      <c r="A554">
        <v>332813</v>
      </c>
      <c r="B554" t="s">
        <v>5400</v>
      </c>
      <c r="C554" t="s">
        <v>5401</v>
      </c>
    </row>
    <row r="555" spans="1:3" x14ac:dyDescent="0.25">
      <c r="A555">
        <v>332911</v>
      </c>
      <c r="B555" t="s">
        <v>5400</v>
      </c>
      <c r="C555" t="s">
        <v>5401</v>
      </c>
    </row>
    <row r="556" spans="1:3" x14ac:dyDescent="0.25">
      <c r="A556">
        <v>332912</v>
      </c>
      <c r="B556" t="s">
        <v>5400</v>
      </c>
      <c r="C556" t="s">
        <v>5401</v>
      </c>
    </row>
    <row r="557" spans="1:3" x14ac:dyDescent="0.25">
      <c r="A557">
        <v>332913</v>
      </c>
      <c r="B557" t="s">
        <v>5400</v>
      </c>
      <c r="C557" t="s">
        <v>5401</v>
      </c>
    </row>
    <row r="558" spans="1:3" x14ac:dyDescent="0.25">
      <c r="A558">
        <v>332919</v>
      </c>
      <c r="B558" t="s">
        <v>5400</v>
      </c>
      <c r="C558" t="s">
        <v>5401</v>
      </c>
    </row>
    <row r="559" spans="1:3" x14ac:dyDescent="0.25">
      <c r="A559">
        <v>332991</v>
      </c>
      <c r="B559" t="s">
        <v>5400</v>
      </c>
      <c r="C559" t="s">
        <v>5401</v>
      </c>
    </row>
    <row r="560" spans="1:3" x14ac:dyDescent="0.25">
      <c r="A560">
        <v>332992</v>
      </c>
      <c r="B560" t="s">
        <v>5400</v>
      </c>
      <c r="C560" t="s">
        <v>5401</v>
      </c>
    </row>
    <row r="561" spans="1:3" x14ac:dyDescent="0.25">
      <c r="A561">
        <v>332993</v>
      </c>
      <c r="B561" t="s">
        <v>5400</v>
      </c>
      <c r="C561" t="s">
        <v>5401</v>
      </c>
    </row>
    <row r="562" spans="1:3" x14ac:dyDescent="0.25">
      <c r="A562">
        <v>332994</v>
      </c>
      <c r="B562" t="s">
        <v>5400</v>
      </c>
      <c r="C562" t="s">
        <v>5401</v>
      </c>
    </row>
    <row r="563" spans="1:3" x14ac:dyDescent="0.25">
      <c r="A563">
        <v>332996</v>
      </c>
      <c r="B563" t="s">
        <v>5400</v>
      </c>
      <c r="C563" t="s">
        <v>5401</v>
      </c>
    </row>
    <row r="564" spans="1:3" x14ac:dyDescent="0.25">
      <c r="A564">
        <v>332999</v>
      </c>
      <c r="B564" t="s">
        <v>5400</v>
      </c>
      <c r="C564" t="s">
        <v>5401</v>
      </c>
    </row>
    <row r="565" spans="1:3" x14ac:dyDescent="0.25">
      <c r="A565">
        <v>333111</v>
      </c>
      <c r="B565" t="s">
        <v>5402</v>
      </c>
      <c r="C565" t="s">
        <v>5403</v>
      </c>
    </row>
    <row r="566" spans="1:3" x14ac:dyDescent="0.25">
      <c r="A566">
        <v>333112</v>
      </c>
      <c r="B566" t="s">
        <v>5402</v>
      </c>
      <c r="C566" t="s">
        <v>5403</v>
      </c>
    </row>
    <row r="567" spans="1:3" x14ac:dyDescent="0.25">
      <c r="A567">
        <v>333120</v>
      </c>
      <c r="B567" t="s">
        <v>5402</v>
      </c>
      <c r="C567" t="s">
        <v>5403</v>
      </c>
    </row>
    <row r="568" spans="1:3" x14ac:dyDescent="0.25">
      <c r="A568">
        <v>333131</v>
      </c>
      <c r="B568" t="s">
        <v>5402</v>
      </c>
      <c r="C568" t="s">
        <v>5403</v>
      </c>
    </row>
    <row r="569" spans="1:3" x14ac:dyDescent="0.25">
      <c r="A569">
        <v>333132</v>
      </c>
      <c r="B569" t="s">
        <v>5402</v>
      </c>
      <c r="C569" t="s">
        <v>5403</v>
      </c>
    </row>
    <row r="570" spans="1:3" x14ac:dyDescent="0.25">
      <c r="A570">
        <v>333241</v>
      </c>
      <c r="B570" t="s">
        <v>5402</v>
      </c>
      <c r="C570" t="s">
        <v>5403</v>
      </c>
    </row>
    <row r="571" spans="1:3" x14ac:dyDescent="0.25">
      <c r="A571">
        <v>333242</v>
      </c>
      <c r="B571" t="s">
        <v>5402</v>
      </c>
      <c r="C571" t="s">
        <v>5403</v>
      </c>
    </row>
    <row r="572" spans="1:3" x14ac:dyDescent="0.25">
      <c r="A572">
        <v>333243</v>
      </c>
      <c r="B572" t="s">
        <v>5402</v>
      </c>
      <c r="C572" t="s">
        <v>5403</v>
      </c>
    </row>
    <row r="573" spans="1:3" x14ac:dyDescent="0.25">
      <c r="A573">
        <v>333244</v>
      </c>
      <c r="B573" t="s">
        <v>5402</v>
      </c>
      <c r="C573" t="s">
        <v>5403</v>
      </c>
    </row>
    <row r="574" spans="1:3" x14ac:dyDescent="0.25">
      <c r="A574">
        <v>333249</v>
      </c>
      <c r="B574" t="s">
        <v>5402</v>
      </c>
      <c r="C574" t="s">
        <v>5403</v>
      </c>
    </row>
    <row r="575" spans="1:3" x14ac:dyDescent="0.25">
      <c r="A575">
        <v>333314</v>
      </c>
      <c r="B575" t="s">
        <v>5402</v>
      </c>
      <c r="C575" t="s">
        <v>5403</v>
      </c>
    </row>
    <row r="576" spans="1:3" x14ac:dyDescent="0.25">
      <c r="A576">
        <v>333316</v>
      </c>
      <c r="B576" t="s">
        <v>5402</v>
      </c>
      <c r="C576" t="s">
        <v>5403</v>
      </c>
    </row>
    <row r="577" spans="1:3" x14ac:dyDescent="0.25">
      <c r="A577">
        <v>333318</v>
      </c>
      <c r="B577" t="s">
        <v>5402</v>
      </c>
      <c r="C577" t="s">
        <v>5403</v>
      </c>
    </row>
    <row r="578" spans="1:3" x14ac:dyDescent="0.25">
      <c r="A578">
        <v>333413</v>
      </c>
      <c r="B578" t="s">
        <v>5402</v>
      </c>
      <c r="C578" t="s">
        <v>5403</v>
      </c>
    </row>
    <row r="579" spans="1:3" x14ac:dyDescent="0.25">
      <c r="A579">
        <v>333414</v>
      </c>
      <c r="B579" t="s">
        <v>5402</v>
      </c>
      <c r="C579" t="s">
        <v>5403</v>
      </c>
    </row>
    <row r="580" spans="1:3" x14ac:dyDescent="0.25">
      <c r="A580">
        <v>333415</v>
      </c>
      <c r="B580" t="s">
        <v>5402</v>
      </c>
      <c r="C580" t="s">
        <v>5403</v>
      </c>
    </row>
    <row r="581" spans="1:3" x14ac:dyDescent="0.25">
      <c r="A581">
        <v>333511</v>
      </c>
      <c r="B581" t="s">
        <v>5402</v>
      </c>
      <c r="C581" t="s">
        <v>5403</v>
      </c>
    </row>
    <row r="582" spans="1:3" x14ac:dyDescent="0.25">
      <c r="A582">
        <v>333514</v>
      </c>
      <c r="B582" t="s">
        <v>5402</v>
      </c>
      <c r="C582" t="s">
        <v>5403</v>
      </c>
    </row>
    <row r="583" spans="1:3" x14ac:dyDescent="0.25">
      <c r="A583">
        <v>333515</v>
      </c>
      <c r="B583" t="s">
        <v>5402</v>
      </c>
      <c r="C583" t="s">
        <v>5403</v>
      </c>
    </row>
    <row r="584" spans="1:3" x14ac:dyDescent="0.25">
      <c r="A584">
        <v>333517</v>
      </c>
      <c r="B584" t="s">
        <v>5402</v>
      </c>
      <c r="C584" t="s">
        <v>5403</v>
      </c>
    </row>
    <row r="585" spans="1:3" x14ac:dyDescent="0.25">
      <c r="A585">
        <v>333519</v>
      </c>
      <c r="B585" t="s">
        <v>5402</v>
      </c>
      <c r="C585" t="s">
        <v>5403</v>
      </c>
    </row>
    <row r="586" spans="1:3" x14ac:dyDescent="0.25">
      <c r="A586">
        <v>333611</v>
      </c>
      <c r="B586" t="s">
        <v>5402</v>
      </c>
      <c r="C586" t="s">
        <v>5403</v>
      </c>
    </row>
    <row r="587" spans="1:3" x14ac:dyDescent="0.25">
      <c r="A587">
        <v>333612</v>
      </c>
      <c r="B587" t="s">
        <v>5402</v>
      </c>
      <c r="C587" t="s">
        <v>5403</v>
      </c>
    </row>
    <row r="588" spans="1:3" x14ac:dyDescent="0.25">
      <c r="A588">
        <v>333613</v>
      </c>
      <c r="B588" t="s">
        <v>5402</v>
      </c>
      <c r="C588" t="s">
        <v>5403</v>
      </c>
    </row>
    <row r="589" spans="1:3" x14ac:dyDescent="0.25">
      <c r="A589">
        <v>333618</v>
      </c>
      <c r="B589" t="s">
        <v>5402</v>
      </c>
      <c r="C589" t="s">
        <v>5403</v>
      </c>
    </row>
    <row r="590" spans="1:3" x14ac:dyDescent="0.25">
      <c r="A590">
        <v>333912</v>
      </c>
      <c r="B590" t="s">
        <v>5402</v>
      </c>
      <c r="C590" t="s">
        <v>5403</v>
      </c>
    </row>
    <row r="591" spans="1:3" x14ac:dyDescent="0.25">
      <c r="A591">
        <v>333914</v>
      </c>
      <c r="B591" t="s">
        <v>5402</v>
      </c>
      <c r="C591" t="s">
        <v>5403</v>
      </c>
    </row>
    <row r="592" spans="1:3" x14ac:dyDescent="0.25">
      <c r="A592">
        <v>333921</v>
      </c>
      <c r="B592" t="s">
        <v>5402</v>
      </c>
      <c r="C592" t="s">
        <v>5403</v>
      </c>
    </row>
    <row r="593" spans="1:3" x14ac:dyDescent="0.25">
      <c r="A593">
        <v>333922</v>
      </c>
      <c r="B593" t="s">
        <v>5402</v>
      </c>
      <c r="C593" t="s">
        <v>5403</v>
      </c>
    </row>
    <row r="594" spans="1:3" x14ac:dyDescent="0.25">
      <c r="A594">
        <v>333923</v>
      </c>
      <c r="B594" t="s">
        <v>5402</v>
      </c>
      <c r="C594" t="s">
        <v>5403</v>
      </c>
    </row>
    <row r="595" spans="1:3" x14ac:dyDescent="0.25">
      <c r="A595">
        <v>333924</v>
      </c>
      <c r="B595" t="s">
        <v>5402</v>
      </c>
      <c r="C595" t="s">
        <v>5403</v>
      </c>
    </row>
    <row r="596" spans="1:3" x14ac:dyDescent="0.25">
      <c r="A596">
        <v>333991</v>
      </c>
      <c r="B596" t="s">
        <v>5402</v>
      </c>
      <c r="C596" t="s">
        <v>5403</v>
      </c>
    </row>
    <row r="597" spans="1:3" x14ac:dyDescent="0.25">
      <c r="A597">
        <v>333992</v>
      </c>
      <c r="B597" t="s">
        <v>5402</v>
      </c>
      <c r="C597" t="s">
        <v>5403</v>
      </c>
    </row>
    <row r="598" spans="1:3" x14ac:dyDescent="0.25">
      <c r="A598">
        <v>333994</v>
      </c>
      <c r="B598" t="s">
        <v>5402</v>
      </c>
      <c r="C598" t="s">
        <v>5403</v>
      </c>
    </row>
    <row r="599" spans="1:3" x14ac:dyDescent="0.25">
      <c r="A599">
        <v>333995</v>
      </c>
      <c r="B599" t="s">
        <v>5402</v>
      </c>
      <c r="C599" t="s">
        <v>5403</v>
      </c>
    </row>
    <row r="600" spans="1:3" x14ac:dyDescent="0.25">
      <c r="A600">
        <v>333996</v>
      </c>
      <c r="B600" t="s">
        <v>5402</v>
      </c>
      <c r="C600" t="s">
        <v>5403</v>
      </c>
    </row>
    <row r="601" spans="1:3" x14ac:dyDescent="0.25">
      <c r="A601">
        <v>333997</v>
      </c>
      <c r="B601" t="s">
        <v>5402</v>
      </c>
      <c r="C601" t="s">
        <v>5403</v>
      </c>
    </row>
    <row r="602" spans="1:3" x14ac:dyDescent="0.25">
      <c r="A602">
        <v>333999</v>
      </c>
      <c r="B602" t="s">
        <v>5402</v>
      </c>
      <c r="C602" t="s">
        <v>5403</v>
      </c>
    </row>
    <row r="603" spans="1:3" x14ac:dyDescent="0.25">
      <c r="A603">
        <v>334111</v>
      </c>
      <c r="B603" t="s">
        <v>5406</v>
      </c>
      <c r="C603" t="s">
        <v>5407</v>
      </c>
    </row>
    <row r="604" spans="1:3" x14ac:dyDescent="0.25">
      <c r="A604">
        <v>334112</v>
      </c>
      <c r="B604" t="s">
        <v>5406</v>
      </c>
      <c r="C604" t="s">
        <v>5407</v>
      </c>
    </row>
    <row r="605" spans="1:3" x14ac:dyDescent="0.25">
      <c r="A605">
        <v>334118</v>
      </c>
      <c r="B605" t="s">
        <v>5406</v>
      </c>
      <c r="C605" t="s">
        <v>5407</v>
      </c>
    </row>
    <row r="606" spans="1:3" x14ac:dyDescent="0.25">
      <c r="A606">
        <v>334210</v>
      </c>
      <c r="B606" t="s">
        <v>5406</v>
      </c>
      <c r="C606" t="s">
        <v>5407</v>
      </c>
    </row>
    <row r="607" spans="1:3" x14ac:dyDescent="0.25">
      <c r="A607">
        <v>334220</v>
      </c>
      <c r="B607" t="s">
        <v>5406</v>
      </c>
      <c r="C607" t="s">
        <v>5407</v>
      </c>
    </row>
    <row r="608" spans="1:3" x14ac:dyDescent="0.25">
      <c r="A608">
        <v>334290</v>
      </c>
      <c r="B608" t="s">
        <v>5406</v>
      </c>
      <c r="C608" t="s">
        <v>5407</v>
      </c>
    </row>
    <row r="609" spans="1:3" x14ac:dyDescent="0.25">
      <c r="A609">
        <v>334310</v>
      </c>
      <c r="B609" t="s">
        <v>5406</v>
      </c>
      <c r="C609" t="s">
        <v>5407</v>
      </c>
    </row>
    <row r="610" spans="1:3" x14ac:dyDescent="0.25">
      <c r="A610">
        <v>334412</v>
      </c>
      <c r="B610" t="s">
        <v>5406</v>
      </c>
      <c r="C610" t="s">
        <v>5407</v>
      </c>
    </row>
    <row r="611" spans="1:3" x14ac:dyDescent="0.25">
      <c r="A611">
        <v>334413</v>
      </c>
      <c r="B611" t="s">
        <v>5406</v>
      </c>
      <c r="C611" t="s">
        <v>5407</v>
      </c>
    </row>
    <row r="612" spans="1:3" x14ac:dyDescent="0.25">
      <c r="A612">
        <v>334416</v>
      </c>
      <c r="B612" t="s">
        <v>5406</v>
      </c>
      <c r="C612" t="s">
        <v>5407</v>
      </c>
    </row>
    <row r="613" spans="1:3" x14ac:dyDescent="0.25">
      <c r="A613">
        <v>334417</v>
      </c>
      <c r="B613" t="s">
        <v>5406</v>
      </c>
      <c r="C613" t="s">
        <v>5407</v>
      </c>
    </row>
    <row r="614" spans="1:3" x14ac:dyDescent="0.25">
      <c r="A614">
        <v>334418</v>
      </c>
      <c r="B614" t="s">
        <v>5406</v>
      </c>
      <c r="C614" t="s">
        <v>5407</v>
      </c>
    </row>
    <row r="615" spans="1:3" x14ac:dyDescent="0.25">
      <c r="A615">
        <v>334419</v>
      </c>
      <c r="B615" t="s">
        <v>5406</v>
      </c>
      <c r="C615" t="s">
        <v>5407</v>
      </c>
    </row>
    <row r="616" spans="1:3" x14ac:dyDescent="0.25">
      <c r="A616">
        <v>334510</v>
      </c>
      <c r="B616" t="s">
        <v>5406</v>
      </c>
      <c r="C616" t="s">
        <v>5407</v>
      </c>
    </row>
    <row r="617" spans="1:3" x14ac:dyDescent="0.25">
      <c r="A617">
        <v>334511</v>
      </c>
      <c r="B617" t="s">
        <v>5406</v>
      </c>
      <c r="C617" t="s">
        <v>5407</v>
      </c>
    </row>
    <row r="618" spans="1:3" x14ac:dyDescent="0.25">
      <c r="A618">
        <v>334512</v>
      </c>
      <c r="B618" t="s">
        <v>5406</v>
      </c>
      <c r="C618" t="s">
        <v>5407</v>
      </c>
    </row>
    <row r="619" spans="1:3" x14ac:dyDescent="0.25">
      <c r="A619">
        <v>334513</v>
      </c>
      <c r="B619" t="s">
        <v>5406</v>
      </c>
      <c r="C619" t="s">
        <v>5407</v>
      </c>
    </row>
    <row r="620" spans="1:3" x14ac:dyDescent="0.25">
      <c r="A620">
        <v>334514</v>
      </c>
      <c r="B620" t="s">
        <v>5406</v>
      </c>
      <c r="C620" t="s">
        <v>5407</v>
      </c>
    </row>
    <row r="621" spans="1:3" x14ac:dyDescent="0.25">
      <c r="A621">
        <v>334515</v>
      </c>
      <c r="B621" t="s">
        <v>5406</v>
      </c>
      <c r="C621" t="s">
        <v>5407</v>
      </c>
    </row>
    <row r="622" spans="1:3" x14ac:dyDescent="0.25">
      <c r="A622">
        <v>334516</v>
      </c>
      <c r="B622" t="s">
        <v>5406</v>
      </c>
      <c r="C622" t="s">
        <v>5407</v>
      </c>
    </row>
    <row r="623" spans="1:3" x14ac:dyDescent="0.25">
      <c r="A623">
        <v>334517</v>
      </c>
      <c r="B623" t="s">
        <v>5406</v>
      </c>
      <c r="C623" t="s">
        <v>5407</v>
      </c>
    </row>
    <row r="624" spans="1:3" x14ac:dyDescent="0.25">
      <c r="A624">
        <v>334519</v>
      </c>
      <c r="B624" t="s">
        <v>5406</v>
      </c>
      <c r="C624" t="s">
        <v>5407</v>
      </c>
    </row>
    <row r="625" spans="1:3" x14ac:dyDescent="0.25">
      <c r="A625">
        <v>334613</v>
      </c>
      <c r="B625" t="s">
        <v>5406</v>
      </c>
      <c r="C625" t="s">
        <v>5407</v>
      </c>
    </row>
    <row r="626" spans="1:3" x14ac:dyDescent="0.25">
      <c r="A626">
        <v>334614</v>
      </c>
      <c r="B626" t="s">
        <v>5406</v>
      </c>
      <c r="C626" t="s">
        <v>5407</v>
      </c>
    </row>
    <row r="627" spans="1:3" x14ac:dyDescent="0.25">
      <c r="A627">
        <v>335110</v>
      </c>
      <c r="B627" t="s">
        <v>5438</v>
      </c>
      <c r="C627" t="s">
        <v>5439</v>
      </c>
    </row>
    <row r="628" spans="1:3" x14ac:dyDescent="0.25">
      <c r="A628">
        <v>335121</v>
      </c>
      <c r="B628" t="s">
        <v>5438</v>
      </c>
      <c r="C628" t="s">
        <v>5439</v>
      </c>
    </row>
    <row r="629" spans="1:3" x14ac:dyDescent="0.25">
      <c r="A629">
        <v>335122</v>
      </c>
      <c r="B629" t="s">
        <v>5438</v>
      </c>
      <c r="C629" t="s">
        <v>5439</v>
      </c>
    </row>
    <row r="630" spans="1:3" x14ac:dyDescent="0.25">
      <c r="A630">
        <v>335129</v>
      </c>
      <c r="B630" t="s">
        <v>5438</v>
      </c>
      <c r="C630" t="s">
        <v>5439</v>
      </c>
    </row>
    <row r="631" spans="1:3" x14ac:dyDescent="0.25">
      <c r="A631">
        <v>335210</v>
      </c>
      <c r="B631" t="s">
        <v>5438</v>
      </c>
      <c r="C631" t="s">
        <v>5439</v>
      </c>
    </row>
    <row r="632" spans="1:3" x14ac:dyDescent="0.25">
      <c r="A632">
        <v>335220</v>
      </c>
      <c r="B632" t="s">
        <v>5438</v>
      </c>
      <c r="C632" t="s">
        <v>5439</v>
      </c>
    </row>
    <row r="633" spans="1:3" x14ac:dyDescent="0.25">
      <c r="A633">
        <v>335311</v>
      </c>
      <c r="B633" t="s">
        <v>5438</v>
      </c>
      <c r="C633" t="s">
        <v>5439</v>
      </c>
    </row>
    <row r="634" spans="1:3" x14ac:dyDescent="0.25">
      <c r="A634">
        <v>335312</v>
      </c>
      <c r="B634" t="s">
        <v>5438</v>
      </c>
      <c r="C634" t="s">
        <v>5439</v>
      </c>
    </row>
    <row r="635" spans="1:3" x14ac:dyDescent="0.25">
      <c r="A635">
        <v>335313</v>
      </c>
      <c r="B635" t="s">
        <v>5438</v>
      </c>
      <c r="C635" t="s">
        <v>5439</v>
      </c>
    </row>
    <row r="636" spans="1:3" x14ac:dyDescent="0.25">
      <c r="A636">
        <v>335314</v>
      </c>
      <c r="B636" t="s">
        <v>5438</v>
      </c>
      <c r="C636" t="s">
        <v>5439</v>
      </c>
    </row>
    <row r="637" spans="1:3" x14ac:dyDescent="0.25">
      <c r="A637">
        <v>335911</v>
      </c>
      <c r="B637" t="s">
        <v>5438</v>
      </c>
      <c r="C637" t="s">
        <v>5439</v>
      </c>
    </row>
    <row r="638" spans="1:3" x14ac:dyDescent="0.25">
      <c r="A638">
        <v>335912</v>
      </c>
      <c r="B638" t="s">
        <v>5438</v>
      </c>
      <c r="C638" t="s">
        <v>5439</v>
      </c>
    </row>
    <row r="639" spans="1:3" x14ac:dyDescent="0.25">
      <c r="A639">
        <v>335921</v>
      </c>
      <c r="B639" t="s">
        <v>5438</v>
      </c>
      <c r="C639" t="s">
        <v>5439</v>
      </c>
    </row>
    <row r="640" spans="1:3" x14ac:dyDescent="0.25">
      <c r="A640">
        <v>335929</v>
      </c>
      <c r="B640" t="s">
        <v>5438</v>
      </c>
      <c r="C640" t="s">
        <v>5439</v>
      </c>
    </row>
    <row r="641" spans="1:3" x14ac:dyDescent="0.25">
      <c r="A641">
        <v>335931</v>
      </c>
      <c r="B641" t="s">
        <v>5438</v>
      </c>
      <c r="C641" t="s">
        <v>5439</v>
      </c>
    </row>
    <row r="642" spans="1:3" x14ac:dyDescent="0.25">
      <c r="A642">
        <v>335932</v>
      </c>
      <c r="B642" t="s">
        <v>5438</v>
      </c>
      <c r="C642" t="s">
        <v>5439</v>
      </c>
    </row>
    <row r="643" spans="1:3" x14ac:dyDescent="0.25">
      <c r="A643">
        <v>335991</v>
      </c>
      <c r="B643" t="s">
        <v>5438</v>
      </c>
      <c r="C643" t="s">
        <v>5439</v>
      </c>
    </row>
    <row r="644" spans="1:3" x14ac:dyDescent="0.25">
      <c r="A644">
        <v>335999</v>
      </c>
      <c r="B644" t="s">
        <v>5438</v>
      </c>
      <c r="C644" t="s">
        <v>5439</v>
      </c>
    </row>
    <row r="645" spans="1:3" x14ac:dyDescent="0.25">
      <c r="A645">
        <v>336111</v>
      </c>
      <c r="B645" t="s">
        <v>5408</v>
      </c>
      <c r="C645" t="s">
        <v>5409</v>
      </c>
    </row>
    <row r="646" spans="1:3" x14ac:dyDescent="0.25">
      <c r="A646">
        <v>336112</v>
      </c>
      <c r="B646" t="s">
        <v>5408</v>
      </c>
      <c r="C646" t="s">
        <v>5409</v>
      </c>
    </row>
    <row r="647" spans="1:3" x14ac:dyDescent="0.25">
      <c r="A647">
        <v>336120</v>
      </c>
      <c r="B647" t="s">
        <v>5408</v>
      </c>
      <c r="C647" t="s">
        <v>5409</v>
      </c>
    </row>
    <row r="648" spans="1:3" x14ac:dyDescent="0.25">
      <c r="A648">
        <v>336211</v>
      </c>
      <c r="B648" t="s">
        <v>5408</v>
      </c>
      <c r="C648" t="s">
        <v>5409</v>
      </c>
    </row>
    <row r="649" spans="1:3" x14ac:dyDescent="0.25">
      <c r="A649">
        <v>336212</v>
      </c>
      <c r="B649" t="s">
        <v>5408</v>
      </c>
      <c r="C649" t="s">
        <v>5409</v>
      </c>
    </row>
    <row r="650" spans="1:3" x14ac:dyDescent="0.25">
      <c r="A650">
        <v>336213</v>
      </c>
      <c r="B650" t="s">
        <v>5408</v>
      </c>
      <c r="C650" t="s">
        <v>5409</v>
      </c>
    </row>
    <row r="651" spans="1:3" x14ac:dyDescent="0.25">
      <c r="A651">
        <v>336214</v>
      </c>
      <c r="B651" t="s">
        <v>5408</v>
      </c>
      <c r="C651" t="s">
        <v>5409</v>
      </c>
    </row>
    <row r="652" spans="1:3" x14ac:dyDescent="0.25">
      <c r="A652">
        <v>336310</v>
      </c>
      <c r="B652" t="s">
        <v>5408</v>
      </c>
      <c r="C652" t="s">
        <v>5409</v>
      </c>
    </row>
    <row r="653" spans="1:3" x14ac:dyDescent="0.25">
      <c r="A653">
        <v>336320</v>
      </c>
      <c r="B653" t="s">
        <v>5408</v>
      </c>
      <c r="C653" t="s">
        <v>5409</v>
      </c>
    </row>
    <row r="654" spans="1:3" x14ac:dyDescent="0.25">
      <c r="A654">
        <v>336330</v>
      </c>
      <c r="B654" t="s">
        <v>5408</v>
      </c>
      <c r="C654" t="s">
        <v>5409</v>
      </c>
    </row>
    <row r="655" spans="1:3" x14ac:dyDescent="0.25">
      <c r="A655">
        <v>336340</v>
      </c>
      <c r="B655" t="s">
        <v>5408</v>
      </c>
      <c r="C655" t="s">
        <v>5409</v>
      </c>
    </row>
    <row r="656" spans="1:3" x14ac:dyDescent="0.25">
      <c r="A656">
        <v>336350</v>
      </c>
      <c r="B656" t="s">
        <v>5408</v>
      </c>
      <c r="C656" t="s">
        <v>5409</v>
      </c>
    </row>
    <row r="657" spans="1:3" x14ac:dyDescent="0.25">
      <c r="A657">
        <v>336360</v>
      </c>
      <c r="B657" t="s">
        <v>5408</v>
      </c>
      <c r="C657" t="s">
        <v>5409</v>
      </c>
    </row>
    <row r="658" spans="1:3" x14ac:dyDescent="0.25">
      <c r="A658">
        <v>336370</v>
      </c>
      <c r="B658" t="s">
        <v>5408</v>
      </c>
      <c r="C658" t="s">
        <v>5409</v>
      </c>
    </row>
    <row r="659" spans="1:3" x14ac:dyDescent="0.25">
      <c r="A659">
        <v>336390</v>
      </c>
      <c r="B659" t="s">
        <v>5408</v>
      </c>
      <c r="C659" t="s">
        <v>5409</v>
      </c>
    </row>
    <row r="660" spans="1:3" x14ac:dyDescent="0.25">
      <c r="A660">
        <v>336411</v>
      </c>
      <c r="B660" t="s">
        <v>5408</v>
      </c>
      <c r="C660" t="s">
        <v>5409</v>
      </c>
    </row>
    <row r="661" spans="1:3" x14ac:dyDescent="0.25">
      <c r="A661">
        <v>336412</v>
      </c>
      <c r="B661" t="s">
        <v>5408</v>
      </c>
      <c r="C661" t="s">
        <v>5409</v>
      </c>
    </row>
    <row r="662" spans="1:3" x14ac:dyDescent="0.25">
      <c r="A662">
        <v>336413</v>
      </c>
      <c r="B662" t="s">
        <v>5408</v>
      </c>
      <c r="C662" t="s">
        <v>5409</v>
      </c>
    </row>
    <row r="663" spans="1:3" x14ac:dyDescent="0.25">
      <c r="A663">
        <v>336414</v>
      </c>
      <c r="B663" t="s">
        <v>5408</v>
      </c>
      <c r="C663" t="s">
        <v>5409</v>
      </c>
    </row>
    <row r="664" spans="1:3" x14ac:dyDescent="0.25">
      <c r="A664">
        <v>336415</v>
      </c>
      <c r="B664" t="s">
        <v>5408</v>
      </c>
      <c r="C664" t="s">
        <v>5409</v>
      </c>
    </row>
    <row r="665" spans="1:3" x14ac:dyDescent="0.25">
      <c r="A665">
        <v>336419</v>
      </c>
      <c r="B665" t="s">
        <v>5408</v>
      </c>
      <c r="C665" t="s">
        <v>5409</v>
      </c>
    </row>
    <row r="666" spans="1:3" x14ac:dyDescent="0.25">
      <c r="A666">
        <v>336510</v>
      </c>
      <c r="B666" t="s">
        <v>5408</v>
      </c>
      <c r="C666" t="s">
        <v>5409</v>
      </c>
    </row>
    <row r="667" spans="1:3" x14ac:dyDescent="0.25">
      <c r="A667">
        <v>336611</v>
      </c>
      <c r="B667" t="s">
        <v>5408</v>
      </c>
      <c r="C667" t="s">
        <v>5409</v>
      </c>
    </row>
    <row r="668" spans="1:3" x14ac:dyDescent="0.25">
      <c r="A668">
        <v>336612</v>
      </c>
      <c r="B668" t="s">
        <v>5408</v>
      </c>
      <c r="C668" t="s">
        <v>5409</v>
      </c>
    </row>
    <row r="669" spans="1:3" x14ac:dyDescent="0.25">
      <c r="A669">
        <v>336991</v>
      </c>
      <c r="B669" t="s">
        <v>5408</v>
      </c>
      <c r="C669" t="s">
        <v>5409</v>
      </c>
    </row>
    <row r="670" spans="1:3" x14ac:dyDescent="0.25">
      <c r="A670">
        <v>336992</v>
      </c>
      <c r="B670" t="s">
        <v>5408</v>
      </c>
      <c r="C670" t="s">
        <v>5409</v>
      </c>
    </row>
    <row r="671" spans="1:3" x14ac:dyDescent="0.25">
      <c r="A671">
        <v>336999</v>
      </c>
      <c r="B671" t="s">
        <v>5408</v>
      </c>
      <c r="C671" t="s">
        <v>5409</v>
      </c>
    </row>
    <row r="672" spans="1:3" x14ac:dyDescent="0.25">
      <c r="A672">
        <v>337110</v>
      </c>
      <c r="B672" t="s">
        <v>5410</v>
      </c>
      <c r="C672" t="s">
        <v>5411</v>
      </c>
    </row>
    <row r="673" spans="1:3" x14ac:dyDescent="0.25">
      <c r="A673">
        <v>337121</v>
      </c>
      <c r="B673" t="s">
        <v>5410</v>
      </c>
      <c r="C673" t="s">
        <v>5411</v>
      </c>
    </row>
    <row r="674" spans="1:3" x14ac:dyDescent="0.25">
      <c r="A674">
        <v>337122</v>
      </c>
      <c r="B674" t="s">
        <v>5410</v>
      </c>
      <c r="C674" t="s">
        <v>5411</v>
      </c>
    </row>
    <row r="675" spans="1:3" x14ac:dyDescent="0.25">
      <c r="A675">
        <v>337124</v>
      </c>
      <c r="B675" t="s">
        <v>5410</v>
      </c>
      <c r="C675" t="s">
        <v>5411</v>
      </c>
    </row>
    <row r="676" spans="1:3" x14ac:dyDescent="0.25">
      <c r="A676">
        <v>337125</v>
      </c>
      <c r="B676" t="s">
        <v>5410</v>
      </c>
      <c r="C676" t="s">
        <v>5411</v>
      </c>
    </row>
    <row r="677" spans="1:3" x14ac:dyDescent="0.25">
      <c r="A677">
        <v>337127</v>
      </c>
      <c r="B677" t="s">
        <v>5410</v>
      </c>
      <c r="C677" t="s">
        <v>5411</v>
      </c>
    </row>
    <row r="678" spans="1:3" x14ac:dyDescent="0.25">
      <c r="A678">
        <v>337211</v>
      </c>
      <c r="B678" t="s">
        <v>5410</v>
      </c>
      <c r="C678" t="s">
        <v>5411</v>
      </c>
    </row>
    <row r="679" spans="1:3" x14ac:dyDescent="0.25">
      <c r="A679">
        <v>337212</v>
      </c>
      <c r="B679" t="s">
        <v>5410</v>
      </c>
      <c r="C679" t="s">
        <v>5411</v>
      </c>
    </row>
    <row r="680" spans="1:3" x14ac:dyDescent="0.25">
      <c r="A680">
        <v>337214</v>
      </c>
      <c r="B680" t="s">
        <v>5410</v>
      </c>
      <c r="C680" t="s">
        <v>5411</v>
      </c>
    </row>
    <row r="681" spans="1:3" x14ac:dyDescent="0.25">
      <c r="A681">
        <v>337215</v>
      </c>
      <c r="B681" t="s">
        <v>5410</v>
      </c>
      <c r="C681" t="s">
        <v>5411</v>
      </c>
    </row>
    <row r="682" spans="1:3" x14ac:dyDescent="0.25">
      <c r="A682">
        <v>337910</v>
      </c>
      <c r="B682" t="s">
        <v>5410</v>
      </c>
      <c r="C682" t="s">
        <v>5411</v>
      </c>
    </row>
    <row r="683" spans="1:3" x14ac:dyDescent="0.25">
      <c r="A683">
        <v>337920</v>
      </c>
      <c r="B683" t="s">
        <v>5410</v>
      </c>
      <c r="C683" t="s">
        <v>5411</v>
      </c>
    </row>
    <row r="684" spans="1:3" x14ac:dyDescent="0.25">
      <c r="A684">
        <v>339112</v>
      </c>
      <c r="B684" t="s">
        <v>5404</v>
      </c>
      <c r="C684" t="s">
        <v>5405</v>
      </c>
    </row>
    <row r="685" spans="1:3" x14ac:dyDescent="0.25">
      <c r="A685">
        <v>339113</v>
      </c>
      <c r="B685" t="s">
        <v>5404</v>
      </c>
      <c r="C685" t="s">
        <v>5405</v>
      </c>
    </row>
    <row r="686" spans="1:3" x14ac:dyDescent="0.25">
      <c r="A686">
        <v>339114</v>
      </c>
      <c r="B686" t="s">
        <v>5404</v>
      </c>
      <c r="C686" t="s">
        <v>5405</v>
      </c>
    </row>
    <row r="687" spans="1:3" x14ac:dyDescent="0.25">
      <c r="A687">
        <v>339115</v>
      </c>
      <c r="B687" t="s">
        <v>5404</v>
      </c>
      <c r="C687" t="s">
        <v>5405</v>
      </c>
    </row>
    <row r="688" spans="1:3" x14ac:dyDescent="0.25">
      <c r="A688">
        <v>339116</v>
      </c>
      <c r="B688" t="s">
        <v>5404</v>
      </c>
      <c r="C688" t="s">
        <v>5405</v>
      </c>
    </row>
    <row r="689" spans="1:3" x14ac:dyDescent="0.25">
      <c r="A689">
        <v>339910</v>
      </c>
      <c r="B689" t="s">
        <v>5404</v>
      </c>
      <c r="C689" t="s">
        <v>5405</v>
      </c>
    </row>
    <row r="690" spans="1:3" x14ac:dyDescent="0.25">
      <c r="A690">
        <v>339920</v>
      </c>
      <c r="B690" t="s">
        <v>5404</v>
      </c>
      <c r="C690" t="s">
        <v>5405</v>
      </c>
    </row>
    <row r="691" spans="1:3" x14ac:dyDescent="0.25">
      <c r="A691">
        <v>339930</v>
      </c>
      <c r="B691" t="s">
        <v>5404</v>
      </c>
      <c r="C691" t="s">
        <v>5405</v>
      </c>
    </row>
    <row r="692" spans="1:3" x14ac:dyDescent="0.25">
      <c r="A692">
        <v>339940</v>
      </c>
      <c r="B692" t="s">
        <v>5404</v>
      </c>
      <c r="C692" t="s">
        <v>5405</v>
      </c>
    </row>
    <row r="693" spans="1:3" x14ac:dyDescent="0.25">
      <c r="A693">
        <v>339950</v>
      </c>
      <c r="B693" t="s">
        <v>5404</v>
      </c>
      <c r="C693" t="s">
        <v>5405</v>
      </c>
    </row>
    <row r="694" spans="1:3" x14ac:dyDescent="0.25">
      <c r="A694">
        <v>339991</v>
      </c>
      <c r="B694" t="s">
        <v>5404</v>
      </c>
      <c r="C694" t="s">
        <v>5405</v>
      </c>
    </row>
    <row r="695" spans="1:3" x14ac:dyDescent="0.25">
      <c r="A695">
        <v>339992</v>
      </c>
      <c r="B695" t="s">
        <v>5404</v>
      </c>
      <c r="C695" t="s">
        <v>5405</v>
      </c>
    </row>
    <row r="696" spans="1:3" x14ac:dyDescent="0.25">
      <c r="A696">
        <v>339993</v>
      </c>
      <c r="B696" t="s">
        <v>5404</v>
      </c>
      <c r="C696" t="s">
        <v>5405</v>
      </c>
    </row>
    <row r="697" spans="1:3" x14ac:dyDescent="0.25">
      <c r="A697">
        <v>339994</v>
      </c>
      <c r="B697" t="s">
        <v>5404</v>
      </c>
      <c r="C697" t="s">
        <v>5405</v>
      </c>
    </row>
    <row r="698" spans="1:3" x14ac:dyDescent="0.25">
      <c r="A698">
        <v>339995</v>
      </c>
      <c r="B698" t="s">
        <v>5404</v>
      </c>
      <c r="C698" t="s">
        <v>5405</v>
      </c>
    </row>
    <row r="699" spans="1:3" x14ac:dyDescent="0.25">
      <c r="A699">
        <v>339999</v>
      </c>
      <c r="B699" t="s">
        <v>5404</v>
      </c>
      <c r="C699" t="s">
        <v>5405</v>
      </c>
    </row>
    <row r="700" spans="1:3" x14ac:dyDescent="0.25">
      <c r="A700">
        <v>423110</v>
      </c>
      <c r="B700" t="s">
        <v>5412</v>
      </c>
      <c r="C700" t="s">
        <v>5413</v>
      </c>
    </row>
    <row r="701" spans="1:3" x14ac:dyDescent="0.25">
      <c r="A701">
        <v>423120</v>
      </c>
      <c r="B701" t="s">
        <v>5412</v>
      </c>
      <c r="C701" t="s">
        <v>5413</v>
      </c>
    </row>
    <row r="702" spans="1:3" x14ac:dyDescent="0.25">
      <c r="A702">
        <v>423130</v>
      </c>
      <c r="B702" t="s">
        <v>5412</v>
      </c>
      <c r="C702" t="s">
        <v>5413</v>
      </c>
    </row>
    <row r="703" spans="1:3" x14ac:dyDescent="0.25">
      <c r="A703">
        <v>423140</v>
      </c>
      <c r="B703" t="s">
        <v>5412</v>
      </c>
      <c r="C703" t="s">
        <v>5413</v>
      </c>
    </row>
    <row r="704" spans="1:3" x14ac:dyDescent="0.25">
      <c r="A704">
        <v>423210</v>
      </c>
      <c r="B704" t="s">
        <v>5412</v>
      </c>
      <c r="C704" t="s">
        <v>5413</v>
      </c>
    </row>
    <row r="705" spans="1:3" x14ac:dyDescent="0.25">
      <c r="A705">
        <v>423310</v>
      </c>
      <c r="B705" t="s">
        <v>5412</v>
      </c>
      <c r="C705" t="s">
        <v>5413</v>
      </c>
    </row>
    <row r="706" spans="1:3" x14ac:dyDescent="0.25">
      <c r="A706">
        <v>423320</v>
      </c>
      <c r="B706" t="s">
        <v>5412</v>
      </c>
      <c r="C706" t="s">
        <v>5413</v>
      </c>
    </row>
    <row r="707" spans="1:3" x14ac:dyDescent="0.25">
      <c r="A707">
        <v>423420</v>
      </c>
      <c r="B707" t="s">
        <v>5412</v>
      </c>
      <c r="C707" t="s">
        <v>5413</v>
      </c>
    </row>
    <row r="708" spans="1:3" x14ac:dyDescent="0.25">
      <c r="A708">
        <v>423430</v>
      </c>
      <c r="B708" t="s">
        <v>5412</v>
      </c>
      <c r="C708" t="s">
        <v>5413</v>
      </c>
    </row>
    <row r="709" spans="1:3" x14ac:dyDescent="0.25">
      <c r="A709">
        <v>423450</v>
      </c>
      <c r="B709" t="s">
        <v>5412</v>
      </c>
      <c r="C709" t="s">
        <v>5413</v>
      </c>
    </row>
    <row r="710" spans="1:3" x14ac:dyDescent="0.25">
      <c r="A710">
        <v>423490</v>
      </c>
      <c r="B710" t="s">
        <v>5412</v>
      </c>
      <c r="C710" t="s">
        <v>5413</v>
      </c>
    </row>
    <row r="711" spans="1:3" x14ac:dyDescent="0.25">
      <c r="A711">
        <v>423510</v>
      </c>
      <c r="B711" t="s">
        <v>5412</v>
      </c>
      <c r="C711" t="s">
        <v>5413</v>
      </c>
    </row>
    <row r="712" spans="1:3" x14ac:dyDescent="0.25">
      <c r="A712">
        <v>423520</v>
      </c>
      <c r="B712" t="s">
        <v>5412</v>
      </c>
      <c r="C712" t="s">
        <v>5413</v>
      </c>
    </row>
    <row r="713" spans="1:3" x14ac:dyDescent="0.25">
      <c r="A713">
        <v>423610</v>
      </c>
      <c r="B713" t="s">
        <v>5412</v>
      </c>
      <c r="C713" t="s">
        <v>5413</v>
      </c>
    </row>
    <row r="714" spans="1:3" x14ac:dyDescent="0.25">
      <c r="A714">
        <v>423620</v>
      </c>
      <c r="B714" t="s">
        <v>5412</v>
      </c>
      <c r="C714" t="s">
        <v>5413</v>
      </c>
    </row>
    <row r="715" spans="1:3" x14ac:dyDescent="0.25">
      <c r="A715">
        <v>423690</v>
      </c>
      <c r="B715" t="s">
        <v>5412</v>
      </c>
      <c r="C715" t="s">
        <v>5413</v>
      </c>
    </row>
    <row r="716" spans="1:3" x14ac:dyDescent="0.25">
      <c r="A716">
        <v>423720</v>
      </c>
      <c r="B716" t="s">
        <v>5412</v>
      </c>
      <c r="C716" t="s">
        <v>5413</v>
      </c>
    </row>
    <row r="717" spans="1:3" x14ac:dyDescent="0.25">
      <c r="A717">
        <v>423810</v>
      </c>
      <c r="B717" t="s">
        <v>5412</v>
      </c>
      <c r="C717" t="s">
        <v>5413</v>
      </c>
    </row>
    <row r="718" spans="1:3" x14ac:dyDescent="0.25">
      <c r="A718">
        <v>423820</v>
      </c>
      <c r="B718" t="s">
        <v>5412</v>
      </c>
      <c r="C718" t="s">
        <v>5413</v>
      </c>
    </row>
    <row r="719" spans="1:3" x14ac:dyDescent="0.25">
      <c r="A719">
        <v>423830</v>
      </c>
      <c r="B719" t="s">
        <v>5412</v>
      </c>
      <c r="C719" t="s">
        <v>5413</v>
      </c>
    </row>
    <row r="720" spans="1:3" x14ac:dyDescent="0.25">
      <c r="A720">
        <v>423840</v>
      </c>
      <c r="B720" t="s">
        <v>5412</v>
      </c>
      <c r="C720" t="s">
        <v>5413</v>
      </c>
    </row>
    <row r="721" spans="1:3" x14ac:dyDescent="0.25">
      <c r="A721">
        <v>423860</v>
      </c>
      <c r="B721" t="s">
        <v>5412</v>
      </c>
      <c r="C721" t="s">
        <v>5413</v>
      </c>
    </row>
    <row r="722" spans="1:3" x14ac:dyDescent="0.25">
      <c r="A722">
        <v>423910</v>
      </c>
      <c r="B722" t="s">
        <v>5412</v>
      </c>
      <c r="C722" t="s">
        <v>5413</v>
      </c>
    </row>
    <row r="723" spans="1:3" x14ac:dyDescent="0.25">
      <c r="A723">
        <v>423930</v>
      </c>
      <c r="B723" t="s">
        <v>5412</v>
      </c>
      <c r="C723" t="s">
        <v>5413</v>
      </c>
    </row>
    <row r="724" spans="1:3" x14ac:dyDescent="0.25">
      <c r="A724">
        <v>423990</v>
      </c>
      <c r="B724" t="s">
        <v>5412</v>
      </c>
      <c r="C724" t="s">
        <v>5413</v>
      </c>
    </row>
    <row r="725" spans="1:3" x14ac:dyDescent="0.25">
      <c r="A725">
        <v>424130</v>
      </c>
      <c r="B725" t="s">
        <v>5412</v>
      </c>
      <c r="C725" t="s">
        <v>5413</v>
      </c>
    </row>
    <row r="726" spans="1:3" x14ac:dyDescent="0.25">
      <c r="A726">
        <v>424210</v>
      </c>
      <c r="B726" t="s">
        <v>5412</v>
      </c>
      <c r="C726" t="s">
        <v>5413</v>
      </c>
    </row>
    <row r="727" spans="1:3" x14ac:dyDescent="0.25">
      <c r="A727">
        <v>424330</v>
      </c>
      <c r="B727" t="s">
        <v>5412</v>
      </c>
      <c r="C727" t="s">
        <v>5413</v>
      </c>
    </row>
    <row r="728" spans="1:3" x14ac:dyDescent="0.25">
      <c r="A728">
        <v>424410</v>
      </c>
      <c r="B728" t="s">
        <v>5412</v>
      </c>
      <c r="C728" t="s">
        <v>5413</v>
      </c>
    </row>
    <row r="729" spans="1:3" x14ac:dyDescent="0.25">
      <c r="A729">
        <v>424430</v>
      </c>
      <c r="B729" t="s">
        <v>5412</v>
      </c>
      <c r="C729" t="s">
        <v>5413</v>
      </c>
    </row>
    <row r="730" spans="1:3" x14ac:dyDescent="0.25">
      <c r="A730">
        <v>424440</v>
      </c>
      <c r="B730" t="s">
        <v>5412</v>
      </c>
      <c r="C730" t="s">
        <v>5413</v>
      </c>
    </row>
    <row r="731" spans="1:3" x14ac:dyDescent="0.25">
      <c r="A731">
        <v>424450</v>
      </c>
      <c r="B731" t="s">
        <v>5412</v>
      </c>
      <c r="C731" t="s">
        <v>5413</v>
      </c>
    </row>
    <row r="732" spans="1:3" x14ac:dyDescent="0.25">
      <c r="A732">
        <v>424460</v>
      </c>
      <c r="B732" t="s">
        <v>5412</v>
      </c>
      <c r="C732" t="s">
        <v>5413</v>
      </c>
    </row>
    <row r="733" spans="1:3" x14ac:dyDescent="0.25">
      <c r="A733">
        <v>424470</v>
      </c>
      <c r="B733" t="s">
        <v>5412</v>
      </c>
      <c r="C733" t="s">
        <v>5413</v>
      </c>
    </row>
    <row r="734" spans="1:3" x14ac:dyDescent="0.25">
      <c r="A734">
        <v>424480</v>
      </c>
      <c r="B734" t="s">
        <v>5412</v>
      </c>
      <c r="C734" t="s">
        <v>5413</v>
      </c>
    </row>
    <row r="735" spans="1:3" x14ac:dyDescent="0.25">
      <c r="A735">
        <v>424490</v>
      </c>
      <c r="B735" t="s">
        <v>5412</v>
      </c>
      <c r="C735" t="s">
        <v>5413</v>
      </c>
    </row>
    <row r="736" spans="1:3" x14ac:dyDescent="0.25">
      <c r="A736">
        <v>424510</v>
      </c>
      <c r="B736" t="s">
        <v>5412</v>
      </c>
      <c r="C736" t="s">
        <v>5413</v>
      </c>
    </row>
    <row r="737" spans="1:3" x14ac:dyDescent="0.25">
      <c r="A737">
        <v>424590</v>
      </c>
      <c r="B737" t="s">
        <v>5412</v>
      </c>
      <c r="C737" t="s">
        <v>5413</v>
      </c>
    </row>
    <row r="738" spans="1:3" x14ac:dyDescent="0.25">
      <c r="A738">
        <v>424610</v>
      </c>
      <c r="B738" t="s">
        <v>5412</v>
      </c>
      <c r="C738" t="s">
        <v>5413</v>
      </c>
    </row>
    <row r="739" spans="1:3" x14ac:dyDescent="0.25">
      <c r="A739">
        <v>424690</v>
      </c>
      <c r="B739" t="s">
        <v>5412</v>
      </c>
      <c r="C739" t="s">
        <v>5413</v>
      </c>
    </row>
    <row r="740" spans="1:3" x14ac:dyDescent="0.25">
      <c r="A740">
        <v>424710</v>
      </c>
      <c r="B740" t="s">
        <v>5412</v>
      </c>
      <c r="C740" t="s">
        <v>5413</v>
      </c>
    </row>
    <row r="741" spans="1:3" x14ac:dyDescent="0.25">
      <c r="A741">
        <v>424720</v>
      </c>
      <c r="B741" t="s">
        <v>5412</v>
      </c>
      <c r="C741" t="s">
        <v>5413</v>
      </c>
    </row>
    <row r="742" spans="1:3" x14ac:dyDescent="0.25">
      <c r="A742">
        <v>424820</v>
      </c>
      <c r="B742" t="s">
        <v>5412</v>
      </c>
      <c r="C742" t="s">
        <v>5413</v>
      </c>
    </row>
    <row r="743" spans="1:3" x14ac:dyDescent="0.25">
      <c r="A743">
        <v>424910</v>
      </c>
      <c r="B743" t="s">
        <v>5412</v>
      </c>
      <c r="C743" t="s">
        <v>5413</v>
      </c>
    </row>
    <row r="744" spans="1:3" x14ac:dyDescent="0.25">
      <c r="A744">
        <v>424930</v>
      </c>
      <c r="B744" t="s">
        <v>5412</v>
      </c>
      <c r="C744" t="s">
        <v>5413</v>
      </c>
    </row>
    <row r="745" spans="1:3" x14ac:dyDescent="0.25">
      <c r="A745">
        <v>424950</v>
      </c>
      <c r="B745" t="s">
        <v>5412</v>
      </c>
      <c r="C745" t="s">
        <v>5413</v>
      </c>
    </row>
    <row r="746" spans="1:3" x14ac:dyDescent="0.25">
      <c r="A746">
        <v>424990</v>
      </c>
      <c r="B746" t="s">
        <v>5412</v>
      </c>
      <c r="C746" t="s">
        <v>5413</v>
      </c>
    </row>
    <row r="747" spans="1:3" x14ac:dyDescent="0.25">
      <c r="A747">
        <v>425110</v>
      </c>
      <c r="B747" t="s">
        <v>5412</v>
      </c>
      <c r="C747" t="s">
        <v>5413</v>
      </c>
    </row>
    <row r="748" spans="1:3" x14ac:dyDescent="0.25">
      <c r="A748">
        <v>425120</v>
      </c>
      <c r="B748" t="s">
        <v>5412</v>
      </c>
      <c r="C748" t="s">
        <v>5413</v>
      </c>
    </row>
    <row r="749" spans="1:3" x14ac:dyDescent="0.25">
      <c r="A749">
        <v>441110</v>
      </c>
      <c r="B749" t="s">
        <v>5412</v>
      </c>
      <c r="C749" t="s">
        <v>5413</v>
      </c>
    </row>
    <row r="750" spans="1:3" x14ac:dyDescent="0.25">
      <c r="A750">
        <v>441120</v>
      </c>
      <c r="B750" t="s">
        <v>5412</v>
      </c>
      <c r="C750" t="s">
        <v>5413</v>
      </c>
    </row>
    <row r="751" spans="1:3" x14ac:dyDescent="0.25">
      <c r="A751">
        <v>441228</v>
      </c>
      <c r="B751" t="s">
        <v>5412</v>
      </c>
      <c r="C751" t="s">
        <v>5413</v>
      </c>
    </row>
    <row r="752" spans="1:3" x14ac:dyDescent="0.25">
      <c r="A752">
        <v>441310</v>
      </c>
      <c r="B752" t="s">
        <v>5412</v>
      </c>
      <c r="C752" t="s">
        <v>5413</v>
      </c>
    </row>
    <row r="753" spans="1:3" x14ac:dyDescent="0.25">
      <c r="A753">
        <v>441320</v>
      </c>
      <c r="B753" t="s">
        <v>5412</v>
      </c>
      <c r="C753" t="s">
        <v>5413</v>
      </c>
    </row>
    <row r="754" spans="1:3" x14ac:dyDescent="0.25">
      <c r="A754">
        <v>442110</v>
      </c>
      <c r="B754" t="s">
        <v>5412</v>
      </c>
      <c r="C754" t="s">
        <v>5413</v>
      </c>
    </row>
    <row r="755" spans="1:3" x14ac:dyDescent="0.25">
      <c r="A755">
        <v>442299</v>
      </c>
      <c r="B755" t="s">
        <v>5412</v>
      </c>
      <c r="C755" t="s">
        <v>5413</v>
      </c>
    </row>
    <row r="756" spans="1:3" x14ac:dyDescent="0.25">
      <c r="A756">
        <v>443141</v>
      </c>
      <c r="B756" t="s">
        <v>5412</v>
      </c>
      <c r="C756" t="s">
        <v>5413</v>
      </c>
    </row>
    <row r="757" spans="1:3" x14ac:dyDescent="0.25">
      <c r="A757">
        <v>443142</v>
      </c>
      <c r="B757" t="s">
        <v>5412</v>
      </c>
      <c r="C757" t="s">
        <v>5413</v>
      </c>
    </row>
    <row r="758" spans="1:3" x14ac:dyDescent="0.25">
      <c r="A758">
        <v>444110</v>
      </c>
      <c r="B758" t="s">
        <v>5412</v>
      </c>
      <c r="C758" t="s">
        <v>5413</v>
      </c>
    </row>
    <row r="759" spans="1:3" x14ac:dyDescent="0.25">
      <c r="A759">
        <v>444130</v>
      </c>
      <c r="B759" t="s">
        <v>5412</v>
      </c>
      <c r="C759" t="s">
        <v>5413</v>
      </c>
    </row>
    <row r="760" spans="1:3" x14ac:dyDescent="0.25">
      <c r="A760">
        <v>444190</v>
      </c>
      <c r="B760" t="s">
        <v>5412</v>
      </c>
      <c r="C760" t="s">
        <v>5413</v>
      </c>
    </row>
    <row r="761" spans="1:3" x14ac:dyDescent="0.25">
      <c r="A761">
        <v>444210</v>
      </c>
      <c r="B761" t="s">
        <v>5412</v>
      </c>
      <c r="C761" t="s">
        <v>5413</v>
      </c>
    </row>
    <row r="762" spans="1:3" x14ac:dyDescent="0.25">
      <c r="A762">
        <v>444220</v>
      </c>
      <c r="B762" t="s">
        <v>5412</v>
      </c>
      <c r="C762" t="s">
        <v>5413</v>
      </c>
    </row>
    <row r="763" spans="1:3" x14ac:dyDescent="0.25">
      <c r="A763">
        <v>445110</v>
      </c>
      <c r="B763" t="s">
        <v>5412</v>
      </c>
      <c r="C763" t="s">
        <v>5413</v>
      </c>
    </row>
    <row r="764" spans="1:3" x14ac:dyDescent="0.25">
      <c r="A764">
        <v>445120</v>
      </c>
      <c r="B764" t="s">
        <v>5412</v>
      </c>
      <c r="C764" t="s">
        <v>5413</v>
      </c>
    </row>
    <row r="765" spans="1:3" x14ac:dyDescent="0.25">
      <c r="A765">
        <v>445220</v>
      </c>
      <c r="B765" t="s">
        <v>5412</v>
      </c>
      <c r="C765" t="s">
        <v>5413</v>
      </c>
    </row>
    <row r="766" spans="1:3" x14ac:dyDescent="0.25">
      <c r="A766">
        <v>445299</v>
      </c>
      <c r="B766" t="s">
        <v>5412</v>
      </c>
      <c r="C766" t="s">
        <v>5413</v>
      </c>
    </row>
    <row r="767" spans="1:3" x14ac:dyDescent="0.25">
      <c r="A767">
        <v>446110</v>
      </c>
      <c r="B767" t="s">
        <v>5412</v>
      </c>
      <c r="C767" t="s">
        <v>5413</v>
      </c>
    </row>
    <row r="768" spans="1:3" x14ac:dyDescent="0.25">
      <c r="A768">
        <v>446120</v>
      </c>
      <c r="B768" t="s">
        <v>5412</v>
      </c>
      <c r="C768" t="s">
        <v>5413</v>
      </c>
    </row>
    <row r="769" spans="1:3" x14ac:dyDescent="0.25">
      <c r="A769">
        <v>447110</v>
      </c>
      <c r="B769" t="s">
        <v>5412</v>
      </c>
      <c r="C769" t="s">
        <v>5413</v>
      </c>
    </row>
    <row r="770" spans="1:3" x14ac:dyDescent="0.25">
      <c r="A770">
        <v>447190</v>
      </c>
      <c r="B770" t="s">
        <v>5412</v>
      </c>
      <c r="C770" t="s">
        <v>5413</v>
      </c>
    </row>
    <row r="771" spans="1:3" x14ac:dyDescent="0.25">
      <c r="A771">
        <v>448120</v>
      </c>
      <c r="B771" t="s">
        <v>5412</v>
      </c>
      <c r="C771" t="s">
        <v>5413</v>
      </c>
    </row>
    <row r="772" spans="1:3" x14ac:dyDescent="0.25">
      <c r="A772">
        <v>448130</v>
      </c>
      <c r="B772" t="s">
        <v>5412</v>
      </c>
      <c r="C772" t="s">
        <v>5413</v>
      </c>
    </row>
    <row r="773" spans="1:3" x14ac:dyDescent="0.25">
      <c r="A773">
        <v>448140</v>
      </c>
      <c r="B773" t="s">
        <v>5412</v>
      </c>
      <c r="C773" t="s">
        <v>5413</v>
      </c>
    </row>
    <row r="774" spans="1:3" x14ac:dyDescent="0.25">
      <c r="A774">
        <v>448150</v>
      </c>
      <c r="B774" t="s">
        <v>5412</v>
      </c>
      <c r="C774" t="s">
        <v>5413</v>
      </c>
    </row>
    <row r="775" spans="1:3" x14ac:dyDescent="0.25">
      <c r="A775">
        <v>448190</v>
      </c>
      <c r="B775" t="s">
        <v>5412</v>
      </c>
      <c r="C775" t="s">
        <v>5413</v>
      </c>
    </row>
    <row r="776" spans="1:3" x14ac:dyDescent="0.25">
      <c r="A776">
        <v>451110</v>
      </c>
      <c r="B776" t="s">
        <v>5412</v>
      </c>
      <c r="C776" t="s">
        <v>5413</v>
      </c>
    </row>
    <row r="777" spans="1:3" x14ac:dyDescent="0.25">
      <c r="A777">
        <v>451120</v>
      </c>
      <c r="B777" t="s">
        <v>5412</v>
      </c>
      <c r="C777" t="s">
        <v>5413</v>
      </c>
    </row>
    <row r="778" spans="1:3" x14ac:dyDescent="0.25">
      <c r="A778">
        <v>452210</v>
      </c>
      <c r="B778" t="s">
        <v>5412</v>
      </c>
      <c r="C778" t="s">
        <v>5413</v>
      </c>
    </row>
    <row r="779" spans="1:3" x14ac:dyDescent="0.25">
      <c r="A779">
        <v>452311</v>
      </c>
      <c r="B779" t="s">
        <v>5412</v>
      </c>
      <c r="C779" t="s">
        <v>5413</v>
      </c>
    </row>
    <row r="780" spans="1:3" x14ac:dyDescent="0.25">
      <c r="A780">
        <v>452319</v>
      </c>
      <c r="B780" t="s">
        <v>5412</v>
      </c>
      <c r="C780" t="s">
        <v>5413</v>
      </c>
    </row>
    <row r="781" spans="1:3" x14ac:dyDescent="0.25">
      <c r="A781">
        <v>453210</v>
      </c>
      <c r="B781" t="s">
        <v>5412</v>
      </c>
      <c r="C781" t="s">
        <v>5413</v>
      </c>
    </row>
    <row r="782" spans="1:3" x14ac:dyDescent="0.25">
      <c r="A782">
        <v>453910</v>
      </c>
      <c r="B782" t="s">
        <v>5412</v>
      </c>
      <c r="C782" t="s">
        <v>5413</v>
      </c>
    </row>
    <row r="783" spans="1:3" x14ac:dyDescent="0.25">
      <c r="A783">
        <v>453998</v>
      </c>
      <c r="B783" t="s">
        <v>5412</v>
      </c>
      <c r="C783" t="s">
        <v>5413</v>
      </c>
    </row>
    <row r="784" spans="1:3" x14ac:dyDescent="0.25">
      <c r="A784">
        <v>454110</v>
      </c>
      <c r="B784" t="s">
        <v>5412</v>
      </c>
      <c r="C784" t="s">
        <v>5413</v>
      </c>
    </row>
    <row r="785" spans="1:3" x14ac:dyDescent="0.25">
      <c r="A785">
        <v>454310</v>
      </c>
      <c r="B785" t="s">
        <v>5412</v>
      </c>
      <c r="C785" t="s">
        <v>5413</v>
      </c>
    </row>
    <row r="786" spans="1:3" x14ac:dyDescent="0.25">
      <c r="A786">
        <v>454390</v>
      </c>
      <c r="B786" t="s">
        <v>5412</v>
      </c>
      <c r="C786" t="s">
        <v>5413</v>
      </c>
    </row>
    <row r="787" spans="1:3" x14ac:dyDescent="0.25">
      <c r="A787">
        <v>481111</v>
      </c>
      <c r="B787" t="s">
        <v>5412</v>
      </c>
      <c r="C787" t="s">
        <v>5413</v>
      </c>
    </row>
    <row r="788" spans="1:3" x14ac:dyDescent="0.25">
      <c r="A788">
        <v>481112</v>
      </c>
      <c r="B788" t="s">
        <v>5412</v>
      </c>
      <c r="C788" t="s">
        <v>5413</v>
      </c>
    </row>
    <row r="789" spans="1:3" x14ac:dyDescent="0.25">
      <c r="A789">
        <v>481211</v>
      </c>
      <c r="B789" t="s">
        <v>5412</v>
      </c>
      <c r="C789" t="s">
        <v>5413</v>
      </c>
    </row>
    <row r="790" spans="1:3" x14ac:dyDescent="0.25">
      <c r="A790">
        <v>481219</v>
      </c>
      <c r="B790" t="s">
        <v>5412</v>
      </c>
      <c r="C790" t="s">
        <v>5413</v>
      </c>
    </row>
    <row r="791" spans="1:3" x14ac:dyDescent="0.25">
      <c r="A791">
        <v>482111</v>
      </c>
      <c r="B791" t="s">
        <v>5412</v>
      </c>
      <c r="C791" t="s">
        <v>5413</v>
      </c>
    </row>
    <row r="792" spans="1:3" x14ac:dyDescent="0.25">
      <c r="A792">
        <v>482112</v>
      </c>
      <c r="B792" t="s">
        <v>5412</v>
      </c>
      <c r="C792" t="s">
        <v>5413</v>
      </c>
    </row>
    <row r="793" spans="1:3" x14ac:dyDescent="0.25">
      <c r="A793">
        <v>483111</v>
      </c>
      <c r="B793" t="s">
        <v>5412</v>
      </c>
      <c r="C793" t="s">
        <v>5413</v>
      </c>
    </row>
    <row r="794" spans="1:3" x14ac:dyDescent="0.25">
      <c r="A794">
        <v>483112</v>
      </c>
      <c r="B794" t="s">
        <v>5412</v>
      </c>
      <c r="C794" t="s">
        <v>5413</v>
      </c>
    </row>
    <row r="795" spans="1:3" x14ac:dyDescent="0.25">
      <c r="A795">
        <v>483114</v>
      </c>
      <c r="B795" t="s">
        <v>5412</v>
      </c>
      <c r="C795" t="s">
        <v>5413</v>
      </c>
    </row>
    <row r="796" spans="1:3" x14ac:dyDescent="0.25">
      <c r="A796">
        <v>483211</v>
      </c>
      <c r="B796" t="s">
        <v>5412</v>
      </c>
      <c r="C796" t="s">
        <v>5413</v>
      </c>
    </row>
    <row r="797" spans="1:3" x14ac:dyDescent="0.25">
      <c r="A797">
        <v>483212</v>
      </c>
      <c r="B797" t="s">
        <v>5412</v>
      </c>
      <c r="C797" t="s">
        <v>5413</v>
      </c>
    </row>
    <row r="798" spans="1:3" x14ac:dyDescent="0.25">
      <c r="A798">
        <v>484110</v>
      </c>
      <c r="B798" t="s">
        <v>5412</v>
      </c>
      <c r="C798" t="s">
        <v>5413</v>
      </c>
    </row>
    <row r="799" spans="1:3" x14ac:dyDescent="0.25">
      <c r="A799">
        <v>484121</v>
      </c>
      <c r="B799" t="s">
        <v>5412</v>
      </c>
      <c r="C799" t="s">
        <v>5413</v>
      </c>
    </row>
    <row r="800" spans="1:3" x14ac:dyDescent="0.25">
      <c r="A800">
        <v>484122</v>
      </c>
      <c r="B800" t="s">
        <v>5412</v>
      </c>
      <c r="C800" t="s">
        <v>5413</v>
      </c>
    </row>
    <row r="801" spans="1:3" x14ac:dyDescent="0.25">
      <c r="A801">
        <v>484210</v>
      </c>
      <c r="B801" t="s">
        <v>5412</v>
      </c>
      <c r="C801" t="s">
        <v>5413</v>
      </c>
    </row>
    <row r="802" spans="1:3" x14ac:dyDescent="0.25">
      <c r="A802">
        <v>484220</v>
      </c>
      <c r="B802" t="s">
        <v>5412</v>
      </c>
      <c r="C802" t="s">
        <v>5413</v>
      </c>
    </row>
    <row r="803" spans="1:3" x14ac:dyDescent="0.25">
      <c r="A803">
        <v>484230</v>
      </c>
      <c r="B803" t="s">
        <v>5412</v>
      </c>
      <c r="C803" t="s">
        <v>5413</v>
      </c>
    </row>
    <row r="804" spans="1:3" x14ac:dyDescent="0.25">
      <c r="A804">
        <v>485111</v>
      </c>
      <c r="B804" t="s">
        <v>5412</v>
      </c>
      <c r="C804" t="s">
        <v>5413</v>
      </c>
    </row>
    <row r="805" spans="1:3" x14ac:dyDescent="0.25">
      <c r="A805">
        <v>485112</v>
      </c>
      <c r="B805" t="s">
        <v>5412</v>
      </c>
      <c r="C805" t="s">
        <v>5413</v>
      </c>
    </row>
    <row r="806" spans="1:3" x14ac:dyDescent="0.25">
      <c r="A806">
        <v>485113</v>
      </c>
      <c r="B806" t="s">
        <v>5412</v>
      </c>
      <c r="C806" t="s">
        <v>5413</v>
      </c>
    </row>
    <row r="807" spans="1:3" x14ac:dyDescent="0.25">
      <c r="A807">
        <v>485119</v>
      </c>
      <c r="B807" t="s">
        <v>5412</v>
      </c>
      <c r="C807" t="s">
        <v>5413</v>
      </c>
    </row>
    <row r="808" spans="1:3" x14ac:dyDescent="0.25">
      <c r="A808">
        <v>485210</v>
      </c>
      <c r="B808" t="s">
        <v>5412</v>
      </c>
      <c r="C808" t="s">
        <v>5413</v>
      </c>
    </row>
    <row r="809" spans="1:3" x14ac:dyDescent="0.25">
      <c r="A809">
        <v>485310</v>
      </c>
      <c r="B809" t="s">
        <v>5412</v>
      </c>
      <c r="C809" t="s">
        <v>5413</v>
      </c>
    </row>
    <row r="810" spans="1:3" x14ac:dyDescent="0.25">
      <c r="A810">
        <v>485991</v>
      </c>
      <c r="B810" t="s">
        <v>5412</v>
      </c>
      <c r="C810" t="s">
        <v>5413</v>
      </c>
    </row>
    <row r="811" spans="1:3" x14ac:dyDescent="0.25">
      <c r="A811">
        <v>485999</v>
      </c>
      <c r="B811" t="s">
        <v>5412</v>
      </c>
      <c r="C811" t="s">
        <v>5413</v>
      </c>
    </row>
    <row r="812" spans="1:3" x14ac:dyDescent="0.25">
      <c r="A812">
        <v>486110</v>
      </c>
      <c r="B812" t="s">
        <v>5412</v>
      </c>
      <c r="C812" t="s">
        <v>5413</v>
      </c>
    </row>
    <row r="813" spans="1:3" x14ac:dyDescent="0.25">
      <c r="A813">
        <v>486210</v>
      </c>
      <c r="B813" t="s">
        <v>5412</v>
      </c>
      <c r="C813" t="s">
        <v>5413</v>
      </c>
    </row>
    <row r="814" spans="1:3" x14ac:dyDescent="0.25">
      <c r="A814">
        <v>486910</v>
      </c>
      <c r="B814" t="s">
        <v>5412</v>
      </c>
      <c r="C814" t="s">
        <v>5413</v>
      </c>
    </row>
    <row r="815" spans="1:3" x14ac:dyDescent="0.25">
      <c r="A815">
        <v>486990</v>
      </c>
      <c r="B815" t="s">
        <v>5412</v>
      </c>
      <c r="C815" t="s">
        <v>5413</v>
      </c>
    </row>
    <row r="816" spans="1:3" x14ac:dyDescent="0.25">
      <c r="A816">
        <v>487110</v>
      </c>
      <c r="B816" t="s">
        <v>5412</v>
      </c>
      <c r="C816" t="s">
        <v>5413</v>
      </c>
    </row>
    <row r="817" spans="1:3" x14ac:dyDescent="0.25">
      <c r="A817">
        <v>487990</v>
      </c>
      <c r="B817" t="s">
        <v>5412</v>
      </c>
      <c r="C817" t="s">
        <v>5413</v>
      </c>
    </row>
    <row r="818" spans="1:3" x14ac:dyDescent="0.25">
      <c r="A818">
        <v>488111</v>
      </c>
      <c r="B818" t="s">
        <v>5412</v>
      </c>
      <c r="C818" t="s">
        <v>5413</v>
      </c>
    </row>
    <row r="819" spans="1:3" x14ac:dyDescent="0.25">
      <c r="A819">
        <v>488119</v>
      </c>
      <c r="B819" t="s">
        <v>5412</v>
      </c>
      <c r="C819" t="s">
        <v>5413</v>
      </c>
    </row>
    <row r="820" spans="1:3" x14ac:dyDescent="0.25">
      <c r="A820">
        <v>488190</v>
      </c>
      <c r="B820" t="s">
        <v>5412</v>
      </c>
      <c r="C820" t="s">
        <v>5413</v>
      </c>
    </row>
    <row r="821" spans="1:3" x14ac:dyDescent="0.25">
      <c r="A821">
        <v>488210</v>
      </c>
      <c r="B821" t="s">
        <v>5412</v>
      </c>
      <c r="C821" t="s">
        <v>5413</v>
      </c>
    </row>
    <row r="822" spans="1:3" x14ac:dyDescent="0.25">
      <c r="A822">
        <v>488310</v>
      </c>
      <c r="B822" t="s">
        <v>5412</v>
      </c>
      <c r="C822" t="s">
        <v>5413</v>
      </c>
    </row>
    <row r="823" spans="1:3" x14ac:dyDescent="0.25">
      <c r="A823">
        <v>488320</v>
      </c>
      <c r="B823" t="s">
        <v>5412</v>
      </c>
      <c r="C823" t="s">
        <v>5413</v>
      </c>
    </row>
    <row r="824" spans="1:3" x14ac:dyDescent="0.25">
      <c r="A824">
        <v>488330</v>
      </c>
      <c r="B824" t="s">
        <v>5412</v>
      </c>
      <c r="C824" t="s">
        <v>5413</v>
      </c>
    </row>
    <row r="825" spans="1:3" x14ac:dyDescent="0.25">
      <c r="A825">
        <v>488390</v>
      </c>
      <c r="B825" t="s">
        <v>5412</v>
      </c>
      <c r="C825" t="s">
        <v>5413</v>
      </c>
    </row>
    <row r="826" spans="1:3" x14ac:dyDescent="0.25">
      <c r="A826">
        <v>488410</v>
      </c>
      <c r="B826" t="s">
        <v>5412</v>
      </c>
      <c r="C826" t="s">
        <v>5413</v>
      </c>
    </row>
    <row r="827" spans="1:3" x14ac:dyDescent="0.25">
      <c r="A827">
        <v>488490</v>
      </c>
      <c r="B827" t="s">
        <v>5412</v>
      </c>
      <c r="C827" t="s">
        <v>5413</v>
      </c>
    </row>
    <row r="828" spans="1:3" x14ac:dyDescent="0.25">
      <c r="A828">
        <v>488510</v>
      </c>
      <c r="B828" t="s">
        <v>5412</v>
      </c>
      <c r="C828" t="s">
        <v>5413</v>
      </c>
    </row>
    <row r="829" spans="1:3" x14ac:dyDescent="0.25">
      <c r="A829">
        <v>488991</v>
      </c>
      <c r="B829" t="s">
        <v>5412</v>
      </c>
      <c r="C829" t="s">
        <v>5413</v>
      </c>
    </row>
    <row r="830" spans="1:3" x14ac:dyDescent="0.25">
      <c r="A830">
        <v>488999</v>
      </c>
      <c r="B830" t="s">
        <v>5412</v>
      </c>
      <c r="C830" t="s">
        <v>5413</v>
      </c>
    </row>
    <row r="831" spans="1:3" x14ac:dyDescent="0.25">
      <c r="A831">
        <v>491110</v>
      </c>
      <c r="B831" t="s">
        <v>5412</v>
      </c>
      <c r="C831" t="s">
        <v>5413</v>
      </c>
    </row>
    <row r="832" spans="1:3" x14ac:dyDescent="0.25">
      <c r="A832">
        <v>492110</v>
      </c>
      <c r="B832" t="s">
        <v>5412</v>
      </c>
      <c r="C832" t="s">
        <v>5413</v>
      </c>
    </row>
    <row r="833" spans="1:3" x14ac:dyDescent="0.25">
      <c r="A833">
        <v>493110</v>
      </c>
      <c r="B833" t="s">
        <v>5412</v>
      </c>
      <c r="C833" t="s">
        <v>5413</v>
      </c>
    </row>
    <row r="834" spans="1:3" x14ac:dyDescent="0.25">
      <c r="A834">
        <v>493120</v>
      </c>
      <c r="B834" t="s">
        <v>5412</v>
      </c>
      <c r="C834" t="s">
        <v>5413</v>
      </c>
    </row>
    <row r="835" spans="1:3" x14ac:dyDescent="0.25">
      <c r="A835">
        <v>493130</v>
      </c>
      <c r="B835" t="s">
        <v>5412</v>
      </c>
      <c r="C835" t="s">
        <v>5413</v>
      </c>
    </row>
    <row r="836" spans="1:3" x14ac:dyDescent="0.25">
      <c r="A836">
        <v>493190</v>
      </c>
      <c r="B836" t="s">
        <v>5412</v>
      </c>
      <c r="C836" t="s">
        <v>5413</v>
      </c>
    </row>
    <row r="837" spans="1:3" x14ac:dyDescent="0.25">
      <c r="A837">
        <v>511110</v>
      </c>
      <c r="B837" t="s">
        <v>5414</v>
      </c>
      <c r="C837" t="s">
        <v>5415</v>
      </c>
    </row>
    <row r="838" spans="1:3" x14ac:dyDescent="0.25">
      <c r="A838">
        <v>511120</v>
      </c>
      <c r="B838" t="s">
        <v>5414</v>
      </c>
      <c r="C838" t="s">
        <v>5415</v>
      </c>
    </row>
    <row r="839" spans="1:3" x14ac:dyDescent="0.25">
      <c r="A839">
        <v>511140</v>
      </c>
      <c r="B839" t="s">
        <v>5414</v>
      </c>
      <c r="C839" t="s">
        <v>5415</v>
      </c>
    </row>
    <row r="840" spans="1:3" x14ac:dyDescent="0.25">
      <c r="A840">
        <v>511191</v>
      </c>
      <c r="B840" t="s">
        <v>5414</v>
      </c>
      <c r="C840" t="s">
        <v>5415</v>
      </c>
    </row>
    <row r="841" spans="1:3" x14ac:dyDescent="0.25">
      <c r="A841">
        <v>511199</v>
      </c>
      <c r="B841" t="s">
        <v>5414</v>
      </c>
      <c r="C841" t="s">
        <v>5415</v>
      </c>
    </row>
    <row r="842" spans="1:3" x14ac:dyDescent="0.25">
      <c r="A842">
        <v>511210</v>
      </c>
      <c r="B842" t="s">
        <v>5414</v>
      </c>
      <c r="C842" t="s">
        <v>5415</v>
      </c>
    </row>
    <row r="843" spans="1:3" x14ac:dyDescent="0.25">
      <c r="A843">
        <v>512110</v>
      </c>
      <c r="B843" t="s">
        <v>5414</v>
      </c>
      <c r="C843" t="s">
        <v>5415</v>
      </c>
    </row>
    <row r="844" spans="1:3" x14ac:dyDescent="0.25">
      <c r="A844">
        <v>512131</v>
      </c>
      <c r="B844" t="s">
        <v>5414</v>
      </c>
      <c r="C844" t="s">
        <v>5415</v>
      </c>
    </row>
    <row r="845" spans="1:3" x14ac:dyDescent="0.25">
      <c r="A845">
        <v>512191</v>
      </c>
      <c r="B845" t="s">
        <v>5414</v>
      </c>
      <c r="C845" t="s">
        <v>5415</v>
      </c>
    </row>
    <row r="846" spans="1:3" x14ac:dyDescent="0.25">
      <c r="A846">
        <v>512199</v>
      </c>
      <c r="B846" t="s">
        <v>5414</v>
      </c>
      <c r="C846" t="s">
        <v>5415</v>
      </c>
    </row>
    <row r="847" spans="1:3" x14ac:dyDescent="0.25">
      <c r="A847">
        <v>512230</v>
      </c>
      <c r="B847" t="s">
        <v>5414</v>
      </c>
      <c r="C847" t="s">
        <v>5415</v>
      </c>
    </row>
    <row r="848" spans="1:3" x14ac:dyDescent="0.25">
      <c r="A848">
        <v>512250</v>
      </c>
      <c r="B848" t="s">
        <v>5414</v>
      </c>
      <c r="C848" t="s">
        <v>5415</v>
      </c>
    </row>
    <row r="849" spans="1:3" x14ac:dyDescent="0.25">
      <c r="A849">
        <v>512290</v>
      </c>
      <c r="B849" t="s">
        <v>5414</v>
      </c>
      <c r="C849" t="s">
        <v>5415</v>
      </c>
    </row>
    <row r="850" spans="1:3" x14ac:dyDescent="0.25">
      <c r="A850">
        <v>515111</v>
      </c>
      <c r="B850" t="s">
        <v>5414</v>
      </c>
      <c r="C850" t="s">
        <v>5415</v>
      </c>
    </row>
    <row r="851" spans="1:3" x14ac:dyDescent="0.25">
      <c r="A851">
        <v>515112</v>
      </c>
      <c r="B851" t="s">
        <v>5414</v>
      </c>
      <c r="C851" t="s">
        <v>5415</v>
      </c>
    </row>
    <row r="852" spans="1:3" x14ac:dyDescent="0.25">
      <c r="A852">
        <v>515120</v>
      </c>
      <c r="B852" t="s">
        <v>5414</v>
      </c>
      <c r="C852" t="s">
        <v>5415</v>
      </c>
    </row>
    <row r="853" spans="1:3" x14ac:dyDescent="0.25">
      <c r="A853">
        <v>515210</v>
      </c>
      <c r="B853" t="s">
        <v>5414</v>
      </c>
      <c r="C853" t="s">
        <v>5415</v>
      </c>
    </row>
    <row r="854" spans="1:3" x14ac:dyDescent="0.25">
      <c r="A854">
        <v>517311</v>
      </c>
      <c r="B854" t="s">
        <v>5414</v>
      </c>
      <c r="C854" t="s">
        <v>5415</v>
      </c>
    </row>
    <row r="855" spans="1:3" x14ac:dyDescent="0.25">
      <c r="A855">
        <v>517312</v>
      </c>
      <c r="B855" t="s">
        <v>5414</v>
      </c>
      <c r="C855" t="s">
        <v>5415</v>
      </c>
    </row>
    <row r="856" spans="1:3" x14ac:dyDescent="0.25">
      <c r="A856">
        <v>517410</v>
      </c>
      <c r="B856" t="s">
        <v>5414</v>
      </c>
      <c r="C856" t="s">
        <v>5415</v>
      </c>
    </row>
    <row r="857" spans="1:3" x14ac:dyDescent="0.25">
      <c r="A857">
        <v>517911</v>
      </c>
      <c r="B857" t="s">
        <v>5414</v>
      </c>
      <c r="C857" t="s">
        <v>5415</v>
      </c>
    </row>
    <row r="858" spans="1:3" x14ac:dyDescent="0.25">
      <c r="A858">
        <v>517919</v>
      </c>
      <c r="B858" t="s">
        <v>5414</v>
      </c>
      <c r="C858" t="s">
        <v>5415</v>
      </c>
    </row>
    <row r="859" spans="1:3" x14ac:dyDescent="0.25">
      <c r="A859">
        <v>518210</v>
      </c>
      <c r="B859" t="s">
        <v>5414</v>
      </c>
      <c r="C859" t="s">
        <v>5415</v>
      </c>
    </row>
    <row r="860" spans="1:3" x14ac:dyDescent="0.25">
      <c r="A860">
        <v>519120</v>
      </c>
      <c r="B860" t="s">
        <v>5414</v>
      </c>
      <c r="C860" t="s">
        <v>5415</v>
      </c>
    </row>
    <row r="861" spans="1:3" x14ac:dyDescent="0.25">
      <c r="A861">
        <v>519130</v>
      </c>
      <c r="B861" t="s">
        <v>5414</v>
      </c>
      <c r="C861" t="s">
        <v>5415</v>
      </c>
    </row>
    <row r="862" spans="1:3" x14ac:dyDescent="0.25">
      <c r="A862">
        <v>519190</v>
      </c>
      <c r="B862" t="s">
        <v>5414</v>
      </c>
      <c r="C862" t="s">
        <v>5415</v>
      </c>
    </row>
    <row r="863" spans="1:3" x14ac:dyDescent="0.25">
      <c r="A863">
        <v>521110</v>
      </c>
      <c r="B863" t="s">
        <v>5414</v>
      </c>
      <c r="C863" t="s">
        <v>5415</v>
      </c>
    </row>
    <row r="864" spans="1:3" x14ac:dyDescent="0.25">
      <c r="A864">
        <v>522110</v>
      </c>
      <c r="B864" t="s">
        <v>5414</v>
      </c>
      <c r="C864" t="s">
        <v>5415</v>
      </c>
    </row>
    <row r="865" spans="1:3" x14ac:dyDescent="0.25">
      <c r="A865">
        <v>522120</v>
      </c>
      <c r="B865" t="s">
        <v>5414</v>
      </c>
      <c r="C865" t="s">
        <v>5415</v>
      </c>
    </row>
    <row r="866" spans="1:3" x14ac:dyDescent="0.25">
      <c r="A866">
        <v>522130</v>
      </c>
      <c r="B866" t="s">
        <v>5414</v>
      </c>
      <c r="C866" t="s">
        <v>5415</v>
      </c>
    </row>
    <row r="867" spans="1:3" x14ac:dyDescent="0.25">
      <c r="A867">
        <v>522190</v>
      </c>
      <c r="B867" t="s">
        <v>5414</v>
      </c>
      <c r="C867" t="s">
        <v>5415</v>
      </c>
    </row>
    <row r="868" spans="1:3" x14ac:dyDescent="0.25">
      <c r="A868">
        <v>522210</v>
      </c>
      <c r="B868" t="s">
        <v>5414</v>
      </c>
      <c r="C868" t="s">
        <v>5415</v>
      </c>
    </row>
    <row r="869" spans="1:3" x14ac:dyDescent="0.25">
      <c r="A869">
        <v>522291</v>
      </c>
      <c r="B869" t="s">
        <v>5414</v>
      </c>
      <c r="C869" t="s">
        <v>5415</v>
      </c>
    </row>
    <row r="870" spans="1:3" x14ac:dyDescent="0.25">
      <c r="A870">
        <v>522292</v>
      </c>
      <c r="B870" t="s">
        <v>5414</v>
      </c>
      <c r="C870" t="s">
        <v>5415</v>
      </c>
    </row>
    <row r="871" spans="1:3" x14ac:dyDescent="0.25">
      <c r="A871">
        <v>522294</v>
      </c>
      <c r="B871" t="s">
        <v>5414</v>
      </c>
      <c r="C871" t="s">
        <v>5415</v>
      </c>
    </row>
    <row r="872" spans="1:3" x14ac:dyDescent="0.25">
      <c r="A872">
        <v>522298</v>
      </c>
      <c r="B872" t="s">
        <v>5414</v>
      </c>
      <c r="C872" t="s">
        <v>5415</v>
      </c>
    </row>
    <row r="873" spans="1:3" x14ac:dyDescent="0.25">
      <c r="A873">
        <v>522310</v>
      </c>
      <c r="B873" t="s">
        <v>5414</v>
      </c>
      <c r="C873" t="s">
        <v>5415</v>
      </c>
    </row>
    <row r="874" spans="1:3" x14ac:dyDescent="0.25">
      <c r="A874">
        <v>522320</v>
      </c>
      <c r="B874" t="s">
        <v>5414</v>
      </c>
      <c r="C874" t="s">
        <v>5415</v>
      </c>
    </row>
    <row r="875" spans="1:3" x14ac:dyDescent="0.25">
      <c r="A875">
        <v>522390</v>
      </c>
      <c r="B875" t="s">
        <v>5414</v>
      </c>
      <c r="C875" t="s">
        <v>5415</v>
      </c>
    </row>
    <row r="876" spans="1:3" x14ac:dyDescent="0.25">
      <c r="A876">
        <v>523110</v>
      </c>
      <c r="B876" t="s">
        <v>5414</v>
      </c>
      <c r="C876" t="s">
        <v>5415</v>
      </c>
    </row>
    <row r="877" spans="1:3" x14ac:dyDescent="0.25">
      <c r="A877">
        <v>523120</v>
      </c>
      <c r="B877" t="s">
        <v>5414</v>
      </c>
      <c r="C877" t="s">
        <v>5415</v>
      </c>
    </row>
    <row r="878" spans="1:3" x14ac:dyDescent="0.25">
      <c r="A878">
        <v>523130</v>
      </c>
      <c r="B878" t="s">
        <v>5414</v>
      </c>
      <c r="C878" t="s">
        <v>5415</v>
      </c>
    </row>
    <row r="879" spans="1:3" x14ac:dyDescent="0.25">
      <c r="A879">
        <v>523210</v>
      </c>
      <c r="B879" t="s">
        <v>5414</v>
      </c>
      <c r="C879" t="s">
        <v>5415</v>
      </c>
    </row>
    <row r="880" spans="1:3" x14ac:dyDescent="0.25">
      <c r="A880">
        <v>523910</v>
      </c>
      <c r="B880" t="s">
        <v>5414</v>
      </c>
      <c r="C880" t="s">
        <v>5415</v>
      </c>
    </row>
    <row r="881" spans="1:3" x14ac:dyDescent="0.25">
      <c r="A881">
        <v>523920</v>
      </c>
      <c r="B881" t="s">
        <v>5414</v>
      </c>
      <c r="C881" t="s">
        <v>5415</v>
      </c>
    </row>
    <row r="882" spans="1:3" x14ac:dyDescent="0.25">
      <c r="A882">
        <v>523930</v>
      </c>
      <c r="B882" t="s">
        <v>5414</v>
      </c>
      <c r="C882" t="s">
        <v>5415</v>
      </c>
    </row>
    <row r="883" spans="1:3" x14ac:dyDescent="0.25">
      <c r="A883">
        <v>523991</v>
      </c>
      <c r="B883" t="s">
        <v>5414</v>
      </c>
      <c r="C883" t="s">
        <v>5415</v>
      </c>
    </row>
    <row r="884" spans="1:3" x14ac:dyDescent="0.25">
      <c r="A884">
        <v>523999</v>
      </c>
      <c r="B884" t="s">
        <v>5414</v>
      </c>
      <c r="C884" t="s">
        <v>5415</v>
      </c>
    </row>
    <row r="885" spans="1:3" x14ac:dyDescent="0.25">
      <c r="A885">
        <v>524113</v>
      </c>
      <c r="B885" t="s">
        <v>5414</v>
      </c>
      <c r="C885" t="s">
        <v>5415</v>
      </c>
    </row>
    <row r="886" spans="1:3" x14ac:dyDescent="0.25">
      <c r="A886">
        <v>524114</v>
      </c>
      <c r="B886" t="s">
        <v>5414</v>
      </c>
      <c r="C886" t="s">
        <v>5415</v>
      </c>
    </row>
    <row r="887" spans="1:3" x14ac:dyDescent="0.25">
      <c r="A887">
        <v>524126</v>
      </c>
      <c r="B887" t="s">
        <v>5414</v>
      </c>
      <c r="C887" t="s">
        <v>5415</v>
      </c>
    </row>
    <row r="888" spans="1:3" x14ac:dyDescent="0.25">
      <c r="A888">
        <v>524128</v>
      </c>
      <c r="B888" t="s">
        <v>5414</v>
      </c>
      <c r="C888" t="s">
        <v>5415</v>
      </c>
    </row>
    <row r="889" spans="1:3" x14ac:dyDescent="0.25">
      <c r="A889">
        <v>524130</v>
      </c>
      <c r="B889" t="s">
        <v>5414</v>
      </c>
      <c r="C889" t="s">
        <v>5415</v>
      </c>
    </row>
    <row r="890" spans="1:3" x14ac:dyDescent="0.25">
      <c r="A890">
        <v>524210</v>
      </c>
      <c r="B890" t="s">
        <v>5414</v>
      </c>
      <c r="C890" t="s">
        <v>5415</v>
      </c>
    </row>
    <row r="891" spans="1:3" x14ac:dyDescent="0.25">
      <c r="A891">
        <v>524291</v>
      </c>
      <c r="B891" t="s">
        <v>5414</v>
      </c>
      <c r="C891" t="s">
        <v>5415</v>
      </c>
    </row>
    <row r="892" spans="1:3" x14ac:dyDescent="0.25">
      <c r="A892">
        <v>524292</v>
      </c>
      <c r="B892" t="s">
        <v>5414</v>
      </c>
      <c r="C892" t="s">
        <v>5415</v>
      </c>
    </row>
    <row r="893" spans="1:3" x14ac:dyDescent="0.25">
      <c r="A893">
        <v>525190</v>
      </c>
      <c r="B893" t="s">
        <v>5414</v>
      </c>
      <c r="C893" t="s">
        <v>5415</v>
      </c>
    </row>
    <row r="894" spans="1:3" x14ac:dyDescent="0.25">
      <c r="A894">
        <v>525920</v>
      </c>
      <c r="B894" t="s">
        <v>5414</v>
      </c>
      <c r="C894" t="s">
        <v>5415</v>
      </c>
    </row>
    <row r="895" spans="1:3" x14ac:dyDescent="0.25">
      <c r="A895">
        <v>525990</v>
      </c>
      <c r="B895" t="s">
        <v>5414</v>
      </c>
      <c r="C895" t="s">
        <v>5415</v>
      </c>
    </row>
    <row r="896" spans="1:3" x14ac:dyDescent="0.25">
      <c r="A896">
        <v>531110</v>
      </c>
      <c r="B896" t="s">
        <v>5414</v>
      </c>
      <c r="C896" t="s">
        <v>5415</v>
      </c>
    </row>
    <row r="897" spans="1:3" x14ac:dyDescent="0.25">
      <c r="A897">
        <v>531120</v>
      </c>
      <c r="B897" t="s">
        <v>5414</v>
      </c>
      <c r="C897" t="s">
        <v>5415</v>
      </c>
    </row>
    <row r="898" spans="1:3" x14ac:dyDescent="0.25">
      <c r="A898">
        <v>531130</v>
      </c>
      <c r="B898" t="s">
        <v>5414</v>
      </c>
      <c r="C898" t="s">
        <v>5415</v>
      </c>
    </row>
    <row r="899" spans="1:3" x14ac:dyDescent="0.25">
      <c r="A899">
        <v>531190</v>
      </c>
      <c r="B899" t="s">
        <v>5414</v>
      </c>
      <c r="C899" t="s">
        <v>5415</v>
      </c>
    </row>
    <row r="900" spans="1:3" x14ac:dyDescent="0.25">
      <c r="A900">
        <v>531210</v>
      </c>
      <c r="B900" t="s">
        <v>5414</v>
      </c>
      <c r="C900" t="s">
        <v>5415</v>
      </c>
    </row>
    <row r="901" spans="1:3" x14ac:dyDescent="0.25">
      <c r="A901">
        <v>531311</v>
      </c>
      <c r="B901" t="s">
        <v>5414</v>
      </c>
      <c r="C901" t="s">
        <v>5415</v>
      </c>
    </row>
    <row r="902" spans="1:3" x14ac:dyDescent="0.25">
      <c r="A902">
        <v>531312</v>
      </c>
      <c r="B902" t="s">
        <v>5414</v>
      </c>
      <c r="C902" t="s">
        <v>5415</v>
      </c>
    </row>
    <row r="903" spans="1:3" x14ac:dyDescent="0.25">
      <c r="A903">
        <v>531320</v>
      </c>
      <c r="B903" t="s">
        <v>5414</v>
      </c>
      <c r="C903" t="s">
        <v>5415</v>
      </c>
    </row>
    <row r="904" spans="1:3" x14ac:dyDescent="0.25">
      <c r="A904">
        <v>531390</v>
      </c>
      <c r="B904" t="s">
        <v>5414</v>
      </c>
      <c r="C904" t="s">
        <v>5415</v>
      </c>
    </row>
    <row r="905" spans="1:3" x14ac:dyDescent="0.25">
      <c r="A905">
        <v>532112</v>
      </c>
      <c r="B905" t="s">
        <v>5414</v>
      </c>
      <c r="C905" t="s">
        <v>5415</v>
      </c>
    </row>
    <row r="906" spans="1:3" x14ac:dyDescent="0.25">
      <c r="A906">
        <v>532210</v>
      </c>
      <c r="B906" t="s">
        <v>5414</v>
      </c>
      <c r="C906" t="s">
        <v>5415</v>
      </c>
    </row>
    <row r="907" spans="1:3" x14ac:dyDescent="0.25">
      <c r="A907">
        <v>532284</v>
      </c>
      <c r="B907" t="s">
        <v>5414</v>
      </c>
      <c r="C907" t="s">
        <v>5415</v>
      </c>
    </row>
    <row r="908" spans="1:3" x14ac:dyDescent="0.25">
      <c r="A908">
        <v>532289</v>
      </c>
      <c r="B908" t="s">
        <v>5414</v>
      </c>
      <c r="C908" t="s">
        <v>5415</v>
      </c>
    </row>
    <row r="909" spans="1:3" x14ac:dyDescent="0.25">
      <c r="A909">
        <v>532411</v>
      </c>
      <c r="B909" t="s">
        <v>5414</v>
      </c>
      <c r="C909" t="s">
        <v>5415</v>
      </c>
    </row>
    <row r="910" spans="1:3" x14ac:dyDescent="0.25">
      <c r="A910">
        <v>532412</v>
      </c>
      <c r="B910" t="s">
        <v>5414</v>
      </c>
      <c r="C910" t="s">
        <v>5415</v>
      </c>
    </row>
    <row r="911" spans="1:3" x14ac:dyDescent="0.25">
      <c r="A911">
        <v>532490</v>
      </c>
      <c r="B911" t="s">
        <v>5414</v>
      </c>
      <c r="C911" t="s">
        <v>5415</v>
      </c>
    </row>
    <row r="912" spans="1:3" x14ac:dyDescent="0.25">
      <c r="A912">
        <v>533110</v>
      </c>
      <c r="B912" t="s">
        <v>5414</v>
      </c>
      <c r="C912" t="s">
        <v>5415</v>
      </c>
    </row>
    <row r="913" spans="1:3" x14ac:dyDescent="0.25">
      <c r="A913">
        <v>541110</v>
      </c>
      <c r="B913" t="s">
        <v>5414</v>
      </c>
      <c r="C913" t="s">
        <v>5415</v>
      </c>
    </row>
    <row r="914" spans="1:3" x14ac:dyDescent="0.25">
      <c r="A914">
        <v>541191</v>
      </c>
      <c r="B914" t="s">
        <v>5414</v>
      </c>
      <c r="C914" t="s">
        <v>5415</v>
      </c>
    </row>
    <row r="915" spans="1:3" x14ac:dyDescent="0.25">
      <c r="A915">
        <v>541199</v>
      </c>
      <c r="B915" t="s">
        <v>5414</v>
      </c>
      <c r="C915" t="s">
        <v>5415</v>
      </c>
    </row>
    <row r="916" spans="1:3" x14ac:dyDescent="0.25">
      <c r="A916">
        <v>541214</v>
      </c>
      <c r="B916" t="s">
        <v>5414</v>
      </c>
      <c r="C916" t="s">
        <v>5415</v>
      </c>
    </row>
    <row r="917" spans="1:3" x14ac:dyDescent="0.25">
      <c r="A917">
        <v>541219</v>
      </c>
      <c r="B917" t="s">
        <v>5414</v>
      </c>
      <c r="C917" t="s">
        <v>5415</v>
      </c>
    </row>
    <row r="918" spans="1:3" x14ac:dyDescent="0.25">
      <c r="A918">
        <v>541310</v>
      </c>
      <c r="B918" t="s">
        <v>5414</v>
      </c>
      <c r="C918" t="s">
        <v>5415</v>
      </c>
    </row>
    <row r="919" spans="1:3" x14ac:dyDescent="0.25">
      <c r="A919">
        <v>541320</v>
      </c>
      <c r="B919" t="s">
        <v>5414</v>
      </c>
      <c r="C919" t="s">
        <v>5415</v>
      </c>
    </row>
    <row r="920" spans="1:3" x14ac:dyDescent="0.25">
      <c r="A920">
        <v>541330</v>
      </c>
      <c r="B920" t="s">
        <v>5414</v>
      </c>
      <c r="C920" t="s">
        <v>5415</v>
      </c>
    </row>
    <row r="921" spans="1:3" x14ac:dyDescent="0.25">
      <c r="A921">
        <v>541380</v>
      </c>
      <c r="B921" t="s">
        <v>5414</v>
      </c>
      <c r="C921" t="s">
        <v>5415</v>
      </c>
    </row>
    <row r="922" spans="1:3" x14ac:dyDescent="0.25">
      <c r="A922">
        <v>541410</v>
      </c>
      <c r="B922" t="s">
        <v>5414</v>
      </c>
      <c r="C922" t="s">
        <v>5415</v>
      </c>
    </row>
    <row r="923" spans="1:3" x14ac:dyDescent="0.25">
      <c r="A923">
        <v>541430</v>
      </c>
      <c r="B923" t="s">
        <v>5414</v>
      </c>
      <c r="C923" t="s">
        <v>5415</v>
      </c>
    </row>
    <row r="924" spans="1:3" x14ac:dyDescent="0.25">
      <c r="A924">
        <v>541490</v>
      </c>
      <c r="B924" t="s">
        <v>5414</v>
      </c>
      <c r="C924" t="s">
        <v>5415</v>
      </c>
    </row>
    <row r="925" spans="1:3" x14ac:dyDescent="0.25">
      <c r="A925">
        <v>541511</v>
      </c>
      <c r="B925" t="s">
        <v>5414</v>
      </c>
      <c r="C925" t="s">
        <v>5415</v>
      </c>
    </row>
    <row r="926" spans="1:3" x14ac:dyDescent="0.25">
      <c r="A926">
        <v>541512</v>
      </c>
      <c r="B926" t="s">
        <v>5414</v>
      </c>
      <c r="C926" t="s">
        <v>5415</v>
      </c>
    </row>
    <row r="927" spans="1:3" x14ac:dyDescent="0.25">
      <c r="A927">
        <v>541513</v>
      </c>
      <c r="B927" t="s">
        <v>5414</v>
      </c>
      <c r="C927" t="s">
        <v>5415</v>
      </c>
    </row>
    <row r="928" spans="1:3" x14ac:dyDescent="0.25">
      <c r="A928">
        <v>541519</v>
      </c>
      <c r="B928" t="s">
        <v>5414</v>
      </c>
      <c r="C928" t="s">
        <v>5415</v>
      </c>
    </row>
    <row r="929" spans="1:3" x14ac:dyDescent="0.25">
      <c r="A929">
        <v>541611</v>
      </c>
      <c r="B929" t="s">
        <v>5414</v>
      </c>
      <c r="C929" t="s">
        <v>5415</v>
      </c>
    </row>
    <row r="930" spans="1:3" x14ac:dyDescent="0.25">
      <c r="A930">
        <v>541612</v>
      </c>
      <c r="B930" t="s">
        <v>5414</v>
      </c>
      <c r="C930" t="s">
        <v>5415</v>
      </c>
    </row>
    <row r="931" spans="1:3" x14ac:dyDescent="0.25">
      <c r="A931">
        <v>541618</v>
      </c>
      <c r="B931" t="s">
        <v>5414</v>
      </c>
      <c r="C931" t="s">
        <v>5415</v>
      </c>
    </row>
    <row r="932" spans="1:3" x14ac:dyDescent="0.25">
      <c r="A932">
        <v>541620</v>
      </c>
      <c r="B932" t="s">
        <v>5414</v>
      </c>
      <c r="C932" t="s">
        <v>5415</v>
      </c>
    </row>
    <row r="933" spans="1:3" x14ac:dyDescent="0.25">
      <c r="A933">
        <v>541690</v>
      </c>
      <c r="B933" t="s">
        <v>5414</v>
      </c>
      <c r="C933" t="s">
        <v>5415</v>
      </c>
    </row>
    <row r="934" spans="1:3" x14ac:dyDescent="0.25">
      <c r="A934">
        <v>541711</v>
      </c>
      <c r="B934" t="s">
        <v>5414</v>
      </c>
      <c r="C934" t="s">
        <v>5415</v>
      </c>
    </row>
    <row r="935" spans="1:3" x14ac:dyDescent="0.25">
      <c r="A935">
        <v>541713</v>
      </c>
      <c r="B935" t="s">
        <v>5414</v>
      </c>
      <c r="C935" t="s">
        <v>5415</v>
      </c>
    </row>
    <row r="936" spans="1:3" x14ac:dyDescent="0.25">
      <c r="A936">
        <v>541714</v>
      </c>
      <c r="B936" t="s">
        <v>5414</v>
      </c>
      <c r="C936" t="s">
        <v>5415</v>
      </c>
    </row>
    <row r="937" spans="1:3" x14ac:dyDescent="0.25">
      <c r="A937">
        <v>541715</v>
      </c>
      <c r="B937" t="s">
        <v>5414</v>
      </c>
      <c r="C937" t="s">
        <v>5415</v>
      </c>
    </row>
    <row r="938" spans="1:3" x14ac:dyDescent="0.25">
      <c r="A938">
        <v>541720</v>
      </c>
      <c r="B938" t="s">
        <v>5414</v>
      </c>
      <c r="C938" t="s">
        <v>5415</v>
      </c>
    </row>
    <row r="939" spans="1:3" x14ac:dyDescent="0.25">
      <c r="A939">
        <v>541850</v>
      </c>
      <c r="B939" t="s">
        <v>5414</v>
      </c>
      <c r="C939" t="s">
        <v>5415</v>
      </c>
    </row>
    <row r="940" spans="1:3" x14ac:dyDescent="0.25">
      <c r="A940">
        <v>541860</v>
      </c>
      <c r="B940" t="s">
        <v>5414</v>
      </c>
      <c r="C940" t="s">
        <v>5415</v>
      </c>
    </row>
    <row r="941" spans="1:3" x14ac:dyDescent="0.25">
      <c r="A941">
        <v>541890</v>
      </c>
      <c r="B941" t="s">
        <v>5414</v>
      </c>
      <c r="C941" t="s">
        <v>5415</v>
      </c>
    </row>
    <row r="942" spans="1:3" x14ac:dyDescent="0.25">
      <c r="A942">
        <v>541910</v>
      </c>
      <c r="B942" t="s">
        <v>5414</v>
      </c>
      <c r="C942" t="s">
        <v>5415</v>
      </c>
    </row>
    <row r="943" spans="1:3" x14ac:dyDescent="0.25">
      <c r="A943">
        <v>541922</v>
      </c>
      <c r="B943" t="s">
        <v>5414</v>
      </c>
      <c r="C943" t="s">
        <v>5415</v>
      </c>
    </row>
    <row r="944" spans="1:3" x14ac:dyDescent="0.25">
      <c r="A944">
        <v>541940</v>
      </c>
      <c r="B944" t="s">
        <v>5414</v>
      </c>
      <c r="C944" t="s">
        <v>5415</v>
      </c>
    </row>
    <row r="945" spans="1:3" x14ac:dyDescent="0.25">
      <c r="A945">
        <v>541990</v>
      </c>
      <c r="B945" t="s">
        <v>5414</v>
      </c>
      <c r="C945" t="s">
        <v>5415</v>
      </c>
    </row>
    <row r="946" spans="1:3" x14ac:dyDescent="0.25">
      <c r="A946">
        <v>551112</v>
      </c>
      <c r="B946" t="s">
        <v>5414</v>
      </c>
      <c r="C946" t="s">
        <v>5415</v>
      </c>
    </row>
    <row r="947" spans="1:3" x14ac:dyDescent="0.25">
      <c r="A947">
        <v>551114</v>
      </c>
      <c r="B947" t="s">
        <v>5414</v>
      </c>
      <c r="C947" t="s">
        <v>5415</v>
      </c>
    </row>
    <row r="948" spans="1:3" x14ac:dyDescent="0.25">
      <c r="A948">
        <v>561110</v>
      </c>
      <c r="B948" t="s">
        <v>5414</v>
      </c>
      <c r="C948" t="s">
        <v>5415</v>
      </c>
    </row>
    <row r="949" spans="1:3" x14ac:dyDescent="0.25">
      <c r="A949">
        <v>561210</v>
      </c>
      <c r="B949" t="s">
        <v>5414</v>
      </c>
      <c r="C949" t="s">
        <v>5415</v>
      </c>
    </row>
    <row r="950" spans="1:3" x14ac:dyDescent="0.25">
      <c r="A950">
        <v>561421</v>
      </c>
      <c r="B950" t="s">
        <v>5414</v>
      </c>
      <c r="C950" t="s">
        <v>5415</v>
      </c>
    </row>
    <row r="951" spans="1:3" x14ac:dyDescent="0.25">
      <c r="A951">
        <v>561439</v>
      </c>
      <c r="B951" t="s">
        <v>5414</v>
      </c>
      <c r="C951" t="s">
        <v>5415</v>
      </c>
    </row>
    <row r="952" spans="1:3" x14ac:dyDescent="0.25">
      <c r="A952">
        <v>561440</v>
      </c>
      <c r="B952" t="s">
        <v>5414</v>
      </c>
      <c r="C952" t="s">
        <v>5415</v>
      </c>
    </row>
    <row r="953" spans="1:3" x14ac:dyDescent="0.25">
      <c r="A953">
        <v>561499</v>
      </c>
      <c r="B953" t="s">
        <v>5414</v>
      </c>
      <c r="C953" t="s">
        <v>5415</v>
      </c>
    </row>
    <row r="954" spans="1:3" x14ac:dyDescent="0.25">
      <c r="A954">
        <v>561591</v>
      </c>
      <c r="B954" t="s">
        <v>5414</v>
      </c>
      <c r="C954" t="s">
        <v>5415</v>
      </c>
    </row>
    <row r="955" spans="1:3" x14ac:dyDescent="0.25">
      <c r="A955">
        <v>561599</v>
      </c>
      <c r="B955" t="s">
        <v>5414</v>
      </c>
      <c r="C955" t="s">
        <v>5415</v>
      </c>
    </row>
    <row r="956" spans="1:3" x14ac:dyDescent="0.25">
      <c r="A956">
        <v>561612</v>
      </c>
      <c r="B956" t="s">
        <v>5414</v>
      </c>
      <c r="C956" t="s">
        <v>5415</v>
      </c>
    </row>
    <row r="957" spans="1:3" x14ac:dyDescent="0.25">
      <c r="A957">
        <v>561710</v>
      </c>
      <c r="B957" t="s">
        <v>5414</v>
      </c>
      <c r="C957" t="s">
        <v>5415</v>
      </c>
    </row>
    <row r="958" spans="1:3" x14ac:dyDescent="0.25">
      <c r="A958">
        <v>561720</v>
      </c>
      <c r="B958" t="s">
        <v>5414</v>
      </c>
      <c r="C958" t="s">
        <v>5415</v>
      </c>
    </row>
    <row r="959" spans="1:3" x14ac:dyDescent="0.25">
      <c r="A959">
        <v>561730</v>
      </c>
      <c r="B959" t="s">
        <v>5414</v>
      </c>
      <c r="C959" t="s">
        <v>5415</v>
      </c>
    </row>
    <row r="960" spans="1:3" x14ac:dyDescent="0.25">
      <c r="A960">
        <v>561740</v>
      </c>
      <c r="B960" t="s">
        <v>5414</v>
      </c>
      <c r="C960" t="s">
        <v>5415</v>
      </c>
    </row>
    <row r="961" spans="1:3" x14ac:dyDescent="0.25">
      <c r="A961">
        <v>561790</v>
      </c>
      <c r="B961" t="s">
        <v>5414</v>
      </c>
      <c r="C961" t="s">
        <v>5415</v>
      </c>
    </row>
    <row r="962" spans="1:3" x14ac:dyDescent="0.25">
      <c r="A962">
        <v>561910</v>
      </c>
      <c r="B962" t="s">
        <v>5414</v>
      </c>
      <c r="C962" t="s">
        <v>5415</v>
      </c>
    </row>
    <row r="963" spans="1:3" x14ac:dyDescent="0.25">
      <c r="A963">
        <v>561920</v>
      </c>
      <c r="B963" t="s">
        <v>5414</v>
      </c>
      <c r="C963" t="s">
        <v>5415</v>
      </c>
    </row>
    <row r="964" spans="1:3" x14ac:dyDescent="0.25">
      <c r="A964">
        <v>561990</v>
      </c>
      <c r="B964" t="s">
        <v>5414</v>
      </c>
      <c r="C964" t="s">
        <v>5415</v>
      </c>
    </row>
    <row r="965" spans="1:3" x14ac:dyDescent="0.25">
      <c r="A965">
        <v>562111</v>
      </c>
      <c r="B965" t="s">
        <v>5414</v>
      </c>
      <c r="C965" t="s">
        <v>5415</v>
      </c>
    </row>
    <row r="966" spans="1:3" x14ac:dyDescent="0.25">
      <c r="A966">
        <v>562112</v>
      </c>
      <c r="B966" t="s">
        <v>5414</v>
      </c>
      <c r="C966" t="s">
        <v>5415</v>
      </c>
    </row>
    <row r="967" spans="1:3" x14ac:dyDescent="0.25">
      <c r="A967">
        <v>562119</v>
      </c>
      <c r="B967" t="s">
        <v>5414</v>
      </c>
      <c r="C967" t="s">
        <v>5415</v>
      </c>
    </row>
    <row r="968" spans="1:3" x14ac:dyDescent="0.25">
      <c r="A968">
        <v>562211</v>
      </c>
      <c r="B968" t="s">
        <v>5414</v>
      </c>
      <c r="C968" t="s">
        <v>5415</v>
      </c>
    </row>
    <row r="969" spans="1:3" x14ac:dyDescent="0.25">
      <c r="A969">
        <v>562212</v>
      </c>
      <c r="B969" t="s">
        <v>5414</v>
      </c>
      <c r="C969" t="s">
        <v>5415</v>
      </c>
    </row>
    <row r="970" spans="1:3" x14ac:dyDescent="0.25">
      <c r="A970">
        <v>562213</v>
      </c>
      <c r="B970" t="s">
        <v>5414</v>
      </c>
      <c r="C970" t="s">
        <v>5415</v>
      </c>
    </row>
    <row r="971" spans="1:3" x14ac:dyDescent="0.25">
      <c r="A971">
        <v>562219</v>
      </c>
      <c r="B971" t="s">
        <v>5414</v>
      </c>
      <c r="C971" t="s">
        <v>5415</v>
      </c>
    </row>
    <row r="972" spans="1:3" x14ac:dyDescent="0.25">
      <c r="A972">
        <v>562910</v>
      </c>
      <c r="B972" t="s">
        <v>5414</v>
      </c>
      <c r="C972" t="s">
        <v>5415</v>
      </c>
    </row>
    <row r="973" spans="1:3" x14ac:dyDescent="0.25">
      <c r="A973">
        <v>562920</v>
      </c>
      <c r="B973" t="s">
        <v>5414</v>
      </c>
      <c r="C973" t="s">
        <v>5415</v>
      </c>
    </row>
    <row r="974" spans="1:3" x14ac:dyDescent="0.25">
      <c r="A974">
        <v>562991</v>
      </c>
      <c r="B974" t="s">
        <v>5414</v>
      </c>
      <c r="C974" t="s">
        <v>5415</v>
      </c>
    </row>
    <row r="975" spans="1:3" x14ac:dyDescent="0.25">
      <c r="A975">
        <v>562998</v>
      </c>
      <c r="B975" t="s">
        <v>5414</v>
      </c>
      <c r="C975" t="s">
        <v>5415</v>
      </c>
    </row>
    <row r="976" spans="1:3" x14ac:dyDescent="0.25">
      <c r="A976">
        <v>611110</v>
      </c>
      <c r="B976" t="s">
        <v>5414</v>
      </c>
      <c r="C976" t="s">
        <v>5415</v>
      </c>
    </row>
    <row r="977" spans="1:3" x14ac:dyDescent="0.25">
      <c r="A977">
        <v>611210</v>
      </c>
      <c r="B977" t="s">
        <v>5414</v>
      </c>
      <c r="C977" t="s">
        <v>5415</v>
      </c>
    </row>
    <row r="978" spans="1:3" x14ac:dyDescent="0.25">
      <c r="A978">
        <v>611310</v>
      </c>
      <c r="B978" t="s">
        <v>5414</v>
      </c>
      <c r="C978" t="s">
        <v>5415</v>
      </c>
    </row>
    <row r="979" spans="1:3" x14ac:dyDescent="0.25">
      <c r="A979">
        <v>611430</v>
      </c>
      <c r="B979" t="s">
        <v>5414</v>
      </c>
      <c r="C979" t="s">
        <v>5415</v>
      </c>
    </row>
    <row r="980" spans="1:3" x14ac:dyDescent="0.25">
      <c r="A980">
        <v>611512</v>
      </c>
      <c r="B980" t="s">
        <v>5414</v>
      </c>
      <c r="C980" t="s">
        <v>5415</v>
      </c>
    </row>
    <row r="981" spans="1:3" x14ac:dyDescent="0.25">
      <c r="A981">
        <v>611519</v>
      </c>
      <c r="B981" t="s">
        <v>5414</v>
      </c>
      <c r="C981" t="s">
        <v>5415</v>
      </c>
    </row>
    <row r="982" spans="1:3" x14ac:dyDescent="0.25">
      <c r="A982">
        <v>611610</v>
      </c>
      <c r="B982" t="s">
        <v>5414</v>
      </c>
      <c r="C982" t="s">
        <v>5415</v>
      </c>
    </row>
    <row r="983" spans="1:3" x14ac:dyDescent="0.25">
      <c r="A983">
        <v>611620</v>
      </c>
      <c r="B983" t="s">
        <v>5414</v>
      </c>
      <c r="C983" t="s">
        <v>5415</v>
      </c>
    </row>
    <row r="984" spans="1:3" x14ac:dyDescent="0.25">
      <c r="A984">
        <v>611692</v>
      </c>
      <c r="B984" t="s">
        <v>5414</v>
      </c>
      <c r="C984" t="s">
        <v>5415</v>
      </c>
    </row>
    <row r="985" spans="1:3" x14ac:dyDescent="0.25">
      <c r="A985">
        <v>611699</v>
      </c>
      <c r="B985" t="s">
        <v>5414</v>
      </c>
      <c r="C985" t="s">
        <v>5415</v>
      </c>
    </row>
    <row r="986" spans="1:3" x14ac:dyDescent="0.25">
      <c r="A986">
        <v>611710</v>
      </c>
      <c r="B986" t="s">
        <v>5414</v>
      </c>
      <c r="C986" t="s">
        <v>5415</v>
      </c>
    </row>
    <row r="987" spans="1:3" x14ac:dyDescent="0.25">
      <c r="A987">
        <v>621111</v>
      </c>
      <c r="B987" t="s">
        <v>5414</v>
      </c>
      <c r="C987" t="s">
        <v>5415</v>
      </c>
    </row>
    <row r="988" spans="1:3" x14ac:dyDescent="0.25">
      <c r="A988">
        <v>621112</v>
      </c>
      <c r="B988" t="s">
        <v>5414</v>
      </c>
      <c r="C988" t="s">
        <v>5415</v>
      </c>
    </row>
    <row r="989" spans="1:3" x14ac:dyDescent="0.25">
      <c r="A989">
        <v>621210</v>
      </c>
      <c r="B989" t="s">
        <v>5414</v>
      </c>
      <c r="C989" t="s">
        <v>5415</v>
      </c>
    </row>
    <row r="990" spans="1:3" x14ac:dyDescent="0.25">
      <c r="A990">
        <v>621320</v>
      </c>
      <c r="B990" t="s">
        <v>5414</v>
      </c>
      <c r="C990" t="s">
        <v>5415</v>
      </c>
    </row>
    <row r="991" spans="1:3" x14ac:dyDescent="0.25">
      <c r="A991">
        <v>621399</v>
      </c>
      <c r="B991" t="s">
        <v>5414</v>
      </c>
      <c r="C991" t="s">
        <v>5415</v>
      </c>
    </row>
    <row r="992" spans="1:3" x14ac:dyDescent="0.25">
      <c r="A992">
        <v>621410</v>
      </c>
      <c r="B992" t="s">
        <v>5414</v>
      </c>
      <c r="C992" t="s">
        <v>5415</v>
      </c>
    </row>
    <row r="993" spans="1:3" x14ac:dyDescent="0.25">
      <c r="A993">
        <v>621491</v>
      </c>
      <c r="B993" t="s">
        <v>5414</v>
      </c>
      <c r="C993" t="s">
        <v>5415</v>
      </c>
    </row>
    <row r="994" spans="1:3" x14ac:dyDescent="0.25">
      <c r="A994">
        <v>621492</v>
      </c>
      <c r="B994" t="s">
        <v>5414</v>
      </c>
      <c r="C994" t="s">
        <v>5415</v>
      </c>
    </row>
    <row r="995" spans="1:3" x14ac:dyDescent="0.25">
      <c r="A995">
        <v>621493</v>
      </c>
      <c r="B995" t="s">
        <v>5414</v>
      </c>
      <c r="C995" t="s">
        <v>5415</v>
      </c>
    </row>
    <row r="996" spans="1:3" x14ac:dyDescent="0.25">
      <c r="A996">
        <v>621498</v>
      </c>
      <c r="B996" t="s">
        <v>5414</v>
      </c>
      <c r="C996" t="s">
        <v>5415</v>
      </c>
    </row>
    <row r="997" spans="1:3" x14ac:dyDescent="0.25">
      <c r="A997">
        <v>621511</v>
      </c>
      <c r="B997" t="s">
        <v>5414</v>
      </c>
      <c r="C997" t="s">
        <v>5415</v>
      </c>
    </row>
    <row r="998" spans="1:3" x14ac:dyDescent="0.25">
      <c r="A998">
        <v>621512</v>
      </c>
      <c r="B998" t="s">
        <v>5414</v>
      </c>
      <c r="C998" t="s">
        <v>5415</v>
      </c>
    </row>
    <row r="999" spans="1:3" x14ac:dyDescent="0.25">
      <c r="A999">
        <v>621610</v>
      </c>
      <c r="B999" t="s">
        <v>5414</v>
      </c>
      <c r="C999" t="s">
        <v>5415</v>
      </c>
    </row>
    <row r="1000" spans="1:3" x14ac:dyDescent="0.25">
      <c r="A1000">
        <v>621910</v>
      </c>
      <c r="B1000" t="s">
        <v>5414</v>
      </c>
      <c r="C1000" t="s">
        <v>5415</v>
      </c>
    </row>
    <row r="1001" spans="1:3" x14ac:dyDescent="0.25">
      <c r="A1001">
        <v>621991</v>
      </c>
      <c r="B1001" t="s">
        <v>5414</v>
      </c>
      <c r="C1001" t="s">
        <v>5415</v>
      </c>
    </row>
    <row r="1002" spans="1:3" x14ac:dyDescent="0.25">
      <c r="A1002">
        <v>621999</v>
      </c>
      <c r="B1002" t="s">
        <v>5414</v>
      </c>
      <c r="C1002" t="s">
        <v>5415</v>
      </c>
    </row>
    <row r="1003" spans="1:3" x14ac:dyDescent="0.25">
      <c r="A1003">
        <v>622110</v>
      </c>
      <c r="B1003" t="s">
        <v>5414</v>
      </c>
      <c r="C1003" t="s">
        <v>5415</v>
      </c>
    </row>
    <row r="1004" spans="1:3" x14ac:dyDescent="0.25">
      <c r="A1004">
        <v>622210</v>
      </c>
      <c r="B1004" t="s">
        <v>5414</v>
      </c>
      <c r="C1004" t="s">
        <v>5415</v>
      </c>
    </row>
    <row r="1005" spans="1:3" x14ac:dyDescent="0.25">
      <c r="A1005">
        <v>622310</v>
      </c>
      <c r="B1005" t="s">
        <v>5414</v>
      </c>
      <c r="C1005" t="s">
        <v>5415</v>
      </c>
    </row>
    <row r="1006" spans="1:3" x14ac:dyDescent="0.25">
      <c r="A1006">
        <v>623110</v>
      </c>
      <c r="B1006" t="s">
        <v>5414</v>
      </c>
      <c r="C1006" t="s">
        <v>5415</v>
      </c>
    </row>
    <row r="1007" spans="1:3" x14ac:dyDescent="0.25">
      <c r="A1007">
        <v>623210</v>
      </c>
      <c r="B1007" t="s">
        <v>5414</v>
      </c>
      <c r="C1007" t="s">
        <v>5415</v>
      </c>
    </row>
    <row r="1008" spans="1:3" x14ac:dyDescent="0.25">
      <c r="A1008">
        <v>623220</v>
      </c>
      <c r="B1008" t="s">
        <v>5414</v>
      </c>
      <c r="C1008" t="s">
        <v>5415</v>
      </c>
    </row>
    <row r="1009" spans="1:3" x14ac:dyDescent="0.25">
      <c r="A1009">
        <v>623311</v>
      </c>
      <c r="B1009" t="s">
        <v>5414</v>
      </c>
      <c r="C1009" t="s">
        <v>5415</v>
      </c>
    </row>
    <row r="1010" spans="1:3" x14ac:dyDescent="0.25">
      <c r="A1010">
        <v>623312</v>
      </c>
      <c r="B1010" t="s">
        <v>5414</v>
      </c>
      <c r="C1010" t="s">
        <v>5415</v>
      </c>
    </row>
    <row r="1011" spans="1:3" x14ac:dyDescent="0.25">
      <c r="A1011">
        <v>623990</v>
      </c>
      <c r="B1011" t="s">
        <v>5414</v>
      </c>
      <c r="C1011" t="s">
        <v>5415</v>
      </c>
    </row>
    <row r="1012" spans="1:3" x14ac:dyDescent="0.25">
      <c r="A1012">
        <v>624110</v>
      </c>
      <c r="B1012" t="s">
        <v>5414</v>
      </c>
      <c r="C1012" t="s">
        <v>5415</v>
      </c>
    </row>
    <row r="1013" spans="1:3" x14ac:dyDescent="0.25">
      <c r="A1013">
        <v>624120</v>
      </c>
      <c r="B1013" t="s">
        <v>5414</v>
      </c>
      <c r="C1013" t="s">
        <v>5415</v>
      </c>
    </row>
    <row r="1014" spans="1:3" x14ac:dyDescent="0.25">
      <c r="A1014">
        <v>624190</v>
      </c>
      <c r="B1014" t="s">
        <v>5414</v>
      </c>
      <c r="C1014" t="s">
        <v>5415</v>
      </c>
    </row>
    <row r="1015" spans="1:3" x14ac:dyDescent="0.25">
      <c r="A1015">
        <v>624210</v>
      </c>
      <c r="B1015" t="s">
        <v>5414</v>
      </c>
      <c r="C1015" t="s">
        <v>5415</v>
      </c>
    </row>
    <row r="1016" spans="1:3" x14ac:dyDescent="0.25">
      <c r="A1016">
        <v>624229</v>
      </c>
      <c r="B1016" t="s">
        <v>5414</v>
      </c>
      <c r="C1016" t="s">
        <v>5415</v>
      </c>
    </row>
    <row r="1017" spans="1:3" x14ac:dyDescent="0.25">
      <c r="A1017">
        <v>624230</v>
      </c>
      <c r="B1017" t="s">
        <v>5414</v>
      </c>
      <c r="C1017" t="s">
        <v>5415</v>
      </c>
    </row>
    <row r="1018" spans="1:3" x14ac:dyDescent="0.25">
      <c r="A1018">
        <v>624310</v>
      </c>
      <c r="B1018" t="s">
        <v>5414</v>
      </c>
      <c r="C1018" t="s">
        <v>5415</v>
      </c>
    </row>
    <row r="1019" spans="1:3" x14ac:dyDescent="0.25">
      <c r="A1019">
        <v>711110</v>
      </c>
      <c r="B1019" t="s">
        <v>5414</v>
      </c>
      <c r="C1019" t="s">
        <v>5415</v>
      </c>
    </row>
    <row r="1020" spans="1:3" x14ac:dyDescent="0.25">
      <c r="A1020">
        <v>711130</v>
      </c>
      <c r="B1020" t="s">
        <v>5414</v>
      </c>
      <c r="C1020" t="s">
        <v>5415</v>
      </c>
    </row>
    <row r="1021" spans="1:3" x14ac:dyDescent="0.25">
      <c r="A1021">
        <v>711211</v>
      </c>
      <c r="B1021" t="s">
        <v>5414</v>
      </c>
      <c r="C1021" t="s">
        <v>5415</v>
      </c>
    </row>
    <row r="1022" spans="1:3" x14ac:dyDescent="0.25">
      <c r="A1022">
        <v>711212</v>
      </c>
      <c r="B1022" t="s">
        <v>5414</v>
      </c>
      <c r="C1022" t="s">
        <v>5415</v>
      </c>
    </row>
    <row r="1023" spans="1:3" x14ac:dyDescent="0.25">
      <c r="A1023">
        <v>711310</v>
      </c>
      <c r="B1023" t="s">
        <v>5414</v>
      </c>
      <c r="C1023" t="s">
        <v>5415</v>
      </c>
    </row>
    <row r="1024" spans="1:3" x14ac:dyDescent="0.25">
      <c r="A1024">
        <v>711320</v>
      </c>
      <c r="B1024" t="s">
        <v>5414</v>
      </c>
      <c r="C1024" t="s">
        <v>5415</v>
      </c>
    </row>
    <row r="1025" spans="1:3" x14ac:dyDescent="0.25">
      <c r="A1025">
        <v>711510</v>
      </c>
      <c r="B1025" t="s">
        <v>5414</v>
      </c>
      <c r="C1025" t="s">
        <v>5415</v>
      </c>
    </row>
    <row r="1026" spans="1:3" x14ac:dyDescent="0.25">
      <c r="A1026">
        <v>712110</v>
      </c>
      <c r="B1026" t="s">
        <v>5414</v>
      </c>
      <c r="C1026" t="s">
        <v>5415</v>
      </c>
    </row>
    <row r="1027" spans="1:3" x14ac:dyDescent="0.25">
      <c r="A1027">
        <v>712120</v>
      </c>
      <c r="B1027" t="s">
        <v>5414</v>
      </c>
      <c r="C1027" t="s">
        <v>5415</v>
      </c>
    </row>
    <row r="1028" spans="1:3" x14ac:dyDescent="0.25">
      <c r="A1028">
        <v>712130</v>
      </c>
      <c r="B1028" t="s">
        <v>5414</v>
      </c>
      <c r="C1028" t="s">
        <v>5415</v>
      </c>
    </row>
    <row r="1029" spans="1:3" x14ac:dyDescent="0.25">
      <c r="A1029">
        <v>712190</v>
      </c>
      <c r="B1029" t="s">
        <v>5414</v>
      </c>
      <c r="C1029" t="s">
        <v>5415</v>
      </c>
    </row>
    <row r="1030" spans="1:3" x14ac:dyDescent="0.25">
      <c r="A1030">
        <v>713110</v>
      </c>
      <c r="B1030" t="s">
        <v>5414</v>
      </c>
      <c r="C1030" t="s">
        <v>5415</v>
      </c>
    </row>
    <row r="1031" spans="1:3" x14ac:dyDescent="0.25">
      <c r="A1031">
        <v>713210</v>
      </c>
      <c r="B1031" t="s">
        <v>5414</v>
      </c>
      <c r="C1031" t="s">
        <v>5415</v>
      </c>
    </row>
    <row r="1032" spans="1:3" x14ac:dyDescent="0.25">
      <c r="A1032">
        <v>713910</v>
      </c>
      <c r="B1032" t="s">
        <v>5414</v>
      </c>
      <c r="C1032" t="s">
        <v>5415</v>
      </c>
    </row>
    <row r="1033" spans="1:3" x14ac:dyDescent="0.25">
      <c r="A1033">
        <v>713920</v>
      </c>
      <c r="B1033" t="s">
        <v>5414</v>
      </c>
      <c r="C1033" t="s">
        <v>5415</v>
      </c>
    </row>
    <row r="1034" spans="1:3" x14ac:dyDescent="0.25">
      <c r="A1034">
        <v>713930</v>
      </c>
      <c r="B1034" t="s">
        <v>5414</v>
      </c>
      <c r="C1034" t="s">
        <v>5415</v>
      </c>
    </row>
    <row r="1035" spans="1:3" x14ac:dyDescent="0.25">
      <c r="A1035">
        <v>713940</v>
      </c>
      <c r="B1035" t="s">
        <v>5414</v>
      </c>
      <c r="C1035" t="s">
        <v>5415</v>
      </c>
    </row>
    <row r="1036" spans="1:3" x14ac:dyDescent="0.25">
      <c r="A1036">
        <v>713990</v>
      </c>
      <c r="B1036" t="s">
        <v>5414</v>
      </c>
      <c r="C1036" t="s">
        <v>5415</v>
      </c>
    </row>
    <row r="1037" spans="1:3" x14ac:dyDescent="0.25">
      <c r="A1037">
        <v>721110</v>
      </c>
      <c r="B1037" t="s">
        <v>5414</v>
      </c>
      <c r="C1037" t="s">
        <v>5415</v>
      </c>
    </row>
    <row r="1038" spans="1:3" x14ac:dyDescent="0.25">
      <c r="A1038">
        <v>721120</v>
      </c>
      <c r="B1038" t="s">
        <v>5414</v>
      </c>
      <c r="C1038" t="s">
        <v>5415</v>
      </c>
    </row>
    <row r="1039" spans="1:3" x14ac:dyDescent="0.25">
      <c r="A1039">
        <v>721191</v>
      </c>
      <c r="B1039" t="s">
        <v>5414</v>
      </c>
      <c r="C1039" t="s">
        <v>5415</v>
      </c>
    </row>
    <row r="1040" spans="1:3" x14ac:dyDescent="0.25">
      <c r="A1040">
        <v>721199</v>
      </c>
      <c r="B1040" t="s">
        <v>5414</v>
      </c>
      <c r="C1040" t="s">
        <v>5415</v>
      </c>
    </row>
    <row r="1041" spans="1:3" x14ac:dyDescent="0.25">
      <c r="A1041">
        <v>721211</v>
      </c>
      <c r="B1041" t="s">
        <v>5414</v>
      </c>
      <c r="C1041" t="s">
        <v>5415</v>
      </c>
    </row>
    <row r="1042" spans="1:3" x14ac:dyDescent="0.25">
      <c r="A1042">
        <v>721214</v>
      </c>
      <c r="B1042" t="s">
        <v>5414</v>
      </c>
      <c r="C1042" t="s">
        <v>5415</v>
      </c>
    </row>
    <row r="1043" spans="1:3" x14ac:dyDescent="0.25">
      <c r="A1043">
        <v>721310</v>
      </c>
      <c r="B1043" t="s">
        <v>5414</v>
      </c>
      <c r="C1043" t="s">
        <v>5415</v>
      </c>
    </row>
    <row r="1044" spans="1:3" x14ac:dyDescent="0.25">
      <c r="A1044">
        <v>722310</v>
      </c>
      <c r="B1044" t="s">
        <v>5414</v>
      </c>
      <c r="C1044" t="s">
        <v>5415</v>
      </c>
    </row>
    <row r="1045" spans="1:3" x14ac:dyDescent="0.25">
      <c r="A1045">
        <v>722320</v>
      </c>
      <c r="B1045" t="s">
        <v>5414</v>
      </c>
      <c r="C1045" t="s">
        <v>5415</v>
      </c>
    </row>
    <row r="1046" spans="1:3" x14ac:dyDescent="0.25">
      <c r="A1046">
        <v>722330</v>
      </c>
      <c r="B1046" t="s">
        <v>5414</v>
      </c>
      <c r="C1046" t="s">
        <v>5415</v>
      </c>
    </row>
    <row r="1047" spans="1:3" x14ac:dyDescent="0.25">
      <c r="A1047">
        <v>722410</v>
      </c>
      <c r="B1047" t="s">
        <v>5414</v>
      </c>
      <c r="C1047" t="s">
        <v>5415</v>
      </c>
    </row>
    <row r="1048" spans="1:3" x14ac:dyDescent="0.25">
      <c r="A1048">
        <v>722511</v>
      </c>
      <c r="B1048" t="s">
        <v>5414</v>
      </c>
      <c r="C1048" t="s">
        <v>5415</v>
      </c>
    </row>
    <row r="1049" spans="1:3" x14ac:dyDescent="0.25">
      <c r="A1049">
        <v>722513</v>
      </c>
      <c r="B1049" t="s">
        <v>5414</v>
      </c>
      <c r="C1049" t="s">
        <v>5415</v>
      </c>
    </row>
    <row r="1050" spans="1:3" x14ac:dyDescent="0.25">
      <c r="A1050">
        <v>722515</v>
      </c>
      <c r="B1050" t="s">
        <v>5414</v>
      </c>
      <c r="C1050" t="s">
        <v>5415</v>
      </c>
    </row>
    <row r="1051" spans="1:3" x14ac:dyDescent="0.25">
      <c r="A1051">
        <v>811111</v>
      </c>
      <c r="B1051" t="s">
        <v>5414</v>
      </c>
      <c r="C1051" t="s">
        <v>5415</v>
      </c>
    </row>
    <row r="1052" spans="1:3" x14ac:dyDescent="0.25">
      <c r="A1052">
        <v>811113</v>
      </c>
      <c r="B1052" t="s">
        <v>5414</v>
      </c>
      <c r="C1052" t="s">
        <v>5415</v>
      </c>
    </row>
    <row r="1053" spans="1:3" x14ac:dyDescent="0.25">
      <c r="A1053">
        <v>811118</v>
      </c>
      <c r="B1053" t="s">
        <v>5414</v>
      </c>
      <c r="C1053" t="s">
        <v>5415</v>
      </c>
    </row>
    <row r="1054" spans="1:3" x14ac:dyDescent="0.25">
      <c r="A1054">
        <v>811121</v>
      </c>
      <c r="B1054" t="s">
        <v>5414</v>
      </c>
      <c r="C1054" t="s">
        <v>5415</v>
      </c>
    </row>
    <row r="1055" spans="1:3" x14ac:dyDescent="0.25">
      <c r="A1055">
        <v>811122</v>
      </c>
      <c r="B1055" t="s">
        <v>5414</v>
      </c>
      <c r="C1055" t="s">
        <v>5415</v>
      </c>
    </row>
    <row r="1056" spans="1:3" x14ac:dyDescent="0.25">
      <c r="A1056">
        <v>811192</v>
      </c>
      <c r="B1056" t="s">
        <v>5414</v>
      </c>
      <c r="C1056" t="s">
        <v>5415</v>
      </c>
    </row>
    <row r="1057" spans="1:3" x14ac:dyDescent="0.25">
      <c r="A1057">
        <v>811211</v>
      </c>
      <c r="B1057" t="s">
        <v>5414</v>
      </c>
      <c r="C1057" t="s">
        <v>5415</v>
      </c>
    </row>
    <row r="1058" spans="1:3" x14ac:dyDescent="0.25">
      <c r="A1058">
        <v>811212</v>
      </c>
      <c r="B1058" t="s">
        <v>5414</v>
      </c>
      <c r="C1058" t="s">
        <v>5415</v>
      </c>
    </row>
    <row r="1059" spans="1:3" x14ac:dyDescent="0.25">
      <c r="A1059">
        <v>811219</v>
      </c>
      <c r="B1059" t="s">
        <v>5414</v>
      </c>
      <c r="C1059" t="s">
        <v>5415</v>
      </c>
    </row>
    <row r="1060" spans="1:3" x14ac:dyDescent="0.25">
      <c r="A1060">
        <v>811310</v>
      </c>
      <c r="B1060" t="s">
        <v>5414</v>
      </c>
      <c r="C1060" t="s">
        <v>5415</v>
      </c>
    </row>
    <row r="1061" spans="1:3" x14ac:dyDescent="0.25">
      <c r="A1061">
        <v>811412</v>
      </c>
      <c r="B1061" t="s">
        <v>5414</v>
      </c>
      <c r="C1061" t="s">
        <v>5415</v>
      </c>
    </row>
    <row r="1062" spans="1:3" x14ac:dyDescent="0.25">
      <c r="A1062">
        <v>811420</v>
      </c>
      <c r="B1062" t="s">
        <v>5414</v>
      </c>
      <c r="C1062" t="s">
        <v>5415</v>
      </c>
    </row>
    <row r="1063" spans="1:3" x14ac:dyDescent="0.25">
      <c r="A1063">
        <v>811490</v>
      </c>
      <c r="B1063" t="s">
        <v>5414</v>
      </c>
      <c r="C1063" t="s">
        <v>5415</v>
      </c>
    </row>
    <row r="1064" spans="1:3" x14ac:dyDescent="0.25">
      <c r="A1064">
        <v>812112</v>
      </c>
      <c r="B1064" t="s">
        <v>5414</v>
      </c>
      <c r="C1064" t="s">
        <v>5415</v>
      </c>
    </row>
    <row r="1065" spans="1:3" x14ac:dyDescent="0.25">
      <c r="A1065">
        <v>812199</v>
      </c>
      <c r="B1065" t="s">
        <v>5414</v>
      </c>
      <c r="C1065" t="s">
        <v>5415</v>
      </c>
    </row>
    <row r="1066" spans="1:3" x14ac:dyDescent="0.25">
      <c r="A1066">
        <v>812210</v>
      </c>
      <c r="B1066" t="s">
        <v>5414</v>
      </c>
      <c r="C1066" t="s">
        <v>5415</v>
      </c>
    </row>
    <row r="1067" spans="1:3" x14ac:dyDescent="0.25">
      <c r="A1067">
        <v>812220</v>
      </c>
      <c r="B1067" t="s">
        <v>5414</v>
      </c>
      <c r="C1067" t="s">
        <v>5415</v>
      </c>
    </row>
    <row r="1068" spans="1:3" x14ac:dyDescent="0.25">
      <c r="A1068">
        <v>812320</v>
      </c>
      <c r="B1068" t="s">
        <v>5414</v>
      </c>
      <c r="C1068" t="s">
        <v>5415</v>
      </c>
    </row>
    <row r="1069" spans="1:3" x14ac:dyDescent="0.25">
      <c r="A1069">
        <v>812331</v>
      </c>
      <c r="B1069" t="s">
        <v>5414</v>
      </c>
      <c r="C1069" t="s">
        <v>5415</v>
      </c>
    </row>
    <row r="1070" spans="1:3" x14ac:dyDescent="0.25">
      <c r="A1070">
        <v>812332</v>
      </c>
      <c r="B1070" t="s">
        <v>5414</v>
      </c>
      <c r="C1070" t="s">
        <v>5415</v>
      </c>
    </row>
    <row r="1071" spans="1:3" x14ac:dyDescent="0.25">
      <c r="A1071">
        <v>812910</v>
      </c>
      <c r="B1071" t="s">
        <v>5414</v>
      </c>
      <c r="C1071" t="s">
        <v>5415</v>
      </c>
    </row>
    <row r="1072" spans="1:3" x14ac:dyDescent="0.25">
      <c r="A1072">
        <v>812930</v>
      </c>
      <c r="B1072" t="s">
        <v>5414</v>
      </c>
      <c r="C1072" t="s">
        <v>5415</v>
      </c>
    </row>
    <row r="1073" spans="1:3" x14ac:dyDescent="0.25">
      <c r="A1073">
        <v>812990</v>
      </c>
      <c r="B1073" t="s">
        <v>5414</v>
      </c>
      <c r="C1073" t="s">
        <v>5415</v>
      </c>
    </row>
    <row r="1074" spans="1:3" x14ac:dyDescent="0.25">
      <c r="A1074">
        <v>813110</v>
      </c>
      <c r="B1074" t="s">
        <v>5414</v>
      </c>
      <c r="C1074" t="s">
        <v>5415</v>
      </c>
    </row>
    <row r="1075" spans="1:3" x14ac:dyDescent="0.25">
      <c r="A1075">
        <v>813211</v>
      </c>
      <c r="B1075" t="s">
        <v>5414</v>
      </c>
      <c r="C1075" t="s">
        <v>5415</v>
      </c>
    </row>
    <row r="1076" spans="1:3" x14ac:dyDescent="0.25">
      <c r="A1076">
        <v>813212</v>
      </c>
      <c r="B1076" t="s">
        <v>5414</v>
      </c>
      <c r="C1076" t="s">
        <v>5415</v>
      </c>
    </row>
    <row r="1077" spans="1:3" x14ac:dyDescent="0.25">
      <c r="A1077">
        <v>813312</v>
      </c>
      <c r="B1077" t="s">
        <v>5414</v>
      </c>
      <c r="C1077" t="s">
        <v>5415</v>
      </c>
    </row>
    <row r="1078" spans="1:3" x14ac:dyDescent="0.25">
      <c r="A1078">
        <v>813319</v>
      </c>
      <c r="B1078" t="s">
        <v>5414</v>
      </c>
      <c r="C1078" t="s">
        <v>5415</v>
      </c>
    </row>
    <row r="1079" spans="1:3" x14ac:dyDescent="0.25">
      <c r="A1079">
        <v>813410</v>
      </c>
      <c r="B1079" t="s">
        <v>5414</v>
      </c>
      <c r="C1079" t="s">
        <v>5415</v>
      </c>
    </row>
    <row r="1080" spans="1:3" x14ac:dyDescent="0.25">
      <c r="A1080">
        <v>813910</v>
      </c>
      <c r="B1080" t="s">
        <v>5414</v>
      </c>
      <c r="C1080" t="s">
        <v>5415</v>
      </c>
    </row>
    <row r="1081" spans="1:3" x14ac:dyDescent="0.25">
      <c r="A1081">
        <v>813920</v>
      </c>
      <c r="B1081" t="s">
        <v>5414</v>
      </c>
      <c r="C1081" t="s">
        <v>5415</v>
      </c>
    </row>
    <row r="1082" spans="1:3" x14ac:dyDescent="0.25">
      <c r="A1082">
        <v>813990</v>
      </c>
      <c r="B1082" t="s">
        <v>5414</v>
      </c>
      <c r="C1082" t="s">
        <v>5415</v>
      </c>
    </row>
    <row r="1083" spans="1:3" x14ac:dyDescent="0.25">
      <c r="A1083">
        <v>814110</v>
      </c>
      <c r="B1083" t="s">
        <v>5414</v>
      </c>
      <c r="C1083" t="s">
        <v>5415</v>
      </c>
    </row>
    <row r="1084" spans="1:3" x14ac:dyDescent="0.25">
      <c r="A1084">
        <v>921110</v>
      </c>
      <c r="B1084" t="s">
        <v>5414</v>
      </c>
      <c r="C1084" t="s">
        <v>5415</v>
      </c>
    </row>
    <row r="1085" spans="1:3" x14ac:dyDescent="0.25">
      <c r="A1085">
        <v>921120</v>
      </c>
      <c r="B1085" t="s">
        <v>5414</v>
      </c>
      <c r="C1085" t="s">
        <v>5415</v>
      </c>
    </row>
    <row r="1086" spans="1:3" x14ac:dyDescent="0.25">
      <c r="A1086">
        <v>921130</v>
      </c>
      <c r="B1086" t="s">
        <v>5414</v>
      </c>
      <c r="C1086" t="s">
        <v>5415</v>
      </c>
    </row>
    <row r="1087" spans="1:3" x14ac:dyDescent="0.25">
      <c r="A1087">
        <v>921150</v>
      </c>
      <c r="B1087" t="s">
        <v>5414</v>
      </c>
      <c r="C1087" t="s">
        <v>5415</v>
      </c>
    </row>
    <row r="1088" spans="1:3" x14ac:dyDescent="0.25">
      <c r="A1088">
        <v>921190</v>
      </c>
      <c r="B1088" t="s">
        <v>5414</v>
      </c>
      <c r="C1088" t="s">
        <v>5415</v>
      </c>
    </row>
    <row r="1089" spans="1:3" x14ac:dyDescent="0.25">
      <c r="A1089">
        <v>922110</v>
      </c>
      <c r="B1089" t="s">
        <v>5414</v>
      </c>
      <c r="C1089" t="s">
        <v>5415</v>
      </c>
    </row>
    <row r="1090" spans="1:3" x14ac:dyDescent="0.25">
      <c r="A1090">
        <v>922120</v>
      </c>
      <c r="B1090" t="s">
        <v>5414</v>
      </c>
      <c r="C1090" t="s">
        <v>5415</v>
      </c>
    </row>
    <row r="1091" spans="1:3" x14ac:dyDescent="0.25">
      <c r="A1091">
        <v>922130</v>
      </c>
      <c r="B1091" t="s">
        <v>5414</v>
      </c>
      <c r="C1091" t="s">
        <v>5415</v>
      </c>
    </row>
    <row r="1092" spans="1:3" x14ac:dyDescent="0.25">
      <c r="A1092">
        <v>922140</v>
      </c>
      <c r="B1092" t="s">
        <v>5414</v>
      </c>
      <c r="C1092" t="s">
        <v>5415</v>
      </c>
    </row>
    <row r="1093" spans="1:3" x14ac:dyDescent="0.25">
      <c r="A1093">
        <v>922150</v>
      </c>
      <c r="B1093" t="s">
        <v>5414</v>
      </c>
      <c r="C1093" t="s">
        <v>5415</v>
      </c>
    </row>
    <row r="1094" spans="1:3" x14ac:dyDescent="0.25">
      <c r="A1094">
        <v>922160</v>
      </c>
      <c r="B1094" t="s">
        <v>5414</v>
      </c>
      <c r="C1094" t="s">
        <v>5415</v>
      </c>
    </row>
    <row r="1095" spans="1:3" x14ac:dyDescent="0.25">
      <c r="A1095">
        <v>922190</v>
      </c>
      <c r="B1095" t="s">
        <v>5414</v>
      </c>
      <c r="C1095" t="s">
        <v>5415</v>
      </c>
    </row>
    <row r="1096" spans="1:3" x14ac:dyDescent="0.25">
      <c r="A1096">
        <v>923110</v>
      </c>
      <c r="B1096" t="s">
        <v>5414</v>
      </c>
      <c r="C1096" t="s">
        <v>5415</v>
      </c>
    </row>
    <row r="1097" spans="1:3" x14ac:dyDescent="0.25">
      <c r="A1097">
        <v>923120</v>
      </c>
      <c r="B1097" t="s">
        <v>5414</v>
      </c>
      <c r="C1097" t="s">
        <v>5415</v>
      </c>
    </row>
    <row r="1098" spans="1:3" x14ac:dyDescent="0.25">
      <c r="A1098">
        <v>923130</v>
      </c>
      <c r="B1098" t="s">
        <v>5414</v>
      </c>
      <c r="C1098" t="s">
        <v>5415</v>
      </c>
    </row>
    <row r="1099" spans="1:3" x14ac:dyDescent="0.25">
      <c r="A1099">
        <v>923140</v>
      </c>
      <c r="B1099" t="s">
        <v>5414</v>
      </c>
      <c r="C1099" t="s">
        <v>5415</v>
      </c>
    </row>
    <row r="1100" spans="1:3" x14ac:dyDescent="0.25">
      <c r="A1100">
        <v>924110</v>
      </c>
      <c r="B1100" t="s">
        <v>5414</v>
      </c>
      <c r="C1100" t="s">
        <v>5415</v>
      </c>
    </row>
    <row r="1101" spans="1:3" x14ac:dyDescent="0.25">
      <c r="A1101">
        <v>924120</v>
      </c>
      <c r="B1101" t="s">
        <v>5414</v>
      </c>
      <c r="C1101" t="s">
        <v>5415</v>
      </c>
    </row>
    <row r="1102" spans="1:3" x14ac:dyDescent="0.25">
      <c r="A1102">
        <v>925110</v>
      </c>
      <c r="B1102" t="s">
        <v>5414</v>
      </c>
      <c r="C1102" t="s">
        <v>5415</v>
      </c>
    </row>
    <row r="1103" spans="1:3" x14ac:dyDescent="0.25">
      <c r="A1103">
        <v>925120</v>
      </c>
      <c r="B1103" t="s">
        <v>5414</v>
      </c>
      <c r="C1103" t="s">
        <v>5415</v>
      </c>
    </row>
    <row r="1104" spans="1:3" x14ac:dyDescent="0.25">
      <c r="A1104">
        <v>926110</v>
      </c>
      <c r="B1104" t="s">
        <v>5414</v>
      </c>
      <c r="C1104" t="s">
        <v>5415</v>
      </c>
    </row>
    <row r="1105" spans="1:3" x14ac:dyDescent="0.25">
      <c r="A1105">
        <v>926120</v>
      </c>
      <c r="B1105" t="s">
        <v>5414</v>
      </c>
      <c r="C1105" t="s">
        <v>5415</v>
      </c>
    </row>
    <row r="1106" spans="1:3" x14ac:dyDescent="0.25">
      <c r="A1106">
        <v>926130</v>
      </c>
      <c r="B1106" t="s">
        <v>5414</v>
      </c>
      <c r="C1106" t="s">
        <v>5415</v>
      </c>
    </row>
    <row r="1107" spans="1:3" x14ac:dyDescent="0.25">
      <c r="A1107">
        <v>926140</v>
      </c>
      <c r="B1107" t="s">
        <v>5414</v>
      </c>
      <c r="C1107" t="s">
        <v>5415</v>
      </c>
    </row>
    <row r="1108" spans="1:3" x14ac:dyDescent="0.25">
      <c r="A1108">
        <v>927110</v>
      </c>
      <c r="B1108" t="s">
        <v>5414</v>
      </c>
      <c r="C1108" t="s">
        <v>5415</v>
      </c>
    </row>
    <row r="1109" spans="1:3" x14ac:dyDescent="0.25">
      <c r="A1109">
        <v>928110</v>
      </c>
      <c r="B1109" t="s">
        <v>5414</v>
      </c>
      <c r="C1109" t="s">
        <v>5415</v>
      </c>
    </row>
    <row r="1110" spans="1:3" x14ac:dyDescent="0.25">
      <c r="A1110">
        <v>928120</v>
      </c>
      <c r="B1110" t="s">
        <v>5414</v>
      </c>
      <c r="C1110" t="s">
        <v>5415</v>
      </c>
    </row>
  </sheetData>
  <pageMargins left="0.7" right="0.7" top="0.75" bottom="0.75" header="0.3" footer="0.3"/>
  <pageSetup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F1D4E-1505-4229-ACF0-B156AA4E66B6}">
  <sheetPr codeName="Sheet19">
    <tabColor theme="1" tint="0.499984740745262"/>
  </sheetPr>
  <dimension ref="A1:B960"/>
  <sheetViews>
    <sheetView workbookViewId="0">
      <selection activeCell="I10" sqref="I10"/>
    </sheetView>
  </sheetViews>
  <sheetFormatPr defaultRowHeight="15" x14ac:dyDescent="0.25"/>
  <cols>
    <col min="1" max="1" width="12" bestFit="1" customWidth="1"/>
    <col min="2" max="2" width="20.5703125" bestFit="1" customWidth="1"/>
  </cols>
  <sheetData>
    <row r="1" spans="1:2" x14ac:dyDescent="0.25">
      <c r="A1" t="s">
        <v>87</v>
      </c>
      <c r="B1" t="s">
        <v>5456</v>
      </c>
    </row>
    <row r="2" spans="1:2" x14ac:dyDescent="0.25">
      <c r="A2">
        <v>110012169517</v>
      </c>
      <c r="B2" t="s">
        <v>5457</v>
      </c>
    </row>
    <row r="3" spans="1:2" x14ac:dyDescent="0.25">
      <c r="A3">
        <v>110005724145</v>
      </c>
      <c r="B3" t="s">
        <v>5457</v>
      </c>
    </row>
    <row r="4" spans="1:2" x14ac:dyDescent="0.25">
      <c r="A4">
        <v>110000730834</v>
      </c>
      <c r="B4" t="s">
        <v>1542</v>
      </c>
    </row>
    <row r="5" spans="1:2" x14ac:dyDescent="0.25">
      <c r="A5">
        <v>110000415505</v>
      </c>
      <c r="B5" t="s">
        <v>5457</v>
      </c>
    </row>
    <row r="6" spans="1:2" x14ac:dyDescent="0.25">
      <c r="A6">
        <v>110001869899</v>
      </c>
      <c r="B6" t="s">
        <v>5457</v>
      </c>
    </row>
    <row r="7" spans="1:2" x14ac:dyDescent="0.25">
      <c r="A7">
        <v>110000339027</v>
      </c>
      <c r="B7" t="s">
        <v>5457</v>
      </c>
    </row>
    <row r="8" spans="1:2" x14ac:dyDescent="0.25">
      <c r="A8">
        <v>110055988506</v>
      </c>
      <c r="B8" t="s">
        <v>1542</v>
      </c>
    </row>
    <row r="9" spans="1:2" x14ac:dyDescent="0.25">
      <c r="A9">
        <v>110046526773</v>
      </c>
      <c r="B9" t="s">
        <v>5457</v>
      </c>
    </row>
    <row r="10" spans="1:2" x14ac:dyDescent="0.25">
      <c r="A10">
        <v>110018988201</v>
      </c>
      <c r="B10" t="s">
        <v>5457</v>
      </c>
    </row>
    <row r="11" spans="1:2" x14ac:dyDescent="0.25">
      <c r="A11">
        <v>110010062430</v>
      </c>
      <c r="B11" t="s">
        <v>5457</v>
      </c>
    </row>
    <row r="12" spans="1:2" x14ac:dyDescent="0.25">
      <c r="A12">
        <v>110070819241</v>
      </c>
      <c r="B12" t="s">
        <v>5458</v>
      </c>
    </row>
    <row r="13" spans="1:2" x14ac:dyDescent="0.25">
      <c r="A13">
        <v>110064633151</v>
      </c>
      <c r="B13" t="s">
        <v>5457</v>
      </c>
    </row>
    <row r="14" spans="1:2" x14ac:dyDescent="0.25">
      <c r="A14">
        <v>110055107771</v>
      </c>
      <c r="B14" t="s">
        <v>5457</v>
      </c>
    </row>
    <row r="15" spans="1:2" x14ac:dyDescent="0.25">
      <c r="A15">
        <v>110071071590</v>
      </c>
      <c r="B15" t="s">
        <v>5457</v>
      </c>
    </row>
    <row r="16" spans="1:2" x14ac:dyDescent="0.25">
      <c r="A16">
        <v>110013386068</v>
      </c>
      <c r="B16" t="s">
        <v>5457</v>
      </c>
    </row>
    <row r="17" spans="1:2" x14ac:dyDescent="0.25">
      <c r="A17">
        <v>110005311741</v>
      </c>
      <c r="B17" t="s">
        <v>1542</v>
      </c>
    </row>
    <row r="18" spans="1:2" x14ac:dyDescent="0.25">
      <c r="A18">
        <v>110064134459</v>
      </c>
      <c r="B18" t="s">
        <v>5457</v>
      </c>
    </row>
    <row r="19" spans="1:2" x14ac:dyDescent="0.25">
      <c r="A19">
        <v>110042004915</v>
      </c>
      <c r="B19" t="s">
        <v>5458</v>
      </c>
    </row>
    <row r="20" spans="1:2" x14ac:dyDescent="0.25">
      <c r="A20">
        <v>110035769585</v>
      </c>
      <c r="B20" t="s">
        <v>1542</v>
      </c>
    </row>
    <row r="21" spans="1:2" x14ac:dyDescent="0.25">
      <c r="A21">
        <v>110000613685</v>
      </c>
      <c r="B21" t="s">
        <v>5457</v>
      </c>
    </row>
    <row r="22" spans="1:2" x14ac:dyDescent="0.25">
      <c r="A22">
        <v>110009127042</v>
      </c>
      <c r="B22" t="s">
        <v>1542</v>
      </c>
    </row>
    <row r="23" spans="1:2" x14ac:dyDescent="0.25">
      <c r="A23">
        <v>110013929339</v>
      </c>
      <c r="B23" t="s">
        <v>1542</v>
      </c>
    </row>
    <row r="24" spans="1:2" x14ac:dyDescent="0.25">
      <c r="A24">
        <v>110019216025</v>
      </c>
      <c r="B24" t="s">
        <v>5457</v>
      </c>
    </row>
    <row r="25" spans="1:2" x14ac:dyDescent="0.25">
      <c r="A25">
        <v>110056966699</v>
      </c>
      <c r="B25" t="s">
        <v>5457</v>
      </c>
    </row>
    <row r="26" spans="1:2" x14ac:dyDescent="0.25">
      <c r="A26">
        <v>110071445083</v>
      </c>
      <c r="B26" t="s">
        <v>5457</v>
      </c>
    </row>
    <row r="27" spans="1:2" x14ac:dyDescent="0.25">
      <c r="A27">
        <v>110056960542</v>
      </c>
      <c r="B27" t="s">
        <v>5457</v>
      </c>
    </row>
    <row r="28" spans="1:2" x14ac:dyDescent="0.25">
      <c r="A28">
        <v>110064596842</v>
      </c>
      <c r="B28" t="s">
        <v>1542</v>
      </c>
    </row>
    <row r="29" spans="1:2" x14ac:dyDescent="0.25">
      <c r="A29">
        <v>110000517913</v>
      </c>
      <c r="B29" t="s">
        <v>1542</v>
      </c>
    </row>
    <row r="30" spans="1:2" x14ac:dyDescent="0.25">
      <c r="A30">
        <v>110000525842</v>
      </c>
      <c r="B30" t="s">
        <v>1542</v>
      </c>
    </row>
    <row r="31" spans="1:2" x14ac:dyDescent="0.25">
      <c r="A31">
        <v>110010134185</v>
      </c>
      <c r="B31" t="s">
        <v>5457</v>
      </c>
    </row>
    <row r="32" spans="1:2" x14ac:dyDescent="0.25">
      <c r="A32">
        <v>110013317614</v>
      </c>
      <c r="B32" t="s">
        <v>5457</v>
      </c>
    </row>
    <row r="33" spans="1:2" x14ac:dyDescent="0.25">
      <c r="A33">
        <v>110055984163</v>
      </c>
      <c r="B33" t="s">
        <v>1542</v>
      </c>
    </row>
    <row r="34" spans="1:2" x14ac:dyDescent="0.25">
      <c r="A34">
        <v>110001847761</v>
      </c>
      <c r="B34" t="s">
        <v>5457</v>
      </c>
    </row>
    <row r="35" spans="1:2" x14ac:dyDescent="0.25">
      <c r="A35">
        <v>110000475940</v>
      </c>
      <c r="B35" t="s">
        <v>5457</v>
      </c>
    </row>
    <row r="36" spans="1:2" x14ac:dyDescent="0.25">
      <c r="A36">
        <v>110000464140</v>
      </c>
      <c r="B36" t="s">
        <v>5457</v>
      </c>
    </row>
    <row r="37" spans="1:2" x14ac:dyDescent="0.25">
      <c r="A37">
        <v>110008052926</v>
      </c>
      <c r="B37" t="s">
        <v>5457</v>
      </c>
    </row>
    <row r="38" spans="1:2" x14ac:dyDescent="0.25">
      <c r="A38">
        <v>110000524987</v>
      </c>
      <c r="B38" t="s">
        <v>1542</v>
      </c>
    </row>
    <row r="39" spans="1:2" x14ac:dyDescent="0.25">
      <c r="A39">
        <v>110009547222</v>
      </c>
      <c r="B39" t="s">
        <v>1542</v>
      </c>
    </row>
    <row r="40" spans="1:2" x14ac:dyDescent="0.25">
      <c r="A40">
        <v>110054272210</v>
      </c>
      <c r="B40" t="s">
        <v>5457</v>
      </c>
    </row>
    <row r="41" spans="1:2" x14ac:dyDescent="0.25">
      <c r="A41">
        <v>110001141327</v>
      </c>
      <c r="B41" t="s">
        <v>5457</v>
      </c>
    </row>
    <row r="42" spans="1:2" x14ac:dyDescent="0.25">
      <c r="A42">
        <v>110020506460</v>
      </c>
      <c r="B42" t="s">
        <v>5457</v>
      </c>
    </row>
    <row r="43" spans="1:2" x14ac:dyDescent="0.25">
      <c r="A43">
        <v>110002339791</v>
      </c>
      <c r="B43" t="s">
        <v>5457</v>
      </c>
    </row>
    <row r="44" spans="1:2" x14ac:dyDescent="0.25">
      <c r="A44">
        <v>110055979455</v>
      </c>
      <c r="B44" t="s">
        <v>1542</v>
      </c>
    </row>
    <row r="45" spans="1:2" x14ac:dyDescent="0.25">
      <c r="A45">
        <v>110055630857</v>
      </c>
      <c r="B45" t="s">
        <v>5457</v>
      </c>
    </row>
    <row r="46" spans="1:2" x14ac:dyDescent="0.25">
      <c r="A46">
        <v>110002041978</v>
      </c>
      <c r="B46" t="s">
        <v>1542</v>
      </c>
    </row>
    <row r="47" spans="1:2" x14ac:dyDescent="0.25">
      <c r="A47">
        <v>110056004880</v>
      </c>
      <c r="B47" t="s">
        <v>5457</v>
      </c>
    </row>
    <row r="48" spans="1:2" x14ac:dyDescent="0.25">
      <c r="A48">
        <v>110009067400</v>
      </c>
      <c r="B48" t="s">
        <v>1542</v>
      </c>
    </row>
    <row r="49" spans="1:2" x14ac:dyDescent="0.25">
      <c r="A49">
        <v>110042068473</v>
      </c>
      <c r="B49" t="s">
        <v>5457</v>
      </c>
    </row>
    <row r="50" spans="1:2" x14ac:dyDescent="0.25">
      <c r="A50">
        <v>110045447469</v>
      </c>
      <c r="B50" t="s">
        <v>5457</v>
      </c>
    </row>
    <row r="51" spans="1:2" x14ac:dyDescent="0.25">
      <c r="A51">
        <v>110000761015</v>
      </c>
      <c r="B51" t="s">
        <v>1542</v>
      </c>
    </row>
    <row r="52" spans="1:2" x14ac:dyDescent="0.25">
      <c r="A52">
        <v>110000486395</v>
      </c>
      <c r="B52" t="s">
        <v>5457</v>
      </c>
    </row>
    <row r="53" spans="1:2" x14ac:dyDescent="0.25">
      <c r="A53">
        <v>110000321651</v>
      </c>
      <c r="B53" t="s">
        <v>5457</v>
      </c>
    </row>
    <row r="54" spans="1:2" x14ac:dyDescent="0.25">
      <c r="A54">
        <v>110000607772</v>
      </c>
      <c r="B54" t="s">
        <v>5457</v>
      </c>
    </row>
    <row r="55" spans="1:2" x14ac:dyDescent="0.25">
      <c r="A55">
        <v>110041038187</v>
      </c>
      <c r="B55" t="s">
        <v>5457</v>
      </c>
    </row>
    <row r="56" spans="1:2" x14ac:dyDescent="0.25">
      <c r="A56">
        <v>110005726802</v>
      </c>
      <c r="B56" t="s">
        <v>1542</v>
      </c>
    </row>
    <row r="57" spans="1:2" x14ac:dyDescent="0.25">
      <c r="A57">
        <v>110006785185</v>
      </c>
      <c r="B57" t="s">
        <v>1542</v>
      </c>
    </row>
    <row r="58" spans="1:2" x14ac:dyDescent="0.25">
      <c r="A58">
        <v>110039706459</v>
      </c>
      <c r="B58" t="s">
        <v>1542</v>
      </c>
    </row>
    <row r="59" spans="1:2" x14ac:dyDescent="0.25">
      <c r="A59">
        <v>110000723290</v>
      </c>
      <c r="B59" t="s">
        <v>1542</v>
      </c>
    </row>
    <row r="60" spans="1:2" x14ac:dyDescent="0.25">
      <c r="A60">
        <v>110000555943</v>
      </c>
      <c r="B60" t="s">
        <v>1542</v>
      </c>
    </row>
    <row r="61" spans="1:2" x14ac:dyDescent="0.25">
      <c r="A61">
        <v>110070133779</v>
      </c>
      <c r="B61" t="s">
        <v>5457</v>
      </c>
    </row>
    <row r="62" spans="1:2" x14ac:dyDescent="0.25">
      <c r="A62">
        <v>110000543635</v>
      </c>
      <c r="B62" t="s">
        <v>1542</v>
      </c>
    </row>
    <row r="63" spans="1:2" x14ac:dyDescent="0.25">
      <c r="A63">
        <v>110022399956</v>
      </c>
      <c r="B63" t="s">
        <v>1542</v>
      </c>
    </row>
    <row r="64" spans="1:2" x14ac:dyDescent="0.25">
      <c r="A64">
        <v>110000527779</v>
      </c>
      <c r="B64" t="s">
        <v>5457</v>
      </c>
    </row>
    <row r="65" spans="1:2" x14ac:dyDescent="0.25">
      <c r="A65">
        <v>110000601867</v>
      </c>
      <c r="B65" t="s">
        <v>5458</v>
      </c>
    </row>
    <row r="66" spans="1:2" x14ac:dyDescent="0.25">
      <c r="A66">
        <v>110002631073</v>
      </c>
      <c r="B66" t="s">
        <v>5457</v>
      </c>
    </row>
    <row r="67" spans="1:2" x14ac:dyDescent="0.25">
      <c r="A67">
        <v>110018893562</v>
      </c>
      <c r="B67" t="s">
        <v>5457</v>
      </c>
    </row>
    <row r="68" spans="1:2" x14ac:dyDescent="0.25">
      <c r="A68">
        <v>110002148596</v>
      </c>
      <c r="B68" t="s">
        <v>5457</v>
      </c>
    </row>
    <row r="69" spans="1:2" x14ac:dyDescent="0.25">
      <c r="A69">
        <v>110024535706</v>
      </c>
      <c r="B69" t="s">
        <v>5457</v>
      </c>
    </row>
    <row r="70" spans="1:2" x14ac:dyDescent="0.25">
      <c r="A70">
        <v>110001199569</v>
      </c>
      <c r="B70" t="s">
        <v>5457</v>
      </c>
    </row>
    <row r="71" spans="1:2" x14ac:dyDescent="0.25">
      <c r="A71">
        <v>110000464097</v>
      </c>
      <c r="B71" t="s">
        <v>5457</v>
      </c>
    </row>
    <row r="72" spans="1:2" x14ac:dyDescent="0.25">
      <c r="A72">
        <v>110039505693</v>
      </c>
      <c r="B72" t="s">
        <v>1542</v>
      </c>
    </row>
    <row r="73" spans="1:2" x14ac:dyDescent="0.25">
      <c r="A73">
        <v>110070210457</v>
      </c>
      <c r="B73" t="s">
        <v>5457</v>
      </c>
    </row>
    <row r="74" spans="1:2" x14ac:dyDescent="0.25">
      <c r="A74">
        <v>110000509851</v>
      </c>
      <c r="B74" t="s">
        <v>1542</v>
      </c>
    </row>
    <row r="75" spans="1:2" x14ac:dyDescent="0.25">
      <c r="A75">
        <v>110001869559</v>
      </c>
      <c r="B75" t="s">
        <v>5457</v>
      </c>
    </row>
    <row r="76" spans="1:2" x14ac:dyDescent="0.25">
      <c r="A76">
        <v>110041022274</v>
      </c>
      <c r="B76" t="s">
        <v>5457</v>
      </c>
    </row>
    <row r="77" spans="1:2" x14ac:dyDescent="0.25">
      <c r="A77">
        <v>110006783793</v>
      </c>
      <c r="B77" t="s">
        <v>5457</v>
      </c>
    </row>
    <row r="78" spans="1:2" x14ac:dyDescent="0.25">
      <c r="A78">
        <v>110014322170</v>
      </c>
      <c r="B78" t="s">
        <v>5457</v>
      </c>
    </row>
    <row r="79" spans="1:2" x14ac:dyDescent="0.25">
      <c r="A79">
        <v>110001169173</v>
      </c>
      <c r="B79" t="s">
        <v>5457</v>
      </c>
    </row>
    <row r="80" spans="1:2" x14ac:dyDescent="0.25">
      <c r="A80">
        <v>110009938470</v>
      </c>
      <c r="B80" t="s">
        <v>1542</v>
      </c>
    </row>
    <row r="81" spans="1:2" x14ac:dyDescent="0.25">
      <c r="A81">
        <v>110000510894</v>
      </c>
      <c r="B81" t="s">
        <v>1542</v>
      </c>
    </row>
    <row r="82" spans="1:2" x14ac:dyDescent="0.25">
      <c r="A82">
        <v>110039778595</v>
      </c>
      <c r="B82" t="s">
        <v>1542</v>
      </c>
    </row>
    <row r="83" spans="1:2" x14ac:dyDescent="0.25">
      <c r="A83">
        <v>110006783132</v>
      </c>
      <c r="B83" t="s">
        <v>5457</v>
      </c>
    </row>
    <row r="84" spans="1:2" x14ac:dyDescent="0.25">
      <c r="A84">
        <v>110045547547</v>
      </c>
      <c r="B84" t="s">
        <v>5457</v>
      </c>
    </row>
    <row r="85" spans="1:2" x14ac:dyDescent="0.25">
      <c r="A85">
        <v>110013782433</v>
      </c>
      <c r="B85" t="s">
        <v>5457</v>
      </c>
    </row>
    <row r="86" spans="1:2" x14ac:dyDescent="0.25">
      <c r="A86">
        <v>110061125474</v>
      </c>
      <c r="B86" t="s">
        <v>5457</v>
      </c>
    </row>
    <row r="87" spans="1:2" x14ac:dyDescent="0.25">
      <c r="A87">
        <v>110006528908</v>
      </c>
      <c r="B87" t="s">
        <v>1542</v>
      </c>
    </row>
    <row r="88" spans="1:2" x14ac:dyDescent="0.25">
      <c r="A88">
        <v>110000846602</v>
      </c>
      <c r="B88" t="s">
        <v>5457</v>
      </c>
    </row>
    <row r="89" spans="1:2" x14ac:dyDescent="0.25">
      <c r="A89">
        <v>110020069986</v>
      </c>
      <c r="B89" t="s">
        <v>1542</v>
      </c>
    </row>
    <row r="90" spans="1:2" x14ac:dyDescent="0.25">
      <c r="A90">
        <v>110006783515</v>
      </c>
      <c r="B90" t="s">
        <v>1542</v>
      </c>
    </row>
    <row r="91" spans="1:2" x14ac:dyDescent="0.25">
      <c r="A91">
        <v>110020662166</v>
      </c>
      <c r="B91" t="s">
        <v>5458</v>
      </c>
    </row>
    <row r="92" spans="1:2" x14ac:dyDescent="0.25">
      <c r="A92">
        <v>110069334134</v>
      </c>
      <c r="B92" t="s">
        <v>5457</v>
      </c>
    </row>
    <row r="93" spans="1:2" x14ac:dyDescent="0.25">
      <c r="A93">
        <v>110006134691</v>
      </c>
      <c r="B93" t="s">
        <v>5457</v>
      </c>
    </row>
    <row r="94" spans="1:2" x14ac:dyDescent="0.25">
      <c r="A94">
        <v>110010062528</v>
      </c>
      <c r="B94" t="s">
        <v>1542</v>
      </c>
    </row>
    <row r="95" spans="1:2" x14ac:dyDescent="0.25">
      <c r="A95">
        <v>110009933402</v>
      </c>
      <c r="B95" t="s">
        <v>1542</v>
      </c>
    </row>
    <row r="96" spans="1:2" x14ac:dyDescent="0.25">
      <c r="A96">
        <v>110000433022</v>
      </c>
      <c r="B96" t="s">
        <v>5457</v>
      </c>
    </row>
    <row r="97" spans="1:2" x14ac:dyDescent="0.25">
      <c r="A97">
        <v>110070568559</v>
      </c>
      <c r="B97" t="s">
        <v>5457</v>
      </c>
    </row>
    <row r="98" spans="1:2" x14ac:dyDescent="0.25">
      <c r="A98">
        <v>110040874818</v>
      </c>
      <c r="B98" t="s">
        <v>5457</v>
      </c>
    </row>
    <row r="99" spans="1:2" x14ac:dyDescent="0.25">
      <c r="A99">
        <v>110013682942</v>
      </c>
      <c r="B99" t="s">
        <v>5457</v>
      </c>
    </row>
    <row r="100" spans="1:2" x14ac:dyDescent="0.25">
      <c r="A100">
        <v>110003271717</v>
      </c>
      <c r="B100" t="s">
        <v>5457</v>
      </c>
    </row>
    <row r="101" spans="1:2" x14ac:dyDescent="0.25">
      <c r="A101">
        <v>110067426672</v>
      </c>
      <c r="B101" t="s">
        <v>5457</v>
      </c>
    </row>
    <row r="102" spans="1:2" x14ac:dyDescent="0.25">
      <c r="A102">
        <v>110000597202</v>
      </c>
      <c r="B102" t="s">
        <v>5457</v>
      </c>
    </row>
    <row r="103" spans="1:2" x14ac:dyDescent="0.25">
      <c r="A103">
        <v>110041963168</v>
      </c>
      <c r="B103" t="s">
        <v>5458</v>
      </c>
    </row>
    <row r="104" spans="1:2" x14ac:dyDescent="0.25">
      <c r="A104">
        <v>110037254752</v>
      </c>
      <c r="B104" t="s">
        <v>1542</v>
      </c>
    </row>
    <row r="105" spans="1:2" x14ac:dyDescent="0.25">
      <c r="A105">
        <v>110022515759</v>
      </c>
      <c r="B105" t="s">
        <v>5457</v>
      </c>
    </row>
    <row r="106" spans="1:2" x14ac:dyDescent="0.25">
      <c r="A106">
        <v>110039840740</v>
      </c>
      <c r="B106" t="s">
        <v>1542</v>
      </c>
    </row>
    <row r="107" spans="1:2" x14ac:dyDescent="0.25">
      <c r="A107">
        <v>110069359063</v>
      </c>
      <c r="B107" t="s">
        <v>5457</v>
      </c>
    </row>
    <row r="108" spans="1:2" x14ac:dyDescent="0.25">
      <c r="A108">
        <v>110000452082</v>
      </c>
      <c r="B108" t="s">
        <v>5457</v>
      </c>
    </row>
    <row r="109" spans="1:2" x14ac:dyDescent="0.25">
      <c r="A109">
        <v>110007018841</v>
      </c>
      <c r="B109" t="s">
        <v>5457</v>
      </c>
    </row>
    <row r="110" spans="1:2" x14ac:dyDescent="0.25">
      <c r="A110">
        <v>110027360629</v>
      </c>
      <c r="B110" t="s">
        <v>5457</v>
      </c>
    </row>
    <row r="111" spans="1:2" x14ac:dyDescent="0.25">
      <c r="A111">
        <v>110000527289</v>
      </c>
      <c r="B111" t="s">
        <v>1542</v>
      </c>
    </row>
    <row r="112" spans="1:2" x14ac:dyDescent="0.25">
      <c r="A112">
        <v>110000587179</v>
      </c>
      <c r="B112" t="s">
        <v>5457</v>
      </c>
    </row>
    <row r="113" spans="1:2" x14ac:dyDescent="0.25">
      <c r="A113">
        <v>110030437524</v>
      </c>
      <c r="B113" t="s">
        <v>1542</v>
      </c>
    </row>
    <row r="114" spans="1:2" x14ac:dyDescent="0.25">
      <c r="A114">
        <v>110010058427</v>
      </c>
      <c r="B114" t="s">
        <v>5457</v>
      </c>
    </row>
    <row r="115" spans="1:2" x14ac:dyDescent="0.25">
      <c r="A115">
        <v>110000521524</v>
      </c>
      <c r="B115" t="s">
        <v>1542</v>
      </c>
    </row>
    <row r="116" spans="1:2" x14ac:dyDescent="0.25">
      <c r="A116">
        <v>110031267064</v>
      </c>
      <c r="B116" t="s">
        <v>5457</v>
      </c>
    </row>
    <row r="117" spans="1:2" x14ac:dyDescent="0.25">
      <c r="A117">
        <v>110070569069</v>
      </c>
      <c r="B117" t="s">
        <v>5457</v>
      </c>
    </row>
    <row r="118" spans="1:2" x14ac:dyDescent="0.25">
      <c r="A118">
        <v>110006683053</v>
      </c>
      <c r="B118" t="s">
        <v>1542</v>
      </c>
    </row>
    <row r="119" spans="1:2" x14ac:dyDescent="0.25">
      <c r="A119">
        <v>110000741234</v>
      </c>
      <c r="B119" t="s">
        <v>5457</v>
      </c>
    </row>
    <row r="120" spans="1:2" x14ac:dyDescent="0.25">
      <c r="A120">
        <v>110000730451</v>
      </c>
      <c r="B120" t="s">
        <v>1542</v>
      </c>
    </row>
    <row r="121" spans="1:2" x14ac:dyDescent="0.25">
      <c r="A121">
        <v>110000329038</v>
      </c>
      <c r="B121" t="s">
        <v>5457</v>
      </c>
    </row>
    <row r="122" spans="1:2" x14ac:dyDescent="0.25">
      <c r="A122">
        <v>110060259553</v>
      </c>
      <c r="B122" t="s">
        <v>5457</v>
      </c>
    </row>
    <row r="123" spans="1:2" x14ac:dyDescent="0.25">
      <c r="A123">
        <v>110000730442</v>
      </c>
      <c r="B123" t="s">
        <v>5457</v>
      </c>
    </row>
    <row r="124" spans="1:2" x14ac:dyDescent="0.25">
      <c r="A124">
        <v>110070558375</v>
      </c>
      <c r="B124" t="s">
        <v>5457</v>
      </c>
    </row>
    <row r="125" spans="1:2" x14ac:dyDescent="0.25">
      <c r="A125">
        <v>110037096674</v>
      </c>
      <c r="B125" t="s">
        <v>5457</v>
      </c>
    </row>
    <row r="126" spans="1:2" x14ac:dyDescent="0.25">
      <c r="A126">
        <v>110006783926</v>
      </c>
      <c r="B126" t="s">
        <v>1542</v>
      </c>
    </row>
    <row r="127" spans="1:2" x14ac:dyDescent="0.25">
      <c r="A127">
        <v>110001244724</v>
      </c>
      <c r="B127" t="s">
        <v>5457</v>
      </c>
    </row>
    <row r="128" spans="1:2" x14ac:dyDescent="0.25">
      <c r="A128">
        <v>110015820398</v>
      </c>
      <c r="B128" t="s">
        <v>5457</v>
      </c>
    </row>
    <row r="129" spans="1:2" x14ac:dyDescent="0.25">
      <c r="A129">
        <v>110055988542</v>
      </c>
      <c r="B129" t="s">
        <v>1542</v>
      </c>
    </row>
    <row r="130" spans="1:2" x14ac:dyDescent="0.25">
      <c r="A130">
        <v>110064619104</v>
      </c>
      <c r="B130" t="s">
        <v>1542</v>
      </c>
    </row>
    <row r="131" spans="1:2" x14ac:dyDescent="0.25">
      <c r="A131">
        <v>110001138956</v>
      </c>
      <c r="B131" t="s">
        <v>5457</v>
      </c>
    </row>
    <row r="132" spans="1:2" x14ac:dyDescent="0.25">
      <c r="A132">
        <v>110000743394</v>
      </c>
      <c r="B132" t="s">
        <v>5457</v>
      </c>
    </row>
    <row r="133" spans="1:2" x14ac:dyDescent="0.25">
      <c r="A133">
        <v>110064615590</v>
      </c>
      <c r="B133" t="s">
        <v>1542</v>
      </c>
    </row>
    <row r="134" spans="1:2" x14ac:dyDescent="0.25">
      <c r="A134">
        <v>110000525557</v>
      </c>
      <c r="B134" t="s">
        <v>1542</v>
      </c>
    </row>
    <row r="135" spans="1:2" x14ac:dyDescent="0.25">
      <c r="A135">
        <v>110002863072</v>
      </c>
      <c r="B135" t="s">
        <v>1542</v>
      </c>
    </row>
    <row r="136" spans="1:2" x14ac:dyDescent="0.25">
      <c r="A136">
        <v>110000464042</v>
      </c>
      <c r="B136" t="s">
        <v>5457</v>
      </c>
    </row>
    <row r="137" spans="1:2" x14ac:dyDescent="0.25">
      <c r="A137">
        <v>110013848453</v>
      </c>
      <c r="B137" t="s">
        <v>1542</v>
      </c>
    </row>
    <row r="138" spans="1:2" x14ac:dyDescent="0.25">
      <c r="A138">
        <v>110040841462</v>
      </c>
      <c r="B138" t="s">
        <v>5457</v>
      </c>
    </row>
    <row r="139" spans="1:2" x14ac:dyDescent="0.25">
      <c r="A139">
        <v>110069500864</v>
      </c>
      <c r="B139" t="s">
        <v>5457</v>
      </c>
    </row>
    <row r="140" spans="1:2" x14ac:dyDescent="0.25">
      <c r="A140">
        <v>110000521043</v>
      </c>
      <c r="B140" t="s">
        <v>1542</v>
      </c>
    </row>
    <row r="141" spans="1:2" x14ac:dyDescent="0.25">
      <c r="A141">
        <v>110064611969</v>
      </c>
      <c r="B141" t="s">
        <v>5457</v>
      </c>
    </row>
    <row r="142" spans="1:2" x14ac:dyDescent="0.25">
      <c r="A142">
        <v>110046528227</v>
      </c>
      <c r="B142" t="s">
        <v>5457</v>
      </c>
    </row>
    <row r="143" spans="1:2" x14ac:dyDescent="0.25">
      <c r="A143">
        <v>110010037806</v>
      </c>
      <c r="B143" t="s">
        <v>5457</v>
      </c>
    </row>
    <row r="144" spans="1:2" x14ac:dyDescent="0.25">
      <c r="A144">
        <v>110000483487</v>
      </c>
      <c r="B144" t="s">
        <v>5457</v>
      </c>
    </row>
    <row r="145" spans="1:2" x14ac:dyDescent="0.25">
      <c r="A145">
        <v>110071298200</v>
      </c>
      <c r="B145" t="s">
        <v>5457</v>
      </c>
    </row>
    <row r="146" spans="1:2" x14ac:dyDescent="0.25">
      <c r="A146">
        <v>110000761532</v>
      </c>
      <c r="B146" t="s">
        <v>1542</v>
      </c>
    </row>
    <row r="147" spans="1:2" x14ac:dyDescent="0.25">
      <c r="A147">
        <v>110040980034</v>
      </c>
      <c r="B147" t="s">
        <v>1542</v>
      </c>
    </row>
    <row r="148" spans="1:2" x14ac:dyDescent="0.25">
      <c r="A148">
        <v>110000520810</v>
      </c>
      <c r="B148" t="s">
        <v>1542</v>
      </c>
    </row>
    <row r="149" spans="1:2" x14ac:dyDescent="0.25">
      <c r="A149">
        <v>110033174883</v>
      </c>
      <c r="B149" t="s">
        <v>5457</v>
      </c>
    </row>
    <row r="150" spans="1:2" x14ac:dyDescent="0.25">
      <c r="A150">
        <v>110000463098</v>
      </c>
      <c r="B150" t="s">
        <v>5457</v>
      </c>
    </row>
    <row r="151" spans="1:2" x14ac:dyDescent="0.25">
      <c r="A151">
        <v>110056125376</v>
      </c>
      <c r="B151" t="s">
        <v>5457</v>
      </c>
    </row>
    <row r="152" spans="1:2" x14ac:dyDescent="0.25">
      <c r="A152">
        <v>110000730825</v>
      </c>
      <c r="B152" t="s">
        <v>1542</v>
      </c>
    </row>
    <row r="153" spans="1:2" x14ac:dyDescent="0.25">
      <c r="A153">
        <v>110003250277</v>
      </c>
      <c r="B153" t="s">
        <v>1542</v>
      </c>
    </row>
    <row r="154" spans="1:2" x14ac:dyDescent="0.25">
      <c r="A154">
        <v>110000542896</v>
      </c>
      <c r="B154" t="s">
        <v>1542</v>
      </c>
    </row>
    <row r="155" spans="1:2" x14ac:dyDescent="0.25">
      <c r="A155">
        <v>110000730460</v>
      </c>
      <c r="B155" t="s">
        <v>1542</v>
      </c>
    </row>
    <row r="156" spans="1:2" x14ac:dyDescent="0.25">
      <c r="A156">
        <v>110000460983</v>
      </c>
      <c r="B156" t="s">
        <v>5457</v>
      </c>
    </row>
    <row r="157" spans="1:2" x14ac:dyDescent="0.25">
      <c r="A157">
        <v>110070754460</v>
      </c>
      <c r="B157" t="s">
        <v>5457</v>
      </c>
    </row>
    <row r="158" spans="1:2" x14ac:dyDescent="0.25">
      <c r="A158">
        <v>110007232315</v>
      </c>
      <c r="B158" t="s">
        <v>5457</v>
      </c>
    </row>
    <row r="159" spans="1:2" x14ac:dyDescent="0.25">
      <c r="A159">
        <v>110064253329</v>
      </c>
      <c r="B159" t="s">
        <v>1542</v>
      </c>
    </row>
    <row r="160" spans="1:2" x14ac:dyDescent="0.25">
      <c r="A160">
        <v>110041924629</v>
      </c>
      <c r="B160" t="s">
        <v>5457</v>
      </c>
    </row>
    <row r="161" spans="1:2" x14ac:dyDescent="0.25">
      <c r="A161">
        <v>110022421789</v>
      </c>
      <c r="B161" t="s">
        <v>1542</v>
      </c>
    </row>
    <row r="162" spans="1:2" x14ac:dyDescent="0.25">
      <c r="A162">
        <v>110000611703</v>
      </c>
      <c r="B162" t="s">
        <v>5457</v>
      </c>
    </row>
    <row r="163" spans="1:2" x14ac:dyDescent="0.25">
      <c r="A163">
        <v>110000597435</v>
      </c>
      <c r="B163" t="s">
        <v>5457</v>
      </c>
    </row>
    <row r="164" spans="1:2" x14ac:dyDescent="0.25">
      <c r="A164">
        <v>110039998214</v>
      </c>
      <c r="B164" t="s">
        <v>1542</v>
      </c>
    </row>
    <row r="165" spans="1:2" x14ac:dyDescent="0.25">
      <c r="A165">
        <v>110070750323</v>
      </c>
      <c r="B165" t="s">
        <v>5457</v>
      </c>
    </row>
    <row r="166" spans="1:2" x14ac:dyDescent="0.25">
      <c r="A166">
        <v>110000732244</v>
      </c>
      <c r="B166" t="s">
        <v>1542</v>
      </c>
    </row>
    <row r="167" spans="1:2" x14ac:dyDescent="0.25">
      <c r="A167">
        <v>110015408600</v>
      </c>
      <c r="B167" t="s">
        <v>1542</v>
      </c>
    </row>
    <row r="168" spans="1:2" x14ac:dyDescent="0.25">
      <c r="A168">
        <v>110009938808</v>
      </c>
      <c r="B168" t="s">
        <v>1542</v>
      </c>
    </row>
    <row r="169" spans="1:2" x14ac:dyDescent="0.25">
      <c r="A169">
        <v>110000730790</v>
      </c>
      <c r="B169" t="s">
        <v>1542</v>
      </c>
    </row>
    <row r="170" spans="1:2" x14ac:dyDescent="0.25">
      <c r="A170">
        <v>110007970142</v>
      </c>
      <c r="B170" t="s">
        <v>5457</v>
      </c>
    </row>
    <row r="171" spans="1:2" x14ac:dyDescent="0.25">
      <c r="A171">
        <v>110000460901</v>
      </c>
      <c r="B171" t="s">
        <v>5457</v>
      </c>
    </row>
    <row r="172" spans="1:2" x14ac:dyDescent="0.25">
      <c r="A172">
        <v>110009547213</v>
      </c>
      <c r="B172" t="s">
        <v>1542</v>
      </c>
    </row>
    <row r="173" spans="1:2" x14ac:dyDescent="0.25">
      <c r="A173">
        <v>110040118388</v>
      </c>
      <c r="B173" t="s">
        <v>1542</v>
      </c>
    </row>
    <row r="174" spans="1:2" x14ac:dyDescent="0.25">
      <c r="A174">
        <v>110056000857</v>
      </c>
      <c r="B174" t="s">
        <v>1542</v>
      </c>
    </row>
    <row r="175" spans="1:2" x14ac:dyDescent="0.25">
      <c r="A175">
        <v>110064624018</v>
      </c>
      <c r="B175" t="s">
        <v>5457</v>
      </c>
    </row>
    <row r="176" spans="1:2" x14ac:dyDescent="0.25">
      <c r="A176">
        <v>110006631528</v>
      </c>
      <c r="B176" t="s">
        <v>5457</v>
      </c>
    </row>
    <row r="177" spans="1:2" x14ac:dyDescent="0.25">
      <c r="A177">
        <v>110024409460</v>
      </c>
      <c r="B177" t="s">
        <v>1542</v>
      </c>
    </row>
    <row r="178" spans="1:2" x14ac:dyDescent="0.25">
      <c r="A178">
        <v>110000463631</v>
      </c>
      <c r="B178" t="s">
        <v>5457</v>
      </c>
    </row>
    <row r="179" spans="1:2" x14ac:dyDescent="0.25">
      <c r="A179">
        <v>110008995490</v>
      </c>
      <c r="B179" t="s">
        <v>5457</v>
      </c>
    </row>
    <row r="180" spans="1:2" x14ac:dyDescent="0.25">
      <c r="A180">
        <v>110004306938</v>
      </c>
      <c r="B180" t="s">
        <v>5457</v>
      </c>
    </row>
    <row r="181" spans="1:2" x14ac:dyDescent="0.25">
      <c r="A181">
        <v>110064265496</v>
      </c>
      <c r="B181" t="s">
        <v>1542</v>
      </c>
    </row>
    <row r="182" spans="1:2" x14ac:dyDescent="0.25">
      <c r="A182">
        <v>110002422646</v>
      </c>
      <c r="B182" t="s">
        <v>1542</v>
      </c>
    </row>
    <row r="183" spans="1:2" x14ac:dyDescent="0.25">
      <c r="A183">
        <v>110000476164</v>
      </c>
      <c r="B183" t="s">
        <v>5457</v>
      </c>
    </row>
    <row r="184" spans="1:2" x14ac:dyDescent="0.25">
      <c r="A184">
        <v>110000547196</v>
      </c>
      <c r="B184" t="s">
        <v>5457</v>
      </c>
    </row>
    <row r="185" spans="1:2" x14ac:dyDescent="0.25">
      <c r="A185">
        <v>110000465069</v>
      </c>
      <c r="B185" t="s">
        <v>5457</v>
      </c>
    </row>
    <row r="186" spans="1:2" x14ac:dyDescent="0.25">
      <c r="A186">
        <v>110044852068</v>
      </c>
      <c r="B186" t="s">
        <v>5457</v>
      </c>
    </row>
    <row r="187" spans="1:2" x14ac:dyDescent="0.25">
      <c r="A187">
        <v>110000492173</v>
      </c>
      <c r="B187" t="s">
        <v>5457</v>
      </c>
    </row>
    <row r="188" spans="1:2" x14ac:dyDescent="0.25">
      <c r="A188">
        <v>110041973460</v>
      </c>
      <c r="B188" t="s">
        <v>5458</v>
      </c>
    </row>
    <row r="189" spans="1:2" x14ac:dyDescent="0.25">
      <c r="A189">
        <v>110005311769</v>
      </c>
      <c r="B189" t="s">
        <v>1542</v>
      </c>
    </row>
    <row r="190" spans="1:2" x14ac:dyDescent="0.25">
      <c r="A190">
        <v>110000517637</v>
      </c>
      <c r="B190" t="s">
        <v>1542</v>
      </c>
    </row>
    <row r="191" spans="1:2" x14ac:dyDescent="0.25">
      <c r="A191">
        <v>110000848389</v>
      </c>
      <c r="B191" t="s">
        <v>5457</v>
      </c>
    </row>
    <row r="192" spans="1:2" x14ac:dyDescent="0.25">
      <c r="A192">
        <v>110064253686</v>
      </c>
      <c r="B192" t="s">
        <v>1542</v>
      </c>
    </row>
    <row r="193" spans="1:2" x14ac:dyDescent="0.25">
      <c r="A193">
        <v>110031268241</v>
      </c>
      <c r="B193" t="s">
        <v>1542</v>
      </c>
    </row>
    <row r="194" spans="1:2" x14ac:dyDescent="0.25">
      <c r="A194">
        <v>110020160760</v>
      </c>
      <c r="B194" t="s">
        <v>5457</v>
      </c>
    </row>
    <row r="195" spans="1:2" x14ac:dyDescent="0.25">
      <c r="A195">
        <v>110070597960</v>
      </c>
      <c r="B195" t="s">
        <v>1542</v>
      </c>
    </row>
    <row r="196" spans="1:2" x14ac:dyDescent="0.25">
      <c r="A196">
        <v>110064253356</v>
      </c>
      <c r="B196" t="s">
        <v>5457</v>
      </c>
    </row>
    <row r="197" spans="1:2" x14ac:dyDescent="0.25">
      <c r="A197">
        <v>110000732253</v>
      </c>
      <c r="B197" t="s">
        <v>1542</v>
      </c>
    </row>
    <row r="198" spans="1:2" x14ac:dyDescent="0.25">
      <c r="A198">
        <v>110006785229</v>
      </c>
      <c r="B198" t="s">
        <v>1542</v>
      </c>
    </row>
    <row r="199" spans="1:2" x14ac:dyDescent="0.25">
      <c r="A199">
        <v>110002108059</v>
      </c>
      <c r="B199" t="s">
        <v>1542</v>
      </c>
    </row>
    <row r="200" spans="1:2" x14ac:dyDescent="0.25">
      <c r="A200">
        <v>110000577126</v>
      </c>
      <c r="B200" t="s">
        <v>1542</v>
      </c>
    </row>
    <row r="201" spans="1:2" x14ac:dyDescent="0.25">
      <c r="A201">
        <v>110010058935</v>
      </c>
      <c r="B201" t="s">
        <v>5457</v>
      </c>
    </row>
    <row r="202" spans="1:2" x14ac:dyDescent="0.25">
      <c r="A202">
        <v>110009749479</v>
      </c>
      <c r="B202" t="s">
        <v>5457</v>
      </c>
    </row>
    <row r="203" spans="1:2" x14ac:dyDescent="0.25">
      <c r="A203">
        <v>110000463686</v>
      </c>
      <c r="B203" t="s">
        <v>5457</v>
      </c>
    </row>
    <row r="204" spans="1:2" x14ac:dyDescent="0.25">
      <c r="A204">
        <v>110013819706</v>
      </c>
      <c r="B204" t="s">
        <v>1542</v>
      </c>
    </row>
    <row r="205" spans="1:2" x14ac:dyDescent="0.25">
      <c r="A205">
        <v>110059765696</v>
      </c>
      <c r="B205" t="s">
        <v>5457</v>
      </c>
    </row>
    <row r="206" spans="1:2" x14ac:dyDescent="0.25">
      <c r="A206">
        <v>110039391495</v>
      </c>
      <c r="B206" t="s">
        <v>1542</v>
      </c>
    </row>
    <row r="207" spans="1:2" x14ac:dyDescent="0.25">
      <c r="A207">
        <v>110064622519</v>
      </c>
      <c r="B207" t="s">
        <v>1542</v>
      </c>
    </row>
    <row r="208" spans="1:2" x14ac:dyDescent="0.25">
      <c r="A208">
        <v>110017408296</v>
      </c>
      <c r="B208" t="s">
        <v>5457</v>
      </c>
    </row>
    <row r="209" spans="1:2" x14ac:dyDescent="0.25">
      <c r="A209">
        <v>110056358347</v>
      </c>
      <c r="B209" t="s">
        <v>5457</v>
      </c>
    </row>
    <row r="210" spans="1:2" x14ac:dyDescent="0.25">
      <c r="A210">
        <v>110059815268</v>
      </c>
      <c r="B210" t="s">
        <v>5457</v>
      </c>
    </row>
    <row r="211" spans="1:2" x14ac:dyDescent="0.25">
      <c r="A211">
        <v>110017418061</v>
      </c>
      <c r="B211" t="s">
        <v>5457</v>
      </c>
    </row>
    <row r="212" spans="1:2" x14ac:dyDescent="0.25">
      <c r="A212">
        <v>110064825060</v>
      </c>
      <c r="B212" t="s">
        <v>5458</v>
      </c>
    </row>
    <row r="213" spans="1:2" x14ac:dyDescent="0.25">
      <c r="A213">
        <v>110000834688</v>
      </c>
      <c r="B213" t="s">
        <v>5457</v>
      </c>
    </row>
    <row r="214" spans="1:2" x14ac:dyDescent="0.25">
      <c r="A214">
        <v>110071710849</v>
      </c>
      <c r="B214" t="s">
        <v>1542</v>
      </c>
    </row>
    <row r="215" spans="1:2" x14ac:dyDescent="0.25">
      <c r="A215">
        <v>110069616464</v>
      </c>
      <c r="B215" t="s">
        <v>1542</v>
      </c>
    </row>
    <row r="216" spans="1:2" x14ac:dyDescent="0.25">
      <c r="A216">
        <v>110009126908</v>
      </c>
      <c r="B216" t="s">
        <v>1542</v>
      </c>
    </row>
    <row r="217" spans="1:2" x14ac:dyDescent="0.25">
      <c r="A217">
        <v>110010058864</v>
      </c>
      <c r="B217" t="s">
        <v>5457</v>
      </c>
    </row>
    <row r="218" spans="1:2" x14ac:dyDescent="0.25">
      <c r="A218">
        <v>110034641635</v>
      </c>
      <c r="B218" t="s">
        <v>5457</v>
      </c>
    </row>
    <row r="219" spans="1:2" x14ac:dyDescent="0.25">
      <c r="A219">
        <v>110022287210</v>
      </c>
      <c r="B219" t="s">
        <v>1542</v>
      </c>
    </row>
    <row r="220" spans="1:2" x14ac:dyDescent="0.25">
      <c r="A220">
        <v>110000367102</v>
      </c>
      <c r="B220" t="s">
        <v>5457</v>
      </c>
    </row>
    <row r="221" spans="1:2" x14ac:dyDescent="0.25">
      <c r="A221">
        <v>110011373637</v>
      </c>
      <c r="B221" t="s">
        <v>1542</v>
      </c>
    </row>
    <row r="222" spans="1:2" x14ac:dyDescent="0.25">
      <c r="A222">
        <v>110059825578</v>
      </c>
      <c r="B222" t="s">
        <v>5457</v>
      </c>
    </row>
    <row r="223" spans="1:2" x14ac:dyDescent="0.25">
      <c r="A223">
        <v>110055992993</v>
      </c>
      <c r="B223" t="s">
        <v>1542</v>
      </c>
    </row>
    <row r="224" spans="1:2" x14ac:dyDescent="0.25">
      <c r="A224">
        <v>110039774116</v>
      </c>
      <c r="B224" t="s">
        <v>1542</v>
      </c>
    </row>
    <row r="225" spans="1:2" x14ac:dyDescent="0.25">
      <c r="A225">
        <v>110012679002</v>
      </c>
      <c r="B225" t="s">
        <v>1542</v>
      </c>
    </row>
    <row r="226" spans="1:2" x14ac:dyDescent="0.25">
      <c r="A226">
        <v>110017377122</v>
      </c>
      <c r="B226" t="s">
        <v>1542</v>
      </c>
    </row>
    <row r="227" spans="1:2" x14ac:dyDescent="0.25">
      <c r="A227">
        <v>110000730754</v>
      </c>
      <c r="B227" t="s">
        <v>1542</v>
      </c>
    </row>
    <row r="228" spans="1:2" x14ac:dyDescent="0.25">
      <c r="A228">
        <v>110055986394</v>
      </c>
      <c r="B228" t="s">
        <v>1542</v>
      </c>
    </row>
    <row r="229" spans="1:2" x14ac:dyDescent="0.25">
      <c r="A229">
        <v>110002140157</v>
      </c>
      <c r="B229" t="s">
        <v>5457</v>
      </c>
    </row>
    <row r="230" spans="1:2" x14ac:dyDescent="0.25">
      <c r="A230">
        <v>110064641570</v>
      </c>
      <c r="B230" t="s">
        <v>1542</v>
      </c>
    </row>
    <row r="231" spans="1:2" x14ac:dyDescent="0.25">
      <c r="A231">
        <v>110061168454</v>
      </c>
      <c r="B231" t="s">
        <v>1542</v>
      </c>
    </row>
    <row r="232" spans="1:2" x14ac:dyDescent="0.25">
      <c r="A232">
        <v>110000730745</v>
      </c>
      <c r="B232" t="s">
        <v>1542</v>
      </c>
    </row>
    <row r="233" spans="1:2" x14ac:dyDescent="0.25">
      <c r="A233">
        <v>110000601297</v>
      </c>
      <c r="B233" t="s">
        <v>5457</v>
      </c>
    </row>
    <row r="234" spans="1:2" x14ac:dyDescent="0.25">
      <c r="A234">
        <v>110043245663</v>
      </c>
      <c r="B234" t="s">
        <v>1542</v>
      </c>
    </row>
    <row r="235" spans="1:2" x14ac:dyDescent="0.25">
      <c r="A235">
        <v>110025376448</v>
      </c>
      <c r="B235" t="s">
        <v>5457</v>
      </c>
    </row>
    <row r="236" spans="1:2" x14ac:dyDescent="0.25">
      <c r="A236">
        <v>110000500841</v>
      </c>
      <c r="B236" t="s">
        <v>5458</v>
      </c>
    </row>
    <row r="237" spans="1:2" x14ac:dyDescent="0.25">
      <c r="A237">
        <v>110000494894</v>
      </c>
      <c r="B237" t="s">
        <v>5457</v>
      </c>
    </row>
    <row r="238" spans="1:2" x14ac:dyDescent="0.25">
      <c r="A238">
        <v>110000510000</v>
      </c>
      <c r="B238" t="s">
        <v>1542</v>
      </c>
    </row>
    <row r="239" spans="1:2" x14ac:dyDescent="0.25">
      <c r="A239">
        <v>110009118105</v>
      </c>
      <c r="B239" t="s">
        <v>5457</v>
      </c>
    </row>
    <row r="240" spans="1:2" x14ac:dyDescent="0.25">
      <c r="A240">
        <v>110008268365</v>
      </c>
      <c r="B240" t="s">
        <v>1542</v>
      </c>
    </row>
    <row r="241" spans="1:2" x14ac:dyDescent="0.25">
      <c r="A241">
        <v>110042006049</v>
      </c>
      <c r="B241" t="s">
        <v>5457</v>
      </c>
    </row>
    <row r="242" spans="1:2" x14ac:dyDescent="0.25">
      <c r="A242">
        <v>110006783490</v>
      </c>
      <c r="B242" t="s">
        <v>1542</v>
      </c>
    </row>
    <row r="243" spans="1:2" x14ac:dyDescent="0.25">
      <c r="A243">
        <v>110022853492</v>
      </c>
      <c r="B243" t="s">
        <v>1542</v>
      </c>
    </row>
    <row r="244" spans="1:2" x14ac:dyDescent="0.25">
      <c r="A244">
        <v>110000604490</v>
      </c>
      <c r="B244" t="s">
        <v>5457</v>
      </c>
    </row>
    <row r="245" spans="1:2" x14ac:dyDescent="0.25">
      <c r="A245">
        <v>110000519920</v>
      </c>
      <c r="B245" t="s">
        <v>1542</v>
      </c>
    </row>
    <row r="246" spans="1:2" x14ac:dyDescent="0.25">
      <c r="A246">
        <v>110017217545</v>
      </c>
      <c r="B246" t="s">
        <v>5457</v>
      </c>
    </row>
    <row r="247" spans="1:2" x14ac:dyDescent="0.25">
      <c r="A247">
        <v>110000597444</v>
      </c>
      <c r="B247" t="s">
        <v>5457</v>
      </c>
    </row>
    <row r="248" spans="1:2" x14ac:dyDescent="0.25">
      <c r="A248">
        <v>110070227119</v>
      </c>
      <c r="B248" t="s">
        <v>5457</v>
      </c>
    </row>
    <row r="249" spans="1:2" x14ac:dyDescent="0.25">
      <c r="A249">
        <v>110071990732</v>
      </c>
      <c r="B249" t="s">
        <v>5457</v>
      </c>
    </row>
    <row r="250" spans="1:2" x14ac:dyDescent="0.25">
      <c r="A250">
        <v>110012678977</v>
      </c>
      <c r="B250" t="s">
        <v>1542</v>
      </c>
    </row>
    <row r="251" spans="1:2" x14ac:dyDescent="0.25">
      <c r="A251">
        <v>110041253158</v>
      </c>
      <c r="B251" t="s">
        <v>5457</v>
      </c>
    </row>
    <row r="252" spans="1:2" x14ac:dyDescent="0.25">
      <c r="A252">
        <v>110013683503</v>
      </c>
      <c r="B252" t="s">
        <v>5457</v>
      </c>
    </row>
    <row r="253" spans="1:2" x14ac:dyDescent="0.25">
      <c r="A253">
        <v>110013944170</v>
      </c>
      <c r="B253" t="s">
        <v>5457</v>
      </c>
    </row>
    <row r="254" spans="1:2" x14ac:dyDescent="0.25">
      <c r="A254">
        <v>110032835234</v>
      </c>
      <c r="B254" t="s">
        <v>5457</v>
      </c>
    </row>
    <row r="255" spans="1:2" x14ac:dyDescent="0.25">
      <c r="A255">
        <v>110014337413</v>
      </c>
      <c r="B255" t="s">
        <v>5457</v>
      </c>
    </row>
    <row r="256" spans="1:2" x14ac:dyDescent="0.25">
      <c r="A256">
        <v>110000906556</v>
      </c>
      <c r="B256" t="s">
        <v>1542</v>
      </c>
    </row>
    <row r="257" spans="1:2" x14ac:dyDescent="0.25">
      <c r="A257">
        <v>110070569002</v>
      </c>
      <c r="B257" t="s">
        <v>5457</v>
      </c>
    </row>
    <row r="258" spans="1:2" x14ac:dyDescent="0.25">
      <c r="A258">
        <v>110000736339</v>
      </c>
      <c r="B258" t="s">
        <v>1542</v>
      </c>
    </row>
    <row r="259" spans="1:2" x14ac:dyDescent="0.25">
      <c r="A259">
        <v>110066782388</v>
      </c>
      <c r="B259" t="s">
        <v>1542</v>
      </c>
    </row>
    <row r="260" spans="1:2" x14ac:dyDescent="0.25">
      <c r="A260">
        <v>110071158765</v>
      </c>
      <c r="B260" t="s">
        <v>5457</v>
      </c>
    </row>
    <row r="261" spans="1:2" x14ac:dyDescent="0.25">
      <c r="A261">
        <v>110039792711</v>
      </c>
      <c r="B261" t="s">
        <v>1542</v>
      </c>
    </row>
    <row r="262" spans="1:2" x14ac:dyDescent="0.25">
      <c r="A262">
        <v>110000484039</v>
      </c>
      <c r="B262" t="s">
        <v>5457</v>
      </c>
    </row>
    <row r="263" spans="1:2" x14ac:dyDescent="0.25">
      <c r="A263">
        <v>110015940776</v>
      </c>
      <c r="B263" t="s">
        <v>5457</v>
      </c>
    </row>
    <row r="264" spans="1:2" x14ac:dyDescent="0.25">
      <c r="A264">
        <v>110043485421</v>
      </c>
      <c r="B264" t="s">
        <v>1542</v>
      </c>
    </row>
    <row r="265" spans="1:2" x14ac:dyDescent="0.25">
      <c r="A265">
        <v>110020039402</v>
      </c>
      <c r="B265" t="s">
        <v>5457</v>
      </c>
    </row>
    <row r="266" spans="1:2" x14ac:dyDescent="0.25">
      <c r="A266">
        <v>110039976755</v>
      </c>
      <c r="B266" t="s">
        <v>1542</v>
      </c>
    </row>
    <row r="267" spans="1:2" x14ac:dyDescent="0.25">
      <c r="A267">
        <v>110000597426</v>
      </c>
      <c r="B267" t="s">
        <v>5457</v>
      </c>
    </row>
    <row r="268" spans="1:2" x14ac:dyDescent="0.25">
      <c r="A268">
        <v>110000487633</v>
      </c>
      <c r="B268" t="s">
        <v>5457</v>
      </c>
    </row>
    <row r="269" spans="1:2" x14ac:dyDescent="0.25">
      <c r="A269">
        <v>110038157151</v>
      </c>
      <c r="B269" t="s">
        <v>5457</v>
      </c>
    </row>
    <row r="270" spans="1:2" x14ac:dyDescent="0.25">
      <c r="A270">
        <v>110001104199</v>
      </c>
      <c r="B270" t="s">
        <v>1542</v>
      </c>
    </row>
    <row r="271" spans="1:2" x14ac:dyDescent="0.25">
      <c r="A271">
        <v>110022388101</v>
      </c>
      <c r="B271" t="s">
        <v>5457</v>
      </c>
    </row>
    <row r="272" spans="1:2" x14ac:dyDescent="0.25">
      <c r="A272">
        <v>110013680837</v>
      </c>
      <c r="B272" t="s">
        <v>1542</v>
      </c>
    </row>
    <row r="273" spans="1:2" x14ac:dyDescent="0.25">
      <c r="A273">
        <v>110056955987</v>
      </c>
      <c r="B273" t="s">
        <v>5457</v>
      </c>
    </row>
    <row r="274" spans="1:2" x14ac:dyDescent="0.25">
      <c r="A274">
        <v>110059864179</v>
      </c>
      <c r="B274" t="s">
        <v>1542</v>
      </c>
    </row>
    <row r="275" spans="1:2" x14ac:dyDescent="0.25">
      <c r="A275">
        <v>110064268260</v>
      </c>
      <c r="B275" t="s">
        <v>1542</v>
      </c>
    </row>
    <row r="276" spans="1:2" x14ac:dyDescent="0.25">
      <c r="A276">
        <v>110044903343</v>
      </c>
      <c r="B276" t="s">
        <v>5457</v>
      </c>
    </row>
    <row r="277" spans="1:2" x14ac:dyDescent="0.25">
      <c r="A277">
        <v>110041990646</v>
      </c>
      <c r="B277" t="s">
        <v>5457</v>
      </c>
    </row>
    <row r="278" spans="1:2" x14ac:dyDescent="0.25">
      <c r="A278">
        <v>110070208769</v>
      </c>
      <c r="B278" t="s">
        <v>5457</v>
      </c>
    </row>
    <row r="279" spans="1:2" x14ac:dyDescent="0.25">
      <c r="A279">
        <v>110000522257</v>
      </c>
      <c r="B279" t="s">
        <v>1542</v>
      </c>
    </row>
    <row r="280" spans="1:2" x14ac:dyDescent="0.25">
      <c r="A280">
        <v>110000572782</v>
      </c>
      <c r="B280" t="s">
        <v>5457</v>
      </c>
    </row>
    <row r="281" spans="1:2" x14ac:dyDescent="0.25">
      <c r="A281">
        <v>110006777247</v>
      </c>
      <c r="B281" t="s">
        <v>5457</v>
      </c>
    </row>
    <row r="282" spans="1:2" x14ac:dyDescent="0.25">
      <c r="A282">
        <v>110055980871</v>
      </c>
      <c r="B282" t="s">
        <v>1542</v>
      </c>
    </row>
    <row r="283" spans="1:2" x14ac:dyDescent="0.25">
      <c r="A283">
        <v>110000515229</v>
      </c>
      <c r="B283" t="s">
        <v>1542</v>
      </c>
    </row>
    <row r="284" spans="1:2" x14ac:dyDescent="0.25">
      <c r="A284">
        <v>110070084584</v>
      </c>
      <c r="B284" t="s">
        <v>5457</v>
      </c>
    </row>
    <row r="285" spans="1:2" x14ac:dyDescent="0.25">
      <c r="A285">
        <v>110070889524</v>
      </c>
      <c r="B285" t="s">
        <v>5457</v>
      </c>
    </row>
    <row r="286" spans="1:2" x14ac:dyDescent="0.25">
      <c r="A286">
        <v>110032769289</v>
      </c>
      <c r="B286" t="s">
        <v>5457</v>
      </c>
    </row>
    <row r="287" spans="1:2" x14ac:dyDescent="0.25">
      <c r="A287">
        <v>110006783613</v>
      </c>
      <c r="B287" t="s">
        <v>5457</v>
      </c>
    </row>
    <row r="288" spans="1:2" x14ac:dyDescent="0.25">
      <c r="A288">
        <v>110070566958</v>
      </c>
      <c r="B288" t="s">
        <v>5457</v>
      </c>
    </row>
    <row r="289" spans="1:2" x14ac:dyDescent="0.25">
      <c r="A289">
        <v>110000471793</v>
      </c>
      <c r="B289" t="s">
        <v>5457</v>
      </c>
    </row>
    <row r="290" spans="1:2" x14ac:dyDescent="0.25">
      <c r="A290">
        <v>110000519715</v>
      </c>
      <c r="B290" t="s">
        <v>1542</v>
      </c>
    </row>
    <row r="291" spans="1:2" x14ac:dyDescent="0.25">
      <c r="A291">
        <v>110000605051</v>
      </c>
      <c r="B291" t="s">
        <v>5457</v>
      </c>
    </row>
    <row r="292" spans="1:2" x14ac:dyDescent="0.25">
      <c r="A292">
        <v>110071312502</v>
      </c>
      <c r="B292" t="s">
        <v>1542</v>
      </c>
    </row>
    <row r="293" spans="1:2" x14ac:dyDescent="0.25">
      <c r="A293">
        <v>110064612557</v>
      </c>
      <c r="B293" t="s">
        <v>1542</v>
      </c>
    </row>
    <row r="294" spans="1:2" x14ac:dyDescent="0.25">
      <c r="A294">
        <v>110000571373</v>
      </c>
      <c r="B294" t="s">
        <v>1542</v>
      </c>
    </row>
    <row r="295" spans="1:2" x14ac:dyDescent="0.25">
      <c r="A295">
        <v>110000606933</v>
      </c>
      <c r="B295" t="s">
        <v>5457</v>
      </c>
    </row>
    <row r="296" spans="1:2" x14ac:dyDescent="0.25">
      <c r="A296">
        <v>110041960679</v>
      </c>
      <c r="B296" t="s">
        <v>5458</v>
      </c>
    </row>
    <row r="297" spans="1:2" x14ac:dyDescent="0.25">
      <c r="A297">
        <v>110000875241</v>
      </c>
      <c r="B297" t="s">
        <v>1542</v>
      </c>
    </row>
    <row r="298" spans="1:2" x14ac:dyDescent="0.25">
      <c r="A298">
        <v>110064600472</v>
      </c>
      <c r="B298" t="s">
        <v>5457</v>
      </c>
    </row>
    <row r="299" spans="1:2" x14ac:dyDescent="0.25">
      <c r="A299">
        <v>110020728943</v>
      </c>
      <c r="B299" t="s">
        <v>1542</v>
      </c>
    </row>
    <row r="300" spans="1:2" x14ac:dyDescent="0.25">
      <c r="A300">
        <v>110064252829</v>
      </c>
      <c r="B300" t="s">
        <v>1542</v>
      </c>
    </row>
    <row r="301" spans="1:2" x14ac:dyDescent="0.25">
      <c r="A301">
        <v>110028271849</v>
      </c>
      <c r="B301" t="s">
        <v>1542</v>
      </c>
    </row>
    <row r="302" spans="1:2" x14ac:dyDescent="0.25">
      <c r="A302">
        <v>110017215048</v>
      </c>
      <c r="B302" t="s">
        <v>5457</v>
      </c>
    </row>
    <row r="303" spans="1:2" x14ac:dyDescent="0.25">
      <c r="A303">
        <v>110027858432</v>
      </c>
      <c r="B303" t="s">
        <v>1542</v>
      </c>
    </row>
    <row r="304" spans="1:2" x14ac:dyDescent="0.25">
      <c r="A304">
        <v>110000476510</v>
      </c>
      <c r="B304" t="s">
        <v>5457</v>
      </c>
    </row>
    <row r="305" spans="1:2" x14ac:dyDescent="0.25">
      <c r="A305">
        <v>110000914725</v>
      </c>
      <c r="B305" t="s">
        <v>1542</v>
      </c>
    </row>
    <row r="306" spans="1:2" x14ac:dyDescent="0.25">
      <c r="A306">
        <v>110000781609</v>
      </c>
      <c r="B306" t="s">
        <v>5457</v>
      </c>
    </row>
    <row r="307" spans="1:2" x14ac:dyDescent="0.25">
      <c r="A307">
        <v>110000462605</v>
      </c>
      <c r="B307" t="s">
        <v>5457</v>
      </c>
    </row>
    <row r="308" spans="1:2" x14ac:dyDescent="0.25">
      <c r="A308">
        <v>110055897463</v>
      </c>
      <c r="B308" t="s">
        <v>1542</v>
      </c>
    </row>
    <row r="309" spans="1:2" x14ac:dyDescent="0.25">
      <c r="A309">
        <v>110010062546</v>
      </c>
      <c r="B309" t="s">
        <v>5457</v>
      </c>
    </row>
    <row r="310" spans="1:2" x14ac:dyDescent="0.25">
      <c r="A310">
        <v>110070879384</v>
      </c>
      <c r="B310" t="s">
        <v>5457</v>
      </c>
    </row>
    <row r="311" spans="1:2" x14ac:dyDescent="0.25">
      <c r="A311">
        <v>110000743866</v>
      </c>
      <c r="B311" t="s">
        <v>5457</v>
      </c>
    </row>
    <row r="312" spans="1:2" x14ac:dyDescent="0.25">
      <c r="A312">
        <v>110006657411</v>
      </c>
      <c r="B312" t="s">
        <v>1542</v>
      </c>
    </row>
    <row r="313" spans="1:2" x14ac:dyDescent="0.25">
      <c r="A313">
        <v>110056961417</v>
      </c>
      <c r="B313" t="s">
        <v>5457</v>
      </c>
    </row>
    <row r="314" spans="1:2" x14ac:dyDescent="0.25">
      <c r="A314">
        <v>110000449774</v>
      </c>
      <c r="B314" t="s">
        <v>5457</v>
      </c>
    </row>
    <row r="315" spans="1:2" x14ac:dyDescent="0.25">
      <c r="A315">
        <v>110010059649</v>
      </c>
      <c r="B315" t="s">
        <v>1542</v>
      </c>
    </row>
    <row r="316" spans="1:2" x14ac:dyDescent="0.25">
      <c r="A316">
        <v>110006785210</v>
      </c>
      <c r="B316" t="s">
        <v>5457</v>
      </c>
    </row>
    <row r="317" spans="1:2" x14ac:dyDescent="0.25">
      <c r="A317">
        <v>110000353705</v>
      </c>
      <c r="B317" t="s">
        <v>5457</v>
      </c>
    </row>
    <row r="318" spans="1:2" x14ac:dyDescent="0.25">
      <c r="A318">
        <v>110000463392</v>
      </c>
      <c r="B318" t="s">
        <v>5457</v>
      </c>
    </row>
    <row r="319" spans="1:2" x14ac:dyDescent="0.25">
      <c r="A319">
        <v>110037455161</v>
      </c>
      <c r="B319" t="s">
        <v>5457</v>
      </c>
    </row>
    <row r="320" spans="1:2" x14ac:dyDescent="0.25">
      <c r="A320">
        <v>110000450039</v>
      </c>
      <c r="B320" t="s">
        <v>5457</v>
      </c>
    </row>
    <row r="321" spans="1:2" x14ac:dyDescent="0.25">
      <c r="A321">
        <v>110000356481</v>
      </c>
      <c r="B321" t="s">
        <v>5457</v>
      </c>
    </row>
    <row r="322" spans="1:2" x14ac:dyDescent="0.25">
      <c r="A322">
        <v>110001752915</v>
      </c>
      <c r="B322" t="s">
        <v>5457</v>
      </c>
    </row>
    <row r="323" spans="1:2" x14ac:dyDescent="0.25">
      <c r="A323">
        <v>110015966506</v>
      </c>
      <c r="B323" t="s">
        <v>1542</v>
      </c>
    </row>
    <row r="324" spans="1:2" x14ac:dyDescent="0.25">
      <c r="A324">
        <v>110000732351</v>
      </c>
      <c r="B324" t="s">
        <v>1542</v>
      </c>
    </row>
    <row r="325" spans="1:2" x14ac:dyDescent="0.25">
      <c r="A325">
        <v>110000498550</v>
      </c>
      <c r="B325" t="s">
        <v>5457</v>
      </c>
    </row>
    <row r="326" spans="1:2" x14ac:dyDescent="0.25">
      <c r="A326">
        <v>110040059003</v>
      </c>
      <c r="B326" t="s">
        <v>1542</v>
      </c>
    </row>
    <row r="327" spans="1:2" x14ac:dyDescent="0.25">
      <c r="A327">
        <v>110024409503</v>
      </c>
      <c r="B327" t="s">
        <v>5457</v>
      </c>
    </row>
    <row r="328" spans="1:2" x14ac:dyDescent="0.25">
      <c r="A328">
        <v>110039995137</v>
      </c>
      <c r="B328" t="s">
        <v>1542</v>
      </c>
    </row>
    <row r="329" spans="1:2" x14ac:dyDescent="0.25">
      <c r="A329">
        <v>110037098636</v>
      </c>
      <c r="B329" t="s">
        <v>5457</v>
      </c>
    </row>
    <row r="330" spans="1:2" x14ac:dyDescent="0.25">
      <c r="A330">
        <v>110006785381</v>
      </c>
      <c r="B330" t="s">
        <v>1542</v>
      </c>
    </row>
    <row r="331" spans="1:2" x14ac:dyDescent="0.25">
      <c r="A331">
        <v>110009938871</v>
      </c>
      <c r="B331" t="s">
        <v>1542</v>
      </c>
    </row>
    <row r="332" spans="1:2" x14ac:dyDescent="0.25">
      <c r="A332">
        <v>110017955836</v>
      </c>
      <c r="B332" t="s">
        <v>5457</v>
      </c>
    </row>
    <row r="333" spans="1:2" x14ac:dyDescent="0.25">
      <c r="A333">
        <v>110033145353</v>
      </c>
      <c r="B333" t="s">
        <v>5457</v>
      </c>
    </row>
    <row r="334" spans="1:2" x14ac:dyDescent="0.25">
      <c r="A334">
        <v>110071400235</v>
      </c>
      <c r="B334" t="s">
        <v>5457</v>
      </c>
    </row>
    <row r="335" spans="1:2" x14ac:dyDescent="0.25">
      <c r="A335">
        <v>110030476465</v>
      </c>
      <c r="B335" t="s">
        <v>1542</v>
      </c>
    </row>
    <row r="336" spans="1:2" x14ac:dyDescent="0.25">
      <c r="A336">
        <v>110066354359</v>
      </c>
      <c r="B336" t="s">
        <v>5457</v>
      </c>
    </row>
    <row r="337" spans="1:2" x14ac:dyDescent="0.25">
      <c r="A337">
        <v>110010731262</v>
      </c>
      <c r="B337" t="s">
        <v>1542</v>
      </c>
    </row>
    <row r="338" spans="1:2" x14ac:dyDescent="0.25">
      <c r="A338">
        <v>110043486457</v>
      </c>
      <c r="B338" t="s">
        <v>1542</v>
      </c>
    </row>
    <row r="339" spans="1:2" x14ac:dyDescent="0.25">
      <c r="A339">
        <v>110018938239</v>
      </c>
      <c r="B339" t="s">
        <v>5457</v>
      </c>
    </row>
    <row r="340" spans="1:2" x14ac:dyDescent="0.25">
      <c r="A340">
        <v>110012196480</v>
      </c>
      <c r="B340" t="s">
        <v>5457</v>
      </c>
    </row>
    <row r="341" spans="1:2" x14ac:dyDescent="0.25">
      <c r="A341">
        <v>110006657554</v>
      </c>
      <c r="B341" t="s">
        <v>1542</v>
      </c>
    </row>
    <row r="342" spans="1:2" x14ac:dyDescent="0.25">
      <c r="A342">
        <v>110000746649</v>
      </c>
      <c r="B342" t="s">
        <v>5457</v>
      </c>
    </row>
    <row r="343" spans="1:2" x14ac:dyDescent="0.25">
      <c r="A343">
        <v>110000743839</v>
      </c>
      <c r="B343" t="s">
        <v>5457</v>
      </c>
    </row>
    <row r="344" spans="1:2" x14ac:dyDescent="0.25">
      <c r="A344">
        <v>110055985732</v>
      </c>
      <c r="B344" t="s">
        <v>1542</v>
      </c>
    </row>
    <row r="345" spans="1:2" x14ac:dyDescent="0.25">
      <c r="A345">
        <v>110003251427</v>
      </c>
      <c r="B345" t="s">
        <v>1542</v>
      </c>
    </row>
    <row r="346" spans="1:2" x14ac:dyDescent="0.25">
      <c r="A346">
        <v>110039793337</v>
      </c>
      <c r="B346" t="s">
        <v>1542</v>
      </c>
    </row>
    <row r="347" spans="1:2" x14ac:dyDescent="0.25">
      <c r="A347">
        <v>110070162955</v>
      </c>
      <c r="B347" t="s">
        <v>5457</v>
      </c>
    </row>
    <row r="348" spans="1:2" x14ac:dyDescent="0.25">
      <c r="A348">
        <v>110000514346</v>
      </c>
      <c r="B348" t="s">
        <v>1542</v>
      </c>
    </row>
    <row r="349" spans="1:2" x14ac:dyDescent="0.25">
      <c r="A349">
        <v>110018947292</v>
      </c>
      <c r="B349" t="s">
        <v>5457</v>
      </c>
    </row>
    <row r="350" spans="1:2" x14ac:dyDescent="0.25">
      <c r="A350">
        <v>110063857376</v>
      </c>
      <c r="B350" t="s">
        <v>5457</v>
      </c>
    </row>
    <row r="351" spans="1:2" x14ac:dyDescent="0.25">
      <c r="A351">
        <v>110009549177</v>
      </c>
      <c r="B351" t="s">
        <v>5457</v>
      </c>
    </row>
    <row r="352" spans="1:2" x14ac:dyDescent="0.25">
      <c r="A352">
        <v>110000521720</v>
      </c>
      <c r="B352" t="s">
        <v>1542</v>
      </c>
    </row>
    <row r="353" spans="1:2" x14ac:dyDescent="0.25">
      <c r="A353">
        <v>110000449435</v>
      </c>
      <c r="B353" t="s">
        <v>5457</v>
      </c>
    </row>
    <row r="354" spans="1:2" x14ac:dyDescent="0.25">
      <c r="A354">
        <v>110010062314</v>
      </c>
      <c r="B354" t="s">
        <v>1542</v>
      </c>
    </row>
    <row r="355" spans="1:2" x14ac:dyDescent="0.25">
      <c r="A355">
        <v>110020069977</v>
      </c>
      <c r="B355" t="s">
        <v>5457</v>
      </c>
    </row>
    <row r="356" spans="1:2" x14ac:dyDescent="0.25">
      <c r="A356">
        <v>110055987883</v>
      </c>
      <c r="B356" t="s">
        <v>1542</v>
      </c>
    </row>
    <row r="357" spans="1:2" x14ac:dyDescent="0.25">
      <c r="A357">
        <v>110017887349</v>
      </c>
      <c r="B357" t="s">
        <v>5458</v>
      </c>
    </row>
    <row r="358" spans="1:2" x14ac:dyDescent="0.25">
      <c r="A358">
        <v>110000717742</v>
      </c>
      <c r="B358" t="s">
        <v>1542</v>
      </c>
    </row>
    <row r="359" spans="1:2" x14ac:dyDescent="0.25">
      <c r="A359">
        <v>110070570038</v>
      </c>
      <c r="B359" t="s">
        <v>5457</v>
      </c>
    </row>
    <row r="360" spans="1:2" x14ac:dyDescent="0.25">
      <c r="A360">
        <v>110013956816</v>
      </c>
      <c r="B360" t="s">
        <v>5457</v>
      </c>
    </row>
    <row r="361" spans="1:2" x14ac:dyDescent="0.25">
      <c r="A361">
        <v>110000449587</v>
      </c>
      <c r="B361" t="s">
        <v>5457</v>
      </c>
    </row>
    <row r="362" spans="1:2" x14ac:dyDescent="0.25">
      <c r="A362">
        <v>110055984788</v>
      </c>
      <c r="B362" t="s">
        <v>1542</v>
      </c>
    </row>
    <row r="363" spans="1:2" x14ac:dyDescent="0.25">
      <c r="A363">
        <v>110059068707</v>
      </c>
      <c r="B363" t="s">
        <v>5457</v>
      </c>
    </row>
    <row r="364" spans="1:2" x14ac:dyDescent="0.25">
      <c r="A364">
        <v>110000461107</v>
      </c>
      <c r="B364" t="s">
        <v>5457</v>
      </c>
    </row>
    <row r="365" spans="1:2" x14ac:dyDescent="0.25">
      <c r="A365">
        <v>110064420951</v>
      </c>
      <c r="B365" t="s">
        <v>5457</v>
      </c>
    </row>
    <row r="366" spans="1:2" x14ac:dyDescent="0.25">
      <c r="A366">
        <v>110000494019</v>
      </c>
      <c r="B366" t="s">
        <v>5457</v>
      </c>
    </row>
    <row r="367" spans="1:2" x14ac:dyDescent="0.25">
      <c r="A367">
        <v>110064305032</v>
      </c>
      <c r="B367" t="s">
        <v>5458</v>
      </c>
    </row>
    <row r="368" spans="1:2" x14ac:dyDescent="0.25">
      <c r="A368">
        <v>110066395528</v>
      </c>
      <c r="B368" t="s">
        <v>1542</v>
      </c>
    </row>
    <row r="369" spans="1:2" x14ac:dyDescent="0.25">
      <c r="A369">
        <v>110000746532</v>
      </c>
      <c r="B369" t="s">
        <v>5457</v>
      </c>
    </row>
    <row r="370" spans="1:2" x14ac:dyDescent="0.25">
      <c r="A370">
        <v>110024382960</v>
      </c>
      <c r="B370" t="s">
        <v>1542</v>
      </c>
    </row>
    <row r="371" spans="1:2" x14ac:dyDescent="0.25">
      <c r="A371">
        <v>110009127097</v>
      </c>
      <c r="B371" t="s">
        <v>1542</v>
      </c>
    </row>
    <row r="372" spans="1:2" x14ac:dyDescent="0.25">
      <c r="A372">
        <v>110000491138</v>
      </c>
      <c r="B372" t="s">
        <v>5457</v>
      </c>
    </row>
    <row r="373" spans="1:2" x14ac:dyDescent="0.25">
      <c r="A373">
        <v>110001163062</v>
      </c>
      <c r="B373" t="s">
        <v>5457</v>
      </c>
    </row>
    <row r="374" spans="1:2" x14ac:dyDescent="0.25">
      <c r="A374">
        <v>110028153557</v>
      </c>
      <c r="B374" t="s">
        <v>5457</v>
      </c>
    </row>
    <row r="375" spans="1:2" x14ac:dyDescent="0.25">
      <c r="A375">
        <v>110001103939</v>
      </c>
      <c r="B375" t="s">
        <v>1542</v>
      </c>
    </row>
    <row r="376" spans="1:2" x14ac:dyDescent="0.25">
      <c r="A376">
        <v>110000511438</v>
      </c>
      <c r="B376" t="s">
        <v>1542</v>
      </c>
    </row>
    <row r="377" spans="1:2" x14ac:dyDescent="0.25">
      <c r="A377">
        <v>110039713067</v>
      </c>
      <c r="B377" t="s">
        <v>1542</v>
      </c>
    </row>
    <row r="378" spans="1:2" x14ac:dyDescent="0.25">
      <c r="A378">
        <v>110000732379</v>
      </c>
      <c r="B378" t="s">
        <v>1542</v>
      </c>
    </row>
    <row r="379" spans="1:2" x14ac:dyDescent="0.25">
      <c r="A379">
        <v>110010058043</v>
      </c>
      <c r="B379" t="s">
        <v>5457</v>
      </c>
    </row>
    <row r="380" spans="1:2" x14ac:dyDescent="0.25">
      <c r="A380">
        <v>110041903223</v>
      </c>
      <c r="B380" t="s">
        <v>5457</v>
      </c>
    </row>
    <row r="381" spans="1:2" x14ac:dyDescent="0.25">
      <c r="A381">
        <v>110009051630</v>
      </c>
      <c r="B381" t="s">
        <v>1542</v>
      </c>
    </row>
    <row r="382" spans="1:2" x14ac:dyDescent="0.25">
      <c r="A382">
        <v>110034635367</v>
      </c>
      <c r="B382" t="s">
        <v>5457</v>
      </c>
    </row>
    <row r="383" spans="1:2" x14ac:dyDescent="0.25">
      <c r="A383">
        <v>110000736776</v>
      </c>
      <c r="B383" t="s">
        <v>1542</v>
      </c>
    </row>
    <row r="384" spans="1:2" x14ac:dyDescent="0.25">
      <c r="A384">
        <v>110042387565</v>
      </c>
      <c r="B384" t="s">
        <v>5457</v>
      </c>
    </row>
    <row r="385" spans="1:2" x14ac:dyDescent="0.25">
      <c r="A385">
        <v>110012854820</v>
      </c>
      <c r="B385" t="s">
        <v>1542</v>
      </c>
    </row>
    <row r="386" spans="1:2" x14ac:dyDescent="0.25">
      <c r="A386">
        <v>110059844156</v>
      </c>
      <c r="B386" t="s">
        <v>5457</v>
      </c>
    </row>
    <row r="387" spans="1:2" x14ac:dyDescent="0.25">
      <c r="A387">
        <v>110007501499</v>
      </c>
      <c r="B387" t="s">
        <v>5457</v>
      </c>
    </row>
    <row r="388" spans="1:2" x14ac:dyDescent="0.25">
      <c r="A388">
        <v>110024584172</v>
      </c>
      <c r="B388" t="s">
        <v>1542</v>
      </c>
    </row>
    <row r="389" spans="1:2" x14ac:dyDescent="0.25">
      <c r="A389">
        <v>110016747412</v>
      </c>
      <c r="B389" t="s">
        <v>5457</v>
      </c>
    </row>
    <row r="390" spans="1:2" x14ac:dyDescent="0.25">
      <c r="A390">
        <v>110022905588</v>
      </c>
      <c r="B390" t="s">
        <v>1542</v>
      </c>
    </row>
    <row r="391" spans="1:2" x14ac:dyDescent="0.25">
      <c r="A391">
        <v>110015956964</v>
      </c>
      <c r="B391" t="s">
        <v>5458</v>
      </c>
    </row>
    <row r="392" spans="1:2" x14ac:dyDescent="0.25">
      <c r="A392">
        <v>110003364181</v>
      </c>
      <c r="B392" t="s">
        <v>5457</v>
      </c>
    </row>
    <row r="393" spans="1:2" x14ac:dyDescent="0.25">
      <c r="A393">
        <v>110041253256</v>
      </c>
      <c r="B393" t="s">
        <v>5457</v>
      </c>
    </row>
    <row r="394" spans="1:2" x14ac:dyDescent="0.25">
      <c r="A394">
        <v>110043668563</v>
      </c>
      <c r="B394" t="s">
        <v>5457</v>
      </c>
    </row>
    <row r="395" spans="1:2" x14ac:dyDescent="0.25">
      <c r="A395">
        <v>110000520400</v>
      </c>
      <c r="B395" t="s">
        <v>5457</v>
      </c>
    </row>
    <row r="396" spans="1:2" x14ac:dyDescent="0.25">
      <c r="A396">
        <v>110010062591</v>
      </c>
      <c r="B396" t="s">
        <v>1542</v>
      </c>
    </row>
    <row r="397" spans="1:2" x14ac:dyDescent="0.25">
      <c r="A397">
        <v>110024409362</v>
      </c>
      <c r="B397" t="s">
        <v>1542</v>
      </c>
    </row>
    <row r="398" spans="1:2" x14ac:dyDescent="0.25">
      <c r="A398">
        <v>110000610296</v>
      </c>
      <c r="B398" t="s">
        <v>5457</v>
      </c>
    </row>
    <row r="399" spans="1:2" x14ac:dyDescent="0.25">
      <c r="A399">
        <v>110018854765</v>
      </c>
      <c r="B399" t="s">
        <v>5457</v>
      </c>
    </row>
    <row r="400" spans="1:2" x14ac:dyDescent="0.25">
      <c r="A400">
        <v>110056972432</v>
      </c>
      <c r="B400" t="s">
        <v>5457</v>
      </c>
    </row>
    <row r="401" spans="1:2" x14ac:dyDescent="0.25">
      <c r="A401">
        <v>110000743704</v>
      </c>
      <c r="B401" t="s">
        <v>5457</v>
      </c>
    </row>
    <row r="402" spans="1:2" x14ac:dyDescent="0.25">
      <c r="A402">
        <v>110009939031</v>
      </c>
      <c r="B402" t="s">
        <v>1542</v>
      </c>
    </row>
    <row r="403" spans="1:2" x14ac:dyDescent="0.25">
      <c r="A403">
        <v>110070828339</v>
      </c>
      <c r="B403" t="s">
        <v>5458</v>
      </c>
    </row>
    <row r="404" spans="1:2" x14ac:dyDescent="0.25">
      <c r="A404">
        <v>110000520026</v>
      </c>
      <c r="B404" t="s">
        <v>5457</v>
      </c>
    </row>
    <row r="405" spans="1:2" x14ac:dyDescent="0.25">
      <c r="A405">
        <v>110000483450</v>
      </c>
      <c r="B405" t="s">
        <v>5457</v>
      </c>
    </row>
    <row r="406" spans="1:2" x14ac:dyDescent="0.25">
      <c r="A406">
        <v>110030900997</v>
      </c>
      <c r="B406" t="s">
        <v>5457</v>
      </c>
    </row>
    <row r="407" spans="1:2" x14ac:dyDescent="0.25">
      <c r="A407">
        <v>110000867054</v>
      </c>
      <c r="B407" t="s">
        <v>1542</v>
      </c>
    </row>
    <row r="408" spans="1:2" x14ac:dyDescent="0.25">
      <c r="A408">
        <v>110064616296</v>
      </c>
      <c r="B408" t="s">
        <v>1542</v>
      </c>
    </row>
    <row r="409" spans="1:2" x14ac:dyDescent="0.25">
      <c r="A409">
        <v>110014362509</v>
      </c>
      <c r="B409" t="s">
        <v>5457</v>
      </c>
    </row>
    <row r="410" spans="1:2" x14ac:dyDescent="0.25">
      <c r="A410">
        <v>110000748040</v>
      </c>
      <c r="B410" t="s">
        <v>5457</v>
      </c>
    </row>
    <row r="411" spans="1:2" x14ac:dyDescent="0.25">
      <c r="A411">
        <v>110039923376</v>
      </c>
      <c r="B411" t="s">
        <v>1542</v>
      </c>
    </row>
    <row r="412" spans="1:2" x14ac:dyDescent="0.25">
      <c r="A412">
        <v>110000583057</v>
      </c>
      <c r="B412" t="s">
        <v>5457</v>
      </c>
    </row>
    <row r="413" spans="1:2" x14ac:dyDescent="0.25">
      <c r="A413">
        <v>110000450002</v>
      </c>
      <c r="B413" t="s">
        <v>5457</v>
      </c>
    </row>
    <row r="414" spans="1:2" x14ac:dyDescent="0.25">
      <c r="A414">
        <v>110009830166</v>
      </c>
      <c r="B414" t="s">
        <v>5457</v>
      </c>
    </row>
    <row r="415" spans="1:2" x14ac:dyDescent="0.25">
      <c r="A415">
        <v>110070818392</v>
      </c>
      <c r="B415" t="s">
        <v>5457</v>
      </c>
    </row>
    <row r="416" spans="1:2" x14ac:dyDescent="0.25">
      <c r="A416">
        <v>110066844240</v>
      </c>
      <c r="B416" t="s">
        <v>5457</v>
      </c>
    </row>
    <row r="417" spans="1:2" x14ac:dyDescent="0.25">
      <c r="A417">
        <v>110041256725</v>
      </c>
      <c r="B417" t="s">
        <v>5457</v>
      </c>
    </row>
    <row r="418" spans="1:2" x14ac:dyDescent="0.25">
      <c r="A418">
        <v>110000378467</v>
      </c>
      <c r="B418" t="s">
        <v>5457</v>
      </c>
    </row>
    <row r="419" spans="1:2" x14ac:dyDescent="0.25">
      <c r="A419">
        <v>110032907362</v>
      </c>
      <c r="B419" t="s">
        <v>5457</v>
      </c>
    </row>
    <row r="420" spans="1:2" x14ac:dyDescent="0.25">
      <c r="A420">
        <v>110000462730</v>
      </c>
      <c r="B420" t="s">
        <v>5457</v>
      </c>
    </row>
    <row r="421" spans="1:2" x14ac:dyDescent="0.25">
      <c r="A421">
        <v>110039774223</v>
      </c>
      <c r="B421" t="s">
        <v>1542</v>
      </c>
    </row>
    <row r="422" spans="1:2" x14ac:dyDescent="0.25">
      <c r="A422">
        <v>110000730479</v>
      </c>
      <c r="B422" t="s">
        <v>1542</v>
      </c>
    </row>
    <row r="423" spans="1:2" x14ac:dyDescent="0.25">
      <c r="A423">
        <v>110010059630</v>
      </c>
      <c r="B423" t="s">
        <v>1542</v>
      </c>
    </row>
    <row r="424" spans="1:2" x14ac:dyDescent="0.25">
      <c r="A424">
        <v>110006657439</v>
      </c>
      <c r="B424" t="s">
        <v>1542</v>
      </c>
    </row>
    <row r="425" spans="1:2" x14ac:dyDescent="0.25">
      <c r="A425">
        <v>110000730736</v>
      </c>
      <c r="B425" t="s">
        <v>1542</v>
      </c>
    </row>
    <row r="426" spans="1:2" x14ac:dyDescent="0.25">
      <c r="A426">
        <v>110000462053</v>
      </c>
      <c r="B426" t="s">
        <v>5457</v>
      </c>
    </row>
    <row r="427" spans="1:2" x14ac:dyDescent="0.25">
      <c r="A427">
        <v>110000781556</v>
      </c>
      <c r="B427" t="s">
        <v>5458</v>
      </c>
    </row>
    <row r="428" spans="1:2" x14ac:dyDescent="0.25">
      <c r="A428">
        <v>110006684882</v>
      </c>
      <c r="B428" t="s">
        <v>1542</v>
      </c>
    </row>
    <row r="429" spans="1:2" x14ac:dyDescent="0.25">
      <c r="A429">
        <v>110009126891</v>
      </c>
      <c r="B429" t="s">
        <v>1542</v>
      </c>
    </row>
    <row r="430" spans="1:2" x14ac:dyDescent="0.25">
      <c r="A430">
        <v>110006783533</v>
      </c>
      <c r="B430" t="s">
        <v>5457</v>
      </c>
    </row>
    <row r="431" spans="1:2" x14ac:dyDescent="0.25">
      <c r="A431">
        <v>110002042021</v>
      </c>
      <c r="B431" t="s">
        <v>5457</v>
      </c>
    </row>
    <row r="432" spans="1:2" x14ac:dyDescent="0.25">
      <c r="A432">
        <v>110033659878</v>
      </c>
      <c r="B432" t="s">
        <v>5457</v>
      </c>
    </row>
    <row r="433" spans="1:2" x14ac:dyDescent="0.25">
      <c r="A433">
        <v>110006751737</v>
      </c>
      <c r="B433" t="s">
        <v>1542</v>
      </c>
    </row>
    <row r="434" spans="1:2" x14ac:dyDescent="0.25">
      <c r="A434">
        <v>110000730898</v>
      </c>
      <c r="B434" t="s">
        <v>1542</v>
      </c>
    </row>
    <row r="435" spans="1:2" x14ac:dyDescent="0.25">
      <c r="A435">
        <v>110001174595</v>
      </c>
      <c r="B435" t="s">
        <v>1542</v>
      </c>
    </row>
    <row r="436" spans="1:2" x14ac:dyDescent="0.25">
      <c r="A436">
        <v>110055977448</v>
      </c>
      <c r="B436" t="s">
        <v>1542</v>
      </c>
    </row>
    <row r="437" spans="1:2" x14ac:dyDescent="0.25">
      <c r="A437">
        <v>110055797437</v>
      </c>
      <c r="B437" t="s">
        <v>1542</v>
      </c>
    </row>
    <row r="438" spans="1:2" x14ac:dyDescent="0.25">
      <c r="A438">
        <v>110055993046</v>
      </c>
      <c r="B438" t="s">
        <v>1542</v>
      </c>
    </row>
    <row r="439" spans="1:2" x14ac:dyDescent="0.25">
      <c r="A439">
        <v>110006785087</v>
      </c>
      <c r="B439" t="s">
        <v>1542</v>
      </c>
    </row>
    <row r="440" spans="1:2" x14ac:dyDescent="0.25">
      <c r="A440">
        <v>110035420112</v>
      </c>
      <c r="B440" t="s">
        <v>5457</v>
      </c>
    </row>
    <row r="441" spans="1:2" x14ac:dyDescent="0.25">
      <c r="A441">
        <v>110006784104</v>
      </c>
      <c r="B441" t="s">
        <v>1542</v>
      </c>
    </row>
    <row r="442" spans="1:2" x14ac:dyDescent="0.25">
      <c r="A442">
        <v>110039792212</v>
      </c>
      <c r="B442" t="s">
        <v>1542</v>
      </c>
    </row>
    <row r="443" spans="1:2" x14ac:dyDescent="0.25">
      <c r="A443">
        <v>110055972247</v>
      </c>
      <c r="B443" t="s">
        <v>1542</v>
      </c>
    </row>
    <row r="444" spans="1:2" x14ac:dyDescent="0.25">
      <c r="A444">
        <v>110055685450</v>
      </c>
      <c r="B444" t="s">
        <v>5457</v>
      </c>
    </row>
    <row r="445" spans="1:2" x14ac:dyDescent="0.25">
      <c r="A445">
        <v>110028243791</v>
      </c>
      <c r="B445" t="s">
        <v>5457</v>
      </c>
    </row>
    <row r="446" spans="1:2" x14ac:dyDescent="0.25">
      <c r="A446">
        <v>110061176016</v>
      </c>
      <c r="B446" t="s">
        <v>1542</v>
      </c>
    </row>
    <row r="447" spans="1:2" x14ac:dyDescent="0.25">
      <c r="A447">
        <v>110009127051</v>
      </c>
      <c r="B447" t="s">
        <v>1542</v>
      </c>
    </row>
    <row r="448" spans="1:2" x14ac:dyDescent="0.25">
      <c r="A448">
        <v>110008170237</v>
      </c>
      <c r="B448" t="s">
        <v>5457</v>
      </c>
    </row>
    <row r="449" spans="1:2" x14ac:dyDescent="0.25">
      <c r="A449">
        <v>110010062680</v>
      </c>
      <c r="B449" t="s">
        <v>1542</v>
      </c>
    </row>
    <row r="450" spans="1:2" x14ac:dyDescent="0.25">
      <c r="A450">
        <v>110000516914</v>
      </c>
      <c r="B450" t="s">
        <v>1542</v>
      </c>
    </row>
    <row r="451" spans="1:2" x14ac:dyDescent="0.25">
      <c r="A451">
        <v>110000575244</v>
      </c>
      <c r="B451" t="s">
        <v>5457</v>
      </c>
    </row>
    <row r="452" spans="1:2" x14ac:dyDescent="0.25">
      <c r="A452">
        <v>110042387592</v>
      </c>
      <c r="B452" t="s">
        <v>5457</v>
      </c>
    </row>
    <row r="453" spans="1:2" x14ac:dyDescent="0.25">
      <c r="A453">
        <v>110070117180</v>
      </c>
      <c r="B453" t="s">
        <v>5457</v>
      </c>
    </row>
    <row r="454" spans="1:2" x14ac:dyDescent="0.25">
      <c r="A454">
        <v>110046122735</v>
      </c>
      <c r="B454" t="s">
        <v>5457</v>
      </c>
    </row>
    <row r="455" spans="1:2" x14ac:dyDescent="0.25">
      <c r="A455">
        <v>110001945664</v>
      </c>
      <c r="B455" t="s">
        <v>5457</v>
      </c>
    </row>
    <row r="456" spans="1:2" x14ac:dyDescent="0.25">
      <c r="A456">
        <v>110009536207</v>
      </c>
      <c r="B456" t="s">
        <v>1542</v>
      </c>
    </row>
    <row r="457" spans="1:2" x14ac:dyDescent="0.25">
      <c r="A457">
        <v>110070670245</v>
      </c>
      <c r="B457" t="s">
        <v>1542</v>
      </c>
    </row>
    <row r="458" spans="1:2" x14ac:dyDescent="0.25">
      <c r="A458">
        <v>110017377113</v>
      </c>
      <c r="B458" t="s">
        <v>1542</v>
      </c>
    </row>
    <row r="459" spans="1:2" x14ac:dyDescent="0.25">
      <c r="A459">
        <v>110064786129</v>
      </c>
      <c r="B459" t="s">
        <v>5457</v>
      </c>
    </row>
    <row r="460" spans="1:2" x14ac:dyDescent="0.25">
      <c r="A460">
        <v>110000741243</v>
      </c>
      <c r="B460" t="s">
        <v>5457</v>
      </c>
    </row>
    <row r="461" spans="1:2" x14ac:dyDescent="0.25">
      <c r="A461">
        <v>110070695251</v>
      </c>
      <c r="B461" t="s">
        <v>5457</v>
      </c>
    </row>
    <row r="462" spans="1:2" x14ac:dyDescent="0.25">
      <c r="A462">
        <v>110007175154</v>
      </c>
      <c r="B462" t="s">
        <v>5457</v>
      </c>
    </row>
    <row r="463" spans="1:2" x14ac:dyDescent="0.25">
      <c r="A463">
        <v>110064418553</v>
      </c>
      <c r="B463" t="s">
        <v>5457</v>
      </c>
    </row>
    <row r="464" spans="1:2" x14ac:dyDescent="0.25">
      <c r="A464">
        <v>110006657331</v>
      </c>
      <c r="B464" t="s">
        <v>5457</v>
      </c>
    </row>
    <row r="465" spans="1:2" x14ac:dyDescent="0.25">
      <c r="A465">
        <v>110000557013</v>
      </c>
      <c r="B465" t="s">
        <v>1542</v>
      </c>
    </row>
    <row r="466" spans="1:2" x14ac:dyDescent="0.25">
      <c r="A466">
        <v>110000517012</v>
      </c>
      <c r="B466" t="s">
        <v>1542</v>
      </c>
    </row>
    <row r="467" spans="1:2" x14ac:dyDescent="0.25">
      <c r="A467">
        <v>110009127015</v>
      </c>
      <c r="B467" t="s">
        <v>5457</v>
      </c>
    </row>
    <row r="468" spans="1:2" x14ac:dyDescent="0.25">
      <c r="A468">
        <v>110017438762</v>
      </c>
      <c r="B468" t="s">
        <v>5457</v>
      </c>
    </row>
    <row r="469" spans="1:2" x14ac:dyDescent="0.25">
      <c r="A469">
        <v>110060340162</v>
      </c>
      <c r="B469" t="s">
        <v>5457</v>
      </c>
    </row>
    <row r="470" spans="1:2" x14ac:dyDescent="0.25">
      <c r="A470">
        <v>110017432937</v>
      </c>
      <c r="B470" t="s">
        <v>5457</v>
      </c>
    </row>
    <row r="471" spans="1:2" x14ac:dyDescent="0.25">
      <c r="A471">
        <v>110010058249</v>
      </c>
      <c r="B471" t="s">
        <v>1542</v>
      </c>
    </row>
    <row r="472" spans="1:2" x14ac:dyDescent="0.25">
      <c r="A472">
        <v>110043305688</v>
      </c>
      <c r="B472" t="s">
        <v>5457</v>
      </c>
    </row>
    <row r="473" spans="1:2" x14ac:dyDescent="0.25">
      <c r="A473">
        <v>110000759741</v>
      </c>
      <c r="B473" t="s">
        <v>1542</v>
      </c>
    </row>
    <row r="474" spans="1:2" x14ac:dyDescent="0.25">
      <c r="A474">
        <v>110045085457</v>
      </c>
      <c r="B474" t="s">
        <v>1542</v>
      </c>
    </row>
    <row r="475" spans="1:2" x14ac:dyDescent="0.25">
      <c r="A475">
        <v>110009938737</v>
      </c>
      <c r="B475" t="s">
        <v>5457</v>
      </c>
    </row>
    <row r="476" spans="1:2" x14ac:dyDescent="0.25">
      <c r="A476">
        <v>110039296357</v>
      </c>
      <c r="B476" t="s">
        <v>5457</v>
      </c>
    </row>
    <row r="477" spans="1:2" x14ac:dyDescent="0.25">
      <c r="A477">
        <v>110007398805</v>
      </c>
      <c r="B477" t="s">
        <v>5457</v>
      </c>
    </row>
    <row r="478" spans="1:2" x14ac:dyDescent="0.25">
      <c r="A478">
        <v>110010358184</v>
      </c>
      <c r="B478" t="s">
        <v>5457</v>
      </c>
    </row>
    <row r="479" spans="1:2" x14ac:dyDescent="0.25">
      <c r="A479">
        <v>110000476235</v>
      </c>
      <c r="B479" t="s">
        <v>5457</v>
      </c>
    </row>
    <row r="480" spans="1:2" x14ac:dyDescent="0.25">
      <c r="A480">
        <v>110000734616</v>
      </c>
      <c r="B480" t="s">
        <v>1542</v>
      </c>
    </row>
    <row r="481" spans="1:2" x14ac:dyDescent="0.25">
      <c r="A481">
        <v>110055988016</v>
      </c>
      <c r="B481" t="s">
        <v>1542</v>
      </c>
    </row>
    <row r="482" spans="1:2" x14ac:dyDescent="0.25">
      <c r="A482">
        <v>110043973509</v>
      </c>
      <c r="B482" t="s">
        <v>5457</v>
      </c>
    </row>
    <row r="483" spans="1:2" x14ac:dyDescent="0.25">
      <c r="A483">
        <v>110070031505</v>
      </c>
      <c r="B483" t="s">
        <v>5457</v>
      </c>
    </row>
    <row r="484" spans="1:2" x14ac:dyDescent="0.25">
      <c r="A484">
        <v>110002043217</v>
      </c>
      <c r="B484" t="s">
        <v>1542</v>
      </c>
    </row>
    <row r="485" spans="1:2" x14ac:dyDescent="0.25">
      <c r="A485">
        <v>110000496981</v>
      </c>
      <c r="B485" t="s">
        <v>5457</v>
      </c>
    </row>
    <row r="486" spans="1:2" x14ac:dyDescent="0.25">
      <c r="A486">
        <v>110000614746</v>
      </c>
      <c r="B486" t="s">
        <v>5457</v>
      </c>
    </row>
    <row r="487" spans="1:2" x14ac:dyDescent="0.25">
      <c r="A487">
        <v>110006783846</v>
      </c>
      <c r="B487" t="s">
        <v>5457</v>
      </c>
    </row>
    <row r="488" spans="1:2" x14ac:dyDescent="0.25">
      <c r="A488">
        <v>110039139394</v>
      </c>
      <c r="B488" t="s">
        <v>1542</v>
      </c>
    </row>
    <row r="489" spans="1:2" x14ac:dyDescent="0.25">
      <c r="A489">
        <v>110006807839</v>
      </c>
      <c r="B489" t="s">
        <v>5457</v>
      </c>
    </row>
    <row r="490" spans="1:2" x14ac:dyDescent="0.25">
      <c r="A490">
        <v>110024409344</v>
      </c>
      <c r="B490" t="s">
        <v>1542</v>
      </c>
    </row>
    <row r="491" spans="1:2" x14ac:dyDescent="0.25">
      <c r="A491">
        <v>110037274133</v>
      </c>
      <c r="B491" t="s">
        <v>5457</v>
      </c>
    </row>
    <row r="492" spans="1:2" x14ac:dyDescent="0.25">
      <c r="A492">
        <v>110071710882</v>
      </c>
      <c r="B492" t="s">
        <v>5457</v>
      </c>
    </row>
    <row r="493" spans="1:2" x14ac:dyDescent="0.25">
      <c r="A493">
        <v>110000732226</v>
      </c>
      <c r="B493" t="s">
        <v>1542</v>
      </c>
    </row>
    <row r="494" spans="1:2" x14ac:dyDescent="0.25">
      <c r="A494">
        <v>110006723046</v>
      </c>
      <c r="B494" t="s">
        <v>5457</v>
      </c>
    </row>
    <row r="495" spans="1:2" x14ac:dyDescent="0.25">
      <c r="A495">
        <v>110024471668</v>
      </c>
      <c r="B495" t="s">
        <v>5457</v>
      </c>
    </row>
    <row r="496" spans="1:2" x14ac:dyDescent="0.25">
      <c r="A496">
        <v>110045651344</v>
      </c>
      <c r="B496" t="s">
        <v>5457</v>
      </c>
    </row>
    <row r="497" spans="1:2" x14ac:dyDescent="0.25">
      <c r="A497">
        <v>110006657322</v>
      </c>
      <c r="B497" t="s">
        <v>5457</v>
      </c>
    </row>
    <row r="498" spans="1:2" x14ac:dyDescent="0.25">
      <c r="A498">
        <v>110064253533</v>
      </c>
      <c r="B498" t="s">
        <v>1542</v>
      </c>
    </row>
    <row r="499" spans="1:2" x14ac:dyDescent="0.25">
      <c r="A499">
        <v>110009933484</v>
      </c>
      <c r="B499" t="s">
        <v>1542</v>
      </c>
    </row>
    <row r="500" spans="1:2" x14ac:dyDescent="0.25">
      <c r="A500">
        <v>110071081460</v>
      </c>
      <c r="B500" t="s">
        <v>5457</v>
      </c>
    </row>
    <row r="501" spans="1:2" x14ac:dyDescent="0.25">
      <c r="A501">
        <v>110009696356</v>
      </c>
      <c r="B501" t="s">
        <v>1542</v>
      </c>
    </row>
    <row r="502" spans="1:2" x14ac:dyDescent="0.25">
      <c r="A502">
        <v>110006659847</v>
      </c>
      <c r="B502" t="s">
        <v>5457</v>
      </c>
    </row>
    <row r="503" spans="1:2" x14ac:dyDescent="0.25">
      <c r="A503">
        <v>110000597266</v>
      </c>
      <c r="B503" t="s">
        <v>5457</v>
      </c>
    </row>
    <row r="504" spans="1:2" x14ac:dyDescent="0.25">
      <c r="A504">
        <v>110039750711</v>
      </c>
      <c r="B504" t="s">
        <v>1542</v>
      </c>
    </row>
    <row r="505" spans="1:2" x14ac:dyDescent="0.25">
      <c r="A505">
        <v>110070053140</v>
      </c>
      <c r="B505" t="s">
        <v>5457</v>
      </c>
    </row>
    <row r="506" spans="1:2" x14ac:dyDescent="0.25">
      <c r="A506">
        <v>110005325335</v>
      </c>
      <c r="B506" t="s">
        <v>1542</v>
      </c>
    </row>
    <row r="507" spans="1:2" x14ac:dyDescent="0.25">
      <c r="A507">
        <v>110000373621</v>
      </c>
      <c r="B507" t="s">
        <v>5457</v>
      </c>
    </row>
    <row r="508" spans="1:2" x14ac:dyDescent="0.25">
      <c r="A508">
        <v>110006749162</v>
      </c>
      <c r="B508" t="s">
        <v>1542</v>
      </c>
    </row>
    <row r="509" spans="1:2" x14ac:dyDescent="0.25">
      <c r="A509">
        <v>110009937499</v>
      </c>
      <c r="B509" t="s">
        <v>1542</v>
      </c>
    </row>
    <row r="510" spans="1:2" x14ac:dyDescent="0.25">
      <c r="A510">
        <v>110070519769</v>
      </c>
      <c r="B510" t="s">
        <v>5457</v>
      </c>
    </row>
    <row r="511" spans="1:2" x14ac:dyDescent="0.25">
      <c r="A511">
        <v>110063720264</v>
      </c>
      <c r="B511" t="s">
        <v>5457</v>
      </c>
    </row>
    <row r="512" spans="1:2" x14ac:dyDescent="0.25">
      <c r="A512">
        <v>110064634686</v>
      </c>
      <c r="B512" t="s">
        <v>5457</v>
      </c>
    </row>
    <row r="513" spans="1:2" x14ac:dyDescent="0.25">
      <c r="A513">
        <v>110000854246</v>
      </c>
      <c r="B513" t="s">
        <v>5457</v>
      </c>
    </row>
    <row r="514" spans="1:2" x14ac:dyDescent="0.25">
      <c r="A514">
        <v>110055987339</v>
      </c>
      <c r="B514" t="s">
        <v>1542</v>
      </c>
    </row>
    <row r="515" spans="1:2" x14ac:dyDescent="0.25">
      <c r="A515">
        <v>110002408671</v>
      </c>
      <c r="B515" t="s">
        <v>1542</v>
      </c>
    </row>
    <row r="516" spans="1:2" x14ac:dyDescent="0.25">
      <c r="A516">
        <v>110000463677</v>
      </c>
      <c r="B516" t="s">
        <v>5457</v>
      </c>
    </row>
    <row r="517" spans="1:2" x14ac:dyDescent="0.25">
      <c r="A517">
        <v>110002418848</v>
      </c>
      <c r="B517" t="s">
        <v>1542</v>
      </c>
    </row>
    <row r="518" spans="1:2" x14ac:dyDescent="0.25">
      <c r="A518">
        <v>110070045290</v>
      </c>
      <c r="B518" t="s">
        <v>5457</v>
      </c>
    </row>
    <row r="519" spans="1:2" x14ac:dyDescent="0.25">
      <c r="A519">
        <v>110015972562</v>
      </c>
      <c r="B519" t="s">
        <v>5457</v>
      </c>
    </row>
    <row r="520" spans="1:2" x14ac:dyDescent="0.25">
      <c r="A520">
        <v>110002081826</v>
      </c>
      <c r="B520" t="s">
        <v>5457</v>
      </c>
    </row>
    <row r="521" spans="1:2" x14ac:dyDescent="0.25">
      <c r="A521">
        <v>110012535051</v>
      </c>
      <c r="B521" t="s">
        <v>1542</v>
      </c>
    </row>
    <row r="522" spans="1:2" x14ac:dyDescent="0.25">
      <c r="A522">
        <v>110002672484</v>
      </c>
      <c r="B522" t="s">
        <v>5457</v>
      </c>
    </row>
    <row r="523" spans="1:2" x14ac:dyDescent="0.25">
      <c r="A523">
        <v>110041447253</v>
      </c>
      <c r="B523" t="s">
        <v>5457</v>
      </c>
    </row>
    <row r="524" spans="1:2" x14ac:dyDescent="0.25">
      <c r="A524">
        <v>110030443544</v>
      </c>
      <c r="B524" t="s">
        <v>1542</v>
      </c>
    </row>
    <row r="525" spans="1:2" x14ac:dyDescent="0.25">
      <c r="A525">
        <v>110055662082</v>
      </c>
      <c r="B525" t="s">
        <v>1542</v>
      </c>
    </row>
    <row r="526" spans="1:2" x14ac:dyDescent="0.25">
      <c r="A526">
        <v>110055795778</v>
      </c>
      <c r="B526" t="s">
        <v>1542</v>
      </c>
    </row>
    <row r="527" spans="1:2" x14ac:dyDescent="0.25">
      <c r="A527">
        <v>110031389192</v>
      </c>
      <c r="B527" t="s">
        <v>5457</v>
      </c>
    </row>
    <row r="528" spans="1:2" x14ac:dyDescent="0.25">
      <c r="A528">
        <v>110000520945</v>
      </c>
      <c r="B528" t="s">
        <v>1542</v>
      </c>
    </row>
    <row r="529" spans="1:2" x14ac:dyDescent="0.25">
      <c r="A529">
        <v>110013128169</v>
      </c>
      <c r="B529" t="s">
        <v>5457</v>
      </c>
    </row>
    <row r="530" spans="1:2" x14ac:dyDescent="0.25">
      <c r="A530">
        <v>110010059293</v>
      </c>
      <c r="B530" t="s">
        <v>1542</v>
      </c>
    </row>
    <row r="531" spans="1:2" x14ac:dyDescent="0.25">
      <c r="A531">
        <v>110071236209</v>
      </c>
      <c r="B531" t="s">
        <v>1542</v>
      </c>
    </row>
    <row r="532" spans="1:2" x14ac:dyDescent="0.25">
      <c r="A532">
        <v>110027244453</v>
      </c>
      <c r="B532" t="s">
        <v>5457</v>
      </c>
    </row>
    <row r="533" spans="1:2" x14ac:dyDescent="0.25">
      <c r="A533">
        <v>110002373565</v>
      </c>
      <c r="B533" t="s">
        <v>1542</v>
      </c>
    </row>
    <row r="534" spans="1:2" x14ac:dyDescent="0.25">
      <c r="A534">
        <v>110000713684</v>
      </c>
      <c r="B534" t="s">
        <v>1542</v>
      </c>
    </row>
    <row r="535" spans="1:2" x14ac:dyDescent="0.25">
      <c r="A535">
        <v>110037256812</v>
      </c>
      <c r="B535" t="s">
        <v>5458</v>
      </c>
    </row>
    <row r="536" spans="1:2" x14ac:dyDescent="0.25">
      <c r="A536">
        <v>110071711385</v>
      </c>
      <c r="B536" t="s">
        <v>1542</v>
      </c>
    </row>
    <row r="537" spans="1:2" x14ac:dyDescent="0.25">
      <c r="A537">
        <v>110015567457</v>
      </c>
      <c r="B537" t="s">
        <v>1542</v>
      </c>
    </row>
    <row r="538" spans="1:2" x14ac:dyDescent="0.25">
      <c r="A538">
        <v>110010059220</v>
      </c>
      <c r="B538" t="s">
        <v>1542</v>
      </c>
    </row>
    <row r="539" spans="1:2" x14ac:dyDescent="0.25">
      <c r="A539">
        <v>110009723246</v>
      </c>
      <c r="B539" t="s">
        <v>1542</v>
      </c>
    </row>
    <row r="540" spans="1:2" x14ac:dyDescent="0.25">
      <c r="A540">
        <v>110070725501</v>
      </c>
      <c r="B540" t="s">
        <v>5457</v>
      </c>
    </row>
    <row r="541" spans="1:2" x14ac:dyDescent="0.25">
      <c r="A541">
        <v>110000715940</v>
      </c>
      <c r="B541" t="s">
        <v>5457</v>
      </c>
    </row>
    <row r="542" spans="1:2" x14ac:dyDescent="0.25">
      <c r="A542">
        <v>110001855635</v>
      </c>
      <c r="B542" t="s">
        <v>1542</v>
      </c>
    </row>
    <row r="543" spans="1:2" x14ac:dyDescent="0.25">
      <c r="A543">
        <v>110042247663</v>
      </c>
      <c r="B543" t="s">
        <v>5457</v>
      </c>
    </row>
    <row r="544" spans="1:2" x14ac:dyDescent="0.25">
      <c r="A544">
        <v>110055740408</v>
      </c>
      <c r="B544" t="s">
        <v>5457</v>
      </c>
    </row>
    <row r="545" spans="1:2" x14ac:dyDescent="0.25">
      <c r="A545">
        <v>110064596361</v>
      </c>
      <c r="B545" t="s">
        <v>1542</v>
      </c>
    </row>
    <row r="546" spans="1:2" x14ac:dyDescent="0.25">
      <c r="A546">
        <v>110000384986</v>
      </c>
      <c r="B546" t="s">
        <v>5457</v>
      </c>
    </row>
    <row r="547" spans="1:2" x14ac:dyDescent="0.25">
      <c r="A547">
        <v>110000375184</v>
      </c>
      <c r="B547" t="s">
        <v>5457</v>
      </c>
    </row>
    <row r="548" spans="1:2" x14ac:dyDescent="0.25">
      <c r="A548">
        <v>110038496712</v>
      </c>
      <c r="B548" t="s">
        <v>5457</v>
      </c>
    </row>
    <row r="549" spans="1:2" x14ac:dyDescent="0.25">
      <c r="A549">
        <v>110062118505</v>
      </c>
      <c r="B549" t="s">
        <v>5457</v>
      </c>
    </row>
    <row r="550" spans="1:2" x14ac:dyDescent="0.25">
      <c r="A550">
        <v>110010062494</v>
      </c>
      <c r="B550" t="s">
        <v>5457</v>
      </c>
    </row>
    <row r="551" spans="1:2" x14ac:dyDescent="0.25">
      <c r="A551">
        <v>110006783579</v>
      </c>
      <c r="B551" t="s">
        <v>1542</v>
      </c>
    </row>
    <row r="552" spans="1:2" x14ac:dyDescent="0.25">
      <c r="A552">
        <v>110006644765</v>
      </c>
      <c r="B552" t="s">
        <v>1542</v>
      </c>
    </row>
    <row r="553" spans="1:2" x14ac:dyDescent="0.25">
      <c r="A553">
        <v>110064594513</v>
      </c>
      <c r="B553" t="s">
        <v>1542</v>
      </c>
    </row>
    <row r="554" spans="1:2" x14ac:dyDescent="0.25">
      <c r="A554">
        <v>110001162866</v>
      </c>
      <c r="B554" t="s">
        <v>1542</v>
      </c>
    </row>
    <row r="555" spans="1:2" x14ac:dyDescent="0.25">
      <c r="A555">
        <v>110039472219</v>
      </c>
      <c r="B555" t="s">
        <v>1542</v>
      </c>
    </row>
    <row r="556" spans="1:2" x14ac:dyDescent="0.25">
      <c r="A556">
        <v>110011373628</v>
      </c>
      <c r="B556" t="s">
        <v>1542</v>
      </c>
    </row>
    <row r="557" spans="1:2" x14ac:dyDescent="0.25">
      <c r="A557">
        <v>110009723255</v>
      </c>
      <c r="B557" t="s">
        <v>1542</v>
      </c>
    </row>
    <row r="558" spans="1:2" x14ac:dyDescent="0.25">
      <c r="A558">
        <v>110018199377</v>
      </c>
      <c r="B558" t="s">
        <v>5457</v>
      </c>
    </row>
    <row r="559" spans="1:2" x14ac:dyDescent="0.25">
      <c r="A559">
        <v>110064629442</v>
      </c>
      <c r="B559" t="s">
        <v>1542</v>
      </c>
    </row>
    <row r="560" spans="1:2" x14ac:dyDescent="0.25">
      <c r="A560">
        <v>110064644782</v>
      </c>
      <c r="B560" t="s">
        <v>5457</v>
      </c>
    </row>
    <row r="561" spans="1:2" x14ac:dyDescent="0.25">
      <c r="A561">
        <v>110006748804</v>
      </c>
      <c r="B561" t="s">
        <v>1542</v>
      </c>
    </row>
    <row r="562" spans="1:2" x14ac:dyDescent="0.25">
      <c r="A562">
        <v>110039639736</v>
      </c>
      <c r="B562" t="s">
        <v>1542</v>
      </c>
    </row>
    <row r="563" spans="1:2" x14ac:dyDescent="0.25">
      <c r="A563">
        <v>110039784668</v>
      </c>
      <c r="B563" t="s">
        <v>1542</v>
      </c>
    </row>
    <row r="564" spans="1:2" x14ac:dyDescent="0.25">
      <c r="A564">
        <v>110024584163</v>
      </c>
      <c r="B564" t="s">
        <v>1542</v>
      </c>
    </row>
    <row r="565" spans="1:2" x14ac:dyDescent="0.25">
      <c r="A565">
        <v>110001123276</v>
      </c>
      <c r="B565" t="s">
        <v>1542</v>
      </c>
    </row>
    <row r="566" spans="1:2" x14ac:dyDescent="0.25">
      <c r="A566">
        <v>110000759723</v>
      </c>
      <c r="B566" t="s">
        <v>1542</v>
      </c>
    </row>
    <row r="567" spans="1:2" x14ac:dyDescent="0.25">
      <c r="A567">
        <v>110000599479</v>
      </c>
      <c r="B567" t="s">
        <v>5457</v>
      </c>
    </row>
    <row r="568" spans="1:2" x14ac:dyDescent="0.25">
      <c r="A568">
        <v>110063873553</v>
      </c>
      <c r="B568" t="s">
        <v>5457</v>
      </c>
    </row>
    <row r="569" spans="1:2" x14ac:dyDescent="0.25">
      <c r="A569">
        <v>110009531792</v>
      </c>
      <c r="B569" t="s">
        <v>1542</v>
      </c>
    </row>
    <row r="570" spans="1:2" x14ac:dyDescent="0.25">
      <c r="A570">
        <v>110070941437</v>
      </c>
      <c r="B570" t="s">
        <v>1542</v>
      </c>
    </row>
    <row r="571" spans="1:2" x14ac:dyDescent="0.25">
      <c r="A571">
        <v>110009066278</v>
      </c>
      <c r="B571" t="s">
        <v>5457</v>
      </c>
    </row>
    <row r="572" spans="1:2" x14ac:dyDescent="0.25">
      <c r="A572">
        <v>110010135692</v>
      </c>
      <c r="B572" t="s">
        <v>1542</v>
      </c>
    </row>
    <row r="573" spans="1:2" x14ac:dyDescent="0.25">
      <c r="A573">
        <v>110000486304</v>
      </c>
      <c r="B573" t="s">
        <v>5457</v>
      </c>
    </row>
    <row r="574" spans="1:2" x14ac:dyDescent="0.25">
      <c r="A574">
        <v>110006752371</v>
      </c>
      <c r="B574" t="s">
        <v>1542</v>
      </c>
    </row>
    <row r="575" spans="1:2" x14ac:dyDescent="0.25">
      <c r="A575">
        <v>110000741608</v>
      </c>
      <c r="B575" t="s">
        <v>5457</v>
      </c>
    </row>
    <row r="576" spans="1:2" x14ac:dyDescent="0.25">
      <c r="A576">
        <v>110006783150</v>
      </c>
      <c r="B576" t="s">
        <v>1542</v>
      </c>
    </row>
    <row r="577" spans="1:2" x14ac:dyDescent="0.25">
      <c r="A577">
        <v>110000526538</v>
      </c>
      <c r="B577" t="s">
        <v>1542</v>
      </c>
    </row>
    <row r="578" spans="1:2" x14ac:dyDescent="0.25">
      <c r="A578">
        <v>110001174489</v>
      </c>
      <c r="B578" t="s">
        <v>1542</v>
      </c>
    </row>
    <row r="579" spans="1:2" x14ac:dyDescent="0.25">
      <c r="A579">
        <v>110059716776</v>
      </c>
      <c r="B579" t="s">
        <v>1542</v>
      </c>
    </row>
    <row r="580" spans="1:2" x14ac:dyDescent="0.25">
      <c r="A580">
        <v>110000476057</v>
      </c>
      <c r="B580" t="s">
        <v>5457</v>
      </c>
    </row>
    <row r="581" spans="1:2" x14ac:dyDescent="0.25">
      <c r="A581">
        <v>110010058016</v>
      </c>
      <c r="B581" t="s">
        <v>5457</v>
      </c>
    </row>
    <row r="582" spans="1:2" x14ac:dyDescent="0.25">
      <c r="A582">
        <v>110070097711</v>
      </c>
      <c r="B582" t="s">
        <v>5457</v>
      </c>
    </row>
    <row r="583" spans="1:2" x14ac:dyDescent="0.25">
      <c r="A583">
        <v>110039276404</v>
      </c>
      <c r="B583" t="s">
        <v>1542</v>
      </c>
    </row>
    <row r="584" spans="1:2" x14ac:dyDescent="0.25">
      <c r="A584">
        <v>110040066424</v>
      </c>
      <c r="B584" t="s">
        <v>5458</v>
      </c>
    </row>
    <row r="585" spans="1:2" x14ac:dyDescent="0.25">
      <c r="A585">
        <v>110002041380</v>
      </c>
      <c r="B585" t="s">
        <v>1542</v>
      </c>
    </row>
    <row r="586" spans="1:2" x14ac:dyDescent="0.25">
      <c r="A586">
        <v>110015044628</v>
      </c>
      <c r="B586" t="s">
        <v>5457</v>
      </c>
    </row>
    <row r="587" spans="1:2" x14ac:dyDescent="0.25">
      <c r="A587">
        <v>110008479397</v>
      </c>
      <c r="B587" t="s">
        <v>5457</v>
      </c>
    </row>
    <row r="588" spans="1:2" x14ac:dyDescent="0.25">
      <c r="A588">
        <v>110000796069</v>
      </c>
      <c r="B588" t="s">
        <v>5457</v>
      </c>
    </row>
    <row r="589" spans="1:2" x14ac:dyDescent="0.25">
      <c r="A589">
        <v>110000450057</v>
      </c>
      <c r="B589" t="s">
        <v>5457</v>
      </c>
    </row>
    <row r="590" spans="1:2" x14ac:dyDescent="0.25">
      <c r="A590">
        <v>110000450100</v>
      </c>
      <c r="B590" t="s">
        <v>5457</v>
      </c>
    </row>
    <row r="591" spans="1:2" x14ac:dyDescent="0.25">
      <c r="A591">
        <v>110000759732</v>
      </c>
      <c r="B591" t="s">
        <v>1542</v>
      </c>
    </row>
    <row r="592" spans="1:2" x14ac:dyDescent="0.25">
      <c r="A592">
        <v>110018999994</v>
      </c>
      <c r="B592" t="s">
        <v>5458</v>
      </c>
    </row>
    <row r="593" spans="1:2" x14ac:dyDescent="0.25">
      <c r="A593">
        <v>110000582003</v>
      </c>
      <c r="B593" t="s">
        <v>5457</v>
      </c>
    </row>
    <row r="594" spans="1:2" x14ac:dyDescent="0.25">
      <c r="A594">
        <v>110064065924</v>
      </c>
      <c r="B594" t="s">
        <v>5457</v>
      </c>
    </row>
    <row r="595" spans="1:2" x14ac:dyDescent="0.25">
      <c r="A595">
        <v>110017769734</v>
      </c>
      <c r="B595" t="s">
        <v>5457</v>
      </c>
    </row>
    <row r="596" spans="1:2" x14ac:dyDescent="0.25">
      <c r="A596">
        <v>110000597355</v>
      </c>
      <c r="B596" t="s">
        <v>5457</v>
      </c>
    </row>
    <row r="597" spans="1:2" x14ac:dyDescent="0.25">
      <c r="A597">
        <v>110000461045</v>
      </c>
      <c r="B597" t="s">
        <v>5457</v>
      </c>
    </row>
    <row r="598" spans="1:2" x14ac:dyDescent="0.25">
      <c r="A598">
        <v>110056537804</v>
      </c>
      <c r="B598" t="s">
        <v>5457</v>
      </c>
    </row>
    <row r="599" spans="1:2" x14ac:dyDescent="0.25">
      <c r="A599">
        <v>110027373072</v>
      </c>
      <c r="B599" t="s">
        <v>5457</v>
      </c>
    </row>
    <row r="600" spans="1:2" x14ac:dyDescent="0.25">
      <c r="A600">
        <v>110070320026</v>
      </c>
      <c r="B600" t="s">
        <v>5457</v>
      </c>
    </row>
    <row r="601" spans="1:2" x14ac:dyDescent="0.25">
      <c r="A601">
        <v>110006783757</v>
      </c>
      <c r="B601" t="s">
        <v>1542</v>
      </c>
    </row>
    <row r="602" spans="1:2" x14ac:dyDescent="0.25">
      <c r="A602">
        <v>110010058757</v>
      </c>
      <c r="B602" t="s">
        <v>1542</v>
      </c>
    </row>
    <row r="603" spans="1:2" x14ac:dyDescent="0.25">
      <c r="A603">
        <v>110000526048</v>
      </c>
      <c r="B603" t="s">
        <v>1542</v>
      </c>
    </row>
    <row r="604" spans="1:2" x14ac:dyDescent="0.25">
      <c r="A604">
        <v>110039755360</v>
      </c>
      <c r="B604" t="s">
        <v>1542</v>
      </c>
    </row>
    <row r="605" spans="1:2" x14ac:dyDescent="0.25">
      <c r="A605">
        <v>110041133163</v>
      </c>
      <c r="B605" t="s">
        <v>5457</v>
      </c>
    </row>
    <row r="606" spans="1:2" x14ac:dyDescent="0.25">
      <c r="A606">
        <v>110000730406</v>
      </c>
      <c r="B606" t="s">
        <v>1542</v>
      </c>
    </row>
    <row r="607" spans="1:2" x14ac:dyDescent="0.25">
      <c r="A607">
        <v>110001161091</v>
      </c>
      <c r="B607" t="s">
        <v>1542</v>
      </c>
    </row>
    <row r="608" spans="1:2" x14ac:dyDescent="0.25">
      <c r="A608">
        <v>110000911309</v>
      </c>
      <c r="B608" t="s">
        <v>5457</v>
      </c>
    </row>
    <row r="609" spans="1:2" x14ac:dyDescent="0.25">
      <c r="A609">
        <v>110000462339</v>
      </c>
      <c r="B609" t="s">
        <v>5457</v>
      </c>
    </row>
    <row r="610" spans="1:2" x14ac:dyDescent="0.25">
      <c r="A610">
        <v>110000759402</v>
      </c>
      <c r="B610" t="s">
        <v>1542</v>
      </c>
    </row>
    <row r="611" spans="1:2" x14ac:dyDescent="0.25">
      <c r="A611">
        <v>110033164787</v>
      </c>
      <c r="B611" t="s">
        <v>1542</v>
      </c>
    </row>
    <row r="612" spans="1:2" x14ac:dyDescent="0.25">
      <c r="A612">
        <v>110001173998</v>
      </c>
      <c r="B612" t="s">
        <v>5457</v>
      </c>
    </row>
    <row r="613" spans="1:2" x14ac:dyDescent="0.25">
      <c r="A613">
        <v>110055987491</v>
      </c>
      <c r="B613" t="s">
        <v>1542</v>
      </c>
    </row>
    <row r="614" spans="1:2" x14ac:dyDescent="0.25">
      <c r="A614">
        <v>110000508530</v>
      </c>
      <c r="B614" t="s">
        <v>1542</v>
      </c>
    </row>
    <row r="615" spans="1:2" x14ac:dyDescent="0.25">
      <c r="A615">
        <v>110000755200</v>
      </c>
      <c r="B615" t="s">
        <v>5457</v>
      </c>
    </row>
    <row r="616" spans="1:2" x14ac:dyDescent="0.25">
      <c r="A616">
        <v>110006126717</v>
      </c>
      <c r="B616" t="s">
        <v>5457</v>
      </c>
    </row>
    <row r="617" spans="1:2" x14ac:dyDescent="0.25">
      <c r="A617">
        <v>110017887214</v>
      </c>
      <c r="B617" t="s">
        <v>1542</v>
      </c>
    </row>
    <row r="618" spans="1:2" x14ac:dyDescent="0.25">
      <c r="A618">
        <v>110055887642</v>
      </c>
      <c r="B618" t="s">
        <v>1542</v>
      </c>
    </row>
    <row r="619" spans="1:2" x14ac:dyDescent="0.25">
      <c r="A619">
        <v>110000736286</v>
      </c>
      <c r="B619" t="s">
        <v>1542</v>
      </c>
    </row>
    <row r="620" spans="1:2" x14ac:dyDescent="0.25">
      <c r="A620">
        <v>110000486439</v>
      </c>
      <c r="B620" t="s">
        <v>5457</v>
      </c>
    </row>
    <row r="621" spans="1:2" x14ac:dyDescent="0.25">
      <c r="A621">
        <v>110000520696</v>
      </c>
      <c r="B621" t="s">
        <v>1542</v>
      </c>
    </row>
    <row r="622" spans="1:2" x14ac:dyDescent="0.25">
      <c r="A622">
        <v>110032769243</v>
      </c>
      <c r="B622" t="s">
        <v>1542</v>
      </c>
    </row>
    <row r="623" spans="1:2" x14ac:dyDescent="0.25">
      <c r="A623">
        <v>110000736302</v>
      </c>
      <c r="B623" t="s">
        <v>1542</v>
      </c>
    </row>
    <row r="624" spans="1:2" x14ac:dyDescent="0.25">
      <c r="A624">
        <v>110010135567</v>
      </c>
      <c r="B624" t="s">
        <v>1542</v>
      </c>
    </row>
    <row r="625" spans="1:2" x14ac:dyDescent="0.25">
      <c r="A625">
        <v>110024409433</v>
      </c>
      <c r="B625" t="s">
        <v>1542</v>
      </c>
    </row>
    <row r="626" spans="1:2" x14ac:dyDescent="0.25">
      <c r="A626">
        <v>110059861065</v>
      </c>
      <c r="B626" t="s">
        <v>5457</v>
      </c>
    </row>
    <row r="627" spans="1:2" x14ac:dyDescent="0.25">
      <c r="A627">
        <v>110071349304</v>
      </c>
      <c r="B627" t="s">
        <v>5457</v>
      </c>
    </row>
    <row r="628" spans="1:2" x14ac:dyDescent="0.25">
      <c r="A628">
        <v>110070159157</v>
      </c>
      <c r="B628" t="s">
        <v>5457</v>
      </c>
    </row>
    <row r="629" spans="1:2" x14ac:dyDescent="0.25">
      <c r="A629">
        <v>110000563523</v>
      </c>
      <c r="B629" t="s">
        <v>1542</v>
      </c>
    </row>
    <row r="630" spans="1:2" x14ac:dyDescent="0.25">
      <c r="A630">
        <v>110010896352</v>
      </c>
      <c r="B630" t="s">
        <v>1542</v>
      </c>
    </row>
    <row r="631" spans="1:2" x14ac:dyDescent="0.25">
      <c r="A631">
        <v>110070827538</v>
      </c>
      <c r="B631" t="s">
        <v>5457</v>
      </c>
    </row>
    <row r="632" spans="1:2" x14ac:dyDescent="0.25">
      <c r="A632">
        <v>110055369612</v>
      </c>
      <c r="B632" t="s">
        <v>5457</v>
      </c>
    </row>
    <row r="633" spans="1:2" x14ac:dyDescent="0.25">
      <c r="A633">
        <v>110000520865</v>
      </c>
      <c r="B633" t="s">
        <v>1542</v>
      </c>
    </row>
    <row r="634" spans="1:2" x14ac:dyDescent="0.25">
      <c r="A634">
        <v>110064628256</v>
      </c>
      <c r="B634" t="s">
        <v>5457</v>
      </c>
    </row>
    <row r="635" spans="1:2" x14ac:dyDescent="0.25">
      <c r="A635">
        <v>110064608820</v>
      </c>
      <c r="B635" t="s">
        <v>1542</v>
      </c>
    </row>
    <row r="636" spans="1:2" x14ac:dyDescent="0.25">
      <c r="A636">
        <v>110000746328</v>
      </c>
      <c r="B636" t="s">
        <v>5457</v>
      </c>
    </row>
    <row r="637" spans="1:2" x14ac:dyDescent="0.25">
      <c r="A637">
        <v>110070839766</v>
      </c>
      <c r="B637" t="s">
        <v>5457</v>
      </c>
    </row>
    <row r="638" spans="1:2" x14ac:dyDescent="0.25">
      <c r="A638">
        <v>110007235269</v>
      </c>
      <c r="B638" t="s">
        <v>5457</v>
      </c>
    </row>
    <row r="639" spans="1:2" x14ac:dyDescent="0.25">
      <c r="A639">
        <v>110070220610</v>
      </c>
      <c r="B639" t="s">
        <v>5457</v>
      </c>
    </row>
    <row r="640" spans="1:2" x14ac:dyDescent="0.25">
      <c r="A640">
        <v>110015632216</v>
      </c>
      <c r="B640" t="s">
        <v>1542</v>
      </c>
    </row>
    <row r="641" spans="1:2" x14ac:dyDescent="0.25">
      <c r="A641">
        <v>110015317423</v>
      </c>
      <c r="B641" t="s">
        <v>1542</v>
      </c>
    </row>
    <row r="642" spans="1:2" x14ac:dyDescent="0.25">
      <c r="A642">
        <v>110000449934</v>
      </c>
      <c r="B642" t="s">
        <v>5457</v>
      </c>
    </row>
    <row r="643" spans="1:2" x14ac:dyDescent="0.25">
      <c r="A643">
        <v>110000723085</v>
      </c>
      <c r="B643" t="s">
        <v>1542</v>
      </c>
    </row>
    <row r="644" spans="1:2" x14ac:dyDescent="0.25">
      <c r="A644">
        <v>110000730585</v>
      </c>
      <c r="B644" t="s">
        <v>1542</v>
      </c>
    </row>
    <row r="645" spans="1:2" x14ac:dyDescent="0.25">
      <c r="A645">
        <v>110070948151</v>
      </c>
      <c r="B645" t="s">
        <v>5457</v>
      </c>
    </row>
    <row r="646" spans="1:2" x14ac:dyDescent="0.25">
      <c r="A646">
        <v>110043782788</v>
      </c>
      <c r="B646" t="s">
        <v>5457</v>
      </c>
    </row>
    <row r="647" spans="1:2" x14ac:dyDescent="0.25">
      <c r="A647">
        <v>110056961480</v>
      </c>
      <c r="B647" t="s">
        <v>5457</v>
      </c>
    </row>
    <row r="648" spans="1:2" x14ac:dyDescent="0.25">
      <c r="A648">
        <v>110044810014</v>
      </c>
      <c r="B648" t="s">
        <v>5457</v>
      </c>
    </row>
    <row r="649" spans="1:2" x14ac:dyDescent="0.25">
      <c r="A649">
        <v>110000517263</v>
      </c>
      <c r="B649" t="s">
        <v>1542</v>
      </c>
    </row>
    <row r="650" spans="1:2" x14ac:dyDescent="0.25">
      <c r="A650">
        <v>110064634775</v>
      </c>
      <c r="B650" t="s">
        <v>5457</v>
      </c>
    </row>
    <row r="651" spans="1:2" x14ac:dyDescent="0.25">
      <c r="A651">
        <v>110000522596</v>
      </c>
      <c r="B651" t="s">
        <v>1542</v>
      </c>
    </row>
    <row r="652" spans="1:2" x14ac:dyDescent="0.25">
      <c r="A652">
        <v>110001103859</v>
      </c>
      <c r="B652" t="s">
        <v>5457</v>
      </c>
    </row>
    <row r="653" spans="1:2" x14ac:dyDescent="0.25">
      <c r="A653">
        <v>110000525539</v>
      </c>
      <c r="B653" t="s">
        <v>1542</v>
      </c>
    </row>
    <row r="654" spans="1:2" x14ac:dyDescent="0.25">
      <c r="A654">
        <v>110000526556</v>
      </c>
      <c r="B654" t="s">
        <v>1542</v>
      </c>
    </row>
    <row r="655" spans="1:2" x14ac:dyDescent="0.25">
      <c r="A655">
        <v>110000338536</v>
      </c>
      <c r="B655" t="s">
        <v>5457</v>
      </c>
    </row>
    <row r="656" spans="1:2" x14ac:dyDescent="0.25">
      <c r="A656">
        <v>110055984500</v>
      </c>
      <c r="B656" t="s">
        <v>1542</v>
      </c>
    </row>
    <row r="657" spans="1:2" x14ac:dyDescent="0.25">
      <c r="A657">
        <v>110031407225</v>
      </c>
      <c r="B657" t="s">
        <v>5457</v>
      </c>
    </row>
    <row r="658" spans="1:2" x14ac:dyDescent="0.25">
      <c r="A658">
        <v>110017880015</v>
      </c>
      <c r="B658" t="s">
        <v>5457</v>
      </c>
    </row>
    <row r="659" spans="1:2" x14ac:dyDescent="0.25">
      <c r="A659">
        <v>110055986562</v>
      </c>
      <c r="B659" t="s">
        <v>1542</v>
      </c>
    </row>
    <row r="660" spans="1:2" x14ac:dyDescent="0.25">
      <c r="A660">
        <v>110009938719</v>
      </c>
      <c r="B660" t="s">
        <v>1542</v>
      </c>
    </row>
    <row r="661" spans="1:2" x14ac:dyDescent="0.25">
      <c r="A661">
        <v>110067426654</v>
      </c>
      <c r="B661" t="s">
        <v>5457</v>
      </c>
    </row>
    <row r="662" spans="1:2" x14ac:dyDescent="0.25">
      <c r="A662">
        <v>110009938265</v>
      </c>
      <c r="B662" t="s">
        <v>1542</v>
      </c>
    </row>
    <row r="663" spans="1:2" x14ac:dyDescent="0.25">
      <c r="A663">
        <v>110000606602</v>
      </c>
      <c r="B663" t="s">
        <v>5457</v>
      </c>
    </row>
    <row r="664" spans="1:2" x14ac:dyDescent="0.25">
      <c r="A664">
        <v>110043316612</v>
      </c>
      <c r="B664" t="s">
        <v>1542</v>
      </c>
    </row>
    <row r="665" spans="1:2" x14ac:dyDescent="0.25">
      <c r="A665">
        <v>110000748095</v>
      </c>
      <c r="B665" t="s">
        <v>5457</v>
      </c>
    </row>
    <row r="666" spans="1:2" x14ac:dyDescent="0.25">
      <c r="A666">
        <v>110013775548</v>
      </c>
      <c r="B666" t="s">
        <v>1542</v>
      </c>
    </row>
    <row r="667" spans="1:2" x14ac:dyDescent="0.25">
      <c r="A667">
        <v>110013903990</v>
      </c>
      <c r="B667" t="s">
        <v>1542</v>
      </c>
    </row>
    <row r="668" spans="1:2" x14ac:dyDescent="0.25">
      <c r="A668">
        <v>110055699882</v>
      </c>
      <c r="B668" t="s">
        <v>1542</v>
      </c>
    </row>
    <row r="669" spans="1:2" x14ac:dyDescent="0.25">
      <c r="A669">
        <v>110000780851</v>
      </c>
      <c r="B669" t="s">
        <v>5457</v>
      </c>
    </row>
    <row r="670" spans="1:2" x14ac:dyDescent="0.25">
      <c r="A670">
        <v>110063880812</v>
      </c>
      <c r="B670" t="s">
        <v>1542</v>
      </c>
    </row>
    <row r="671" spans="1:2" x14ac:dyDescent="0.25">
      <c r="A671">
        <v>110000483245</v>
      </c>
      <c r="B671" t="s">
        <v>5457</v>
      </c>
    </row>
    <row r="672" spans="1:2" x14ac:dyDescent="0.25">
      <c r="A672">
        <v>110061115859</v>
      </c>
      <c r="B672" t="s">
        <v>1542</v>
      </c>
    </row>
    <row r="673" spans="1:2" x14ac:dyDescent="0.25">
      <c r="A673">
        <v>110002408528</v>
      </c>
      <c r="B673" t="s">
        <v>5457</v>
      </c>
    </row>
    <row r="674" spans="1:2" x14ac:dyDescent="0.25">
      <c r="A674">
        <v>110071222665</v>
      </c>
      <c r="B674" t="s">
        <v>1542</v>
      </c>
    </row>
    <row r="675" spans="1:2" x14ac:dyDescent="0.25">
      <c r="A675">
        <v>110025404417</v>
      </c>
      <c r="B675" t="s">
        <v>5457</v>
      </c>
    </row>
    <row r="676" spans="1:2" x14ac:dyDescent="0.25">
      <c r="A676">
        <v>110000490898</v>
      </c>
      <c r="B676" t="s">
        <v>5457</v>
      </c>
    </row>
    <row r="677" spans="1:2" x14ac:dyDescent="0.25">
      <c r="A677">
        <v>110025317663</v>
      </c>
      <c r="B677" t="s">
        <v>5457</v>
      </c>
    </row>
    <row r="678" spans="1:2" x14ac:dyDescent="0.25">
      <c r="A678">
        <v>110039782349</v>
      </c>
      <c r="B678" t="s">
        <v>1542</v>
      </c>
    </row>
    <row r="679" spans="1:2" x14ac:dyDescent="0.25">
      <c r="A679">
        <v>110037253281</v>
      </c>
      <c r="B679" t="s">
        <v>1542</v>
      </c>
    </row>
    <row r="680" spans="1:2" x14ac:dyDescent="0.25">
      <c r="A680">
        <v>110001191004</v>
      </c>
      <c r="B680" t="s">
        <v>5457</v>
      </c>
    </row>
    <row r="681" spans="1:2" x14ac:dyDescent="0.25">
      <c r="A681">
        <v>110040078279</v>
      </c>
      <c r="B681" t="s">
        <v>5457</v>
      </c>
    </row>
    <row r="682" spans="1:2" x14ac:dyDescent="0.25">
      <c r="A682">
        <v>110000736231</v>
      </c>
      <c r="B682" t="s">
        <v>1542</v>
      </c>
    </row>
    <row r="683" spans="1:2" x14ac:dyDescent="0.25">
      <c r="A683">
        <v>110000516950</v>
      </c>
      <c r="B683" t="s">
        <v>1542</v>
      </c>
    </row>
    <row r="684" spans="1:2" x14ac:dyDescent="0.25">
      <c r="A684">
        <v>110006752415</v>
      </c>
      <c r="B684" t="s">
        <v>1542</v>
      </c>
    </row>
    <row r="685" spans="1:2" x14ac:dyDescent="0.25">
      <c r="A685">
        <v>110000595981</v>
      </c>
      <c r="B685" t="s">
        <v>5457</v>
      </c>
    </row>
    <row r="686" spans="1:2" x14ac:dyDescent="0.25">
      <c r="A686">
        <v>110055997060</v>
      </c>
      <c r="B686" t="s">
        <v>1542</v>
      </c>
    </row>
    <row r="687" spans="1:2" x14ac:dyDescent="0.25">
      <c r="A687">
        <v>110000761505</v>
      </c>
      <c r="B687" t="s">
        <v>1542</v>
      </c>
    </row>
    <row r="688" spans="1:2" x14ac:dyDescent="0.25">
      <c r="A688">
        <v>110003266849</v>
      </c>
      <c r="B688" t="s">
        <v>5457</v>
      </c>
    </row>
    <row r="689" spans="1:2" x14ac:dyDescent="0.25">
      <c r="A689">
        <v>110000730335</v>
      </c>
      <c r="B689" t="s">
        <v>1542</v>
      </c>
    </row>
    <row r="690" spans="1:2" x14ac:dyDescent="0.25">
      <c r="A690">
        <v>110000523158</v>
      </c>
      <c r="B690" t="s">
        <v>1542</v>
      </c>
    </row>
    <row r="691" spans="1:2" x14ac:dyDescent="0.25">
      <c r="A691">
        <v>110066843973</v>
      </c>
      <c r="B691" t="s">
        <v>5457</v>
      </c>
    </row>
    <row r="692" spans="1:2" x14ac:dyDescent="0.25">
      <c r="A692">
        <v>110000597596</v>
      </c>
      <c r="B692" t="s">
        <v>5457</v>
      </c>
    </row>
    <row r="693" spans="1:2" x14ac:dyDescent="0.25">
      <c r="A693">
        <v>110010058123</v>
      </c>
      <c r="B693" t="s">
        <v>5457</v>
      </c>
    </row>
    <row r="694" spans="1:2" x14ac:dyDescent="0.25">
      <c r="A694">
        <v>110000719045</v>
      </c>
      <c r="B694" t="s">
        <v>1542</v>
      </c>
    </row>
    <row r="695" spans="1:2" x14ac:dyDescent="0.25">
      <c r="A695">
        <v>110004300596</v>
      </c>
      <c r="B695" t="s">
        <v>5457</v>
      </c>
    </row>
    <row r="696" spans="1:2" x14ac:dyDescent="0.25">
      <c r="A696">
        <v>110040000398</v>
      </c>
      <c r="B696" t="s">
        <v>1542</v>
      </c>
    </row>
    <row r="697" spans="1:2" x14ac:dyDescent="0.25">
      <c r="A697">
        <v>110006367127</v>
      </c>
      <c r="B697" t="s">
        <v>1542</v>
      </c>
    </row>
    <row r="698" spans="1:2" x14ac:dyDescent="0.25">
      <c r="A698">
        <v>110000732208</v>
      </c>
      <c r="B698" t="s">
        <v>1542</v>
      </c>
    </row>
    <row r="699" spans="1:2" x14ac:dyDescent="0.25">
      <c r="A699">
        <v>110045691391</v>
      </c>
      <c r="B699" t="s">
        <v>5457</v>
      </c>
    </row>
    <row r="700" spans="1:2" x14ac:dyDescent="0.25">
      <c r="A700">
        <v>110000761104</v>
      </c>
      <c r="B700" t="s">
        <v>1542</v>
      </c>
    </row>
    <row r="701" spans="1:2" x14ac:dyDescent="0.25">
      <c r="A701">
        <v>110000597319</v>
      </c>
      <c r="B701" t="s">
        <v>5457</v>
      </c>
    </row>
    <row r="702" spans="1:2" x14ac:dyDescent="0.25">
      <c r="A702">
        <v>110000526529</v>
      </c>
      <c r="B702" t="s">
        <v>1542</v>
      </c>
    </row>
    <row r="703" spans="1:2" x14ac:dyDescent="0.25">
      <c r="A703">
        <v>110009542192</v>
      </c>
      <c r="B703" t="s">
        <v>1542</v>
      </c>
    </row>
    <row r="704" spans="1:2" x14ac:dyDescent="0.25">
      <c r="A704">
        <v>110000322311</v>
      </c>
      <c r="B704" t="s">
        <v>5457</v>
      </c>
    </row>
    <row r="705" spans="1:2" x14ac:dyDescent="0.25">
      <c r="A705">
        <v>110064626855</v>
      </c>
      <c r="B705" t="s">
        <v>1542</v>
      </c>
    </row>
    <row r="706" spans="1:2" x14ac:dyDescent="0.25">
      <c r="A706">
        <v>110010755272</v>
      </c>
      <c r="B706" t="s">
        <v>1542</v>
      </c>
    </row>
    <row r="707" spans="1:2" x14ac:dyDescent="0.25">
      <c r="A707">
        <v>110000449952</v>
      </c>
      <c r="B707" t="s">
        <v>5457</v>
      </c>
    </row>
    <row r="708" spans="1:2" x14ac:dyDescent="0.25">
      <c r="A708">
        <v>110001263855</v>
      </c>
      <c r="B708" t="s">
        <v>5457</v>
      </c>
    </row>
    <row r="709" spans="1:2" x14ac:dyDescent="0.25">
      <c r="A709">
        <v>110043761818</v>
      </c>
      <c r="B709" t="s">
        <v>5457</v>
      </c>
    </row>
    <row r="710" spans="1:2" x14ac:dyDescent="0.25">
      <c r="A710">
        <v>110006783463</v>
      </c>
      <c r="B710" t="s">
        <v>1542</v>
      </c>
    </row>
    <row r="711" spans="1:2" x14ac:dyDescent="0.25">
      <c r="A711">
        <v>110065436102</v>
      </c>
      <c r="B711" t="s">
        <v>1542</v>
      </c>
    </row>
    <row r="712" spans="1:2" x14ac:dyDescent="0.25">
      <c r="A712">
        <v>110006751997</v>
      </c>
      <c r="B712" t="s">
        <v>1542</v>
      </c>
    </row>
    <row r="713" spans="1:2" x14ac:dyDescent="0.25">
      <c r="A713">
        <v>110049249075</v>
      </c>
      <c r="B713" t="s">
        <v>5457</v>
      </c>
    </row>
    <row r="714" spans="1:2" x14ac:dyDescent="0.25">
      <c r="A714">
        <v>110006783178</v>
      </c>
      <c r="B714" t="s">
        <v>1542</v>
      </c>
    </row>
    <row r="715" spans="1:2" x14ac:dyDescent="0.25">
      <c r="A715">
        <v>110002421246</v>
      </c>
      <c r="B715" t="s">
        <v>5457</v>
      </c>
    </row>
    <row r="716" spans="1:2" x14ac:dyDescent="0.25">
      <c r="A716">
        <v>110039757992</v>
      </c>
      <c r="B716" t="s">
        <v>1542</v>
      </c>
    </row>
    <row r="717" spans="1:2" x14ac:dyDescent="0.25">
      <c r="A717">
        <v>110039498674</v>
      </c>
      <c r="B717" t="s">
        <v>5457</v>
      </c>
    </row>
    <row r="718" spans="1:2" x14ac:dyDescent="0.25">
      <c r="A718">
        <v>110055986811</v>
      </c>
      <c r="B718" t="s">
        <v>1542</v>
      </c>
    </row>
    <row r="719" spans="1:2" x14ac:dyDescent="0.25">
      <c r="A719">
        <v>110000463178</v>
      </c>
      <c r="B719" t="s">
        <v>5457</v>
      </c>
    </row>
    <row r="720" spans="1:2" x14ac:dyDescent="0.25">
      <c r="A720">
        <v>110009830273</v>
      </c>
      <c r="B720" t="s">
        <v>5457</v>
      </c>
    </row>
    <row r="721" spans="1:2" x14ac:dyDescent="0.25">
      <c r="A721">
        <v>110000380061</v>
      </c>
      <c r="B721" t="s">
        <v>5457</v>
      </c>
    </row>
    <row r="722" spans="1:2" x14ac:dyDescent="0.25">
      <c r="A722">
        <v>110000462623</v>
      </c>
      <c r="B722" t="s">
        <v>5457</v>
      </c>
    </row>
    <row r="723" spans="1:2" x14ac:dyDescent="0.25">
      <c r="A723">
        <v>110031112659</v>
      </c>
      <c r="B723" t="s">
        <v>1542</v>
      </c>
    </row>
    <row r="724" spans="1:2" x14ac:dyDescent="0.25">
      <c r="A724">
        <v>110000915421</v>
      </c>
      <c r="B724" t="s">
        <v>1542</v>
      </c>
    </row>
    <row r="725" spans="1:2" x14ac:dyDescent="0.25">
      <c r="A725">
        <v>110057093149</v>
      </c>
      <c r="B725" t="s">
        <v>5457</v>
      </c>
    </row>
    <row r="726" spans="1:2" x14ac:dyDescent="0.25">
      <c r="A726">
        <v>110000523256</v>
      </c>
      <c r="B726" t="s">
        <v>1542</v>
      </c>
    </row>
    <row r="727" spans="1:2" x14ac:dyDescent="0.25">
      <c r="A727">
        <v>110045091379</v>
      </c>
      <c r="B727" t="s">
        <v>1542</v>
      </c>
    </row>
    <row r="728" spans="1:2" x14ac:dyDescent="0.25">
      <c r="A728">
        <v>110031267260</v>
      </c>
      <c r="B728" t="s">
        <v>1542</v>
      </c>
    </row>
    <row r="729" spans="1:2" x14ac:dyDescent="0.25">
      <c r="A729">
        <v>110000918071</v>
      </c>
      <c r="B729" t="s">
        <v>5457</v>
      </c>
    </row>
    <row r="730" spans="1:2" x14ac:dyDescent="0.25">
      <c r="A730">
        <v>110070833198</v>
      </c>
      <c r="B730" t="s">
        <v>1542</v>
      </c>
    </row>
    <row r="731" spans="1:2" x14ac:dyDescent="0.25">
      <c r="A731">
        <v>110016662011</v>
      </c>
      <c r="B731" t="s">
        <v>1542</v>
      </c>
    </row>
    <row r="732" spans="1:2" x14ac:dyDescent="0.25">
      <c r="A732">
        <v>110039939029</v>
      </c>
      <c r="B732" t="s">
        <v>1542</v>
      </c>
    </row>
    <row r="733" spans="1:2" x14ac:dyDescent="0.25">
      <c r="A733">
        <v>110015584330</v>
      </c>
      <c r="B733" t="s">
        <v>1542</v>
      </c>
    </row>
    <row r="734" spans="1:2" x14ac:dyDescent="0.25">
      <c r="A734">
        <v>110067558663</v>
      </c>
      <c r="B734" t="s">
        <v>1542</v>
      </c>
    </row>
    <row r="735" spans="1:2" x14ac:dyDescent="0.25">
      <c r="A735">
        <v>110015944077</v>
      </c>
      <c r="B735" t="s">
        <v>1542</v>
      </c>
    </row>
    <row r="736" spans="1:2" x14ac:dyDescent="0.25">
      <c r="A736">
        <v>110015539210</v>
      </c>
      <c r="B736" t="s">
        <v>1542</v>
      </c>
    </row>
    <row r="737" spans="1:2" x14ac:dyDescent="0.25">
      <c r="A737">
        <v>110071710628</v>
      </c>
      <c r="B737" t="s">
        <v>1542</v>
      </c>
    </row>
    <row r="738" spans="1:2" x14ac:dyDescent="0.25">
      <c r="A738">
        <v>110010134363</v>
      </c>
      <c r="B738" t="s">
        <v>1542</v>
      </c>
    </row>
    <row r="739" spans="1:2" x14ac:dyDescent="0.25">
      <c r="A739">
        <v>110035769521</v>
      </c>
      <c r="B739" t="s">
        <v>1542</v>
      </c>
    </row>
    <row r="740" spans="1:2" x14ac:dyDescent="0.25">
      <c r="A740">
        <v>110064281959</v>
      </c>
      <c r="B740" t="s">
        <v>1542</v>
      </c>
    </row>
    <row r="741" spans="1:2" x14ac:dyDescent="0.25">
      <c r="A741">
        <v>110013154692</v>
      </c>
      <c r="B741" t="s">
        <v>1542</v>
      </c>
    </row>
    <row r="742" spans="1:2" x14ac:dyDescent="0.25">
      <c r="A742">
        <v>110055985536</v>
      </c>
      <c r="B742" t="s">
        <v>1542</v>
      </c>
    </row>
    <row r="743" spans="1:2" x14ac:dyDescent="0.25">
      <c r="A743">
        <v>110015972606</v>
      </c>
      <c r="B743" t="s">
        <v>5457</v>
      </c>
    </row>
    <row r="744" spans="1:2" x14ac:dyDescent="0.25">
      <c r="A744">
        <v>110014402315</v>
      </c>
      <c r="B744" t="s">
        <v>5457</v>
      </c>
    </row>
    <row r="745" spans="1:2" x14ac:dyDescent="0.25">
      <c r="A745">
        <v>110000876936</v>
      </c>
      <c r="B745" t="s">
        <v>1542</v>
      </c>
    </row>
    <row r="746" spans="1:2" x14ac:dyDescent="0.25">
      <c r="A746">
        <v>110024463962</v>
      </c>
      <c r="B746" t="s">
        <v>1542</v>
      </c>
    </row>
    <row r="747" spans="1:2" x14ac:dyDescent="0.25">
      <c r="A747">
        <v>110055499456</v>
      </c>
      <c r="B747" t="s">
        <v>5457</v>
      </c>
    </row>
    <row r="748" spans="1:2" x14ac:dyDescent="0.25">
      <c r="A748">
        <v>110054612558</v>
      </c>
      <c r="B748" t="s">
        <v>5457</v>
      </c>
    </row>
    <row r="749" spans="1:2" x14ac:dyDescent="0.25">
      <c r="A749">
        <v>110000448766</v>
      </c>
      <c r="B749" t="s">
        <v>5457</v>
      </c>
    </row>
    <row r="750" spans="1:2" x14ac:dyDescent="0.25">
      <c r="A750">
        <v>110000510144</v>
      </c>
      <c r="B750" t="s">
        <v>1542</v>
      </c>
    </row>
    <row r="751" spans="1:2" x14ac:dyDescent="0.25">
      <c r="A751">
        <v>110009577145</v>
      </c>
      <c r="B751" t="s">
        <v>5457</v>
      </c>
    </row>
    <row r="752" spans="1:2" x14ac:dyDescent="0.25">
      <c r="A752">
        <v>110009582424</v>
      </c>
      <c r="B752" t="s">
        <v>5457</v>
      </c>
    </row>
    <row r="753" spans="1:2" x14ac:dyDescent="0.25">
      <c r="A753">
        <v>110000463221</v>
      </c>
      <c r="B753" t="s">
        <v>5457</v>
      </c>
    </row>
    <row r="754" spans="1:2" x14ac:dyDescent="0.25">
      <c r="A754">
        <v>110000734643</v>
      </c>
      <c r="B754" t="s">
        <v>1542</v>
      </c>
    </row>
    <row r="755" spans="1:2" x14ac:dyDescent="0.25">
      <c r="A755">
        <v>110006783686</v>
      </c>
      <c r="B755" t="s">
        <v>5457</v>
      </c>
    </row>
    <row r="756" spans="1:2" x14ac:dyDescent="0.25">
      <c r="A756">
        <v>110070144960</v>
      </c>
      <c r="B756" t="s">
        <v>1542</v>
      </c>
    </row>
    <row r="757" spans="1:2" x14ac:dyDescent="0.25">
      <c r="A757">
        <v>110009914842</v>
      </c>
      <c r="B757" t="s">
        <v>5457</v>
      </c>
    </row>
    <row r="758" spans="1:2" x14ac:dyDescent="0.25">
      <c r="A758">
        <v>110002427384</v>
      </c>
      <c r="B758" t="s">
        <v>1542</v>
      </c>
    </row>
    <row r="759" spans="1:2" x14ac:dyDescent="0.25">
      <c r="A759">
        <v>110060376917</v>
      </c>
      <c r="B759" t="s">
        <v>5457</v>
      </c>
    </row>
    <row r="760" spans="1:2" x14ac:dyDescent="0.25">
      <c r="A760">
        <v>110008476327</v>
      </c>
      <c r="B760" t="s">
        <v>5457</v>
      </c>
    </row>
    <row r="761" spans="1:2" x14ac:dyDescent="0.25">
      <c r="A761">
        <v>110010058034</v>
      </c>
      <c r="B761" t="s">
        <v>1542</v>
      </c>
    </row>
    <row r="762" spans="1:2" x14ac:dyDescent="0.25">
      <c r="A762">
        <v>110039994897</v>
      </c>
      <c r="B762" t="s">
        <v>1542</v>
      </c>
    </row>
    <row r="763" spans="1:2" x14ac:dyDescent="0.25">
      <c r="A763">
        <v>110015564110</v>
      </c>
      <c r="B763" t="s">
        <v>1542</v>
      </c>
    </row>
    <row r="764" spans="1:2" x14ac:dyDescent="0.25">
      <c r="A764">
        <v>110009148911</v>
      </c>
      <c r="B764" t="s">
        <v>1542</v>
      </c>
    </row>
    <row r="765" spans="1:2" x14ac:dyDescent="0.25">
      <c r="A765">
        <v>110006656797</v>
      </c>
      <c r="B765" t="s">
        <v>5457</v>
      </c>
    </row>
    <row r="766" spans="1:2" x14ac:dyDescent="0.25">
      <c r="A766">
        <v>110000450477</v>
      </c>
      <c r="B766" t="s">
        <v>5457</v>
      </c>
    </row>
    <row r="767" spans="1:2" x14ac:dyDescent="0.25">
      <c r="A767">
        <v>110000747835</v>
      </c>
      <c r="B767" t="s">
        <v>5457</v>
      </c>
    </row>
    <row r="768" spans="1:2" x14ac:dyDescent="0.25">
      <c r="A768">
        <v>110010677829</v>
      </c>
      <c r="B768" t="s">
        <v>1542</v>
      </c>
    </row>
    <row r="769" spans="1:2" x14ac:dyDescent="0.25">
      <c r="A769">
        <v>110015943559</v>
      </c>
      <c r="B769" t="s">
        <v>5457</v>
      </c>
    </row>
    <row r="770" spans="1:2" x14ac:dyDescent="0.25">
      <c r="A770">
        <v>110046184516</v>
      </c>
      <c r="B770" t="s">
        <v>5458</v>
      </c>
    </row>
    <row r="771" spans="1:2" x14ac:dyDescent="0.25">
      <c r="A771">
        <v>110046184516</v>
      </c>
      <c r="B771" t="s">
        <v>5457</v>
      </c>
    </row>
    <row r="772" spans="1:2" x14ac:dyDescent="0.25">
      <c r="A772">
        <v>110013362770</v>
      </c>
      <c r="B772" t="s">
        <v>5457</v>
      </c>
    </row>
    <row r="773" spans="1:2" x14ac:dyDescent="0.25">
      <c r="A773">
        <v>110000522710</v>
      </c>
      <c r="B773" t="s">
        <v>1542</v>
      </c>
    </row>
    <row r="774" spans="1:2" x14ac:dyDescent="0.25">
      <c r="A774">
        <v>110017237373</v>
      </c>
      <c r="B774" t="s">
        <v>5457</v>
      </c>
    </row>
    <row r="775" spans="1:2" x14ac:dyDescent="0.25">
      <c r="A775">
        <v>110012150858</v>
      </c>
      <c r="B775" t="s">
        <v>5457</v>
      </c>
    </row>
    <row r="776" spans="1:2" x14ac:dyDescent="0.25">
      <c r="A776">
        <v>110000463702</v>
      </c>
      <c r="B776" t="s">
        <v>5457</v>
      </c>
    </row>
    <row r="777" spans="1:2" x14ac:dyDescent="0.25">
      <c r="A777">
        <v>110056954880</v>
      </c>
      <c r="B777" t="s">
        <v>5457</v>
      </c>
    </row>
    <row r="778" spans="1:2" x14ac:dyDescent="0.25">
      <c r="A778">
        <v>110000482807</v>
      </c>
      <c r="B778" t="s">
        <v>5457</v>
      </c>
    </row>
    <row r="779" spans="1:2" x14ac:dyDescent="0.25">
      <c r="A779">
        <v>110056127007</v>
      </c>
      <c r="B779" t="s">
        <v>5457</v>
      </c>
    </row>
    <row r="780" spans="1:2" x14ac:dyDescent="0.25">
      <c r="A780">
        <v>110010059694</v>
      </c>
      <c r="B780" t="s">
        <v>5457</v>
      </c>
    </row>
    <row r="781" spans="1:2" x14ac:dyDescent="0.25">
      <c r="A781">
        <v>110055997710</v>
      </c>
      <c r="B781" t="s">
        <v>5457</v>
      </c>
    </row>
    <row r="782" spans="1:2" x14ac:dyDescent="0.25">
      <c r="A782">
        <v>110070053468</v>
      </c>
      <c r="B782" t="s">
        <v>5457</v>
      </c>
    </row>
    <row r="783" spans="1:2" x14ac:dyDescent="0.25">
      <c r="A783">
        <v>110050813978</v>
      </c>
      <c r="B783" t="s">
        <v>5457</v>
      </c>
    </row>
    <row r="784" spans="1:2" x14ac:dyDescent="0.25">
      <c r="A784">
        <v>110000486420</v>
      </c>
      <c r="B784" t="s">
        <v>5457</v>
      </c>
    </row>
    <row r="785" spans="1:2" x14ac:dyDescent="0.25">
      <c r="A785">
        <v>110012688528</v>
      </c>
      <c r="B785" t="s">
        <v>5457</v>
      </c>
    </row>
    <row r="786" spans="1:2" x14ac:dyDescent="0.25">
      <c r="A786">
        <v>110028014850</v>
      </c>
      <c r="B786" t="s">
        <v>5457</v>
      </c>
    </row>
    <row r="787" spans="1:2" x14ac:dyDescent="0.25">
      <c r="A787">
        <v>110000519314</v>
      </c>
      <c r="B787" t="s">
        <v>1542</v>
      </c>
    </row>
    <row r="788" spans="1:2" x14ac:dyDescent="0.25">
      <c r="A788">
        <v>110015415914</v>
      </c>
      <c r="B788" t="s">
        <v>1542</v>
      </c>
    </row>
    <row r="789" spans="1:2" x14ac:dyDescent="0.25">
      <c r="A789">
        <v>110042074545</v>
      </c>
      <c r="B789" t="s">
        <v>5457</v>
      </c>
    </row>
    <row r="790" spans="1:2" x14ac:dyDescent="0.25">
      <c r="A790">
        <v>110032910072</v>
      </c>
      <c r="B790" t="s">
        <v>5457</v>
      </c>
    </row>
    <row r="791" spans="1:2" x14ac:dyDescent="0.25">
      <c r="A791">
        <v>110000753346</v>
      </c>
      <c r="B791" t="s">
        <v>1542</v>
      </c>
    </row>
    <row r="792" spans="1:2" x14ac:dyDescent="0.25">
      <c r="A792">
        <v>110069343954</v>
      </c>
      <c r="B792" t="s">
        <v>5457</v>
      </c>
    </row>
    <row r="793" spans="1:2" x14ac:dyDescent="0.25">
      <c r="A793">
        <v>110064258609</v>
      </c>
      <c r="B793" t="s">
        <v>5457</v>
      </c>
    </row>
    <row r="794" spans="1:2" x14ac:dyDescent="0.25">
      <c r="A794">
        <v>110010062699</v>
      </c>
      <c r="B794" t="s">
        <v>1542</v>
      </c>
    </row>
    <row r="795" spans="1:2" x14ac:dyDescent="0.25">
      <c r="A795">
        <v>110015970029</v>
      </c>
      <c r="B795" t="s">
        <v>5458</v>
      </c>
    </row>
    <row r="796" spans="1:2" x14ac:dyDescent="0.25">
      <c r="A796">
        <v>110009127006</v>
      </c>
      <c r="B796" t="s">
        <v>1542</v>
      </c>
    </row>
    <row r="797" spans="1:2" x14ac:dyDescent="0.25">
      <c r="A797">
        <v>110000545508</v>
      </c>
      <c r="B797" t="s">
        <v>1542</v>
      </c>
    </row>
    <row r="798" spans="1:2" x14ac:dyDescent="0.25">
      <c r="A798">
        <v>110038705817</v>
      </c>
      <c r="B798" t="s">
        <v>5457</v>
      </c>
    </row>
    <row r="799" spans="1:2" x14ac:dyDescent="0.25">
      <c r="A799">
        <v>110001075345</v>
      </c>
      <c r="B799" t="s">
        <v>5457</v>
      </c>
    </row>
    <row r="800" spans="1:2" x14ac:dyDescent="0.25">
      <c r="A800">
        <v>110000367567</v>
      </c>
      <c r="B800" t="s">
        <v>5457</v>
      </c>
    </row>
    <row r="801" spans="1:2" x14ac:dyDescent="0.25">
      <c r="A801">
        <v>110000522113</v>
      </c>
      <c r="B801" t="s">
        <v>5457</v>
      </c>
    </row>
    <row r="802" spans="1:2" x14ac:dyDescent="0.25">
      <c r="A802">
        <v>110028004175</v>
      </c>
      <c r="B802" t="s">
        <v>5457</v>
      </c>
    </row>
    <row r="803" spans="1:2" x14ac:dyDescent="0.25">
      <c r="A803">
        <v>110020941383</v>
      </c>
      <c r="B803" t="s">
        <v>1542</v>
      </c>
    </row>
    <row r="804" spans="1:2" x14ac:dyDescent="0.25">
      <c r="A804">
        <v>110055985144</v>
      </c>
      <c r="B804" t="s">
        <v>1542</v>
      </c>
    </row>
    <row r="805" spans="1:2" x14ac:dyDescent="0.25">
      <c r="A805">
        <v>110000525995</v>
      </c>
      <c r="B805" t="s">
        <v>1542</v>
      </c>
    </row>
    <row r="806" spans="1:2" x14ac:dyDescent="0.25">
      <c r="A806">
        <v>110005972965</v>
      </c>
      <c r="B806" t="s">
        <v>5457</v>
      </c>
    </row>
    <row r="807" spans="1:2" x14ac:dyDescent="0.25">
      <c r="A807">
        <v>110069417125</v>
      </c>
      <c r="B807" t="s">
        <v>5457</v>
      </c>
    </row>
    <row r="808" spans="1:2" x14ac:dyDescent="0.25">
      <c r="A808">
        <v>110039705049</v>
      </c>
      <c r="B808" t="s">
        <v>1542</v>
      </c>
    </row>
    <row r="809" spans="1:2" x14ac:dyDescent="0.25">
      <c r="A809">
        <v>110010679328</v>
      </c>
      <c r="B809" t="s">
        <v>1542</v>
      </c>
    </row>
    <row r="810" spans="1:2" x14ac:dyDescent="0.25">
      <c r="A810">
        <v>110000522275</v>
      </c>
      <c r="B810" t="s">
        <v>1542</v>
      </c>
    </row>
    <row r="811" spans="1:2" x14ac:dyDescent="0.25">
      <c r="A811">
        <v>110015954467</v>
      </c>
      <c r="B811" t="s">
        <v>1542</v>
      </c>
    </row>
    <row r="812" spans="1:2" x14ac:dyDescent="0.25">
      <c r="A812">
        <v>110000461116</v>
      </c>
      <c r="B812" t="s">
        <v>5457</v>
      </c>
    </row>
    <row r="813" spans="1:2" x14ac:dyDescent="0.25">
      <c r="A813">
        <v>110013786698</v>
      </c>
      <c r="B813" t="s">
        <v>1542</v>
      </c>
    </row>
    <row r="814" spans="1:2" x14ac:dyDescent="0.25">
      <c r="A814">
        <v>110010058070</v>
      </c>
      <c r="B814" t="s">
        <v>5457</v>
      </c>
    </row>
    <row r="815" spans="1:2" x14ac:dyDescent="0.25">
      <c r="A815">
        <v>110015496060</v>
      </c>
      <c r="B815" t="s">
        <v>1542</v>
      </c>
    </row>
    <row r="816" spans="1:2" x14ac:dyDescent="0.25">
      <c r="A816">
        <v>110012330520</v>
      </c>
      <c r="B816" t="s">
        <v>1542</v>
      </c>
    </row>
    <row r="817" spans="1:2" x14ac:dyDescent="0.25">
      <c r="A817">
        <v>110037253423</v>
      </c>
      <c r="B817" t="s">
        <v>1542</v>
      </c>
    </row>
    <row r="818" spans="1:2" x14ac:dyDescent="0.25">
      <c r="A818">
        <v>110043808467</v>
      </c>
      <c r="B818" t="s">
        <v>5457</v>
      </c>
    </row>
    <row r="819" spans="1:2" x14ac:dyDescent="0.25">
      <c r="A819">
        <v>110018953738</v>
      </c>
      <c r="B819" t="s">
        <v>5457</v>
      </c>
    </row>
    <row r="820" spans="1:2" x14ac:dyDescent="0.25">
      <c r="A820">
        <v>110000353769</v>
      </c>
      <c r="B820" t="s">
        <v>5457</v>
      </c>
    </row>
    <row r="821" spans="1:2" x14ac:dyDescent="0.25">
      <c r="A821">
        <v>110064647663</v>
      </c>
      <c r="B821" t="s">
        <v>1542</v>
      </c>
    </row>
    <row r="822" spans="1:2" x14ac:dyDescent="0.25">
      <c r="A822">
        <v>110012228712</v>
      </c>
      <c r="B822" t="s">
        <v>5457</v>
      </c>
    </row>
    <row r="823" spans="1:2" x14ac:dyDescent="0.25">
      <c r="A823">
        <v>110006644872</v>
      </c>
      <c r="B823" t="s">
        <v>1542</v>
      </c>
    </row>
    <row r="824" spans="1:2" x14ac:dyDescent="0.25">
      <c r="A824">
        <v>110000730326</v>
      </c>
      <c r="B824" t="s">
        <v>1542</v>
      </c>
    </row>
    <row r="825" spans="1:2" x14ac:dyDescent="0.25">
      <c r="A825">
        <v>110006745629</v>
      </c>
      <c r="B825" t="s">
        <v>5457</v>
      </c>
    </row>
    <row r="826" spans="1:2" x14ac:dyDescent="0.25">
      <c r="A826">
        <v>110022302417</v>
      </c>
      <c r="B826" t="s">
        <v>5458</v>
      </c>
    </row>
    <row r="827" spans="1:2" x14ac:dyDescent="0.25">
      <c r="A827">
        <v>110012817354</v>
      </c>
      <c r="B827" t="s">
        <v>5457</v>
      </c>
    </row>
    <row r="828" spans="1:2" x14ac:dyDescent="0.25">
      <c r="A828">
        <v>110024572050</v>
      </c>
      <c r="B828" t="s">
        <v>1542</v>
      </c>
    </row>
    <row r="829" spans="1:2" x14ac:dyDescent="0.25">
      <c r="A829">
        <v>110037253290</v>
      </c>
      <c r="B829" t="s">
        <v>1542</v>
      </c>
    </row>
    <row r="830" spans="1:2" x14ac:dyDescent="0.25">
      <c r="A830">
        <v>110040947820</v>
      </c>
      <c r="B830" t="s">
        <v>5457</v>
      </c>
    </row>
    <row r="831" spans="1:2" x14ac:dyDescent="0.25">
      <c r="A831">
        <v>110039938985</v>
      </c>
      <c r="B831" t="s">
        <v>1542</v>
      </c>
    </row>
    <row r="832" spans="1:2" x14ac:dyDescent="0.25">
      <c r="A832">
        <v>110000597328</v>
      </c>
      <c r="B832" t="s">
        <v>5457</v>
      </c>
    </row>
    <row r="833" spans="1:2" x14ac:dyDescent="0.25">
      <c r="A833">
        <v>110000474647</v>
      </c>
      <c r="B833" t="s">
        <v>5457</v>
      </c>
    </row>
    <row r="834" spans="1:2" x14ac:dyDescent="0.25">
      <c r="A834">
        <v>110015474789</v>
      </c>
      <c r="B834" t="s">
        <v>1542</v>
      </c>
    </row>
    <row r="835" spans="1:2" x14ac:dyDescent="0.25">
      <c r="A835">
        <v>110045293035</v>
      </c>
      <c r="B835" t="s">
        <v>1542</v>
      </c>
    </row>
    <row r="836" spans="1:2" x14ac:dyDescent="0.25">
      <c r="A836">
        <v>110006830732</v>
      </c>
      <c r="B836" t="s">
        <v>5457</v>
      </c>
    </row>
    <row r="837" spans="1:2" x14ac:dyDescent="0.25">
      <c r="A837">
        <v>110037455232</v>
      </c>
      <c r="B837" t="s">
        <v>1542</v>
      </c>
    </row>
    <row r="838" spans="1:2" x14ac:dyDescent="0.25">
      <c r="A838">
        <v>110000887489</v>
      </c>
      <c r="B838" t="s">
        <v>1542</v>
      </c>
    </row>
    <row r="839" spans="1:2" x14ac:dyDescent="0.25">
      <c r="A839">
        <v>110064609437</v>
      </c>
      <c r="B839" t="s">
        <v>1542</v>
      </c>
    </row>
    <row r="840" spans="1:2" x14ac:dyDescent="0.25">
      <c r="A840">
        <v>110012876557</v>
      </c>
      <c r="B840" t="s">
        <v>5457</v>
      </c>
    </row>
    <row r="841" spans="1:2" x14ac:dyDescent="0.25">
      <c r="A841">
        <v>110000450011</v>
      </c>
      <c r="B841" t="s">
        <v>5457</v>
      </c>
    </row>
    <row r="842" spans="1:2" x14ac:dyDescent="0.25">
      <c r="A842">
        <v>110000517432</v>
      </c>
      <c r="B842" t="s">
        <v>1542</v>
      </c>
    </row>
    <row r="843" spans="1:2" x14ac:dyDescent="0.25">
      <c r="A843">
        <v>110006752406</v>
      </c>
      <c r="B843" t="s">
        <v>1542</v>
      </c>
    </row>
    <row r="844" spans="1:2" x14ac:dyDescent="0.25">
      <c r="A844">
        <v>110006367136</v>
      </c>
      <c r="B844" t="s">
        <v>1542</v>
      </c>
    </row>
    <row r="845" spans="1:2" x14ac:dyDescent="0.25">
      <c r="A845">
        <v>110022853429</v>
      </c>
      <c r="B845" t="s">
        <v>1542</v>
      </c>
    </row>
    <row r="846" spans="1:2" x14ac:dyDescent="0.25">
      <c r="A846">
        <v>110070215141</v>
      </c>
      <c r="B846" t="s">
        <v>5457</v>
      </c>
    </row>
    <row r="847" spans="1:2" x14ac:dyDescent="0.25">
      <c r="A847">
        <v>110042005843</v>
      </c>
      <c r="B847" t="s">
        <v>5457</v>
      </c>
    </row>
    <row r="848" spans="1:2" x14ac:dyDescent="0.25">
      <c r="A848">
        <v>110064631457</v>
      </c>
      <c r="B848" t="s">
        <v>1542</v>
      </c>
    </row>
    <row r="849" spans="1:2" x14ac:dyDescent="0.25">
      <c r="A849">
        <v>110000403670</v>
      </c>
      <c r="B849" t="s">
        <v>5457</v>
      </c>
    </row>
    <row r="850" spans="1:2" x14ac:dyDescent="0.25">
      <c r="A850">
        <v>110009764834</v>
      </c>
      <c r="B850" t="s">
        <v>1542</v>
      </c>
    </row>
    <row r="851" spans="1:2" x14ac:dyDescent="0.25">
      <c r="A851">
        <v>110000563220</v>
      </c>
      <c r="B851" t="s">
        <v>1542</v>
      </c>
    </row>
    <row r="852" spans="1:2" x14ac:dyDescent="0.25">
      <c r="A852">
        <v>110000574423</v>
      </c>
      <c r="B852" t="s">
        <v>5457</v>
      </c>
    </row>
    <row r="853" spans="1:2" x14ac:dyDescent="0.25">
      <c r="A853">
        <v>110041245015</v>
      </c>
      <c r="B853" t="s">
        <v>5457</v>
      </c>
    </row>
    <row r="854" spans="1:2" x14ac:dyDescent="0.25">
      <c r="A854">
        <v>110043579703</v>
      </c>
      <c r="B854" t="s">
        <v>1542</v>
      </c>
    </row>
    <row r="855" spans="1:2" x14ac:dyDescent="0.25">
      <c r="A855">
        <v>110064640269</v>
      </c>
      <c r="B855" t="s">
        <v>5457</v>
      </c>
    </row>
    <row r="856" spans="1:2" x14ac:dyDescent="0.25">
      <c r="A856">
        <v>110000862255</v>
      </c>
      <c r="B856" t="s">
        <v>5457</v>
      </c>
    </row>
    <row r="857" spans="1:2" x14ac:dyDescent="0.25">
      <c r="A857">
        <v>110037483915</v>
      </c>
      <c r="B857" t="s">
        <v>5457</v>
      </c>
    </row>
    <row r="858" spans="1:2" x14ac:dyDescent="0.25">
      <c r="A858">
        <v>110001175996</v>
      </c>
      <c r="B858" t="s">
        <v>1542</v>
      </c>
    </row>
    <row r="859" spans="1:2" x14ac:dyDescent="0.25">
      <c r="A859">
        <v>110003541686</v>
      </c>
      <c r="B859" t="s">
        <v>5457</v>
      </c>
    </row>
    <row r="860" spans="1:2" x14ac:dyDescent="0.25">
      <c r="A860">
        <v>110064634551</v>
      </c>
      <c r="B860" t="s">
        <v>5457</v>
      </c>
    </row>
    <row r="861" spans="1:2" x14ac:dyDescent="0.25">
      <c r="A861">
        <v>110001103911</v>
      </c>
      <c r="B861" t="s">
        <v>1542</v>
      </c>
    </row>
    <row r="862" spans="1:2" x14ac:dyDescent="0.25">
      <c r="A862">
        <v>110038102969</v>
      </c>
      <c r="B862" t="s">
        <v>5457</v>
      </c>
    </row>
    <row r="863" spans="1:2" x14ac:dyDescent="0.25">
      <c r="A863">
        <v>110000747817</v>
      </c>
      <c r="B863" t="s">
        <v>5457</v>
      </c>
    </row>
    <row r="864" spans="1:2" x14ac:dyDescent="0.25">
      <c r="A864">
        <v>110020659241</v>
      </c>
      <c r="B864" t="s">
        <v>1542</v>
      </c>
    </row>
    <row r="865" spans="1:2" x14ac:dyDescent="0.25">
      <c r="A865">
        <v>110000520749</v>
      </c>
      <c r="B865" t="s">
        <v>1542</v>
      </c>
    </row>
    <row r="866" spans="1:2" x14ac:dyDescent="0.25">
      <c r="A866">
        <v>110006783908</v>
      </c>
      <c r="B866" t="s">
        <v>1542</v>
      </c>
    </row>
    <row r="867" spans="1:2" x14ac:dyDescent="0.25">
      <c r="A867">
        <v>110043796023</v>
      </c>
      <c r="B867" t="s">
        <v>5457</v>
      </c>
    </row>
    <row r="868" spans="1:2" x14ac:dyDescent="0.25">
      <c r="A868">
        <v>110006783800</v>
      </c>
      <c r="B868" t="s">
        <v>1542</v>
      </c>
    </row>
    <row r="869" spans="1:2" x14ac:dyDescent="0.25">
      <c r="A869">
        <v>110000732333</v>
      </c>
      <c r="B869" t="s">
        <v>1542</v>
      </c>
    </row>
    <row r="870" spans="1:2" x14ac:dyDescent="0.25">
      <c r="A870">
        <v>110010462365</v>
      </c>
      <c r="B870" t="s">
        <v>1542</v>
      </c>
    </row>
    <row r="871" spans="1:2" x14ac:dyDescent="0.25">
      <c r="A871">
        <v>110043452019</v>
      </c>
      <c r="B871" t="s">
        <v>5457</v>
      </c>
    </row>
    <row r="872" spans="1:2" x14ac:dyDescent="0.25">
      <c r="A872">
        <v>110002431002</v>
      </c>
      <c r="B872" t="s">
        <v>1542</v>
      </c>
    </row>
    <row r="873" spans="1:2" x14ac:dyDescent="0.25">
      <c r="A873">
        <v>110010058766</v>
      </c>
      <c r="B873" t="s">
        <v>1542</v>
      </c>
    </row>
    <row r="874" spans="1:2" x14ac:dyDescent="0.25">
      <c r="A874">
        <v>110000730594</v>
      </c>
      <c r="B874" t="s">
        <v>1542</v>
      </c>
    </row>
    <row r="875" spans="1:2" x14ac:dyDescent="0.25">
      <c r="A875">
        <v>110000320965</v>
      </c>
      <c r="B875" t="s">
        <v>5457</v>
      </c>
    </row>
    <row r="876" spans="1:2" x14ac:dyDescent="0.25">
      <c r="A876">
        <v>110055986330</v>
      </c>
      <c r="B876" t="s">
        <v>1542</v>
      </c>
    </row>
    <row r="877" spans="1:2" x14ac:dyDescent="0.25">
      <c r="A877">
        <v>110000377976</v>
      </c>
      <c r="B877" t="s">
        <v>5457</v>
      </c>
    </row>
    <row r="878" spans="1:2" x14ac:dyDescent="0.25">
      <c r="A878">
        <v>110000746211</v>
      </c>
      <c r="B878" t="s">
        <v>5457</v>
      </c>
    </row>
    <row r="879" spans="1:2" x14ac:dyDescent="0.25">
      <c r="A879">
        <v>110000587393</v>
      </c>
      <c r="B879" t="s">
        <v>5457</v>
      </c>
    </row>
    <row r="880" spans="1:2" x14ac:dyDescent="0.25">
      <c r="A880">
        <v>110055984957</v>
      </c>
      <c r="B880" t="s">
        <v>1542</v>
      </c>
    </row>
    <row r="881" spans="1:2" x14ac:dyDescent="0.25">
      <c r="A881">
        <v>110039705361</v>
      </c>
      <c r="B881" t="s">
        <v>1542</v>
      </c>
    </row>
    <row r="882" spans="1:2" x14ac:dyDescent="0.25">
      <c r="A882">
        <v>110000730399</v>
      </c>
      <c r="B882" t="s">
        <v>1542</v>
      </c>
    </row>
    <row r="883" spans="1:2" x14ac:dyDescent="0.25">
      <c r="A883">
        <v>110064252419</v>
      </c>
      <c r="B883" t="s">
        <v>1542</v>
      </c>
    </row>
    <row r="884" spans="1:2" x14ac:dyDescent="0.25">
      <c r="A884">
        <v>110043734983</v>
      </c>
      <c r="B884" t="s">
        <v>1542</v>
      </c>
    </row>
    <row r="885" spans="1:2" x14ac:dyDescent="0.25">
      <c r="A885">
        <v>110000730656</v>
      </c>
      <c r="B885" t="s">
        <v>1542</v>
      </c>
    </row>
    <row r="886" spans="1:2" x14ac:dyDescent="0.25">
      <c r="A886">
        <v>110004293719</v>
      </c>
      <c r="B886" t="s">
        <v>5457</v>
      </c>
    </row>
    <row r="887" spans="1:2" x14ac:dyDescent="0.25">
      <c r="A887">
        <v>110000443226</v>
      </c>
      <c r="B887" t="s">
        <v>5457</v>
      </c>
    </row>
    <row r="888" spans="1:2" x14ac:dyDescent="0.25">
      <c r="A888">
        <v>110011373557</v>
      </c>
      <c r="B888" t="s">
        <v>5457</v>
      </c>
    </row>
    <row r="889" spans="1:2" x14ac:dyDescent="0.25">
      <c r="A889">
        <v>110009067393</v>
      </c>
      <c r="B889" t="s">
        <v>1542</v>
      </c>
    </row>
    <row r="890" spans="1:2" x14ac:dyDescent="0.25">
      <c r="A890">
        <v>110044883908</v>
      </c>
      <c r="B890" t="s">
        <v>1542</v>
      </c>
    </row>
    <row r="891" spans="1:2" x14ac:dyDescent="0.25">
      <c r="A891">
        <v>110007177768</v>
      </c>
      <c r="B891" t="s">
        <v>5457</v>
      </c>
    </row>
    <row r="892" spans="1:2" x14ac:dyDescent="0.25">
      <c r="A892">
        <v>110018993026</v>
      </c>
      <c r="B892" t="s">
        <v>5457</v>
      </c>
    </row>
    <row r="893" spans="1:2" x14ac:dyDescent="0.25">
      <c r="A893">
        <v>110037256867</v>
      </c>
      <c r="B893" t="s">
        <v>5457</v>
      </c>
    </row>
    <row r="894" spans="1:2" x14ac:dyDescent="0.25">
      <c r="A894">
        <v>110016953224</v>
      </c>
      <c r="B894" t="s">
        <v>5457</v>
      </c>
    </row>
    <row r="895" spans="1:2" x14ac:dyDescent="0.25">
      <c r="A895">
        <v>110015561756</v>
      </c>
      <c r="B895" t="s">
        <v>1542</v>
      </c>
    </row>
    <row r="896" spans="1:2" x14ac:dyDescent="0.25">
      <c r="A896">
        <v>110070003604</v>
      </c>
      <c r="B896" t="s">
        <v>1542</v>
      </c>
    </row>
    <row r="897" spans="1:2" x14ac:dyDescent="0.25">
      <c r="A897">
        <v>110006777210</v>
      </c>
      <c r="B897" t="s">
        <v>5457</v>
      </c>
    </row>
    <row r="898" spans="1:2" x14ac:dyDescent="0.25">
      <c r="A898">
        <v>110000915984</v>
      </c>
      <c r="B898" t="s">
        <v>5457</v>
      </c>
    </row>
    <row r="899" spans="1:2" x14ac:dyDescent="0.25">
      <c r="A899">
        <v>110064388844</v>
      </c>
      <c r="B899" t="s">
        <v>1542</v>
      </c>
    </row>
    <row r="900" spans="1:2" x14ac:dyDescent="0.25">
      <c r="A900">
        <v>110017769789</v>
      </c>
      <c r="B900" t="s">
        <v>5457</v>
      </c>
    </row>
    <row r="901" spans="1:2" x14ac:dyDescent="0.25">
      <c r="A901">
        <v>110039801462</v>
      </c>
      <c r="B901" t="s">
        <v>1542</v>
      </c>
    </row>
    <row r="902" spans="1:2" x14ac:dyDescent="0.25">
      <c r="A902">
        <v>110000730638</v>
      </c>
      <c r="B902" t="s">
        <v>1542</v>
      </c>
    </row>
    <row r="903" spans="1:2" x14ac:dyDescent="0.25">
      <c r="A903">
        <v>110000746337</v>
      </c>
      <c r="B903" t="s">
        <v>5457</v>
      </c>
    </row>
    <row r="904" spans="1:2" x14ac:dyDescent="0.25">
      <c r="A904">
        <v>110002422815</v>
      </c>
      <c r="B904" t="s">
        <v>5457</v>
      </c>
    </row>
    <row r="905" spans="1:2" x14ac:dyDescent="0.25">
      <c r="A905">
        <v>110028190419</v>
      </c>
      <c r="B905" t="s">
        <v>5458</v>
      </c>
    </row>
    <row r="906" spans="1:2" x14ac:dyDescent="0.25">
      <c r="A906">
        <v>110019877409</v>
      </c>
      <c r="B906" t="s">
        <v>5457</v>
      </c>
    </row>
    <row r="907" spans="1:2" x14ac:dyDescent="0.25">
      <c r="A907">
        <v>110000433013</v>
      </c>
      <c r="B907" t="s">
        <v>5457</v>
      </c>
    </row>
    <row r="908" spans="1:2" x14ac:dyDescent="0.25">
      <c r="A908">
        <v>110000746667</v>
      </c>
      <c r="B908" t="s">
        <v>5457</v>
      </c>
    </row>
    <row r="909" spans="1:2" x14ac:dyDescent="0.25">
      <c r="A909">
        <v>110039235930</v>
      </c>
      <c r="B909" t="s">
        <v>5457</v>
      </c>
    </row>
    <row r="910" spans="1:2" x14ac:dyDescent="0.25">
      <c r="A910">
        <v>110000602465</v>
      </c>
      <c r="B910" t="s">
        <v>5457</v>
      </c>
    </row>
    <row r="911" spans="1:2" x14ac:dyDescent="0.25">
      <c r="A911">
        <v>110000514532</v>
      </c>
      <c r="B911" t="s">
        <v>5457</v>
      </c>
    </row>
    <row r="912" spans="1:2" x14ac:dyDescent="0.25">
      <c r="A912">
        <v>110067014439</v>
      </c>
      <c r="B912" t="s">
        <v>5457</v>
      </c>
    </row>
    <row r="913" spans="1:2" x14ac:dyDescent="0.25">
      <c r="A913">
        <v>110007015871</v>
      </c>
      <c r="B913" t="s">
        <v>5457</v>
      </c>
    </row>
    <row r="914" spans="1:2" x14ac:dyDescent="0.25">
      <c r="A914">
        <v>110070619860</v>
      </c>
      <c r="B914" t="s">
        <v>1542</v>
      </c>
    </row>
    <row r="915" spans="1:2" x14ac:dyDescent="0.25">
      <c r="A915">
        <v>110000551082</v>
      </c>
      <c r="B915" t="s">
        <v>1542</v>
      </c>
    </row>
    <row r="916" spans="1:2" x14ac:dyDescent="0.25">
      <c r="A916">
        <v>110000340275</v>
      </c>
      <c r="B916" t="s">
        <v>5457</v>
      </c>
    </row>
    <row r="917" spans="1:2" x14ac:dyDescent="0.25">
      <c r="A917">
        <v>110040090683</v>
      </c>
      <c r="B917" t="s">
        <v>5457</v>
      </c>
    </row>
    <row r="918" spans="1:2" x14ac:dyDescent="0.25">
      <c r="A918">
        <v>110000732217</v>
      </c>
      <c r="B918" t="s">
        <v>1542</v>
      </c>
    </row>
    <row r="919" spans="1:2" x14ac:dyDescent="0.25">
      <c r="A919">
        <v>110000499087</v>
      </c>
      <c r="B919" t="s">
        <v>5457</v>
      </c>
    </row>
    <row r="920" spans="1:2" x14ac:dyDescent="0.25">
      <c r="A920">
        <v>110039429428</v>
      </c>
      <c r="B920" t="s">
        <v>1542</v>
      </c>
    </row>
    <row r="921" spans="1:2" x14ac:dyDescent="0.25">
      <c r="A921">
        <v>110010037717</v>
      </c>
      <c r="B921" t="s">
        <v>5457</v>
      </c>
    </row>
    <row r="922" spans="1:2" x14ac:dyDescent="0.25">
      <c r="A922">
        <v>110015670521</v>
      </c>
      <c r="B922" t="s">
        <v>5457</v>
      </c>
    </row>
    <row r="923" spans="1:2" x14ac:dyDescent="0.25">
      <c r="A923">
        <v>110006656083</v>
      </c>
      <c r="B923" t="s">
        <v>1542</v>
      </c>
    </row>
    <row r="924" spans="1:2" x14ac:dyDescent="0.25">
      <c r="A924">
        <v>110070567701</v>
      </c>
      <c r="B924" t="s">
        <v>5457</v>
      </c>
    </row>
    <row r="925" spans="1:2" x14ac:dyDescent="0.25">
      <c r="A925">
        <v>110000463212</v>
      </c>
      <c r="B925" t="s">
        <v>5457</v>
      </c>
    </row>
    <row r="926" spans="1:2" x14ac:dyDescent="0.25">
      <c r="A926">
        <v>110055043705</v>
      </c>
      <c r="B926" t="s">
        <v>1542</v>
      </c>
    </row>
    <row r="927" spans="1:2" x14ac:dyDescent="0.25">
      <c r="A927">
        <v>110046264760</v>
      </c>
      <c r="B927" t="s">
        <v>5457</v>
      </c>
    </row>
    <row r="928" spans="1:2" x14ac:dyDescent="0.25">
      <c r="A928">
        <v>110020737540</v>
      </c>
      <c r="B928" t="s">
        <v>1542</v>
      </c>
    </row>
    <row r="929" spans="1:2" x14ac:dyDescent="0.25">
      <c r="A929">
        <v>110016759444</v>
      </c>
      <c r="B929" t="s">
        <v>1542</v>
      </c>
    </row>
    <row r="930" spans="1:2" x14ac:dyDescent="0.25">
      <c r="A930">
        <v>110042005503</v>
      </c>
      <c r="B930" t="s">
        <v>5457</v>
      </c>
    </row>
    <row r="931" spans="1:2" x14ac:dyDescent="0.25">
      <c r="A931">
        <v>110000732324</v>
      </c>
      <c r="B931" t="s">
        <v>1542</v>
      </c>
    </row>
    <row r="932" spans="1:2" x14ac:dyDescent="0.25">
      <c r="A932">
        <v>110001177958</v>
      </c>
      <c r="B932" t="s">
        <v>1542</v>
      </c>
    </row>
    <row r="933" spans="1:2" x14ac:dyDescent="0.25">
      <c r="A933">
        <v>110000736730</v>
      </c>
      <c r="B933" t="s">
        <v>1542</v>
      </c>
    </row>
    <row r="934" spans="1:2" x14ac:dyDescent="0.25">
      <c r="A934">
        <v>110000463490</v>
      </c>
      <c r="B934" t="s">
        <v>5457</v>
      </c>
    </row>
    <row r="935" spans="1:2" x14ac:dyDescent="0.25">
      <c r="A935">
        <v>110000432504</v>
      </c>
      <c r="B935" t="s">
        <v>5457</v>
      </c>
    </row>
    <row r="936" spans="1:2" x14ac:dyDescent="0.25">
      <c r="A936">
        <v>110015662362</v>
      </c>
      <c r="B936" t="s">
        <v>1542</v>
      </c>
    </row>
    <row r="937" spans="1:2" x14ac:dyDescent="0.25">
      <c r="A937">
        <v>110011651685</v>
      </c>
      <c r="B937" t="s">
        <v>5457</v>
      </c>
    </row>
    <row r="938" spans="1:2" x14ac:dyDescent="0.25">
      <c r="A938">
        <v>110024463971</v>
      </c>
      <c r="B938" t="s">
        <v>5457</v>
      </c>
    </row>
    <row r="939" spans="1:2" x14ac:dyDescent="0.25">
      <c r="A939">
        <v>110000483129</v>
      </c>
      <c r="B939" t="s">
        <v>5457</v>
      </c>
    </row>
    <row r="940" spans="1:2" x14ac:dyDescent="0.25">
      <c r="A940">
        <v>110037256073</v>
      </c>
      <c r="B940" t="s">
        <v>5457</v>
      </c>
    </row>
    <row r="941" spans="1:2" x14ac:dyDescent="0.25">
      <c r="A941">
        <v>110064786085</v>
      </c>
      <c r="B941" t="s">
        <v>5457</v>
      </c>
    </row>
    <row r="942" spans="1:2" x14ac:dyDescent="0.25">
      <c r="A942">
        <v>110059344473</v>
      </c>
      <c r="B942" t="s">
        <v>5457</v>
      </c>
    </row>
    <row r="943" spans="1:2" x14ac:dyDescent="0.25">
      <c r="A943">
        <v>110000732271</v>
      </c>
      <c r="B943" t="s">
        <v>1542</v>
      </c>
    </row>
    <row r="944" spans="1:2" x14ac:dyDescent="0.25">
      <c r="A944">
        <v>110023140420</v>
      </c>
      <c r="B944" t="s">
        <v>1542</v>
      </c>
    </row>
    <row r="945" spans="1:2" x14ac:dyDescent="0.25">
      <c r="A945">
        <v>110020516832</v>
      </c>
      <c r="B945" t="s">
        <v>5457</v>
      </c>
    </row>
    <row r="946" spans="1:2" x14ac:dyDescent="0.25">
      <c r="A946">
        <v>110000732299</v>
      </c>
      <c r="B946" t="s">
        <v>1542</v>
      </c>
    </row>
    <row r="947" spans="1:2" x14ac:dyDescent="0.25">
      <c r="A947">
        <v>110000474834</v>
      </c>
      <c r="B947" t="s">
        <v>5457</v>
      </c>
    </row>
    <row r="948" spans="1:2" x14ac:dyDescent="0.25">
      <c r="A948">
        <v>110070828215</v>
      </c>
      <c r="B948" t="s">
        <v>5457</v>
      </c>
    </row>
    <row r="949" spans="1:2" x14ac:dyDescent="0.25">
      <c r="A949">
        <v>110000915403</v>
      </c>
      <c r="B949" t="s">
        <v>1542</v>
      </c>
    </row>
    <row r="950" spans="1:2" x14ac:dyDescent="0.25">
      <c r="A950">
        <v>110055115361</v>
      </c>
      <c r="B950" t="s">
        <v>5457</v>
      </c>
    </row>
    <row r="951" spans="1:2" x14ac:dyDescent="0.25">
      <c r="A951">
        <v>110012986144</v>
      </c>
      <c r="B951" t="s">
        <v>1542</v>
      </c>
    </row>
    <row r="952" spans="1:2" x14ac:dyDescent="0.25">
      <c r="A952">
        <v>110058921680</v>
      </c>
      <c r="B952" t="s">
        <v>5457</v>
      </c>
    </row>
    <row r="953" spans="1:2" x14ac:dyDescent="0.25">
      <c r="A953">
        <v>110055986349</v>
      </c>
      <c r="B953" t="s">
        <v>1542</v>
      </c>
    </row>
    <row r="954" spans="1:2" x14ac:dyDescent="0.25">
      <c r="A954">
        <v>110002420425</v>
      </c>
      <c r="B954" t="s">
        <v>5457</v>
      </c>
    </row>
    <row r="955" spans="1:2" x14ac:dyDescent="0.25">
      <c r="A955">
        <v>110056006815</v>
      </c>
      <c r="B955" t="s">
        <v>1542</v>
      </c>
    </row>
    <row r="956" spans="1:2" x14ac:dyDescent="0.25">
      <c r="A956">
        <v>110000914690</v>
      </c>
      <c r="B956" t="s">
        <v>1542</v>
      </c>
    </row>
    <row r="957" spans="1:2" x14ac:dyDescent="0.25">
      <c r="A957">
        <v>110055984350</v>
      </c>
      <c r="B957" t="s">
        <v>1542</v>
      </c>
    </row>
    <row r="958" spans="1:2" x14ac:dyDescent="0.25">
      <c r="A958">
        <v>110000569484</v>
      </c>
      <c r="B958" t="s">
        <v>1542</v>
      </c>
    </row>
    <row r="959" spans="1:2" x14ac:dyDescent="0.25">
      <c r="A959">
        <v>110000449970</v>
      </c>
      <c r="B959" t="s">
        <v>5457</v>
      </c>
    </row>
    <row r="960" spans="1:2" x14ac:dyDescent="0.25">
      <c r="A960">
        <v>110002034691</v>
      </c>
      <c r="B960" t="s">
        <v>5457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23352F79007E408EFF44D6142FFCE2" ma:contentTypeVersion="21" ma:contentTypeDescription="Create a new document." ma:contentTypeScope="" ma:versionID="f7663de67ef2afa6df94d55ff7e56796">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fecc2597-e8fd-4279-ac06-bd7c891938be" xmlns:ns6="ead8da0f-3542-4e50-96c8-f1f698624e86" targetNamespace="http://schemas.microsoft.com/office/2006/metadata/properties" ma:root="true" ma:fieldsID="02cccc19423a0cd6fa028e0a1e544b83" ns1:_="" ns2:_="" ns3:_="" ns4:_="" ns5:_="" ns6:_="">
    <xsd:import namespace="http://schemas.microsoft.com/sharepoint/v3"/>
    <xsd:import namespace="4ffa91fb-a0ff-4ac5-b2db-65c790d184a4"/>
    <xsd:import namespace="http://schemas.microsoft.com/sharepoint.v3"/>
    <xsd:import namespace="http://schemas.microsoft.com/sharepoint/v3/fields"/>
    <xsd:import namespace="fecc2597-e8fd-4279-ac06-bd7c891938be"/>
    <xsd:import namespace="ead8da0f-3542-4e50-96c8-f1f698624e86"/>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SharedWithUsers" minOccurs="0"/>
                <xsd:element ref="ns5:SharedWithDetails"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1:_ip_UnifiedCompliancePolicyProperties" minOccurs="0"/>
                <xsd:element ref="ns1:_ip_UnifiedCompliancePolicyUIAction" minOccurs="0"/>
                <xsd:element ref="ns6:lcf76f155ced4ddcb4097134ff3c332f" minOccurs="0"/>
                <xsd:element ref="ns6:MediaServiceObjectDetectorVersions" minOccurs="0"/>
                <xsd:element ref="ns6:MediaServiceSearchProperties" minOccurs="0"/>
                <xsd:element ref="ns6:MediaServiceDateTaken"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160cad11-562a-4490-8456-b2fd6f157897}" ma:internalName="TaxCatchAllLabel" ma:readOnly="true" ma:showField="CatchAllDataLabel"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160cad11-562a-4490-8456-b2fd6f157897}" ma:internalName="TaxCatchAll" ma:showField="CatchAllData"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cc2597-e8fd-4279-ac06-bd7c891938be"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d8da0f-3542-4e50-96c8-f1f698624e86"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1" nillable="true" ma:displayName="MediaServiceObjectDetectorVersions"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DateTaken" ma:index="43" nillable="true" ma:displayName="MediaServiceDateTaken" ma:description="" ma:hidden="true" ma:indexed="true" ma:internalName="MediaServiceDateTaken" ma:readOnly="true">
      <xsd:simpleType>
        <xsd:restriction base="dms:Text"/>
      </xsd:simpleType>
    </xsd:element>
    <xsd:element name="MediaServiceLocation" ma:index="44" nillable="true" ma:displayName="Location" ma:description="" ma:indexed="true" ma:internalName="MediaServiceLocation" ma:readOnly="true">
      <xsd:simpleType>
        <xsd:restriction base="dms:Text"/>
      </xsd:simpleType>
    </xsd:element>
    <xsd:element name="MediaLengthInSeconds" ma:index="4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29f62856-1543-49d4-a736-4569d363f533"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4ffa91fb-a0ff-4ac5-b2db-65c790d184a4">
      <Value>2106</Value>
      <Value>657</Value>
      <Value>2133</Value>
      <Value>2130</Value>
      <Value>2129</Value>
      <Value>1314</Value>
      <Value>1460</Value>
      <Value>1459</Value>
      <Value>2050</Value>
      <Value>2085</Value>
      <Value>1709</Value>
      <Value>1190</Value>
    </TaxCatchAll>
    <SharedWithUsers xmlns="fecc2597-e8fd-4279-ac06-bd7c891938be">
      <UserInfo>
        <DisplayName>Vuilleumier, Kevin</DisplayName>
        <AccountId>77</AccountId>
        <AccountType/>
      </UserInfo>
      <UserInfo>
        <DisplayName>Merilis, Giorvanni (he/him/his)</DisplayName>
        <AccountId>145</AccountId>
        <AccountType/>
      </UserInfo>
      <UserInfo>
        <DisplayName>Shifflett, Shawn (he/him/his)</DisplayName>
        <AccountId>119</AccountId>
        <AccountType/>
      </UserInfo>
      <UserInfo>
        <DisplayName>Choudhary, Rehan</DisplayName>
        <AccountId>10</AccountId>
        <AccountType/>
      </UserInfo>
      <UserInfo>
        <DisplayName>Bohaty, Rochelle</DisplayName>
        <AccountId>179</AccountId>
        <AccountType/>
      </UserInfo>
      <UserInfo>
        <DisplayName>Hollinshead, Whitney</DisplayName>
        <AccountId>20</AccountId>
        <AccountType/>
      </UserInfo>
      <UserInfo>
        <DisplayName>Todd, Jason</DisplayName>
        <AccountId>146</AccountId>
        <AccountType/>
      </UserInfo>
      <UserInfo>
        <DisplayName>Orentas, Nerija</DisplayName>
        <AccountId>78</AccountId>
        <AccountType/>
      </UserInfo>
    </SharedWithUsers>
    <lcf76f155ced4ddcb4097134ff3c332f xmlns="ead8da0f-3542-4e50-96c8-f1f698624e86">
      <Terms xmlns="http://schemas.microsoft.com/office/infopath/2007/PartnerControls"/>
    </lcf76f155ced4ddcb4097134ff3c332f>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TaxKeywordTaxHTField xmlns="4ffa91fb-a0ff-4ac5-b2db-65c790d184a4">
      <Terms xmlns="http://schemas.microsoft.com/office/infopath/2007/PartnerControls">
        <TermInfo xmlns="http://schemas.microsoft.com/office/infopath/2007/PartnerControls">
          <TermName xmlns="http://schemas.microsoft.com/office/infopath/2007/PartnerControls">12DCP</TermName>
          <TermId xmlns="http://schemas.microsoft.com/office/infopath/2007/PartnerControls">d176ffec-5a29-4ccc-9d1a-3beae4ea5552</TermId>
        </TermInfo>
        <TermInfo xmlns="http://schemas.microsoft.com/office/infopath/2007/PartnerControls">
          <TermName xmlns="http://schemas.microsoft.com/office/infopath/2007/PartnerControls">CASRN 78-87-5</TermName>
          <TermId xmlns="http://schemas.microsoft.com/office/infopath/2007/PartnerControls">6c0f0415-e883-4313-be5b-62ccf49181ff</TermId>
        </TermInfo>
        <TermInfo xmlns="http://schemas.microsoft.com/office/infopath/2007/PartnerControls">
          <TermName xmlns="http://schemas.microsoft.com/office/infopath/2007/PartnerControls">DMR</TermName>
          <TermId xmlns="http://schemas.microsoft.com/office/infopath/2007/PartnerControls">a0897b1c-f8a3-4e12-971c-9fa76237bb31</TermId>
        </TermInfo>
        <TermInfo xmlns="http://schemas.microsoft.com/office/infopath/2007/PartnerControls">
          <TermName xmlns="http://schemas.microsoft.com/office/infopath/2007/PartnerControls">Surface Water</TermName>
          <TermId xmlns="http://schemas.microsoft.com/office/infopath/2007/PartnerControls">e54a0bb1-340a-43ca-8185-8dc083d9a2e5</TermId>
        </TermInfo>
        <TermInfo xmlns="http://schemas.microsoft.com/office/infopath/2007/PartnerControls">
          <TermName xmlns="http://schemas.microsoft.com/office/infopath/2007/PartnerControls">water release</TermName>
          <TermId xmlns="http://schemas.microsoft.com/office/infopath/2007/PartnerControls">d3c3c76c-8774-49f5-8e26-0da7579fda00</TermId>
        </TermInfo>
        <TermInfo xmlns="http://schemas.microsoft.com/office/infopath/2007/PartnerControls">
          <TermName xmlns="http://schemas.microsoft.com/office/infopath/2007/PartnerControls">toxics release inventory</TermName>
          <TermId xmlns="http://schemas.microsoft.com/office/infopath/2007/PartnerControls">4c2a5642-a592-463d-be43-43222e79211e</TermId>
        </TermInfo>
        <TermInfo xmlns="http://schemas.microsoft.com/office/infopath/2007/PartnerControls">
          <TermName xmlns="http://schemas.microsoft.com/office/infopath/2007/PartnerControls">Surface Water Release</TermName>
          <TermId xmlns="http://schemas.microsoft.com/office/infopath/2007/PartnerControls">524c94e6-51be-4e2e-958a-e985063ce270</TermId>
        </TermInfo>
        <TermInfo xmlns="http://schemas.microsoft.com/office/infopath/2007/PartnerControls">
          <TermName xmlns="http://schemas.microsoft.com/office/infopath/2007/PartnerControls">discharge monitoring report</TermName>
          <TermId xmlns="http://schemas.microsoft.com/office/infopath/2007/PartnerControls">d0ada244-bfdb-473c-aa60-1ce1574264e1</TermId>
        </TermInfo>
        <TermInfo xmlns="http://schemas.microsoft.com/office/infopath/2007/PartnerControls">
          <TermName xmlns="http://schemas.microsoft.com/office/infopath/2007/PartnerControls">Water</TermName>
          <TermId xmlns="http://schemas.microsoft.com/office/infopath/2007/PartnerControls">f503997c-d99d-4347-90c5-3046154b5817</TermId>
        </TermInfo>
        <TermInfo xmlns="http://schemas.microsoft.com/office/infopath/2007/PartnerControls">
          <TermName xmlns="http://schemas.microsoft.com/office/infopath/2007/PartnerControls">12Dichloropropane</TermName>
          <TermId xmlns="http://schemas.microsoft.com/office/infopath/2007/PartnerControls">1c68f91c-a98e-44e5-9441-281843d32ac9</TermId>
        </TermInfo>
        <TermInfo xmlns="http://schemas.microsoft.com/office/infopath/2007/PartnerControls">
          <TermName xmlns="http://schemas.microsoft.com/office/infopath/2007/PartnerControls">TRI</TermName>
          <TermId xmlns="http://schemas.microsoft.com/office/infopath/2007/PartnerControls">a9f685f3-e81c-465b-8a85-70d8e9d586f5</TermId>
        </TermInfo>
        <TermInfo xmlns="http://schemas.microsoft.com/office/infopath/2007/PartnerControls">
          <TermName xmlns="http://schemas.microsoft.com/office/infopath/2007/PartnerControls">environmental release</TermName>
          <TermId xmlns="http://schemas.microsoft.com/office/infopath/2007/PartnerControls">59544114-b52c-4fcc-9dbf-fb79dfd5d018</TermId>
        </TermInfo>
      </Term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2025-10-23T21:09:36+00:00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5.xml>��
</file>

<file path=customXml/itemProps1.xml><?xml version="1.0" encoding="utf-8"?>
<ds:datastoreItem xmlns:ds="http://schemas.openxmlformats.org/officeDocument/2006/customXml" ds:itemID="{C46FA9D2-4333-4E16-A53D-AB257B531A40}">
  <ds:schemaRefs>
    <ds:schemaRef ds:uri="http://schemas.microsoft.com/sharepoint/v3/contenttype/forms"/>
  </ds:schemaRefs>
</ds:datastoreItem>
</file>

<file path=customXml/itemProps2.xml><?xml version="1.0" encoding="utf-8"?>
<ds:datastoreItem xmlns:ds="http://schemas.openxmlformats.org/officeDocument/2006/customXml" ds:itemID="{E17E82F8-8EA6-4FB3-9BA9-A62B5409A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fecc2597-e8fd-4279-ac06-bd7c891938be"/>
    <ds:schemaRef ds:uri="ead8da0f-3542-4e50-96c8-f1f698624e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CE0FE6-B245-4844-B8C6-F867354D6D30}">
  <ds:schemaRefs>
    <ds:schemaRef ds:uri="Microsoft.SharePoint.Taxonomy.ContentTypeSync"/>
  </ds:schemaRefs>
</ds:datastoreItem>
</file>

<file path=customXml/itemProps4.xml><?xml version="1.0" encoding="utf-8"?>
<ds:datastoreItem xmlns:ds="http://schemas.openxmlformats.org/officeDocument/2006/customXml" ds:itemID="{6A23A6D4-B73C-4701-9919-992DCE70A62C}">
  <ds:schemaRefs>
    <ds:schemaRef ds:uri="fecc2597-e8fd-4279-ac06-bd7c891938be"/>
    <ds:schemaRef ds:uri="http://www.w3.org/XML/1998/namespace"/>
    <ds:schemaRef ds:uri="http://schemas.microsoft.com/office/infopath/2007/PartnerControls"/>
    <ds:schemaRef ds:uri="http://purl.org/dc/dcmitype/"/>
    <ds:schemaRef ds:uri="http://schemas.microsoft.com/sharepoint/v3/fields"/>
    <ds:schemaRef ds:uri="http://schemas.openxmlformats.org/package/2006/metadata/core-properties"/>
    <ds:schemaRef ds:uri="http://schemas.microsoft.com/office/2006/metadata/properties"/>
    <ds:schemaRef ds:uri="ead8da0f-3542-4e50-96c8-f1f698624e86"/>
    <ds:schemaRef ds:uri="http://schemas.microsoft.com/sharepoint.v3"/>
    <ds:schemaRef ds:uri="http://schemas.microsoft.com/office/2006/documentManagement/types"/>
    <ds:schemaRef ds:uri="http://purl.org/dc/terms/"/>
    <ds:schemaRef ds:uri="4ffa91fb-a0ff-4ac5-b2db-65c790d184a4"/>
    <ds:schemaRef ds:uri="http://schemas.microsoft.com/sharepoint/v3"/>
    <ds:schemaRef ds:uri="http://purl.org/dc/elements/1.1/"/>
  </ds:schemaRefs>
</ds:datastoreItem>
</file>

<file path=customXml/itemProps5.xml><?xml version="1.0" encoding="utf-8"?>
<ds:datastoreItem xmlns:ds="http://schemas.openxmlformats.org/officeDocument/2006/customXml" ds:itemID="{D6842BCC-89DB-4B35-89A6-75435ACAEA2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Page</vt:lpstr>
      <vt:lpstr>Read Me</vt:lpstr>
      <vt:lpstr>Total Annual Releases</vt:lpstr>
      <vt:lpstr>TRI and DMR OES Summary</vt:lpstr>
      <vt:lpstr>Facility Discharge Summary</vt:lpstr>
      <vt:lpstr>Facility Summary_Water</vt:lpstr>
      <vt:lpstr>Processed Non-zero DMR Data</vt:lpstr>
      <vt:lpstr>Processed Non-zero TRI Data</vt:lpstr>
      <vt:lpstr>Raw TRI Data</vt:lpstr>
      <vt:lpstr>Raw Non-zero DMR Data</vt:lpstr>
      <vt:lpstr>Off-site Locations</vt:lpstr>
      <vt:lpstr>Facility Summary_All</vt:lpstr>
      <vt:lpstr>TRIFD-OES Crosswalk</vt:lpstr>
      <vt:lpstr>11DCA Mapping</vt:lpstr>
      <vt:lpstr>NAICS OES crosswalk</vt:lpstr>
      <vt:lpstr>2017 - 2022 NAICS</vt:lpstr>
      <vt:lpstr>2022 SIC to NAICS</vt:lpstr>
      <vt:lpstr>NAICS Code to IS CDR Code</vt:lpstr>
      <vt:lpstr>DMR POTW Flag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Water Releases for 1,2-Dichloropropane 		</dc:title>
  <dc:subject>Draft Risk Evaluation for 1,2-Dichloropropane</dc:subject>
  <dc:creator>US EPA</dc:creator>
  <cp:keywords>12Dichloropropane ; 12DCP ; CASRN 78-87-5 ; Water ; water release ; environmental release ; Surface Water ; Surface Water Release ; DMR ; discharge monitoring report ; TRI ; toxics release inventory</cp:keywords>
  <dc:description/>
  <cp:lastModifiedBy>Stanfield, Kelley</cp:lastModifiedBy>
  <cp:revision/>
  <dcterms:created xsi:type="dcterms:W3CDTF">2020-12-07T17:10:30Z</dcterms:created>
  <dcterms:modified xsi:type="dcterms:W3CDTF">2026-07-28T12:35:31Z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0x010100D723352F79007E408EFF44D6142FFCE2</vt:lpwstr>
  </property>
  <property fmtid="{D5CDD505-2E9C-101B-9397-08002B2CF9AE}" pid="3" name="MediaServiceImageTags">
    <vt:lpwstr/>
  </property>
  <property fmtid="{D5CDD505-2E9C-101B-9397-08002B2CF9AE}" pid="4" name="TaxKeyword">
    <vt:lpwstr>2130;#12DCP|d176ffec-5a29-4ccc-9d1a-3beae4ea5552;#2106;#CASRN 78-87-5|6c0f0415-e883-4313-be5b-62ccf49181ff;#1459;#DMR|a0897b1c-f8a3-4e12-971c-9fa76237bb31;#657;#Surface Water|e54a0bb1-340a-43ca-8185-8dc083d9a2e5;#2050;#water release|d3c3c76c-8774-49f5-8e26-0da7579fda00;#1709;#toxics release inventory|4c2a5642-a592-463d-be43-43222e79211e;#2133;#Surface Water Release|524c94e6-51be-4e2e-958a-e985063ce270;#2085;#discharge monitoring report|d0ada244-bfdb-473c-aa60-1ce1574264e1;#1314;#Water|f503997c-d99d-4347-90c5-3046154b5817;#2129;#12Dichloropropane|1c68f91c-a98e-44e5-9441-281843d32ac9;#1460;#TRI|a9f685f3-e81c-465b-8a85-70d8e9d586f5;#1190;#environmental release|59544114-b52c-4fcc-9dbf-fb79dfd5d018</vt:lpwstr>
  </property>
  <property fmtid="{D5CDD505-2E9C-101B-9397-08002B2CF9AE}" pid="5" name="EPA Subject">
    <vt:lpwstr/>
  </property>
  <property fmtid="{D5CDD505-2E9C-101B-9397-08002B2CF9AE}" pid="6" name="Document Type">
    <vt:lpwstr/>
  </property>
  <property fmtid="{D5CDD505-2E9C-101B-9397-08002B2CF9AE}" pid="7" name="Order">
    <vt:r8>621300</vt:r8>
  </property>
  <property fmtid="{D5CDD505-2E9C-101B-9397-08002B2CF9AE}" pid="8" name="xd_Signature">
    <vt:bool>false</vt:bool>
  </property>
  <property fmtid="{D5CDD505-2E9C-101B-9397-08002B2CF9AE}" pid="9" name="xd_ProgID">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y fmtid="{D5CDD505-2E9C-101B-9397-08002B2CF9AE}" pid="14" name="Document_x0020_Type">
    <vt:lpwstr/>
  </property>
  <property fmtid="{D5CDD505-2E9C-101B-9397-08002B2CF9AE}" pid="15" name="e3f09c3df709400db2417a7161762d62">
    <vt:lpwstr/>
  </property>
  <property fmtid="{D5CDD505-2E9C-101B-9397-08002B2CF9AE}" pid="16" name="EPA_x0020_Subject">
    <vt:lpwstr/>
  </property>
</Properties>
</file>